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09415495\OneDrive - csulb\Desktop\"/>
    </mc:Choice>
  </mc:AlternateContent>
  <bookViews>
    <workbookView xWindow="0" yWindow="0" windowWidth="28800" windowHeight="12900" tabRatio="821" firstSheet="2" activeTab="2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OSR_Div 1_7H47HR" sheetId="7" state="hidden" r:id="rId6"/>
    <sheet name="OSR_Div 3 (2)...4cb81c06_PBSMLS" sheetId="8" state="hidden" r:id="rId7"/>
    <sheet name="OSR_Div 2_1PQ800A" sheetId="10" state="hidden" r:id="rId8"/>
    <sheet name="OSR_Div 1 (2)...789fe994_2NV3KA" sheetId="11" state="hidden" r:id="rId9"/>
    <sheet name="OSR_Div 3_18723PH" sheetId="13" state="hidden" r:id="rId10"/>
    <sheet name="OSR_300 (2)_7...54cb56fc_UFX0O2" sheetId="14" state="hidden" r:id="rId11"/>
    <sheet name="OSR_300_IYZXI6" sheetId="16" state="hidden" r:id="rId12"/>
    <sheet name="OSR_310 (2)_5...3d931dee_QNK8R2" sheetId="17" state="hidden" r:id="rId13"/>
    <sheet name="OSR_300 &amp; 317_1C00ID4" sheetId="19" state="hidden" r:id="rId14"/>
    <sheet name="OSR_300 (2)_...6aa5a22d_14M6XO4" sheetId="20" state="hidden" r:id="rId15"/>
    <sheet name="OSR_310_1CMTOSB" sheetId="22" state="hidden" r:id="rId16"/>
    <sheet name="OSR_300 (2)_e...5d0da5bf_6BPGAO" sheetId="23" state="hidden" r:id="rId17"/>
    <sheet name="OSR_330_10VFP5Y" sheetId="25" state="hidden" r:id="rId18"/>
    <sheet name="OSR_310 (2)_...6e684f08_1FLCNJG" sheetId="26" state="hidden" r:id="rId19"/>
    <sheet name="OSR_308_UAWDAG" sheetId="28" state="hidden" r:id="rId20"/>
    <sheet name="OSR_330 (2)_...8a14c83e_1NSH7XI" sheetId="29" state="hidden" r:id="rId21"/>
    <sheet name="OSR_331_10VKQAJ" sheetId="31" state="hidden" r:id="rId22"/>
    <sheet name="OSR_308 (2)_...47685838_1YQW4QY" sheetId="32" state="hidden" r:id="rId23"/>
    <sheet name="OSR_332_6NDVBW" sheetId="34" state="hidden" r:id="rId24"/>
    <sheet name="OSR_331 (2)_...7280af70_1P5SPLT" sheetId="35" state="hidden" r:id="rId25"/>
    <sheet name="OSR_Div 4_1740TMT" sheetId="37" state="hidden" r:id="rId26"/>
    <sheet name="OSR_310 (2)_...8cac1423_1JTU33X" sheetId="38" state="hidden" r:id="rId27"/>
    <sheet name="OSR_310 &amp; 491_1NGRCS9" sheetId="40" state="hidden" r:id="rId28"/>
    <sheet name="OSR_491 (2)_...853a34aa_1UNC34K" sheetId="41" state="hidden" r:id="rId29"/>
    <sheet name="OSR_491_9Z9JH5" sheetId="43" state="hidden" r:id="rId30"/>
    <sheet name="OSR_Div 4 (2...2533da42_174R6QX" sheetId="44" state="hidden" r:id="rId31"/>
    <sheet name="OSR_492_943FP1" sheetId="46" state="hidden" r:id="rId32"/>
    <sheet name="OSR_Div 4 (2)...1a9a4454_CQFRNE" sheetId="47" state="hidden" r:id="rId33"/>
    <sheet name="OSR_Div 5_16NAZO2" sheetId="49" state="hidden" r:id="rId34"/>
    <sheet name="OSR_492 (2)_...cd97c6a6_13HYXEV" sheetId="50" state="hidden" r:id="rId35"/>
    <sheet name="OSR_Div 6_P37YY7" sheetId="52" state="hidden" r:id="rId36"/>
    <sheet name="OSR_Div 5 (2)...32d16c57_IVJ1QO" sheetId="53" state="hidden" r:id="rId37"/>
    <sheet name="Div 1" sheetId="6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4" r:id="rId51"/>
    <sheet name="306" sheetId="68" r:id="rId52"/>
    <sheet name="330" sheetId="24" r:id="rId53"/>
    <sheet name="307" sheetId="69" r:id="rId54"/>
    <sheet name="314" sheetId="74" r:id="rId55"/>
    <sheet name="308" sheetId="27" r:id="rId56"/>
    <sheet name="311" sheetId="71" r:id="rId57"/>
    <sheet name="324" sheetId="83" r:id="rId58"/>
    <sheet name="331" sheetId="30" r:id="rId59"/>
    <sheet name="315" sheetId="75" r:id="rId60"/>
    <sheet name="326" sheetId="85" r:id="rId61"/>
    <sheet name="332" sheetId="33" r:id="rId62"/>
    <sheet name="316" sheetId="76" r:id="rId63"/>
    <sheet name="320" sheetId="79" r:id="rId64"/>
    <sheet name="Div 6" sheetId="51" r:id="rId65"/>
    <sheet name="317" sheetId="77" r:id="rId66"/>
    <sheet name="310" sheetId="21" r:id="rId67"/>
    <sheet name="309" sheetId="70" r:id="rId68"/>
    <sheet name="313" sheetId="73" r:id="rId69"/>
    <sheet name="321" sheetId="80" r:id="rId70"/>
    <sheet name="322" sheetId="81" r:id="rId71"/>
    <sheet name="325" sheetId="84" r:id="rId72"/>
    <sheet name="327" sheetId="86" r:id="rId73"/>
    <sheet name="Div 4" sheetId="36" r:id="rId74"/>
    <sheet name="310 &amp; 491" sheetId="39" r:id="rId75"/>
    <sheet name="491" sheetId="42" r:id="rId76"/>
    <sheet name="405" sheetId="88" r:id="rId77"/>
    <sheet name="406" sheetId="89" r:id="rId78"/>
    <sheet name="411" sheetId="92" r:id="rId79"/>
    <sheet name="412" sheetId="93" r:id="rId80"/>
    <sheet name="413" sheetId="94" r:id="rId81"/>
    <sheet name="414" sheetId="95" r:id="rId82"/>
    <sheet name="415" sheetId="96" r:id="rId83"/>
    <sheet name="418" sheetId="98" r:id="rId84"/>
    <sheet name="420" sheetId="99" r:id="rId85"/>
    <sheet name="423" sheetId="100" r:id="rId86"/>
    <sheet name="424" sheetId="101" r:id="rId87"/>
    <sheet name="425" sheetId="102" r:id="rId88"/>
    <sheet name="455" sheetId="109" r:id="rId89"/>
    <sheet name="492" sheetId="45" r:id="rId90"/>
    <sheet name="430" sheetId="103" r:id="rId91"/>
    <sheet name="433" sheetId="104" r:id="rId92"/>
    <sheet name="435" sheetId="105" r:id="rId93"/>
    <sheet name="444" sheetId="106" r:id="rId94"/>
    <sheet name="445" sheetId="107" r:id="rId95"/>
    <sheet name="450" sheetId="108" r:id="rId96"/>
    <sheet name="Div 5" sheetId="48" r:id="rId97"/>
    <sheet name="501" sheetId="110" r:id="rId98"/>
    <sheet name="Dept" sheetId="111" state="hidden" r:id="rId99"/>
    <sheet name="OSR_Dept_Y0WUKY" sheetId="112" state="hidden" r:id="rId100"/>
    <sheet name="OSR_Summary (...56e5d78f_5JEYZH" sheetId="113" state="hidden" r:id="rId101"/>
  </sheets>
  <definedNames>
    <definedName name="OSRRefD13x_0" localSheetId="48">'300'!$D$13:$D$99</definedName>
    <definedName name="OSRRefD13x_0" localSheetId="49">'300 &amp; 317'!$D$13:$D$116</definedName>
    <definedName name="OSRRefD13x_0" localSheetId="53">'307'!$D$13:$D$41</definedName>
    <definedName name="OSRRefD13x_0" localSheetId="55">'308'!$D$13:$D$38</definedName>
    <definedName name="OSRRefD13x_0" localSheetId="67">'309'!$D$13:$D$15</definedName>
    <definedName name="OSRRefD13x_0" localSheetId="66">'310'!$D$13:$D$22</definedName>
    <definedName name="OSRRefD13x_0" localSheetId="74">'310 &amp; 491'!$D$13:$D$29</definedName>
    <definedName name="OSRRefD13x_0" localSheetId="56">'311'!$D$13:$D$38</definedName>
    <definedName name="OSRRefD13x_0" localSheetId="68">'313'!$D$13:$D$18</definedName>
    <definedName name="OSRRefD13x_0" localSheetId="54">'314'!$D$13:$D$33</definedName>
    <definedName name="OSRRefD13x_0" localSheetId="59">'315'!$D$13:$D$33</definedName>
    <definedName name="OSRRefD13x_0" localSheetId="62">'316'!$D$13:$D$25</definedName>
    <definedName name="OSRRefD13x_0" localSheetId="65">'317'!$D$13:$D$37</definedName>
    <definedName name="OSRRefD13x_0" localSheetId="63">'320'!$D$13:$D$15</definedName>
    <definedName name="OSRRefD13x_0" localSheetId="69">'321'!$D$13:$D$15</definedName>
    <definedName name="OSRRefD13x_0" localSheetId="70">'322'!$D$13:$D$15</definedName>
    <definedName name="OSRRefD13x_0" localSheetId="57">'324'!$D$13:$D$15</definedName>
    <definedName name="OSRRefD13x_0" localSheetId="71">'325'!$D$13:$D$15</definedName>
    <definedName name="OSRRefD13x_0" localSheetId="60">'326'!$D$13:$D$30</definedName>
    <definedName name="OSRRefD13x_0" localSheetId="72">'327'!$D$13:$D$14</definedName>
    <definedName name="OSRRefD13x_0" localSheetId="52">'330'!$D$13:$D$46</definedName>
    <definedName name="OSRRefD13x_0" localSheetId="58">'331'!$D$13:$D$39</definedName>
    <definedName name="OSRRefD13x_0" localSheetId="61">'332'!$D$13:$D$28</definedName>
    <definedName name="OSRRefD13x_0" localSheetId="76">'405'!$D$13:$D$15</definedName>
    <definedName name="OSRRefD13x_0" localSheetId="77">'406'!$D$13:$D$16</definedName>
    <definedName name="OSRRefD13x_0" localSheetId="79">'412'!$D$13:$D$16</definedName>
    <definedName name="OSRRefD13x_0" localSheetId="80">'413'!$D$13:$D$16</definedName>
    <definedName name="OSRRefD13x_0" localSheetId="81">'414'!$D$13:$D$16</definedName>
    <definedName name="OSRRefD13x_0" localSheetId="82">'415'!$D$13:$D$15</definedName>
    <definedName name="OSRRefD13x_0" localSheetId="83">'418'!$D$13:$D$16</definedName>
    <definedName name="OSRRefD13x_0" localSheetId="86">'424'!$D$13:$D$15</definedName>
    <definedName name="OSRRefD13x_0" localSheetId="87">'425'!$D$13:$D$16</definedName>
    <definedName name="OSRRefD13x_0" localSheetId="91">'433'!$D$13:$D$16</definedName>
    <definedName name="OSRRefD13x_0" localSheetId="92">'435'!$D$13:$D$16</definedName>
    <definedName name="OSRRefD13x_0" localSheetId="93">'444'!$D$13:$D$16</definedName>
    <definedName name="OSRRefD13x_0" localSheetId="95">'450'!$D$13:$D$16</definedName>
    <definedName name="OSRRefD13x_0" localSheetId="75">'491'!$D$13:$D$23</definedName>
    <definedName name="OSRRefD13x_0" localSheetId="89">'492'!$D$13:$D$18</definedName>
    <definedName name="OSRRefD13x_0" localSheetId="97">'501'!$D$13</definedName>
    <definedName name="OSRRefD13x_0" localSheetId="47">'Div 3'!$D$13:$D$103</definedName>
    <definedName name="OSRRefD13x_0" localSheetId="73">'Div 4'!$D$13:$D$24</definedName>
    <definedName name="OSRRefD13x_0" localSheetId="96">'Div 5'!$D$13</definedName>
    <definedName name="OSRRefD13x_0" localSheetId="64">'Div 6'!$D$13:$D$37</definedName>
    <definedName name="OSRRefD13x_0" localSheetId="2">Summary!$D$13:$D$127</definedName>
    <definedName name="OSRRefD16x_0" localSheetId="48">'300'!$D$102:$D$149</definedName>
    <definedName name="OSRRefD16x_0" localSheetId="49">'300 &amp; 317'!$D$119:$D$173</definedName>
    <definedName name="OSRRefD16x_0" localSheetId="53">'307'!$D$44:$D$61</definedName>
    <definedName name="OSRRefD16x_0" localSheetId="55">'308'!$D$41:$D$54</definedName>
    <definedName name="OSRRefD16x_0" localSheetId="67">'309'!$D$18:$D$20</definedName>
    <definedName name="OSRRefD16x_0" localSheetId="66">'310'!$D$25:$D$27</definedName>
    <definedName name="OSRRefD16x_0" localSheetId="74">'310 &amp; 491'!$D$32:$D$34</definedName>
    <definedName name="OSRRefD16x_0" localSheetId="56">'311'!$D$41:$D$54</definedName>
    <definedName name="OSRRefD16x_0" localSheetId="68">'313'!$D$21:$D$23</definedName>
    <definedName name="OSRRefD16x_0" localSheetId="54">'314'!$D$36:$D$50</definedName>
    <definedName name="OSRRefD16x_0" localSheetId="59">'315'!$D$36:$D$50</definedName>
    <definedName name="OSRRefD16x_0" localSheetId="65">'317'!$D$40:$D$53</definedName>
    <definedName name="OSRRefD16x_0" localSheetId="63">'320'!$D$18:$D$22</definedName>
    <definedName name="OSRRefD16x_0" localSheetId="69">'321'!$D$18:$D$20</definedName>
    <definedName name="OSRRefD16x_0" localSheetId="70">'322'!$D$18:$D$20</definedName>
    <definedName name="OSRRefD16x_0" localSheetId="57">'324'!$D$18:$D$20</definedName>
    <definedName name="OSRRefD16x_0" localSheetId="71">'325'!$D$18:$D$20</definedName>
    <definedName name="OSRRefD16x_0" localSheetId="60">'326'!$D$33:$D$46</definedName>
    <definedName name="OSRRefD16x_0" localSheetId="72">'327'!$D$17:$D$18</definedName>
    <definedName name="OSRRefD16x_0" localSheetId="52">'330'!$D$49:$D$70</definedName>
    <definedName name="OSRRefD16x_0" localSheetId="58">'331'!$D$42:$D$62</definedName>
    <definedName name="OSRRefD16x_0" localSheetId="61">'332'!$D$31:$D$35</definedName>
    <definedName name="OSRRefD16x_0" localSheetId="76">'405'!$D$18:$D$20</definedName>
    <definedName name="OSRRefD16x_0" localSheetId="77">'406'!$D$19:$D$21</definedName>
    <definedName name="OSRRefD16x_0" localSheetId="79">'412'!$D$19:$D$20</definedName>
    <definedName name="OSRRefD16x_0" localSheetId="80">'413'!$D$19:$D$21</definedName>
    <definedName name="OSRRefD16x_0" localSheetId="81">'414'!$D$19:$D$21</definedName>
    <definedName name="OSRRefD16x_0" localSheetId="82">'415'!$D$18:$D$20</definedName>
    <definedName name="OSRRefD16x_0" localSheetId="83">'418'!$D$19:$D$21</definedName>
    <definedName name="OSRRefD16x_0" localSheetId="85">'423'!$D$15</definedName>
    <definedName name="OSRRefD16x_0" localSheetId="86">'424'!$D$18:$D$20</definedName>
    <definedName name="OSRRefD16x_0" localSheetId="87">'425'!$D$19:$D$21</definedName>
    <definedName name="OSRRefD16x_0" localSheetId="91">'433'!$D$19:$D$21</definedName>
    <definedName name="OSRRefD16x_0" localSheetId="92">'435'!$D$19:$D$21</definedName>
    <definedName name="OSRRefD16x_0" localSheetId="93">'444'!$D$19:$D$21</definedName>
    <definedName name="OSRRefD16x_0" localSheetId="95">'450'!$D$19:$D$21</definedName>
    <definedName name="OSRRefD16x_0" localSheetId="75">'491'!$D$26:$D$28</definedName>
    <definedName name="OSRRefD16x_0" localSheetId="89">'492'!$D$21:$D$23</definedName>
    <definedName name="OSRRefD16x_0" localSheetId="47">'Div 3'!$D$106:$D$155</definedName>
    <definedName name="OSRRefD16x_0" localSheetId="73">'Div 4'!$D$27:$D$29</definedName>
    <definedName name="OSRRefD16x_0" localSheetId="64">'Div 6'!$D$40:$D$53</definedName>
    <definedName name="OSRRefD16x_0" localSheetId="2">Summary!$D$130:$D$186</definedName>
    <definedName name="OSRRefD22_0x_0" localSheetId="40">'200'!$D$20</definedName>
    <definedName name="OSRRefD22_0x_0" localSheetId="41">'201'!$D$20:$D$28</definedName>
    <definedName name="OSRRefD22_0x_0" localSheetId="42">'202'!$D$20:$D$28</definedName>
    <definedName name="OSRRefD22_0x_0" localSheetId="43">'203'!$D$20:$D$29</definedName>
    <definedName name="OSRRefD22_0x_0" localSheetId="44">'204'!$D$20:$D$29</definedName>
    <definedName name="OSRRefD22_0x_0" localSheetId="45">'205'!$D$20:$D$28</definedName>
    <definedName name="OSRRefD22_0x_0" localSheetId="46">'206'!$D$20:$D$28</definedName>
    <definedName name="OSRRefD22_0x_0" localSheetId="48">'300'!$D$155:$D$164</definedName>
    <definedName name="OSRRefD22_0x_0" localSheetId="49">'300 &amp; 317'!$D$179:$D$188</definedName>
    <definedName name="OSRRefD22_0x_0" localSheetId="50">'301'!$D$20:$D$28</definedName>
    <definedName name="OSRRefD22_0x_0" localSheetId="51">'306'!$D$20:$D$28</definedName>
    <definedName name="OSRRefD22_0x_0" localSheetId="53">'307'!$D$67:$D$75</definedName>
    <definedName name="OSRRefD22_0x_0" localSheetId="55">'308'!$D$60:$D$69</definedName>
    <definedName name="OSRRefD22_0x_0" localSheetId="67">'309'!$D$26:$D$34</definedName>
    <definedName name="OSRRefD22_0x_0" localSheetId="66">'310'!$D$33:$D$41</definedName>
    <definedName name="OSRRefD22_0x_0" localSheetId="74">'310 &amp; 491'!$D$40:$D$49</definedName>
    <definedName name="OSRRefD22_0x_0" localSheetId="56">'311'!$D$60:$D$69</definedName>
    <definedName name="OSRRefD22_0x_0" localSheetId="68">'313'!$D$29:$D$37</definedName>
    <definedName name="OSRRefD22_0x_0" localSheetId="54">'314'!$D$56:$D$63</definedName>
    <definedName name="OSRRefD22_0x_0" localSheetId="59">'315'!$D$56:$D$64</definedName>
    <definedName name="OSRRefD22_0x_0" localSheetId="62">'316'!$D$33:$D$41</definedName>
    <definedName name="OSRRefD22_0x_0" localSheetId="65">'317'!$D$59:$D$68</definedName>
    <definedName name="OSRRefD22_0x_0" localSheetId="63">'320'!$D$28:$D$35</definedName>
    <definedName name="OSRRefD22_0x_0" localSheetId="69">'321'!$D$26:$D$33</definedName>
    <definedName name="OSRRefD22_0x_0" localSheetId="70">'322'!$D$26:$D$34</definedName>
    <definedName name="OSRRefD22_0x_0" localSheetId="71">'325'!$D$26:$D$34</definedName>
    <definedName name="OSRRefD22_0x_0" localSheetId="60">'326'!$D$52:$D$60</definedName>
    <definedName name="OSRRefD22_0x_0" localSheetId="72">'327'!$D$24</definedName>
    <definedName name="OSRRefD22_0x_0" localSheetId="52">'330'!$D$76:$D$84</definedName>
    <definedName name="OSRRefD22_0x_0" localSheetId="58">'331'!$D$68:$D$76</definedName>
    <definedName name="OSRRefD22_0x_0" localSheetId="61">'332'!$D$41:$D$49</definedName>
    <definedName name="OSRRefD22_0x_0" localSheetId="76">'405'!$D$26:$D$34</definedName>
    <definedName name="OSRRefD22_0x_0" localSheetId="77">'406'!$D$27:$D$35</definedName>
    <definedName name="OSRRefD22_0x_0" localSheetId="78">'411'!$D$20:$D$29</definedName>
    <definedName name="OSRRefD22_0x_0" localSheetId="79">'412'!$D$26:$D$34</definedName>
    <definedName name="OSRRefD22_0x_0" localSheetId="80">'413'!$D$27:$D$35</definedName>
    <definedName name="OSRRefD22_0x_0" localSheetId="81">'414'!$D$27:$D$35</definedName>
    <definedName name="OSRRefD22_0x_0" localSheetId="82">'415'!$D$26:$D$34</definedName>
    <definedName name="OSRRefD22_0x_0" localSheetId="83">'418'!$D$27:$D$35</definedName>
    <definedName name="OSRRefD22_0x_0" localSheetId="84">'420'!$D$20:$D$21</definedName>
    <definedName name="OSRRefD22_0x_0" localSheetId="85">'423'!$D$21:$D$29</definedName>
    <definedName name="OSRRefD22_0x_0" localSheetId="86">'424'!$D$26:$D$33</definedName>
    <definedName name="OSRRefD22_0x_0" localSheetId="87">'425'!$D$27:$D$35</definedName>
    <definedName name="OSRRefD22_0x_0" localSheetId="90">'430'!$D$20:$D$28</definedName>
    <definedName name="OSRRefD22_0x_0" localSheetId="91">'433'!$D$27:$D$36</definedName>
    <definedName name="OSRRefD22_0x_0" localSheetId="92">'435'!$D$27:$D$34</definedName>
    <definedName name="OSRRefD22_0x_0" localSheetId="93">'444'!$D$27:$D$36</definedName>
    <definedName name="OSRRefD22_0x_0" localSheetId="95">'450'!$D$27:$D$36</definedName>
    <definedName name="OSRRefD22_0x_0" localSheetId="88">'455'!$D$20:$D$27</definedName>
    <definedName name="OSRRefD22_0x_0" localSheetId="75">'491'!$D$34:$D$43</definedName>
    <definedName name="OSRRefD22_0x_0" localSheetId="89">'492'!$D$29:$D$38</definedName>
    <definedName name="OSRRefD22_0x_0" localSheetId="97">'501'!$D$21:$D$29</definedName>
    <definedName name="OSRRefD22_0x_0" localSheetId="39">'Div 2'!$D$20:$D$30</definedName>
    <definedName name="OSRRefD22_0x_0" localSheetId="47">'Div 3'!$D$161:$D$170</definedName>
    <definedName name="OSRRefD22_0x_0" localSheetId="73">'Div 4'!$D$35:$D$44</definedName>
    <definedName name="OSRRefD22_0x_0" localSheetId="96">'Div 5'!$D$21:$D$29</definedName>
    <definedName name="OSRRefD22_0x_0" localSheetId="64">'Div 6'!$D$59:$D$68</definedName>
    <definedName name="OSRRefD22_0x_0" localSheetId="2">Summary!$D$192:$D$201</definedName>
    <definedName name="OSRRefD22_10x_0" localSheetId="41">'201'!$D$58:$D$60</definedName>
    <definedName name="OSRRefD22_10x_0" localSheetId="42">'202'!$D$59</definedName>
    <definedName name="OSRRefD22_10x_0" localSheetId="43">'203'!$D$59:$D$60</definedName>
    <definedName name="OSRRefD22_10x_0" localSheetId="44">'204'!$D$61:$D$62</definedName>
    <definedName name="OSRRefD22_10x_0" localSheetId="46">'206'!$D$58</definedName>
    <definedName name="OSRRefD22_10x_0" localSheetId="48">'300'!$D$198:$D$199</definedName>
    <definedName name="OSRRefD22_10x_0" localSheetId="49">'300 &amp; 317'!$D$222:$D$223</definedName>
    <definedName name="OSRRefD22_10x_0" localSheetId="50">'301'!$D$61</definedName>
    <definedName name="OSRRefD22_10x_0" localSheetId="53">'307'!$D$106</definedName>
    <definedName name="OSRRefD22_10x_0" localSheetId="55">'308'!$D$101</definedName>
    <definedName name="OSRRefD22_10x_0" localSheetId="67">'309'!$D$64:$D$66</definedName>
    <definedName name="OSRRefD22_10x_0" localSheetId="66">'310'!$D$72</definedName>
    <definedName name="OSRRefD22_10x_0" localSheetId="74">'310 &amp; 491'!$D$81</definedName>
    <definedName name="OSRRefD22_10x_0" localSheetId="56">'311'!$D$101</definedName>
    <definedName name="OSRRefD22_10x_0" localSheetId="68">'313'!$D$67</definedName>
    <definedName name="OSRRefD22_10x_0" localSheetId="59">'315'!$D$94:$D$96</definedName>
    <definedName name="OSRRefD22_10x_0" localSheetId="62">'316'!$D$70:$D$71</definedName>
    <definedName name="OSRRefD22_10x_0" localSheetId="65">'317'!$D$99</definedName>
    <definedName name="OSRRefD22_10x_0" localSheetId="69">'321'!$D$63:$D$64</definedName>
    <definedName name="OSRRefD22_10x_0" localSheetId="70">'322'!$D$64:$D$66</definedName>
    <definedName name="OSRRefD22_10x_0" localSheetId="71">'325'!$D$65</definedName>
    <definedName name="OSRRefD22_10x_0" localSheetId="60">'326'!$D$90</definedName>
    <definedName name="OSRRefD22_10x_0" localSheetId="52">'330'!$D$115</definedName>
    <definedName name="OSRRefD22_10x_0" localSheetId="58">'331'!$D$107</definedName>
    <definedName name="OSRRefD22_10x_0" localSheetId="61">'332'!$D$79</definedName>
    <definedName name="OSRRefD22_10x_0" localSheetId="76">'405'!$D$65:$D$67</definedName>
    <definedName name="OSRRefD22_10x_0" localSheetId="77">'406'!$D$67:$D$72</definedName>
    <definedName name="OSRRefD22_10x_0" localSheetId="78">'411'!$D$60:$D$62</definedName>
    <definedName name="OSRRefD22_10x_0" localSheetId="79">'412'!$D$65:$D$67</definedName>
    <definedName name="OSRRefD22_10x_0" localSheetId="80">'413'!$D$69:$D$70</definedName>
    <definedName name="OSRRefD22_10x_0" localSheetId="81">'414'!$D$65</definedName>
    <definedName name="OSRRefD22_10x_0" localSheetId="82">'415'!$D$64</definedName>
    <definedName name="OSRRefD22_10x_0" localSheetId="83">'418'!$D$69:$D$71</definedName>
    <definedName name="OSRRefD22_10x_0" localSheetId="86">'424'!$D$64:$D$66</definedName>
    <definedName name="OSRRefD22_10x_0" localSheetId="87">'425'!$D$66:$D$67</definedName>
    <definedName name="OSRRefD22_10x_0" localSheetId="90">'430'!$D$59</definedName>
    <definedName name="OSRRefD22_10x_0" localSheetId="91">'433'!$D$65:$D$66</definedName>
    <definedName name="OSRRefD22_10x_0" localSheetId="93">'444'!$D$65</definedName>
    <definedName name="OSRRefD22_10x_0" localSheetId="95">'450'!$D$66</definedName>
    <definedName name="OSRRefD22_10x_0" localSheetId="75">'491'!$D$76</definedName>
    <definedName name="OSRRefD22_10x_0" localSheetId="89">'492'!$D$69</definedName>
    <definedName name="OSRRefD22_10x_0" localSheetId="97">'501'!$D$58:$D$59</definedName>
    <definedName name="OSRRefD22_10x_0" localSheetId="39">'Div 2'!$D$60</definedName>
    <definedName name="OSRRefD22_10x_0" localSheetId="47">'Div 3'!$D$204:$D$205</definedName>
    <definedName name="OSRRefD22_10x_0" localSheetId="73">'Div 4'!$D$78:$D$79</definedName>
    <definedName name="OSRRefD22_10x_0" localSheetId="96">'Div 5'!$D$58:$D$59</definedName>
    <definedName name="OSRRefD22_10x_0" localSheetId="64">'Div 6'!$D$99</definedName>
    <definedName name="OSRRefD22_10x_0" localSheetId="2">Summary!$D$237:$D$238</definedName>
    <definedName name="OSRRefD22_11x_0" localSheetId="41">'201'!$D$62:$D$64</definedName>
    <definedName name="OSRRefD22_11x_0" localSheetId="42">'202'!$D$61</definedName>
    <definedName name="OSRRefD22_11x_0" localSheetId="43">'203'!$D$62</definedName>
    <definedName name="OSRRefD22_11x_0" localSheetId="44">'204'!$D$64</definedName>
    <definedName name="OSRRefD22_11x_0" localSheetId="48">'300'!$D$201</definedName>
    <definedName name="OSRRefD22_11x_0" localSheetId="49">'300 &amp; 317'!$D$225</definedName>
    <definedName name="OSRRefD22_11x_0" localSheetId="50">'301'!$D$63</definedName>
    <definedName name="OSRRefD22_11x_0" localSheetId="53">'307'!$D$108</definedName>
    <definedName name="OSRRefD22_11x_0" localSheetId="55">'308'!$D$103:$D$105</definedName>
    <definedName name="OSRRefD22_11x_0" localSheetId="67">'309'!$D$68</definedName>
    <definedName name="OSRRefD22_11x_0" localSheetId="66">'310'!$D$74</definedName>
    <definedName name="OSRRefD22_11x_0" localSheetId="74">'310 &amp; 491'!$D$83:$D$84</definedName>
    <definedName name="OSRRefD22_11x_0" localSheetId="56">'311'!$D$103:$D$105</definedName>
    <definedName name="OSRRefD22_11x_0" localSheetId="68">'313'!$D$69:$D$73</definedName>
    <definedName name="OSRRefD22_11x_0" localSheetId="59">'315'!$D$98:$D$99</definedName>
    <definedName name="OSRRefD22_11x_0" localSheetId="62">'316'!$D$73:$D$76</definedName>
    <definedName name="OSRRefD22_11x_0" localSheetId="69">'321'!$D$66:$D$68</definedName>
    <definedName name="OSRRefD22_11x_0" localSheetId="70">'322'!$D$68:$D$72</definedName>
    <definedName name="OSRRefD22_11x_0" localSheetId="71">'325'!$D$67:$D$68</definedName>
    <definedName name="OSRRefD22_11x_0" localSheetId="60">'326'!$D$92</definedName>
    <definedName name="OSRRefD22_11x_0" localSheetId="52">'330'!$D$117</definedName>
    <definedName name="OSRRefD22_11x_0" localSheetId="58">'331'!$D$109</definedName>
    <definedName name="OSRRefD22_11x_0" localSheetId="61">'332'!$D$81:$D$82</definedName>
    <definedName name="OSRRefD22_11x_0" localSheetId="76">'405'!$D$69</definedName>
    <definedName name="OSRRefD22_11x_0" localSheetId="77">'406'!$D$74:$D$75</definedName>
    <definedName name="OSRRefD22_11x_0" localSheetId="78">'411'!$D$64:$D$68</definedName>
    <definedName name="OSRRefD22_11x_0" localSheetId="79">'412'!$D$69:$D$74</definedName>
    <definedName name="OSRRefD22_11x_0" localSheetId="80">'413'!$D$72</definedName>
    <definedName name="OSRRefD22_11x_0" localSheetId="81">'414'!$D$67</definedName>
    <definedName name="OSRRefD22_11x_0" localSheetId="82">'415'!$D$66:$D$67</definedName>
    <definedName name="OSRRefD22_11x_0" localSheetId="83">'418'!$D$73</definedName>
    <definedName name="OSRRefD22_11x_0" localSheetId="86">'424'!$D$68:$D$69</definedName>
    <definedName name="OSRRefD22_11x_0" localSheetId="87">'425'!$D$69:$D$70</definedName>
    <definedName name="OSRRefD22_11x_0" localSheetId="91">'433'!$D$68:$D$71</definedName>
    <definedName name="OSRRefD22_11x_0" localSheetId="93">'444'!$D$67:$D$69</definedName>
    <definedName name="OSRRefD22_11x_0" localSheetId="95">'450'!$D$68:$D$69</definedName>
    <definedName name="OSRRefD22_11x_0" localSheetId="75">'491'!$D$78</definedName>
    <definedName name="OSRRefD22_11x_0" localSheetId="89">'492'!$D$71</definedName>
    <definedName name="OSRRefD22_11x_0" localSheetId="97">'501'!$D$61:$D$63</definedName>
    <definedName name="OSRRefD22_11x_0" localSheetId="39">'Div 2'!$D$62</definedName>
    <definedName name="OSRRefD22_11x_0" localSheetId="47">'Div 3'!$D$207</definedName>
    <definedName name="OSRRefD22_11x_0" localSheetId="73">'Div 4'!$D$81</definedName>
    <definedName name="OSRRefD22_11x_0" localSheetId="96">'Div 5'!$D$61:$D$63</definedName>
    <definedName name="OSRRefD22_11x_0" localSheetId="2">Summary!$D$240:$D$241</definedName>
    <definedName name="OSRRefD22_12x_0" localSheetId="41">'201'!$D$66</definedName>
    <definedName name="OSRRefD22_12x_0" localSheetId="42">'202'!$D$63</definedName>
    <definedName name="OSRRefD22_12x_0" localSheetId="43">'203'!$D$64:$D$66</definedName>
    <definedName name="OSRRefD22_12x_0" localSheetId="44">'204'!$D$66:$D$67</definedName>
    <definedName name="OSRRefD22_12x_0" localSheetId="48">'300'!$D$203</definedName>
    <definedName name="OSRRefD22_12x_0" localSheetId="49">'300 &amp; 317'!$D$227</definedName>
    <definedName name="OSRRefD22_12x_0" localSheetId="50">'301'!$D$65</definedName>
    <definedName name="OSRRefD22_12x_0" localSheetId="53">'307'!$D$110</definedName>
    <definedName name="OSRRefD22_12x_0" localSheetId="55">'308'!$D$107:$D$108</definedName>
    <definedName name="OSRRefD22_12x_0" localSheetId="67">'309'!$D$70</definedName>
    <definedName name="OSRRefD22_12x_0" localSheetId="66">'310'!$D$76</definedName>
    <definedName name="OSRRefD22_12x_0" localSheetId="74">'310 &amp; 491'!$D$86</definedName>
    <definedName name="OSRRefD22_12x_0" localSheetId="56">'311'!$D$107:$D$108</definedName>
    <definedName name="OSRRefD22_12x_0" localSheetId="68">'313'!$D$75</definedName>
    <definedName name="OSRRefD22_12x_0" localSheetId="59">'315'!$D$101:$D$104</definedName>
    <definedName name="OSRRefD22_12x_0" localSheetId="62">'316'!$D$78:$D$79</definedName>
    <definedName name="OSRRefD22_12x_0" localSheetId="69">'321'!$D$70:$D$72</definedName>
    <definedName name="OSRRefD22_12x_0" localSheetId="70">'322'!$D$74</definedName>
    <definedName name="OSRRefD22_12x_0" localSheetId="71">'325'!$D$70:$D$73</definedName>
    <definedName name="OSRRefD22_12x_0" localSheetId="60">'326'!$D$94</definedName>
    <definedName name="OSRRefD22_12x_0" localSheetId="52">'330'!$D$119</definedName>
    <definedName name="OSRRefD22_12x_0" localSheetId="58">'331'!$D$111</definedName>
    <definedName name="OSRRefD22_12x_0" localSheetId="61">'332'!$D$84:$D$88</definedName>
    <definedName name="OSRRefD22_12x_0" localSheetId="76">'405'!$D$71:$D$73</definedName>
    <definedName name="OSRRefD22_12x_0" localSheetId="77">'406'!$D$77</definedName>
    <definedName name="OSRRefD22_12x_0" localSheetId="78">'411'!$D$70:$D$76</definedName>
    <definedName name="OSRRefD22_12x_0" localSheetId="79">'412'!$D$76</definedName>
    <definedName name="OSRRefD22_12x_0" localSheetId="81">'414'!$D$69</definedName>
    <definedName name="OSRRefD22_12x_0" localSheetId="82">'415'!$D$69:$D$73</definedName>
    <definedName name="OSRRefD22_12x_0" localSheetId="83">'418'!$D$75:$D$81</definedName>
    <definedName name="OSRRefD22_12x_0" localSheetId="87">'425'!$D$72:$D$76</definedName>
    <definedName name="OSRRefD22_12x_0" localSheetId="91">'433'!$D$73:$D$79</definedName>
    <definedName name="OSRRefD22_12x_0" localSheetId="93">'444'!$D$71:$D$74</definedName>
    <definedName name="OSRRefD22_12x_0" localSheetId="95">'450'!$D$71:$D$73</definedName>
    <definedName name="OSRRefD22_12x_0" localSheetId="75">'491'!$D$80</definedName>
    <definedName name="OSRRefD22_12x_0" localSheetId="89">'492'!$D$73:$D$76</definedName>
    <definedName name="OSRRefD22_12x_0" localSheetId="97">'501'!$D$65</definedName>
    <definedName name="OSRRefD22_12x_0" localSheetId="39">'Div 2'!$D$64:$D$66</definedName>
    <definedName name="OSRRefD22_12x_0" localSheetId="47">'Div 3'!$D$209</definedName>
    <definedName name="OSRRefD22_12x_0" localSheetId="73">'Div 4'!$D$83</definedName>
    <definedName name="OSRRefD22_12x_0" localSheetId="96">'Div 5'!$D$65</definedName>
    <definedName name="OSRRefD22_12x_0" localSheetId="2">Summary!$D$243</definedName>
    <definedName name="OSRRefD22_13x_0" localSheetId="41">'201'!$D$68:$D$70</definedName>
    <definedName name="OSRRefD22_13x_0" localSheetId="42">'202'!$D$65</definedName>
    <definedName name="OSRRefD22_13x_0" localSheetId="43">'203'!$D$68</definedName>
    <definedName name="OSRRefD22_13x_0" localSheetId="48">'300'!$D$205</definedName>
    <definedName name="OSRRefD22_13x_0" localSheetId="49">'300 &amp; 317'!$D$229</definedName>
    <definedName name="OSRRefD22_13x_0" localSheetId="50">'301'!$D$67</definedName>
    <definedName name="OSRRefD22_13x_0" localSheetId="55">'308'!$D$110</definedName>
    <definedName name="OSRRefD22_13x_0" localSheetId="66">'310'!$D$78</definedName>
    <definedName name="OSRRefD22_13x_0" localSheetId="74">'310 &amp; 491'!$D$88</definedName>
    <definedName name="OSRRefD22_13x_0" localSheetId="56">'311'!$D$110</definedName>
    <definedName name="OSRRefD22_13x_0" localSheetId="68">'313'!$D$77</definedName>
    <definedName name="OSRRefD22_13x_0" localSheetId="59">'315'!$D$106</definedName>
    <definedName name="OSRRefD22_13x_0" localSheetId="62">'316'!$D$81</definedName>
    <definedName name="OSRRefD22_13x_0" localSheetId="69">'321'!$D$74</definedName>
    <definedName name="OSRRefD22_13x_0" localSheetId="70">'322'!$D$76</definedName>
    <definedName name="OSRRefD22_13x_0" localSheetId="71">'325'!$D$75</definedName>
    <definedName name="OSRRefD22_13x_0" localSheetId="60">'326'!$D$96:$D$97</definedName>
    <definedName name="OSRRefD22_13x_0" localSheetId="52">'330'!$D$121</definedName>
    <definedName name="OSRRefD22_13x_0" localSheetId="58">'331'!$D$113</definedName>
    <definedName name="OSRRefD22_13x_0" localSheetId="61">'332'!$D$90:$D$91</definedName>
    <definedName name="OSRRefD22_13x_0" localSheetId="76">'405'!$D$75</definedName>
    <definedName name="OSRRefD22_13x_0" localSheetId="77">'406'!$D$79</definedName>
    <definedName name="OSRRefD22_13x_0" localSheetId="78">'411'!$D$78</definedName>
    <definedName name="OSRRefD22_13x_0" localSheetId="79">'412'!$D$78</definedName>
    <definedName name="OSRRefD22_13x_0" localSheetId="81">'414'!$D$71:$D$77</definedName>
    <definedName name="OSRRefD22_13x_0" localSheetId="82">'415'!$D$75</definedName>
    <definedName name="OSRRefD22_13x_0" localSheetId="83">'418'!$D$83</definedName>
    <definedName name="OSRRefD22_13x_0" localSheetId="87">'425'!$D$78:$D$79</definedName>
    <definedName name="OSRRefD22_13x_0" localSheetId="91">'433'!$D$81</definedName>
    <definedName name="OSRRefD22_13x_0" localSheetId="93">'444'!$D$76:$D$82</definedName>
    <definedName name="OSRRefD22_13x_0" localSheetId="95">'450'!$D$75:$D$80</definedName>
    <definedName name="OSRRefD22_13x_0" localSheetId="75">'491'!$D$82</definedName>
    <definedName name="OSRRefD22_13x_0" localSheetId="89">'492'!$D$78:$D$81</definedName>
    <definedName name="OSRRefD22_13x_0" localSheetId="39">'Div 2'!$D$68:$D$71</definedName>
    <definedName name="OSRRefD22_13x_0" localSheetId="47">'Div 3'!$D$211</definedName>
    <definedName name="OSRRefD22_13x_0" localSheetId="73">'Div 4'!$D$85</definedName>
    <definedName name="OSRRefD22_13x_0" localSheetId="2">Summary!$D$245</definedName>
    <definedName name="OSRRefD22_14x_0" localSheetId="41">'201'!$D$72</definedName>
    <definedName name="OSRRefD22_14x_0" localSheetId="42">'202'!$D$67:$D$68</definedName>
    <definedName name="OSRRefD22_14x_0" localSheetId="43">'203'!$D$70</definedName>
    <definedName name="OSRRefD22_14x_0" localSheetId="48">'300'!$D$207</definedName>
    <definedName name="OSRRefD22_14x_0" localSheetId="49">'300 &amp; 317'!$D$231</definedName>
    <definedName name="OSRRefD22_14x_0" localSheetId="50">'301'!$D$69</definedName>
    <definedName name="OSRRefD22_14x_0" localSheetId="55">'308'!$D$112</definedName>
    <definedName name="OSRRefD22_14x_0" localSheetId="66">'310'!$D$80</definedName>
    <definedName name="OSRRefD22_14x_0" localSheetId="74">'310 &amp; 491'!$D$90</definedName>
    <definedName name="OSRRefD22_14x_0" localSheetId="56">'311'!$D$112</definedName>
    <definedName name="OSRRefD22_14x_0" localSheetId="59">'315'!$D$108</definedName>
    <definedName name="OSRRefD22_14x_0" localSheetId="69">'321'!$D$76</definedName>
    <definedName name="OSRRefD22_14x_0" localSheetId="71">'325'!$D$77:$D$83</definedName>
    <definedName name="OSRRefD22_14x_0" localSheetId="60">'326'!$D$99:$D$101</definedName>
    <definedName name="OSRRefD22_14x_0" localSheetId="58">'331'!$D$115:$D$116</definedName>
    <definedName name="OSRRefD22_14x_0" localSheetId="61">'332'!$D$93</definedName>
    <definedName name="OSRRefD22_14x_0" localSheetId="76">'405'!$D$77:$D$85</definedName>
    <definedName name="OSRRefD22_14x_0" localSheetId="78">'411'!$D$80</definedName>
    <definedName name="OSRRefD22_14x_0" localSheetId="81">'414'!$D$79</definedName>
    <definedName name="OSRRefD22_14x_0" localSheetId="82">'415'!$D$77:$D$84</definedName>
    <definedName name="OSRRefD22_14x_0" localSheetId="83">'418'!$D$85</definedName>
    <definedName name="OSRRefD22_14x_0" localSheetId="87">'425'!$D$81</definedName>
    <definedName name="OSRRefD22_14x_0" localSheetId="91">'433'!$D$83</definedName>
    <definedName name="OSRRefD22_14x_0" localSheetId="93">'444'!$D$84</definedName>
    <definedName name="OSRRefD22_14x_0" localSheetId="95">'450'!$D$82</definedName>
    <definedName name="OSRRefD22_14x_0" localSheetId="75">'491'!$D$84:$D$87</definedName>
    <definedName name="OSRRefD22_14x_0" localSheetId="89">'492'!$D$83:$D$91</definedName>
    <definedName name="OSRRefD22_14x_0" localSheetId="39">'Div 2'!$D$73:$D$76</definedName>
    <definedName name="OSRRefD22_14x_0" localSheetId="47">'Div 3'!$D$213</definedName>
    <definedName name="OSRRefD22_14x_0" localSheetId="73">'Div 4'!$D$87</definedName>
    <definedName name="OSRRefD22_14x_0" localSheetId="2">Summary!$D$247</definedName>
    <definedName name="OSRRefD22_15x_0" localSheetId="41">'201'!$D$74</definedName>
    <definedName name="OSRRefD22_15x_0" localSheetId="42">'202'!$D$70</definedName>
    <definedName name="OSRRefD22_15x_0" localSheetId="43">'203'!$D$72</definedName>
    <definedName name="OSRRefD22_15x_0" localSheetId="48">'300'!$D$209</definedName>
    <definedName name="OSRRefD22_15x_0" localSheetId="49">'300 &amp; 317'!$D$233</definedName>
    <definedName name="OSRRefD22_15x_0" localSheetId="50">'301'!$D$71:$D$73</definedName>
    <definedName name="OSRRefD22_15x_0" localSheetId="66">'310'!$D$82:$D$83</definedName>
    <definedName name="OSRRefD22_15x_0" localSheetId="74">'310 &amp; 491'!$D$92</definedName>
    <definedName name="OSRRefD22_15x_0" localSheetId="59">'315'!$D$110</definedName>
    <definedName name="OSRRefD22_15x_0" localSheetId="71">'325'!$D$85</definedName>
    <definedName name="OSRRefD22_15x_0" localSheetId="60">'326'!$D$103:$D$104</definedName>
    <definedName name="OSRRefD22_15x_0" localSheetId="58">'331'!$D$118:$D$120</definedName>
    <definedName name="OSRRefD22_15x_0" localSheetId="76">'405'!$D$87</definedName>
    <definedName name="OSRRefD22_15x_0" localSheetId="78">'411'!$D$82:$D$84</definedName>
    <definedName name="OSRRefD22_15x_0" localSheetId="81">'414'!$D$81</definedName>
    <definedName name="OSRRefD22_15x_0" localSheetId="82">'415'!$D$86</definedName>
    <definedName name="OSRRefD22_15x_0" localSheetId="83">'418'!$D$87</definedName>
    <definedName name="OSRRefD22_15x_0" localSheetId="87">'425'!$D$83</definedName>
    <definedName name="OSRRefD22_15x_0" localSheetId="91">'433'!$D$85:$D$86</definedName>
    <definedName name="OSRRefD22_15x_0" localSheetId="93">'444'!$D$86</definedName>
    <definedName name="OSRRefD22_15x_0" localSheetId="95">'450'!$D$84</definedName>
    <definedName name="OSRRefD22_15x_0" localSheetId="75">'491'!$D$89:$D$91</definedName>
    <definedName name="OSRRefD22_15x_0" localSheetId="89">'492'!$D$93</definedName>
    <definedName name="OSRRefD22_15x_0" localSheetId="39">'Div 2'!$D$78:$D$79</definedName>
    <definedName name="OSRRefD22_15x_0" localSheetId="47">'Div 3'!$D$215</definedName>
    <definedName name="OSRRefD22_15x_0" localSheetId="73">'Div 4'!$D$89</definedName>
    <definedName name="OSRRefD22_15x_0" localSheetId="2">Summary!$D$249</definedName>
    <definedName name="OSRRefD22_16x_0" localSheetId="41">'201'!$D$76</definedName>
    <definedName name="OSRRefD22_16x_0" localSheetId="42">'202'!$D$72</definedName>
    <definedName name="OSRRefD22_16x_0" localSheetId="48">'300'!$D$211:$D$213</definedName>
    <definedName name="OSRRefD22_16x_0" localSheetId="49">'300 &amp; 317'!$D$235:$D$237</definedName>
    <definedName name="OSRRefD22_16x_0" localSheetId="50">'301'!$D$75:$D$77</definedName>
    <definedName name="OSRRefD22_16x_0" localSheetId="66">'310'!$D$85:$D$86</definedName>
    <definedName name="OSRRefD22_16x_0" localSheetId="74">'310 &amp; 491'!$D$94</definedName>
    <definedName name="OSRRefD22_16x_0" localSheetId="71">'325'!$D$87</definedName>
    <definedName name="OSRRefD22_16x_0" localSheetId="60">'326'!$D$106:$D$110</definedName>
    <definedName name="OSRRefD22_16x_0" localSheetId="58">'331'!$D$122:$D$124</definedName>
    <definedName name="OSRRefD22_16x_0" localSheetId="76">'405'!$D$89</definedName>
    <definedName name="OSRRefD22_16x_0" localSheetId="78">'411'!$D$86</definedName>
    <definedName name="OSRRefD22_16x_0" localSheetId="82">'415'!$D$88</definedName>
    <definedName name="OSRRefD22_16x_0" localSheetId="93">'444'!$D$88</definedName>
    <definedName name="OSRRefD22_16x_0" localSheetId="95">'450'!$D$86:$D$87</definedName>
    <definedName name="OSRRefD22_16x_0" localSheetId="75">'491'!$D$93:$D$97</definedName>
    <definedName name="OSRRefD22_16x_0" localSheetId="89">'492'!$D$95</definedName>
    <definedName name="OSRRefD22_16x_0" localSheetId="39">'Div 2'!$D$81:$D$82</definedName>
    <definedName name="OSRRefD22_16x_0" localSheetId="47">'Div 3'!$D$217</definedName>
    <definedName name="OSRRefD22_16x_0" localSheetId="73">'Div 4'!$D$91:$D$94</definedName>
    <definedName name="OSRRefD22_16x_0" localSheetId="2">Summary!$D$251</definedName>
    <definedName name="OSRRefD22_17x_0" localSheetId="48">'300'!$D$215:$D$218</definedName>
    <definedName name="OSRRefD22_17x_0" localSheetId="49">'300 &amp; 317'!$D$239:$D$242</definedName>
    <definedName name="OSRRefD22_17x_0" localSheetId="50">'301'!$D$79:$D$80</definedName>
    <definedName name="OSRRefD22_17x_0" localSheetId="66">'310'!$D$88:$D$92</definedName>
    <definedName name="OSRRefD22_17x_0" localSheetId="74">'310 &amp; 491'!$D$96:$D$99</definedName>
    <definedName name="OSRRefD22_17x_0" localSheetId="71">'325'!$D$89</definedName>
    <definedName name="OSRRefD22_17x_0" localSheetId="60">'326'!$D$112:$D$113</definedName>
    <definedName name="OSRRefD22_17x_0" localSheetId="58">'331'!$D$126:$D$127</definedName>
    <definedName name="OSRRefD22_17x_0" localSheetId="76">'405'!$D$91</definedName>
    <definedName name="OSRRefD22_17x_0" localSheetId="82">'415'!$D$90:$D$91</definedName>
    <definedName name="OSRRefD22_17x_0" localSheetId="75">'491'!$D$99</definedName>
    <definedName name="OSRRefD22_17x_0" localSheetId="89">'492'!$D$97:$D$98</definedName>
    <definedName name="OSRRefD22_17x_0" localSheetId="39">'Div 2'!$D$84:$D$87</definedName>
    <definedName name="OSRRefD22_17x_0" localSheetId="47">'Div 3'!$D$219</definedName>
    <definedName name="OSRRefD22_17x_0" localSheetId="73">'Div 4'!$D$96:$D$98</definedName>
    <definedName name="OSRRefD22_17x_0" localSheetId="2">Summary!$D$253</definedName>
    <definedName name="OSRRefD22_18x_0" localSheetId="48">'300'!$D$220:$D$223</definedName>
    <definedName name="OSRRefD22_18x_0" localSheetId="49">'300 &amp; 317'!$D$244:$D$247</definedName>
    <definedName name="OSRRefD22_18x_0" localSheetId="50">'301'!$D$82:$D$87</definedName>
    <definedName name="OSRRefD22_18x_0" localSheetId="66">'310'!$D$94</definedName>
    <definedName name="OSRRefD22_18x_0" localSheetId="74">'310 &amp; 491'!$D$101:$D$103</definedName>
    <definedName name="OSRRefD22_18x_0" localSheetId="60">'326'!$D$115</definedName>
    <definedName name="OSRRefD22_18x_0" localSheetId="58">'331'!$D$129:$D$133</definedName>
    <definedName name="OSRRefD22_18x_0" localSheetId="82">'415'!$D$93</definedName>
    <definedName name="OSRRefD22_18x_0" localSheetId="75">'491'!$D$101:$D$110</definedName>
    <definedName name="OSRRefD22_18x_0" localSheetId="39">'Div 2'!$D$89:$D$90</definedName>
    <definedName name="OSRRefD22_18x_0" localSheetId="47">'Div 3'!$D$221:$D$223</definedName>
    <definedName name="OSRRefD22_18x_0" localSheetId="73">'Div 4'!$D$100:$D$104</definedName>
    <definedName name="OSRRefD22_18x_0" localSheetId="2">Summary!$D$255:$D$258</definedName>
    <definedName name="OSRRefD22_19x_0" localSheetId="48">'300'!$D$225:$D$226</definedName>
    <definedName name="OSRRefD22_19x_0" localSheetId="49">'300 &amp; 317'!$D$249:$D$250</definedName>
    <definedName name="OSRRefD22_19x_0" localSheetId="50">'301'!$D$89</definedName>
    <definedName name="OSRRefD22_19x_0" localSheetId="66">'310'!$D$96:$D$103</definedName>
    <definedName name="OSRRefD22_19x_0" localSheetId="74">'310 &amp; 491'!$D$105:$D$110</definedName>
    <definedName name="OSRRefD22_19x_0" localSheetId="60">'326'!$D$117</definedName>
    <definedName name="OSRRefD22_19x_0" localSheetId="58">'331'!$D$135:$D$136</definedName>
    <definedName name="OSRRefD22_19x_0" localSheetId="75">'491'!$D$112:$D$113</definedName>
    <definedName name="OSRRefD22_19x_0" localSheetId="39">'Div 2'!$D$92</definedName>
    <definedName name="OSRRefD22_19x_0" localSheetId="47">'Div 3'!$D$225:$D$228</definedName>
    <definedName name="OSRRefD22_19x_0" localSheetId="73">'Div 4'!$D$106</definedName>
    <definedName name="OSRRefD22_19x_0" localSheetId="2">Summary!$D$260:$D$263</definedName>
    <definedName name="OSRRefD22_1x_0" localSheetId="40">'200'!$D$22</definedName>
    <definedName name="OSRRefD22_1x_0" localSheetId="41">'201'!$D$30:$D$39</definedName>
    <definedName name="OSRRefD22_1x_0" localSheetId="42">'202'!$D$30:$D$39</definedName>
    <definedName name="OSRRefD22_1x_0" localSheetId="43">'203'!$D$31:$D$40</definedName>
    <definedName name="OSRRefD22_1x_0" localSheetId="44">'204'!$D$31:$D$40</definedName>
    <definedName name="OSRRefD22_1x_0" localSheetId="45">'205'!$D$30:$D$39</definedName>
    <definedName name="OSRRefD22_1x_0" localSheetId="46">'206'!$D$30:$D$39</definedName>
    <definedName name="OSRRefD22_1x_0" localSheetId="48">'300'!$D$166:$D$175</definedName>
    <definedName name="OSRRefD22_1x_0" localSheetId="49">'300 &amp; 317'!$D$190:$D$199</definedName>
    <definedName name="OSRRefD22_1x_0" localSheetId="50">'301'!$D$30:$D$39</definedName>
    <definedName name="OSRRefD22_1x_0" localSheetId="51">'306'!$D$30:$D$39</definedName>
    <definedName name="OSRRefD22_1x_0" localSheetId="53">'307'!$D$77:$D$86</definedName>
    <definedName name="OSRRefD22_1x_0" localSheetId="55">'308'!$D$71:$D$80</definedName>
    <definedName name="OSRRefD22_1x_0" localSheetId="67">'309'!$D$36:$D$45</definedName>
    <definedName name="OSRRefD22_1x_0" localSheetId="66">'310'!$D$43:$D$52</definedName>
    <definedName name="OSRRefD22_1x_0" localSheetId="74">'310 &amp; 491'!$D$51:$D$60</definedName>
    <definedName name="OSRRefD22_1x_0" localSheetId="56">'311'!$D$71:$D$80</definedName>
    <definedName name="OSRRefD22_1x_0" localSheetId="68">'313'!$D$39:$D$48</definedName>
    <definedName name="OSRRefD22_1x_0" localSheetId="54">'314'!$D$65:$D$74</definedName>
    <definedName name="OSRRefD22_1x_0" localSheetId="59">'315'!$D$66:$D$75</definedName>
    <definedName name="OSRRefD22_1x_0" localSheetId="62">'316'!$D$43:$D$52</definedName>
    <definedName name="OSRRefD22_1x_0" localSheetId="65">'317'!$D$70:$D$79</definedName>
    <definedName name="OSRRefD22_1x_0" localSheetId="63">'320'!$D$37:$D$46</definedName>
    <definedName name="OSRRefD22_1x_0" localSheetId="69">'321'!$D$35:$D$44</definedName>
    <definedName name="OSRRefD22_1x_0" localSheetId="70">'322'!$D$36:$D$45</definedName>
    <definedName name="OSRRefD22_1x_0" localSheetId="71">'325'!$D$36:$D$45</definedName>
    <definedName name="OSRRefD22_1x_0" localSheetId="60">'326'!$D$62:$D$71</definedName>
    <definedName name="OSRRefD22_1x_0" localSheetId="52">'330'!$D$86:$D$95</definedName>
    <definedName name="OSRRefD22_1x_0" localSheetId="58">'331'!$D$78:$D$87</definedName>
    <definedName name="OSRRefD22_1x_0" localSheetId="61">'332'!$D$51:$D$60</definedName>
    <definedName name="OSRRefD22_1x_0" localSheetId="76">'405'!$D$36:$D$45</definedName>
    <definedName name="OSRRefD22_1x_0" localSheetId="77">'406'!$D$37:$D$46</definedName>
    <definedName name="OSRRefD22_1x_0" localSheetId="78">'411'!$D$31:$D$40</definedName>
    <definedName name="OSRRefD22_1x_0" localSheetId="79">'412'!$D$36:$D$45</definedName>
    <definedName name="OSRRefD22_1x_0" localSheetId="80">'413'!$D$37:$D$46</definedName>
    <definedName name="OSRRefD22_1x_0" localSheetId="81">'414'!$D$37:$D$46</definedName>
    <definedName name="OSRRefD22_1x_0" localSheetId="82">'415'!$D$36:$D$45</definedName>
    <definedName name="OSRRefD22_1x_0" localSheetId="83">'418'!$D$37:$D$46</definedName>
    <definedName name="OSRRefD22_1x_0" localSheetId="84">'420'!$D$23</definedName>
    <definedName name="OSRRefD22_1x_0" localSheetId="85">'423'!$D$31:$D$40</definedName>
    <definedName name="OSRRefD22_1x_0" localSheetId="86">'424'!$D$35:$D$44</definedName>
    <definedName name="OSRRefD22_1x_0" localSheetId="87">'425'!$D$37:$D$46</definedName>
    <definedName name="OSRRefD22_1x_0" localSheetId="90">'430'!$D$30:$D$39</definedName>
    <definedName name="OSRRefD22_1x_0" localSheetId="91">'433'!$D$38:$D$47</definedName>
    <definedName name="OSRRefD22_1x_0" localSheetId="92">'435'!$D$36:$D$45</definedName>
    <definedName name="OSRRefD22_1x_0" localSheetId="93">'444'!$D$38:$D$47</definedName>
    <definedName name="OSRRefD22_1x_0" localSheetId="95">'450'!$D$38:$D$47</definedName>
    <definedName name="OSRRefD22_1x_0" localSheetId="88">'455'!$D$29:$D$38</definedName>
    <definedName name="OSRRefD22_1x_0" localSheetId="75">'491'!$D$45:$D$54</definedName>
    <definedName name="OSRRefD22_1x_0" localSheetId="89">'492'!$D$40:$D$49</definedName>
    <definedName name="OSRRefD22_1x_0" localSheetId="97">'501'!$D$31:$D$40</definedName>
    <definedName name="OSRRefD22_1x_0" localSheetId="39">'Div 2'!$D$32:$D$41</definedName>
    <definedName name="OSRRefD22_1x_0" localSheetId="47">'Div 3'!$D$172:$D$181</definedName>
    <definedName name="OSRRefD22_1x_0" localSheetId="73">'Div 4'!$D$46:$D$55</definedName>
    <definedName name="OSRRefD22_1x_0" localSheetId="96">'Div 5'!$D$31:$D$40</definedName>
    <definedName name="OSRRefD22_1x_0" localSheetId="64">'Div 6'!$D$70:$D$79</definedName>
    <definedName name="OSRRefD22_1x_0" localSheetId="2">Summary!$D$203:$D$212</definedName>
    <definedName name="OSRRefD22_20x_0" localSheetId="48">'300'!$D$228:$D$234</definedName>
    <definedName name="OSRRefD22_20x_0" localSheetId="49">'300 &amp; 317'!$D$252:$D$258</definedName>
    <definedName name="OSRRefD22_20x_0" localSheetId="50">'301'!$D$91</definedName>
    <definedName name="OSRRefD22_20x_0" localSheetId="66">'310'!$D$105</definedName>
    <definedName name="OSRRefD22_20x_0" localSheetId="74">'310 &amp; 491'!$D$112</definedName>
    <definedName name="OSRRefD22_20x_0" localSheetId="60">'326'!$D$119</definedName>
    <definedName name="OSRRefD22_20x_0" localSheetId="58">'331'!$D$138</definedName>
    <definedName name="OSRRefD22_20x_0" localSheetId="75">'491'!$D$115</definedName>
    <definedName name="OSRRefD22_20x_0" localSheetId="39">'Div 2'!$D$94:$D$95</definedName>
    <definedName name="OSRRefD22_20x_0" localSheetId="47">'Div 3'!$D$230:$D$235</definedName>
    <definedName name="OSRRefD22_20x_0" localSheetId="73">'Div 4'!$D$108:$D$117</definedName>
    <definedName name="OSRRefD22_20x_0" localSheetId="2">Summary!$D$265:$D$270</definedName>
    <definedName name="OSRRefD22_21x_0" localSheetId="48">'300'!$D$236:$D$237</definedName>
    <definedName name="OSRRefD22_21x_0" localSheetId="49">'300 &amp; 317'!$D$260:$D$261</definedName>
    <definedName name="OSRRefD22_21x_0" localSheetId="50">'301'!$D$93:$D$94</definedName>
    <definedName name="OSRRefD22_21x_0" localSheetId="66">'310'!$D$107</definedName>
    <definedName name="OSRRefD22_21x_0" localSheetId="74">'310 &amp; 491'!$D$114:$D$123</definedName>
    <definedName name="OSRRefD22_21x_0" localSheetId="58">'331'!$D$140</definedName>
    <definedName name="OSRRefD22_21x_0" localSheetId="75">'491'!$D$117:$D$119</definedName>
    <definedName name="OSRRefD22_21x_0" localSheetId="47">'Div 3'!$D$237:$D$238</definedName>
    <definedName name="OSRRefD22_21x_0" localSheetId="73">'Div 4'!$D$119:$D$120</definedName>
    <definedName name="OSRRefD22_21x_0" localSheetId="2">Summary!$D$272:$D$273</definedName>
    <definedName name="OSRRefD22_22x_0" localSheetId="48">'300'!$D$239</definedName>
    <definedName name="OSRRefD22_22x_0" localSheetId="49">'300 &amp; 317'!$D$263</definedName>
    <definedName name="OSRRefD22_22x_0" localSheetId="50">'301'!$D$96</definedName>
    <definedName name="OSRRefD22_22x_0" localSheetId="66">'310'!$D$109</definedName>
    <definedName name="OSRRefD22_22x_0" localSheetId="74">'310 &amp; 491'!$D$125:$D$126</definedName>
    <definedName name="OSRRefD22_22x_0" localSheetId="58">'331'!$D$142</definedName>
    <definedName name="OSRRefD22_22x_0" localSheetId="75">'491'!$D$121</definedName>
    <definedName name="OSRRefD22_22x_0" localSheetId="47">'Div 3'!$D$240:$D$247</definedName>
    <definedName name="OSRRefD22_22x_0" localSheetId="73">'Div 4'!$D$122</definedName>
    <definedName name="OSRRefD22_22x_0" localSheetId="2">Summary!$D$275:$D$284</definedName>
    <definedName name="OSRRefD22_23x_0" localSheetId="48">'300'!$D$241:$D$243</definedName>
    <definedName name="OSRRefD22_23x_0" localSheetId="49">'300 &amp; 317'!$D$265:$D$267</definedName>
    <definedName name="OSRRefD22_23x_0" localSheetId="74">'310 &amp; 491'!$D$128</definedName>
    <definedName name="OSRRefD22_23x_0" localSheetId="47">'Div 3'!$D$249:$D$250</definedName>
    <definedName name="OSRRefD22_23x_0" localSheetId="73">'Div 4'!$D$124:$D$126</definedName>
    <definedName name="OSRRefD22_23x_0" localSheetId="2">Summary!$D$286:$D$287</definedName>
    <definedName name="OSRRefD22_24x_0" localSheetId="48">'300'!$D$245</definedName>
    <definedName name="OSRRefD22_24x_0" localSheetId="49">'300 &amp; 317'!$D$269</definedName>
    <definedName name="OSRRefD22_24x_0" localSheetId="74">'310 &amp; 491'!$D$130:$D$132</definedName>
    <definedName name="OSRRefD22_24x_0" localSheetId="47">'Div 3'!$D$252</definedName>
    <definedName name="OSRRefD22_24x_0" localSheetId="73">'Div 4'!$D$128</definedName>
    <definedName name="OSRRefD22_24x_0" localSheetId="2">Summary!$D$289</definedName>
    <definedName name="OSRRefD22_25x_0" localSheetId="74">'310 &amp; 491'!$D$134</definedName>
    <definedName name="OSRRefD22_25x_0" localSheetId="47">'Div 3'!$D$254:$D$256</definedName>
    <definedName name="OSRRefD22_25x_0" localSheetId="2">Summary!$D$291:$D$293</definedName>
    <definedName name="OSRRefD22_26x_0" localSheetId="47">'Div 3'!$D$258</definedName>
    <definedName name="OSRRefD22_26x_0" localSheetId="2">Summary!$D$295</definedName>
    <definedName name="OSRRefD22_2x_0" localSheetId="40">'200'!$D$24</definedName>
    <definedName name="OSRRefD22_2x_0" localSheetId="41">'201'!$D$41</definedName>
    <definedName name="OSRRefD22_2x_0" localSheetId="42">'202'!$D$41</definedName>
    <definedName name="OSRRefD22_2x_0" localSheetId="43">'203'!$D$42</definedName>
    <definedName name="OSRRefD22_2x_0" localSheetId="44">'204'!$D$42</definedName>
    <definedName name="OSRRefD22_2x_0" localSheetId="45">'205'!$D$41</definedName>
    <definedName name="OSRRefD22_2x_0" localSheetId="46">'206'!$D$41</definedName>
    <definedName name="OSRRefD22_2x_0" localSheetId="48">'300'!$D$177</definedName>
    <definedName name="OSRRefD22_2x_0" localSheetId="49">'300 &amp; 317'!$D$201</definedName>
    <definedName name="OSRRefD22_2x_0" localSheetId="50">'301'!$D$41</definedName>
    <definedName name="OSRRefD22_2x_0" localSheetId="51">'306'!$D$41</definedName>
    <definedName name="OSRRefD22_2x_0" localSheetId="53">'307'!$D$88</definedName>
    <definedName name="OSRRefD22_2x_0" localSheetId="55">'308'!$D$82</definedName>
    <definedName name="OSRRefD22_2x_0" localSheetId="67">'309'!$D$47</definedName>
    <definedName name="OSRRefD22_2x_0" localSheetId="66">'310'!$D$54</definedName>
    <definedName name="OSRRefD22_2x_0" localSheetId="74">'310 &amp; 491'!$D$62</definedName>
    <definedName name="OSRRefD22_2x_0" localSheetId="56">'311'!$D$82</definedName>
    <definedName name="OSRRefD22_2x_0" localSheetId="68">'313'!$D$50</definedName>
    <definedName name="OSRRefD22_2x_0" localSheetId="54">'314'!$D$76</definedName>
    <definedName name="OSRRefD22_2x_0" localSheetId="59">'315'!$D$77</definedName>
    <definedName name="OSRRefD22_2x_0" localSheetId="62">'316'!$D$54</definedName>
    <definedName name="OSRRefD22_2x_0" localSheetId="65">'317'!$D$81</definedName>
    <definedName name="OSRRefD22_2x_0" localSheetId="63">'320'!$D$48</definedName>
    <definedName name="OSRRefD22_2x_0" localSheetId="69">'321'!$D$46</definedName>
    <definedName name="OSRRefD22_2x_0" localSheetId="70">'322'!$D$47</definedName>
    <definedName name="OSRRefD22_2x_0" localSheetId="71">'325'!$D$47</definedName>
    <definedName name="OSRRefD22_2x_0" localSheetId="60">'326'!$D$73</definedName>
    <definedName name="OSRRefD22_2x_0" localSheetId="52">'330'!$D$97</definedName>
    <definedName name="OSRRefD22_2x_0" localSheetId="58">'331'!$D$89</definedName>
    <definedName name="OSRRefD22_2x_0" localSheetId="61">'332'!$D$62</definedName>
    <definedName name="OSRRefD22_2x_0" localSheetId="76">'405'!$D$47</definedName>
    <definedName name="OSRRefD22_2x_0" localSheetId="77">'406'!$D$48</definedName>
    <definedName name="OSRRefD22_2x_0" localSheetId="78">'411'!$D$42</definedName>
    <definedName name="OSRRefD22_2x_0" localSheetId="79">'412'!$D$47</definedName>
    <definedName name="OSRRefD22_2x_0" localSheetId="80">'413'!$D$48</definedName>
    <definedName name="OSRRefD22_2x_0" localSheetId="81">'414'!$D$48</definedName>
    <definedName name="OSRRefD22_2x_0" localSheetId="82">'415'!$D$47</definedName>
    <definedName name="OSRRefD22_2x_0" localSheetId="83">'418'!$D$48</definedName>
    <definedName name="OSRRefD22_2x_0" localSheetId="85">'423'!$D$42</definedName>
    <definedName name="OSRRefD22_2x_0" localSheetId="86">'424'!$D$46</definedName>
    <definedName name="OSRRefD22_2x_0" localSheetId="87">'425'!$D$48</definedName>
    <definedName name="OSRRefD22_2x_0" localSheetId="90">'430'!$D$41</definedName>
    <definedName name="OSRRefD22_2x_0" localSheetId="91">'433'!$D$49</definedName>
    <definedName name="OSRRefD22_2x_0" localSheetId="92">'435'!$D$47</definedName>
    <definedName name="OSRRefD22_2x_0" localSheetId="93">'444'!$D$49</definedName>
    <definedName name="OSRRefD22_2x_0" localSheetId="95">'450'!$D$49</definedName>
    <definedName name="OSRRefD22_2x_0" localSheetId="75">'491'!$D$56</definedName>
    <definedName name="OSRRefD22_2x_0" localSheetId="89">'492'!$D$51</definedName>
    <definedName name="OSRRefD22_2x_0" localSheetId="97">'501'!$D$42</definedName>
    <definedName name="OSRRefD22_2x_0" localSheetId="39">'Div 2'!$D$43</definedName>
    <definedName name="OSRRefD22_2x_0" localSheetId="47">'Div 3'!$D$183</definedName>
    <definedName name="OSRRefD22_2x_0" localSheetId="73">'Div 4'!$D$57</definedName>
    <definedName name="OSRRefD22_2x_0" localSheetId="96">'Div 5'!$D$42</definedName>
    <definedName name="OSRRefD22_2x_0" localSheetId="64">'Div 6'!$D$81</definedName>
    <definedName name="OSRRefD22_2x_0" localSheetId="2">Summary!$D$214</definedName>
    <definedName name="OSRRefD22_3x_0" localSheetId="40">'200'!$D$26:$D$27</definedName>
    <definedName name="OSRRefD22_3x_0" localSheetId="41">'201'!$D$43</definedName>
    <definedName name="OSRRefD22_3x_0" localSheetId="42">'202'!$D$43</definedName>
    <definedName name="OSRRefD22_3x_0" localSheetId="43">'203'!$D$44</definedName>
    <definedName name="OSRRefD22_3x_0" localSheetId="44">'204'!$D$44</definedName>
    <definedName name="OSRRefD22_3x_0" localSheetId="45">'205'!$D$43</definedName>
    <definedName name="OSRRefD22_3x_0" localSheetId="46">'206'!$D$43</definedName>
    <definedName name="OSRRefD22_3x_0" localSheetId="48">'300'!$D$179:$D$180</definedName>
    <definedName name="OSRRefD22_3x_0" localSheetId="49">'300 &amp; 317'!$D$203:$D$204</definedName>
    <definedName name="OSRRefD22_3x_0" localSheetId="50">'301'!$D$43</definedName>
    <definedName name="OSRRefD22_3x_0" localSheetId="51">'306'!$D$43</definedName>
    <definedName name="OSRRefD22_3x_0" localSheetId="53">'307'!$D$90</definedName>
    <definedName name="OSRRefD22_3x_0" localSheetId="55">'308'!$D$84:$D$85</definedName>
    <definedName name="OSRRefD22_3x_0" localSheetId="67">'309'!$D$49</definedName>
    <definedName name="OSRRefD22_3x_0" localSheetId="66">'310'!$D$56</definedName>
    <definedName name="OSRRefD22_3x_0" localSheetId="74">'310 &amp; 491'!$D$64</definedName>
    <definedName name="OSRRefD22_3x_0" localSheetId="56">'311'!$D$84:$D$85</definedName>
    <definedName name="OSRRefD22_3x_0" localSheetId="68">'313'!$D$52</definedName>
    <definedName name="OSRRefD22_3x_0" localSheetId="54">'314'!$D$78:$D$79</definedName>
    <definedName name="OSRRefD22_3x_0" localSheetId="59">'315'!$D$79:$D$80</definedName>
    <definedName name="OSRRefD22_3x_0" localSheetId="62">'316'!$D$56</definedName>
    <definedName name="OSRRefD22_3x_0" localSheetId="65">'317'!$D$83</definedName>
    <definedName name="OSRRefD22_3x_0" localSheetId="63">'320'!$D$50</definedName>
    <definedName name="OSRRefD22_3x_0" localSheetId="69">'321'!$D$48</definedName>
    <definedName name="OSRRefD22_3x_0" localSheetId="70">'322'!$D$49</definedName>
    <definedName name="OSRRefD22_3x_0" localSheetId="71">'325'!$D$49</definedName>
    <definedName name="OSRRefD22_3x_0" localSheetId="60">'326'!$D$75:$D$76</definedName>
    <definedName name="OSRRefD22_3x_0" localSheetId="52">'330'!$D$99</definedName>
    <definedName name="OSRRefD22_3x_0" localSheetId="58">'331'!$D$91:$D$92</definedName>
    <definedName name="OSRRefD22_3x_0" localSheetId="61">'332'!$D$64</definedName>
    <definedName name="OSRRefD22_3x_0" localSheetId="76">'405'!$D$49</definedName>
    <definedName name="OSRRefD22_3x_0" localSheetId="77">'406'!$D$50</definedName>
    <definedName name="OSRRefD22_3x_0" localSheetId="78">'411'!$D$44:$D$46</definedName>
    <definedName name="OSRRefD22_3x_0" localSheetId="79">'412'!$D$49</definedName>
    <definedName name="OSRRefD22_3x_0" localSheetId="80">'413'!$D$50</definedName>
    <definedName name="OSRRefD22_3x_0" localSheetId="81">'414'!$D$50</definedName>
    <definedName name="OSRRefD22_3x_0" localSheetId="82">'415'!$D$49</definedName>
    <definedName name="OSRRefD22_3x_0" localSheetId="83">'418'!$D$50</definedName>
    <definedName name="OSRRefD22_3x_0" localSheetId="85">'423'!$D$44</definedName>
    <definedName name="OSRRefD22_3x_0" localSheetId="86">'424'!$D$48</definedName>
    <definedName name="OSRRefD22_3x_0" localSheetId="87">'425'!$D$50</definedName>
    <definedName name="OSRRefD22_3x_0" localSheetId="90">'430'!$D$43</definedName>
    <definedName name="OSRRefD22_3x_0" localSheetId="91">'433'!$D$51</definedName>
    <definedName name="OSRRefD22_3x_0" localSheetId="92">'435'!$D$49</definedName>
    <definedName name="OSRRefD22_3x_0" localSheetId="93">'444'!$D$51</definedName>
    <definedName name="OSRRefD22_3x_0" localSheetId="95">'450'!$D$51:$D$52</definedName>
    <definedName name="OSRRefD22_3x_0" localSheetId="75">'491'!$D$58</definedName>
    <definedName name="OSRRefD22_3x_0" localSheetId="89">'492'!$D$53:$D$54</definedName>
    <definedName name="OSRRefD22_3x_0" localSheetId="97">'501'!$D$44</definedName>
    <definedName name="OSRRefD22_3x_0" localSheetId="39">'Div 2'!$D$45</definedName>
    <definedName name="OSRRefD22_3x_0" localSheetId="47">'Div 3'!$D$185:$D$186</definedName>
    <definedName name="OSRRefD22_3x_0" localSheetId="73">'Div 4'!$D$59:$D$60</definedName>
    <definedName name="OSRRefD22_3x_0" localSheetId="96">'Div 5'!$D$44</definedName>
    <definedName name="OSRRefD22_3x_0" localSheetId="64">'Div 6'!$D$83</definedName>
    <definedName name="OSRRefD22_3x_0" localSheetId="2">Summary!$D$216:$D$217</definedName>
    <definedName name="OSRRefD22_4x_0" localSheetId="41">'201'!$D$45:$D$46</definedName>
    <definedName name="OSRRefD22_4x_0" localSheetId="42">'202'!$D$45</definedName>
    <definedName name="OSRRefD22_4x_0" localSheetId="43">'203'!$D$46</definedName>
    <definedName name="OSRRefD22_4x_0" localSheetId="44">'204'!$D$46</definedName>
    <definedName name="OSRRefD22_4x_0" localSheetId="45">'205'!$D$45</definedName>
    <definedName name="OSRRefD22_4x_0" localSheetId="46">'206'!$D$45</definedName>
    <definedName name="OSRRefD22_4x_0" localSheetId="48">'300'!$D$182</definedName>
    <definedName name="OSRRefD22_4x_0" localSheetId="49">'300 &amp; 317'!$D$206</definedName>
    <definedName name="OSRRefD22_4x_0" localSheetId="50">'301'!$D$45</definedName>
    <definedName name="OSRRefD22_4x_0" localSheetId="51">'306'!$D$45</definedName>
    <definedName name="OSRRefD22_4x_0" localSheetId="53">'307'!$D$92:$D$93</definedName>
    <definedName name="OSRRefD22_4x_0" localSheetId="55">'308'!$D$87</definedName>
    <definedName name="OSRRefD22_4x_0" localSheetId="67">'309'!$D$51</definedName>
    <definedName name="OSRRefD22_4x_0" localSheetId="66">'310'!$D$58</definedName>
    <definedName name="OSRRefD22_4x_0" localSheetId="74">'310 &amp; 491'!$D$66</definedName>
    <definedName name="OSRRefD22_4x_0" localSheetId="56">'311'!$D$87</definedName>
    <definedName name="OSRRefD22_4x_0" localSheetId="68">'313'!$D$54</definedName>
    <definedName name="OSRRefD22_4x_0" localSheetId="54">'314'!$D$81</definedName>
    <definedName name="OSRRefD22_4x_0" localSheetId="59">'315'!$D$82</definedName>
    <definedName name="OSRRefD22_4x_0" localSheetId="62">'316'!$D$58</definedName>
    <definedName name="OSRRefD22_4x_0" localSheetId="65">'317'!$D$85</definedName>
    <definedName name="OSRRefD22_4x_0" localSheetId="63">'320'!$D$52:$D$53</definedName>
    <definedName name="OSRRefD22_4x_0" localSheetId="69">'321'!$D$50</definedName>
    <definedName name="OSRRefD22_4x_0" localSheetId="70">'322'!$D$51</definedName>
    <definedName name="OSRRefD22_4x_0" localSheetId="71">'325'!$D$51</definedName>
    <definedName name="OSRRefD22_4x_0" localSheetId="60">'326'!$D$78</definedName>
    <definedName name="OSRRefD22_4x_0" localSheetId="52">'330'!$D$101:$D$102</definedName>
    <definedName name="OSRRefD22_4x_0" localSheetId="58">'331'!$D$94</definedName>
    <definedName name="OSRRefD22_4x_0" localSheetId="61">'332'!$D$66</definedName>
    <definedName name="OSRRefD22_4x_0" localSheetId="76">'405'!$D$51</definedName>
    <definedName name="OSRRefD22_4x_0" localSheetId="77">'406'!$D$52</definedName>
    <definedName name="OSRRefD22_4x_0" localSheetId="78">'411'!$D$48</definedName>
    <definedName name="OSRRefD22_4x_0" localSheetId="79">'412'!$D$51</definedName>
    <definedName name="OSRRefD22_4x_0" localSheetId="80">'413'!$D$52</definedName>
    <definedName name="OSRRefD22_4x_0" localSheetId="81">'414'!$D$52</definedName>
    <definedName name="OSRRefD22_4x_0" localSheetId="82">'415'!$D$51</definedName>
    <definedName name="OSRRefD22_4x_0" localSheetId="83">'418'!$D$52</definedName>
    <definedName name="OSRRefD22_4x_0" localSheetId="85">'423'!$D$46</definedName>
    <definedName name="OSRRefD22_4x_0" localSheetId="86">'424'!$D$50</definedName>
    <definedName name="OSRRefD22_4x_0" localSheetId="87">'425'!$D$52</definedName>
    <definedName name="OSRRefD22_4x_0" localSheetId="90">'430'!$D$45</definedName>
    <definedName name="OSRRefD22_4x_0" localSheetId="91">'433'!$D$53</definedName>
    <definedName name="OSRRefD22_4x_0" localSheetId="92">'435'!$D$51</definedName>
    <definedName name="OSRRefD22_4x_0" localSheetId="93">'444'!$D$53</definedName>
    <definedName name="OSRRefD22_4x_0" localSheetId="95">'450'!$D$54</definedName>
    <definedName name="OSRRefD22_4x_0" localSheetId="75">'491'!$D$60</definedName>
    <definedName name="OSRRefD22_4x_0" localSheetId="89">'492'!$D$56</definedName>
    <definedName name="OSRRefD22_4x_0" localSheetId="97">'501'!$D$46</definedName>
    <definedName name="OSRRefD22_4x_0" localSheetId="39">'Div 2'!$D$47</definedName>
    <definedName name="OSRRefD22_4x_0" localSheetId="47">'Div 3'!$D$188</definedName>
    <definedName name="OSRRefD22_4x_0" localSheetId="73">'Div 4'!$D$62</definedName>
    <definedName name="OSRRefD22_4x_0" localSheetId="96">'Div 5'!$D$46</definedName>
    <definedName name="OSRRefD22_4x_0" localSheetId="64">'Div 6'!$D$85</definedName>
    <definedName name="OSRRefD22_4x_0" localSheetId="2">Summary!$D$219</definedName>
    <definedName name="OSRRefD22_5x_0" localSheetId="41">'201'!$D$48</definedName>
    <definedName name="OSRRefD22_5x_0" localSheetId="42">'202'!$D$47</definedName>
    <definedName name="OSRRefD22_5x_0" localSheetId="43">'203'!$D$48</definedName>
    <definedName name="OSRRefD22_5x_0" localSheetId="44">'204'!$D$48</definedName>
    <definedName name="OSRRefD22_5x_0" localSheetId="45">'205'!$D$47</definedName>
    <definedName name="OSRRefD22_5x_0" localSheetId="46">'206'!$D$47</definedName>
    <definedName name="OSRRefD22_5x_0" localSheetId="48">'300'!$D$184:$D$186</definedName>
    <definedName name="OSRRefD22_5x_0" localSheetId="49">'300 &amp; 317'!$D$208:$D$210</definedName>
    <definedName name="OSRRefD22_5x_0" localSheetId="50">'301'!$D$47:$D$49</definedName>
    <definedName name="OSRRefD22_5x_0" localSheetId="51">'306'!$D$47</definedName>
    <definedName name="OSRRefD22_5x_0" localSheetId="53">'307'!$D$95</definedName>
    <definedName name="OSRRefD22_5x_0" localSheetId="55">'308'!$D$89</definedName>
    <definedName name="OSRRefD22_5x_0" localSheetId="67">'309'!$D$53</definedName>
    <definedName name="OSRRefD22_5x_0" localSheetId="66">'310'!$D$60:$D$62</definedName>
    <definedName name="OSRRefD22_5x_0" localSheetId="74">'310 &amp; 491'!$D$68:$D$71</definedName>
    <definedName name="OSRRefD22_5x_0" localSheetId="56">'311'!$D$89</definedName>
    <definedName name="OSRRefD22_5x_0" localSheetId="68">'313'!$D$56</definedName>
    <definedName name="OSRRefD22_5x_0" localSheetId="54">'314'!$D$83</definedName>
    <definedName name="OSRRefD22_5x_0" localSheetId="59">'315'!$D$84</definedName>
    <definedName name="OSRRefD22_5x_0" localSheetId="62">'316'!$D$60</definedName>
    <definedName name="OSRRefD22_5x_0" localSheetId="65">'317'!$D$87</definedName>
    <definedName name="OSRRefD22_5x_0" localSheetId="63">'320'!$D$55</definedName>
    <definedName name="OSRRefD22_5x_0" localSheetId="69">'321'!$D$52</definedName>
    <definedName name="OSRRefD22_5x_0" localSheetId="70">'322'!$D$53</definedName>
    <definedName name="OSRRefD22_5x_0" localSheetId="71">'325'!$D$53:$D$55</definedName>
    <definedName name="OSRRefD22_5x_0" localSheetId="60">'326'!$D$80</definedName>
    <definedName name="OSRRefD22_5x_0" localSheetId="52">'330'!$D$104</definedName>
    <definedName name="OSRRefD22_5x_0" localSheetId="58">'331'!$D$96:$D$97</definedName>
    <definedName name="OSRRefD22_5x_0" localSheetId="61">'332'!$D$68</definedName>
    <definedName name="OSRRefD22_5x_0" localSheetId="76">'405'!$D$53:$D$55</definedName>
    <definedName name="OSRRefD22_5x_0" localSheetId="77">'406'!$D$54</definedName>
    <definedName name="OSRRefD22_5x_0" localSheetId="78">'411'!$D$50</definedName>
    <definedName name="OSRRefD22_5x_0" localSheetId="79">'412'!$D$53:$D$54</definedName>
    <definedName name="OSRRefD22_5x_0" localSheetId="80">'413'!$D$54</definedName>
    <definedName name="OSRRefD22_5x_0" localSheetId="81">'414'!$D$54:$D$55</definedName>
    <definedName name="OSRRefD22_5x_0" localSheetId="82">'415'!$D$53:$D$54</definedName>
    <definedName name="OSRRefD22_5x_0" localSheetId="83">'418'!$D$54:$D$56</definedName>
    <definedName name="OSRRefD22_5x_0" localSheetId="85">'423'!$D$48</definedName>
    <definedName name="OSRRefD22_5x_0" localSheetId="86">'424'!$D$52</definedName>
    <definedName name="OSRRefD22_5x_0" localSheetId="87">'425'!$D$54</definedName>
    <definedName name="OSRRefD22_5x_0" localSheetId="90">'430'!$D$47</definedName>
    <definedName name="OSRRefD22_5x_0" localSheetId="91">'433'!$D$55</definedName>
    <definedName name="OSRRefD22_5x_0" localSheetId="92">'435'!$D$53</definedName>
    <definedName name="OSRRefD22_5x_0" localSheetId="93">'444'!$D$55</definedName>
    <definedName name="OSRRefD22_5x_0" localSheetId="95">'450'!$D$56</definedName>
    <definedName name="OSRRefD22_5x_0" localSheetId="75">'491'!$D$62:$D$65</definedName>
    <definedName name="OSRRefD22_5x_0" localSheetId="89">'492'!$D$58:$D$59</definedName>
    <definedName name="OSRRefD22_5x_0" localSheetId="97">'501'!$D$48</definedName>
    <definedName name="OSRRefD22_5x_0" localSheetId="39">'Div 2'!$D$49</definedName>
    <definedName name="OSRRefD22_5x_0" localSheetId="47">'Div 3'!$D$190:$D$192</definedName>
    <definedName name="OSRRefD22_5x_0" localSheetId="73">'Div 4'!$D$64:$D$67</definedName>
    <definedName name="OSRRefD22_5x_0" localSheetId="96">'Div 5'!$D$48</definedName>
    <definedName name="OSRRefD22_5x_0" localSheetId="64">'Div 6'!$D$87</definedName>
    <definedName name="OSRRefD22_5x_0" localSheetId="2">Summary!$D$221:$D$224</definedName>
    <definedName name="OSRRefD22_6x_0" localSheetId="41">'201'!$D$50</definedName>
    <definedName name="OSRRefD22_6x_0" localSheetId="42">'202'!$D$49</definedName>
    <definedName name="OSRRefD22_6x_0" localSheetId="43">'203'!$D$50</definedName>
    <definedName name="OSRRefD22_6x_0" localSheetId="44">'204'!$D$50</definedName>
    <definedName name="OSRRefD22_6x_0" localSheetId="45">'205'!$D$49</definedName>
    <definedName name="OSRRefD22_6x_0" localSheetId="46">'206'!$D$49</definedName>
    <definedName name="OSRRefD22_6x_0" localSheetId="48">'300'!$D$188:$D$189</definedName>
    <definedName name="OSRRefD22_6x_0" localSheetId="49">'300 &amp; 317'!$D$212:$D$213</definedName>
    <definedName name="OSRRefD22_6x_0" localSheetId="50">'301'!$D$51:$D$52</definedName>
    <definedName name="OSRRefD22_6x_0" localSheetId="51">'306'!$D$49:$D$50</definedName>
    <definedName name="OSRRefD22_6x_0" localSheetId="53">'307'!$D$97</definedName>
    <definedName name="OSRRefD22_6x_0" localSheetId="55">'308'!$D$91:$D$92</definedName>
    <definedName name="OSRRefD22_6x_0" localSheetId="67">'309'!$D$55</definedName>
    <definedName name="OSRRefD22_6x_0" localSheetId="66">'310'!$D$64</definedName>
    <definedName name="OSRRefD22_6x_0" localSheetId="74">'310 &amp; 491'!$D$73</definedName>
    <definedName name="OSRRefD22_6x_0" localSheetId="56">'311'!$D$91:$D$92</definedName>
    <definedName name="OSRRefD22_6x_0" localSheetId="68">'313'!$D$58</definedName>
    <definedName name="OSRRefD22_6x_0" localSheetId="54">'314'!$D$85</definedName>
    <definedName name="OSRRefD22_6x_0" localSheetId="59">'315'!$D$86</definedName>
    <definedName name="OSRRefD22_6x_0" localSheetId="62">'316'!$D$62</definedName>
    <definedName name="OSRRefD22_6x_0" localSheetId="65">'317'!$D$89</definedName>
    <definedName name="OSRRefD22_6x_0" localSheetId="63">'320'!$D$57</definedName>
    <definedName name="OSRRefD22_6x_0" localSheetId="69">'321'!$D$54</definedName>
    <definedName name="OSRRefD22_6x_0" localSheetId="70">'322'!$D$55</definedName>
    <definedName name="OSRRefD22_6x_0" localSheetId="71">'325'!$D$57</definedName>
    <definedName name="OSRRefD22_6x_0" localSheetId="60">'326'!$D$82</definedName>
    <definedName name="OSRRefD22_6x_0" localSheetId="52">'330'!$D$106</definedName>
    <definedName name="OSRRefD22_6x_0" localSheetId="58">'331'!$D$99</definedName>
    <definedName name="OSRRefD22_6x_0" localSheetId="61">'332'!$D$70</definedName>
    <definedName name="OSRRefD22_6x_0" localSheetId="76">'405'!$D$57</definedName>
    <definedName name="OSRRefD22_6x_0" localSheetId="77">'406'!$D$56</definedName>
    <definedName name="OSRRefD22_6x_0" localSheetId="78">'411'!$D$52</definedName>
    <definedName name="OSRRefD22_6x_0" localSheetId="79">'412'!$D$56</definedName>
    <definedName name="OSRRefD22_6x_0" localSheetId="80">'413'!$D$56</definedName>
    <definedName name="OSRRefD22_6x_0" localSheetId="81">'414'!$D$57</definedName>
    <definedName name="OSRRefD22_6x_0" localSheetId="82">'415'!$D$56</definedName>
    <definedName name="OSRRefD22_6x_0" localSheetId="83">'418'!$D$58</definedName>
    <definedName name="OSRRefD22_6x_0" localSheetId="86">'424'!$D$54</definedName>
    <definedName name="OSRRefD22_6x_0" localSheetId="87">'425'!$D$56</definedName>
    <definedName name="OSRRefD22_6x_0" localSheetId="90">'430'!$D$49</definedName>
    <definedName name="OSRRefD22_6x_0" localSheetId="91">'433'!$D$57</definedName>
    <definedName name="OSRRefD22_6x_0" localSheetId="92">'435'!$D$55:$D$56</definedName>
    <definedName name="OSRRefD22_6x_0" localSheetId="93">'444'!$D$57</definedName>
    <definedName name="OSRRefD22_6x_0" localSheetId="95">'450'!$D$58</definedName>
    <definedName name="OSRRefD22_6x_0" localSheetId="75">'491'!$D$67</definedName>
    <definedName name="OSRRefD22_6x_0" localSheetId="89">'492'!$D$61</definedName>
    <definedName name="OSRRefD22_6x_0" localSheetId="97">'501'!$D$50</definedName>
    <definedName name="OSRRefD22_6x_0" localSheetId="39">'Div 2'!$D$51:$D$52</definedName>
    <definedName name="OSRRefD22_6x_0" localSheetId="47">'Div 3'!$D$194:$D$195</definedName>
    <definedName name="OSRRefD22_6x_0" localSheetId="73">'Div 4'!$D$69:$D$70</definedName>
    <definedName name="OSRRefD22_6x_0" localSheetId="96">'Div 5'!$D$50</definedName>
    <definedName name="OSRRefD22_6x_0" localSheetId="64">'Div 6'!$D$89</definedName>
    <definedName name="OSRRefD22_6x_0" localSheetId="2">Summary!$D$226:$D$227</definedName>
    <definedName name="OSRRefD22_7x_0" localSheetId="41">'201'!$D$52</definedName>
    <definedName name="OSRRefD22_7x_0" localSheetId="42">'202'!$D$51</definedName>
    <definedName name="OSRRefD22_7x_0" localSheetId="43">'203'!$D$52</definedName>
    <definedName name="OSRRefD22_7x_0" localSheetId="44">'204'!$D$52:$D$55</definedName>
    <definedName name="OSRRefD22_7x_0" localSheetId="45">'205'!$D$51:$D$52</definedName>
    <definedName name="OSRRefD22_7x_0" localSheetId="46">'206'!$D$51:$D$52</definedName>
    <definedName name="OSRRefD22_7x_0" localSheetId="48">'300'!$D$191:$D$192</definedName>
    <definedName name="OSRRefD22_7x_0" localSheetId="49">'300 &amp; 317'!$D$215:$D$216</definedName>
    <definedName name="OSRRefD22_7x_0" localSheetId="50">'301'!$D$54:$D$55</definedName>
    <definedName name="OSRRefD22_7x_0" localSheetId="51">'306'!$D$52:$D$54</definedName>
    <definedName name="OSRRefD22_7x_0" localSheetId="53">'307'!$D$99</definedName>
    <definedName name="OSRRefD22_7x_0" localSheetId="55">'308'!$D$94</definedName>
    <definedName name="OSRRefD22_7x_0" localSheetId="67">'309'!$D$57</definedName>
    <definedName name="OSRRefD22_7x_0" localSheetId="66">'310'!$D$66</definedName>
    <definedName name="OSRRefD22_7x_0" localSheetId="74">'310 &amp; 491'!$D$75</definedName>
    <definedName name="OSRRefD22_7x_0" localSheetId="56">'311'!$D$94</definedName>
    <definedName name="OSRRefD22_7x_0" localSheetId="68">'313'!$D$60</definedName>
    <definedName name="OSRRefD22_7x_0" localSheetId="54">'314'!$D$87</definedName>
    <definedName name="OSRRefD22_7x_0" localSheetId="59">'315'!$D$88</definedName>
    <definedName name="OSRRefD22_7x_0" localSheetId="62">'316'!$D$64</definedName>
    <definedName name="OSRRefD22_7x_0" localSheetId="65">'317'!$D$91</definedName>
    <definedName name="OSRRefD22_7x_0" localSheetId="63">'320'!$D$59:$D$60</definedName>
    <definedName name="OSRRefD22_7x_0" localSheetId="69">'321'!$D$56</definedName>
    <definedName name="OSRRefD22_7x_0" localSheetId="70">'322'!$D$57</definedName>
    <definedName name="OSRRefD22_7x_0" localSheetId="71">'325'!$D$59</definedName>
    <definedName name="OSRRefD22_7x_0" localSheetId="60">'326'!$D$84</definedName>
    <definedName name="OSRRefD22_7x_0" localSheetId="52">'330'!$D$108</definedName>
    <definedName name="OSRRefD22_7x_0" localSheetId="58">'331'!$D$101</definedName>
    <definedName name="OSRRefD22_7x_0" localSheetId="61">'332'!$D$72:$D$73</definedName>
    <definedName name="OSRRefD22_7x_0" localSheetId="76">'405'!$D$59</definedName>
    <definedName name="OSRRefD22_7x_0" localSheetId="77">'406'!$D$58</definedName>
    <definedName name="OSRRefD22_7x_0" localSheetId="78">'411'!$D$54</definedName>
    <definedName name="OSRRefD22_7x_0" localSheetId="79">'412'!$D$58</definedName>
    <definedName name="OSRRefD22_7x_0" localSheetId="80">'413'!$D$58:$D$59</definedName>
    <definedName name="OSRRefD22_7x_0" localSheetId="81">'414'!$D$59</definedName>
    <definedName name="OSRRefD22_7x_0" localSheetId="82">'415'!$D$58</definedName>
    <definedName name="OSRRefD22_7x_0" localSheetId="83">'418'!$D$60</definedName>
    <definedName name="OSRRefD22_7x_0" localSheetId="86">'424'!$D$56:$D$57</definedName>
    <definedName name="OSRRefD22_7x_0" localSheetId="87">'425'!$D$58</definedName>
    <definedName name="OSRRefD22_7x_0" localSheetId="90">'430'!$D$51:$D$53</definedName>
    <definedName name="OSRRefD22_7x_0" localSheetId="91">'433'!$D$59</definedName>
    <definedName name="OSRRefD22_7x_0" localSheetId="92">'435'!$D$58</definedName>
    <definedName name="OSRRefD22_7x_0" localSheetId="93">'444'!$D$59</definedName>
    <definedName name="OSRRefD22_7x_0" localSheetId="95">'450'!$D$60</definedName>
    <definedName name="OSRRefD22_7x_0" localSheetId="75">'491'!$D$69</definedName>
    <definedName name="OSRRefD22_7x_0" localSheetId="89">'492'!$D$63</definedName>
    <definedName name="OSRRefD22_7x_0" localSheetId="97">'501'!$D$52</definedName>
    <definedName name="OSRRefD22_7x_0" localSheetId="39">'Div 2'!$D$54</definedName>
    <definedName name="OSRRefD22_7x_0" localSheetId="47">'Div 3'!$D$197:$D$198</definedName>
    <definedName name="OSRRefD22_7x_0" localSheetId="73">'Div 4'!$D$72</definedName>
    <definedName name="OSRRefD22_7x_0" localSheetId="96">'Div 5'!$D$52</definedName>
    <definedName name="OSRRefD22_7x_0" localSheetId="64">'Div 6'!$D$91</definedName>
    <definedName name="OSRRefD22_7x_0" localSheetId="2">Summary!$D$229:$D$231</definedName>
    <definedName name="OSRRefD22_8x_0" localSheetId="41">'201'!$D$54</definedName>
    <definedName name="OSRRefD22_8x_0" localSheetId="42">'202'!$D$53</definedName>
    <definedName name="OSRRefD22_8x_0" localSheetId="43">'203'!$D$54</definedName>
    <definedName name="OSRRefD22_8x_0" localSheetId="44">'204'!$D$57</definedName>
    <definedName name="OSRRefD22_8x_0" localSheetId="45">'205'!$D$54</definedName>
    <definedName name="OSRRefD22_8x_0" localSheetId="46">'206'!$D$54</definedName>
    <definedName name="OSRRefD22_8x_0" localSheetId="48">'300'!$D$194</definedName>
    <definedName name="OSRRefD22_8x_0" localSheetId="49">'300 &amp; 317'!$D$218</definedName>
    <definedName name="OSRRefD22_8x_0" localSheetId="50">'301'!$D$57</definedName>
    <definedName name="OSRRefD22_8x_0" localSheetId="51">'306'!$D$56</definedName>
    <definedName name="OSRRefD22_8x_0" localSheetId="53">'307'!$D$101</definedName>
    <definedName name="OSRRefD22_8x_0" localSheetId="55">'308'!$D$96</definedName>
    <definedName name="OSRRefD22_8x_0" localSheetId="67">'309'!$D$59</definedName>
    <definedName name="OSRRefD22_8x_0" localSheetId="66">'310'!$D$68</definedName>
    <definedName name="OSRRefD22_8x_0" localSheetId="74">'310 &amp; 491'!$D$77</definedName>
    <definedName name="OSRRefD22_8x_0" localSheetId="56">'311'!$D$96</definedName>
    <definedName name="OSRRefD22_8x_0" localSheetId="68">'313'!$D$62</definedName>
    <definedName name="OSRRefD22_8x_0" localSheetId="59">'315'!$D$90</definedName>
    <definedName name="OSRRefD22_8x_0" localSheetId="62">'316'!$D$66</definedName>
    <definedName name="OSRRefD22_8x_0" localSheetId="65">'317'!$D$93:$D$94</definedName>
    <definedName name="OSRRefD22_8x_0" localSheetId="63">'320'!$D$62</definedName>
    <definedName name="OSRRefD22_8x_0" localSheetId="69">'321'!$D$58</definedName>
    <definedName name="OSRRefD22_8x_0" localSheetId="70">'322'!$D$59</definedName>
    <definedName name="OSRRefD22_8x_0" localSheetId="71">'325'!$D$61</definedName>
    <definedName name="OSRRefD22_8x_0" localSheetId="60">'326'!$D$86</definedName>
    <definedName name="OSRRefD22_8x_0" localSheetId="52">'330'!$D$110</definedName>
    <definedName name="OSRRefD22_8x_0" localSheetId="58">'331'!$D$103</definedName>
    <definedName name="OSRRefD22_8x_0" localSheetId="61">'332'!$D$75</definedName>
    <definedName name="OSRRefD22_8x_0" localSheetId="76">'405'!$D$61</definedName>
    <definedName name="OSRRefD22_8x_0" localSheetId="77">'406'!$D$60:$D$61</definedName>
    <definedName name="OSRRefD22_8x_0" localSheetId="78">'411'!$D$56</definedName>
    <definedName name="OSRRefD22_8x_0" localSheetId="79">'412'!$D$60:$D$61</definedName>
    <definedName name="OSRRefD22_8x_0" localSheetId="80">'413'!$D$61</definedName>
    <definedName name="OSRRefD22_8x_0" localSheetId="81">'414'!$D$61</definedName>
    <definedName name="OSRRefD22_8x_0" localSheetId="82">'415'!$D$60</definedName>
    <definedName name="OSRRefD22_8x_0" localSheetId="83">'418'!$D$62:$D$63</definedName>
    <definedName name="OSRRefD22_8x_0" localSheetId="86">'424'!$D$59:$D$60</definedName>
    <definedName name="OSRRefD22_8x_0" localSheetId="87">'425'!$D$60</definedName>
    <definedName name="OSRRefD22_8x_0" localSheetId="90">'430'!$D$55</definedName>
    <definedName name="OSRRefD22_8x_0" localSheetId="91">'433'!$D$61</definedName>
    <definedName name="OSRRefD22_8x_0" localSheetId="93">'444'!$D$61</definedName>
    <definedName name="OSRRefD22_8x_0" localSheetId="95">'450'!$D$62</definedName>
    <definedName name="OSRRefD22_8x_0" localSheetId="75">'491'!$D$71</definedName>
    <definedName name="OSRRefD22_8x_0" localSheetId="89">'492'!$D$65</definedName>
    <definedName name="OSRRefD22_8x_0" localSheetId="97">'501'!$D$54</definedName>
    <definedName name="OSRRefD22_8x_0" localSheetId="39">'Div 2'!$D$56</definedName>
    <definedName name="OSRRefD22_8x_0" localSheetId="47">'Div 3'!$D$200</definedName>
    <definedName name="OSRRefD22_8x_0" localSheetId="73">'Div 4'!$D$74</definedName>
    <definedName name="OSRRefD22_8x_0" localSheetId="96">'Div 5'!$D$54</definedName>
    <definedName name="OSRRefD22_8x_0" localSheetId="64">'Div 6'!$D$93:$D$94</definedName>
    <definedName name="OSRRefD22_8x_0" localSheetId="2">Summary!$D$233</definedName>
    <definedName name="OSRRefD22_9x_0" localSheetId="41">'201'!$D$56</definedName>
    <definedName name="OSRRefD22_9x_0" localSheetId="42">'202'!$D$55:$D$57</definedName>
    <definedName name="OSRRefD22_9x_0" localSheetId="43">'203'!$D$56:$D$57</definedName>
    <definedName name="OSRRefD22_9x_0" localSheetId="44">'204'!$D$59</definedName>
    <definedName name="OSRRefD22_9x_0" localSheetId="45">'205'!$D$56</definedName>
    <definedName name="OSRRefD22_9x_0" localSheetId="46">'206'!$D$56</definedName>
    <definedName name="OSRRefD22_9x_0" localSheetId="48">'300'!$D$196</definedName>
    <definedName name="OSRRefD22_9x_0" localSheetId="49">'300 &amp; 317'!$D$220</definedName>
    <definedName name="OSRRefD22_9x_0" localSheetId="50">'301'!$D$59</definedName>
    <definedName name="OSRRefD22_9x_0" localSheetId="53">'307'!$D$103:$D$104</definedName>
    <definedName name="OSRRefD22_9x_0" localSheetId="55">'308'!$D$98:$D$99</definedName>
    <definedName name="OSRRefD22_9x_0" localSheetId="67">'309'!$D$61:$D$62</definedName>
    <definedName name="OSRRefD22_9x_0" localSheetId="66">'310'!$D$70</definedName>
    <definedName name="OSRRefD22_9x_0" localSheetId="74">'310 &amp; 491'!$D$79</definedName>
    <definedName name="OSRRefD22_9x_0" localSheetId="56">'311'!$D$98:$D$99</definedName>
    <definedName name="OSRRefD22_9x_0" localSheetId="68">'313'!$D$64:$D$65</definedName>
    <definedName name="OSRRefD22_9x_0" localSheetId="59">'315'!$D$92</definedName>
    <definedName name="OSRRefD22_9x_0" localSheetId="62">'316'!$D$68</definedName>
    <definedName name="OSRRefD22_9x_0" localSheetId="65">'317'!$D$96:$D$97</definedName>
    <definedName name="OSRRefD22_9x_0" localSheetId="69">'321'!$D$60:$D$61</definedName>
    <definedName name="OSRRefD22_9x_0" localSheetId="70">'322'!$D$61:$D$62</definedName>
    <definedName name="OSRRefD22_9x_0" localSheetId="71">'325'!$D$63</definedName>
    <definedName name="OSRRefD22_9x_0" localSheetId="60">'326'!$D$88</definedName>
    <definedName name="OSRRefD22_9x_0" localSheetId="52">'330'!$D$112:$D$113</definedName>
    <definedName name="OSRRefD22_9x_0" localSheetId="58">'331'!$D$105</definedName>
    <definedName name="OSRRefD22_9x_0" localSheetId="61">'332'!$D$77</definedName>
    <definedName name="OSRRefD22_9x_0" localSheetId="76">'405'!$D$63</definedName>
    <definedName name="OSRRefD22_9x_0" localSheetId="77">'406'!$D$63:$D$65</definedName>
    <definedName name="OSRRefD22_9x_0" localSheetId="78">'411'!$D$58</definedName>
    <definedName name="OSRRefD22_9x_0" localSheetId="79">'412'!$D$63</definedName>
    <definedName name="OSRRefD22_9x_0" localSheetId="80">'413'!$D$63:$D$67</definedName>
    <definedName name="OSRRefD22_9x_0" localSheetId="81">'414'!$D$63</definedName>
    <definedName name="OSRRefD22_9x_0" localSheetId="82">'415'!$D$62</definedName>
    <definedName name="OSRRefD22_9x_0" localSheetId="83">'418'!$D$65:$D$67</definedName>
    <definedName name="OSRRefD22_9x_0" localSheetId="86">'424'!$D$62</definedName>
    <definedName name="OSRRefD22_9x_0" localSheetId="87">'425'!$D$62:$D$64</definedName>
    <definedName name="OSRRefD22_9x_0" localSheetId="90">'430'!$D$57</definedName>
    <definedName name="OSRRefD22_9x_0" localSheetId="91">'433'!$D$63</definedName>
    <definedName name="OSRRefD22_9x_0" localSheetId="93">'444'!$D$63</definedName>
    <definedName name="OSRRefD22_9x_0" localSheetId="95">'450'!$D$64</definedName>
    <definedName name="OSRRefD22_9x_0" localSheetId="75">'491'!$D$73:$D$74</definedName>
    <definedName name="OSRRefD22_9x_0" localSheetId="89">'492'!$D$67</definedName>
    <definedName name="OSRRefD22_9x_0" localSheetId="97">'501'!$D$56</definedName>
    <definedName name="OSRRefD22_9x_0" localSheetId="39">'Div 2'!$D$58</definedName>
    <definedName name="OSRRefD22_9x_0" localSheetId="47">'Div 3'!$D$202</definedName>
    <definedName name="OSRRefD22_9x_0" localSheetId="73">'Div 4'!$D$76</definedName>
    <definedName name="OSRRefD22_9x_0" localSheetId="96">'Div 5'!$D$56</definedName>
    <definedName name="OSRRefD22_9x_0" localSheetId="64">'Div 6'!$D$96:$D$97</definedName>
    <definedName name="OSRRefD22_9x_0" localSheetId="2">Summary!$D$235</definedName>
    <definedName name="OSRRefD22x_0" localSheetId="40">'200'!$D$20,'200'!$D$22,'200'!$D$24,'200'!$D$26:$D$27</definedName>
    <definedName name="OSRRefD22x_0" localSheetId="41">'201'!$D$20:$D$28,'201'!$D$30:$D$39,'201'!$D$41,'201'!$D$43,'201'!$D$45:$D$46,'201'!$D$48,'201'!$D$50,'201'!$D$52,'201'!$D$54,'201'!$D$56,'201'!$D$58:$D$60,'201'!$D$62:$D$64,'201'!$D$66,'201'!$D$68:$D$70,'201'!$D$72,'201'!$D$74,'201'!$D$76</definedName>
    <definedName name="OSRRefD22x_0" localSheetId="42">'202'!$D$20:$D$28,'202'!$D$30:$D$39,'202'!$D$41,'202'!$D$43,'202'!$D$45,'202'!$D$47,'202'!$D$49,'202'!$D$51,'202'!$D$53,'202'!$D$55:$D$57,'202'!$D$59,'202'!$D$61,'202'!$D$63,'202'!$D$65,'202'!$D$67:$D$68,'202'!$D$70,'202'!$D$72</definedName>
    <definedName name="OSRRefD22x_0" localSheetId="43">'203'!$D$20:$D$29,'203'!$D$31:$D$40,'203'!$D$42,'203'!$D$44,'203'!$D$46,'203'!$D$48,'203'!$D$50,'203'!$D$52,'203'!$D$54,'203'!$D$56:$D$57,'203'!$D$59:$D$60,'203'!$D$62,'203'!$D$64:$D$66,'203'!$D$68,'203'!$D$70,'203'!$D$72</definedName>
    <definedName name="OSRRefD22x_0" localSheetId="44">'204'!$D$20:$D$29,'204'!$D$31:$D$40,'204'!$D$42,'204'!$D$44,'204'!$D$46,'204'!$D$48,'204'!$D$50,'204'!$D$52:$D$55,'204'!$D$57,'204'!$D$59,'204'!$D$61:$D$62,'204'!$D$64,'204'!$D$66:$D$67</definedName>
    <definedName name="OSRRefD22x_0" localSheetId="45">'205'!$D$20:$D$28,'205'!$D$30:$D$39,'205'!$D$41,'205'!$D$43,'205'!$D$45,'205'!$D$47,'205'!$D$49,'205'!$D$51:$D$52,'205'!$D$54,'205'!$D$56</definedName>
    <definedName name="OSRRefD22x_0" localSheetId="46">'206'!$D$20:$D$28,'206'!$D$30:$D$39,'206'!$D$41,'206'!$D$43,'206'!$D$45,'206'!$D$47,'206'!$D$49,'206'!$D$51:$D$52,'206'!$D$54,'206'!$D$56,'206'!$D$58</definedName>
    <definedName name="OSRRefD22x_0" localSheetId="48">'300'!$D$155:$D$164,'300'!$D$166:$D$175,'300'!$D$177,'300'!$D$179:$D$180,'300'!$D$182,'300'!$D$184:$D$186,'300'!$D$188:$D$189,'300'!$D$191:$D$192,'300'!$D$194,'300'!$D$196,'300'!$D$198:$D$199,'300'!$D$201,'300'!$D$203,'300'!$D$205,'300'!$D$207,'300'!$D$209,'300'!$D$211:$D$213,'300'!$D$215:$D$218,'300'!$D$220:$D$223,'300'!$D$225:$D$226,'300'!$D$228:$D$234,'300'!$D$236:$D$237,'300'!$D$239,'300'!$D$241:$D$243,'300'!$D$245</definedName>
    <definedName name="OSRRefD22x_0" localSheetId="49">'300 &amp; 317'!$D$179:$D$188,'300 &amp; 317'!$D$190:$D$199,'300 &amp; 317'!$D$201,'300 &amp; 317'!$D$203:$D$204,'300 &amp; 317'!$D$206,'300 &amp; 317'!$D$208:$D$210,'300 &amp; 317'!$D$212:$D$213,'300 &amp; 317'!$D$215:$D$216,'300 &amp; 317'!$D$218,'300 &amp; 317'!$D$220,'300 &amp; 317'!$D$222:$D$223,'300 &amp; 317'!$D$225,'300 &amp; 317'!$D$227,'300 &amp; 317'!$D$229,'300 &amp; 317'!$D$231,'300 &amp; 317'!$D$233,'300 &amp; 317'!$D$235:$D$237,'300 &amp; 317'!$D$239:$D$242,'300 &amp; 317'!$D$244:$D$247,'300 &amp; 317'!$D$249:$D$250,'300 &amp; 317'!$D$252:$D$258,'300 &amp; 317'!$D$260:$D$261,'300 &amp; 317'!$D$263,'300 &amp; 317'!$D$265:$D$267,'300 &amp; 317'!$D$269</definedName>
    <definedName name="OSRRefD22x_0" localSheetId="50">'301'!$D$20:$D$28,'301'!$D$30:$D$39,'301'!$D$41,'301'!$D$43,'301'!$D$45,'301'!$D$47:$D$49,'301'!$D$51:$D$52,'301'!$D$54:$D$55,'301'!$D$57,'301'!$D$59,'301'!$D$61,'301'!$D$63,'301'!$D$65,'301'!$D$67,'301'!$D$69,'301'!$D$71:$D$73,'301'!$D$75:$D$77,'301'!$D$79:$D$80,'301'!$D$82:$D$87,'301'!$D$89,'301'!$D$91,'301'!$D$93:$D$94,'301'!$D$96</definedName>
    <definedName name="OSRRefD22x_0" localSheetId="51">'306'!$D$20:$D$28,'306'!$D$30:$D$39,'306'!$D$41,'306'!$D$43,'306'!$D$45,'306'!$D$47,'306'!$D$49:$D$50,'306'!$D$52:$D$54,'306'!$D$56</definedName>
    <definedName name="OSRRefD22x_0" localSheetId="53">'307'!$D$67:$D$75,'307'!$D$77:$D$86,'307'!$D$88,'307'!$D$90,'307'!$D$92:$D$93,'307'!$D$95,'307'!$D$97,'307'!$D$99,'307'!$D$101,'307'!$D$103:$D$104,'307'!$D$106,'307'!$D$108,'307'!$D$110</definedName>
    <definedName name="OSRRefD22x_0" localSheetId="55">'308'!$D$60:$D$69,'308'!$D$71:$D$80,'308'!$D$82,'308'!$D$84:$D$85,'308'!$D$87,'308'!$D$89,'308'!$D$91:$D$92,'308'!$D$94,'308'!$D$96,'308'!$D$98:$D$99,'308'!$D$101,'308'!$D$103:$D$105,'308'!$D$107:$D$108,'308'!$D$110,'308'!$D$112</definedName>
    <definedName name="OSRRefD22x_0" localSheetId="67">'309'!$D$26:$D$34,'309'!$D$36:$D$45,'309'!$D$47,'309'!$D$49,'309'!$D$51,'309'!$D$53,'309'!$D$55,'309'!$D$57,'309'!$D$59,'309'!$D$61:$D$62,'309'!$D$64:$D$66,'309'!$D$68,'309'!$D$70</definedName>
    <definedName name="OSRRefD22x_0" localSheetId="66">'310'!$D$33:$D$41,'310'!$D$43:$D$52,'310'!$D$54,'310'!$D$56,'310'!$D$58,'310'!$D$60:$D$62,'310'!$D$64,'310'!$D$66,'310'!$D$68,'310'!$D$70,'310'!$D$72,'310'!$D$74,'310'!$D$76,'310'!$D$78,'310'!$D$80,'310'!$D$82:$D$83,'310'!$D$85:$D$86,'310'!$D$88:$D$92,'310'!$D$94,'310'!$D$96:$D$103,'310'!$D$105,'310'!$D$107,'310'!$D$109</definedName>
    <definedName name="OSRRefD22x_0" localSheetId="74">'310 &amp; 491'!$D$40:$D$49,'310 &amp; 491'!$D$51:$D$60,'310 &amp; 491'!$D$62,'310 &amp; 491'!$D$64,'310 &amp; 491'!$D$66,'310 &amp; 491'!$D$68:$D$71,'310 &amp; 491'!$D$73,'310 &amp; 491'!$D$75,'310 &amp; 491'!$D$77,'310 &amp; 491'!$D$79,'310 &amp; 491'!$D$81,'310 &amp; 491'!$D$83:$D$84,'310 &amp; 491'!$D$86,'310 &amp; 491'!$D$88,'310 &amp; 491'!$D$90,'310 &amp; 491'!$D$92,'310 &amp; 491'!$D$94,'310 &amp; 491'!$D$96:$D$99,'310 &amp; 491'!$D$101:$D$103,'310 &amp; 491'!$D$105:$D$110,'310 &amp; 491'!$D$112,'310 &amp; 491'!$D$114:$D$123,'310 &amp; 491'!$D$125:$D$126,'310 &amp; 491'!$D$128,'310 &amp; 491'!$D$130:$D$132,'310 &amp; 491'!$D$134</definedName>
    <definedName name="OSRRefD22x_0" localSheetId="56">'311'!$D$60:$D$69,'311'!$D$71:$D$80,'311'!$D$82,'311'!$D$84:$D$85,'311'!$D$87,'311'!$D$89,'311'!$D$91:$D$92,'311'!$D$94,'311'!$D$96,'311'!$D$98:$D$99,'311'!$D$101,'311'!$D$103:$D$105,'311'!$D$107:$D$108,'311'!$D$110,'311'!$D$112</definedName>
    <definedName name="OSRRefD22x_0" localSheetId="68">'313'!$D$29:$D$37,'313'!$D$39:$D$48,'313'!$D$50,'313'!$D$52,'313'!$D$54,'313'!$D$56,'313'!$D$58,'313'!$D$60,'313'!$D$62,'313'!$D$64:$D$65,'313'!$D$67,'313'!$D$69:$D$73,'313'!$D$75,'313'!$D$77</definedName>
    <definedName name="OSRRefD22x_0" localSheetId="54">'314'!$D$56:$D$63,'314'!$D$65:$D$74,'314'!$D$76,'314'!$D$78:$D$79,'314'!$D$81,'314'!$D$83,'314'!$D$85,'314'!$D$87</definedName>
    <definedName name="OSRRefD22x_0" localSheetId="59">'315'!$D$56:$D$64,'315'!$D$66:$D$75,'315'!$D$77,'315'!$D$79:$D$80,'315'!$D$82,'315'!$D$84,'315'!$D$86,'315'!$D$88,'315'!$D$90,'315'!$D$92,'315'!$D$94:$D$96,'315'!$D$98:$D$99,'315'!$D$101:$D$104,'315'!$D$106,'315'!$D$108,'315'!$D$110</definedName>
    <definedName name="OSRRefD22x_0" localSheetId="62">'316'!$D$33:$D$41,'316'!$D$43:$D$52,'316'!$D$54,'316'!$D$56,'316'!$D$58,'316'!$D$60,'316'!$D$62,'316'!$D$64,'316'!$D$66,'316'!$D$68,'316'!$D$70:$D$71,'316'!$D$73:$D$76,'316'!$D$78:$D$79,'316'!$D$81</definedName>
    <definedName name="OSRRefD22x_0" localSheetId="65">'317'!$D$59:$D$68,'317'!$D$70:$D$79,'317'!$D$81,'317'!$D$83,'317'!$D$85,'317'!$D$87,'317'!$D$89,'317'!$D$91,'317'!$D$93:$D$94,'317'!$D$96:$D$97,'317'!$D$99</definedName>
    <definedName name="OSRRefD22x_0" localSheetId="63">'320'!$D$28:$D$35,'320'!$D$37:$D$46,'320'!$D$48,'320'!$D$50,'320'!$D$52:$D$53,'320'!$D$55,'320'!$D$57,'320'!$D$59:$D$60,'320'!$D$62</definedName>
    <definedName name="OSRRefD22x_0" localSheetId="69">'321'!$D$26:$D$33,'321'!$D$35:$D$44,'321'!$D$46,'321'!$D$48,'321'!$D$50,'321'!$D$52,'321'!$D$54,'321'!$D$56,'321'!$D$58,'321'!$D$60:$D$61,'321'!$D$63:$D$64,'321'!$D$66:$D$68,'321'!$D$70:$D$72,'321'!$D$74,'321'!$D$76</definedName>
    <definedName name="OSRRefD22x_0" localSheetId="70">'322'!$D$26:$D$34,'322'!$D$36:$D$45,'322'!$D$47,'322'!$D$49,'322'!$D$51,'322'!$D$53,'322'!$D$55,'322'!$D$57,'322'!$D$59,'322'!$D$61:$D$62,'322'!$D$64:$D$66,'322'!$D$68:$D$72,'322'!$D$74,'322'!$D$76</definedName>
    <definedName name="OSRRefD22x_0" localSheetId="71">'325'!$D$26:$D$34,'325'!$D$36:$D$45,'325'!$D$47,'325'!$D$49,'325'!$D$51,'325'!$D$53:$D$55,'325'!$D$57,'325'!$D$59,'325'!$D$61,'325'!$D$63,'325'!$D$65,'325'!$D$67:$D$68,'325'!$D$70:$D$73,'325'!$D$75,'325'!$D$77:$D$83,'325'!$D$85,'325'!$D$87,'325'!$D$89</definedName>
    <definedName name="OSRRefD22x_0" localSheetId="60">'326'!$D$52:$D$60,'326'!$D$62:$D$71,'326'!$D$73,'326'!$D$75:$D$76,'326'!$D$78,'326'!$D$80,'326'!$D$82,'326'!$D$84,'326'!$D$86,'326'!$D$88,'326'!$D$90,'326'!$D$92,'326'!$D$94,'326'!$D$96:$D$97,'326'!$D$99:$D$101,'326'!$D$103:$D$104,'326'!$D$106:$D$110,'326'!$D$112:$D$113,'326'!$D$115,'326'!$D$117,'326'!$D$119</definedName>
    <definedName name="OSRRefD22x_0" localSheetId="72">'327'!$D$24</definedName>
    <definedName name="OSRRefD22x_0" localSheetId="52">'330'!$D$76:$D$84,'330'!$D$86:$D$95,'330'!$D$97,'330'!$D$99,'330'!$D$101:$D$102,'330'!$D$104,'330'!$D$106,'330'!$D$108,'330'!$D$110,'330'!$D$112:$D$113,'330'!$D$115,'330'!$D$117,'330'!$D$119,'330'!$D$121</definedName>
    <definedName name="OSRRefD22x_0" localSheetId="58">'331'!$D$68:$D$76,'331'!$D$78:$D$87,'331'!$D$89,'331'!$D$91:$D$92,'331'!$D$94,'331'!$D$96:$D$97,'331'!$D$99,'331'!$D$101,'331'!$D$103,'331'!$D$105,'331'!$D$107,'331'!$D$109,'331'!$D$111,'331'!$D$113,'331'!$D$115:$D$116,'331'!$D$118:$D$120,'331'!$D$122:$D$124,'331'!$D$126:$D$127,'331'!$D$129:$D$133,'331'!$D$135:$D$136,'331'!$D$138,'331'!$D$140,'331'!$D$142</definedName>
    <definedName name="OSRRefD22x_0" localSheetId="61">'332'!$D$41:$D$49,'332'!$D$51:$D$60,'332'!$D$62,'332'!$D$64,'332'!$D$66,'332'!$D$68,'332'!$D$70,'332'!$D$72:$D$73,'332'!$D$75,'332'!$D$77,'332'!$D$79,'332'!$D$81:$D$82,'332'!$D$84:$D$88,'332'!$D$90:$D$91,'332'!$D$93</definedName>
    <definedName name="OSRRefD22x_0" localSheetId="76">'405'!$D$26:$D$34,'405'!$D$36:$D$45,'405'!$D$47,'405'!$D$49,'405'!$D$51,'405'!$D$53:$D$55,'405'!$D$57,'405'!$D$59,'405'!$D$61,'405'!$D$63,'405'!$D$65:$D$67,'405'!$D$69,'405'!$D$71:$D$73,'405'!$D$75,'405'!$D$77:$D$85,'405'!$D$87,'405'!$D$89,'405'!$D$91</definedName>
    <definedName name="OSRRefD22x_0" localSheetId="77">'406'!$D$27:$D$35,'406'!$D$37:$D$46,'406'!$D$48,'406'!$D$50,'406'!$D$52,'406'!$D$54,'406'!$D$56,'406'!$D$58,'406'!$D$60:$D$61,'406'!$D$63:$D$65,'406'!$D$67:$D$72,'406'!$D$74:$D$75,'406'!$D$77,'406'!$D$79</definedName>
    <definedName name="OSRRefD22x_0" localSheetId="78">'411'!$D$20:$D$29,'411'!$D$31:$D$40,'411'!$D$42,'411'!$D$44:$D$46,'411'!$D$48,'411'!$D$50,'411'!$D$52,'411'!$D$54,'411'!$D$56,'411'!$D$58,'411'!$D$60:$D$62,'411'!$D$64:$D$68,'411'!$D$70:$D$76,'411'!$D$78,'411'!$D$80,'411'!$D$82:$D$84,'411'!$D$86</definedName>
    <definedName name="OSRRefD22x_0" localSheetId="79">'412'!$D$26:$D$34,'412'!$D$36:$D$45,'412'!$D$47,'412'!$D$49,'412'!$D$51,'412'!$D$53:$D$54,'412'!$D$56,'412'!$D$58,'412'!$D$60:$D$61,'412'!$D$63,'412'!$D$65:$D$67,'412'!$D$69:$D$74,'412'!$D$76,'412'!$D$78</definedName>
    <definedName name="OSRRefD22x_0" localSheetId="80">'413'!$D$27:$D$35,'413'!$D$37:$D$46,'413'!$D$48,'413'!$D$50,'413'!$D$52,'413'!$D$54,'413'!$D$56,'413'!$D$58:$D$59,'413'!$D$61,'413'!$D$63:$D$67,'413'!$D$69:$D$70,'413'!$D$72</definedName>
    <definedName name="OSRRefD22x_0" localSheetId="81">'414'!$D$27:$D$35,'414'!$D$37:$D$46,'414'!$D$48,'414'!$D$50,'414'!$D$52,'414'!$D$54:$D$55,'414'!$D$57,'414'!$D$59,'414'!$D$61,'414'!$D$63,'414'!$D$65,'414'!$D$67,'414'!$D$69,'414'!$D$71:$D$77,'414'!$D$79,'414'!$D$81</definedName>
    <definedName name="OSRRefD22x_0" localSheetId="82">'415'!$D$26:$D$34,'415'!$D$36:$D$45,'415'!$D$47,'415'!$D$49,'415'!$D$51,'415'!$D$53:$D$54,'415'!$D$56,'415'!$D$58,'415'!$D$60,'415'!$D$62,'415'!$D$64,'415'!$D$66:$D$67,'415'!$D$69:$D$73,'415'!$D$75,'415'!$D$77:$D$84,'415'!$D$86,'415'!$D$88,'415'!$D$90:$D$91,'415'!$D$93</definedName>
    <definedName name="OSRRefD22x_0" localSheetId="83">'418'!$D$27:$D$35,'418'!$D$37:$D$46,'418'!$D$48,'418'!$D$50,'418'!$D$52,'418'!$D$54:$D$56,'418'!$D$58,'418'!$D$60,'418'!$D$62:$D$63,'418'!$D$65:$D$67,'418'!$D$69:$D$71,'418'!$D$73,'418'!$D$75:$D$81,'418'!$D$83,'418'!$D$85,'418'!$D$87</definedName>
    <definedName name="OSRRefD22x_0" localSheetId="84">'420'!$D$20:$D$21,'420'!$D$23</definedName>
    <definedName name="OSRRefD22x_0" localSheetId="85">'423'!$D$21:$D$29,'423'!$D$31:$D$40,'423'!$D$42,'423'!$D$44,'423'!$D$46,'423'!$D$48</definedName>
    <definedName name="OSRRefD22x_0" localSheetId="86">'424'!$D$26:$D$33,'424'!$D$35:$D$44,'424'!$D$46,'424'!$D$48,'424'!$D$50,'424'!$D$52,'424'!$D$54,'424'!$D$56:$D$57,'424'!$D$59:$D$60,'424'!$D$62,'424'!$D$64:$D$66,'424'!$D$68:$D$69</definedName>
    <definedName name="OSRRefD22x_0" localSheetId="87">'425'!$D$27:$D$35,'425'!$D$37:$D$46,'425'!$D$48,'425'!$D$50,'425'!$D$52,'425'!$D$54,'425'!$D$56,'425'!$D$58,'425'!$D$60,'425'!$D$62:$D$64,'425'!$D$66:$D$67,'425'!$D$69:$D$70,'425'!$D$72:$D$76,'425'!$D$78:$D$79,'425'!$D$81,'425'!$D$83</definedName>
    <definedName name="OSRRefD22x_0" localSheetId="90">'430'!$D$20:$D$28,'430'!$D$30:$D$39,'430'!$D$41,'430'!$D$43,'430'!$D$45,'430'!$D$47,'430'!$D$49,'430'!$D$51:$D$53,'430'!$D$55,'430'!$D$57,'430'!$D$59</definedName>
    <definedName name="OSRRefD22x_0" localSheetId="91">'433'!$D$27:$D$36,'433'!$D$38:$D$47,'433'!$D$49,'433'!$D$51,'433'!$D$53,'433'!$D$55,'433'!$D$57,'433'!$D$59,'433'!$D$61,'433'!$D$63,'433'!$D$65:$D$66,'433'!$D$68:$D$71,'433'!$D$73:$D$79,'433'!$D$81,'433'!$D$83,'433'!$D$85:$D$86</definedName>
    <definedName name="OSRRefD22x_0" localSheetId="92">'435'!$D$27:$D$34,'435'!$D$36:$D$45,'435'!$D$47,'435'!$D$49,'435'!$D$51,'435'!$D$53,'435'!$D$55:$D$56,'435'!$D$58</definedName>
    <definedName name="OSRRefD22x_0" localSheetId="93">'444'!$D$27:$D$36,'444'!$D$38:$D$47,'444'!$D$49,'444'!$D$51,'444'!$D$53,'444'!$D$55,'444'!$D$57,'444'!$D$59,'444'!$D$61,'444'!$D$63,'444'!$D$65,'444'!$D$67:$D$69,'444'!$D$71:$D$74,'444'!$D$76:$D$82,'444'!$D$84,'444'!$D$86,'444'!$D$88</definedName>
    <definedName name="OSRRefD22x_0" localSheetId="95">'450'!$D$27:$D$36,'450'!$D$38:$D$47,'450'!$D$49,'450'!$D$51:$D$52,'450'!$D$54,'450'!$D$56,'450'!$D$58,'450'!$D$60,'450'!$D$62,'450'!$D$64,'450'!$D$66,'450'!$D$68:$D$69,'450'!$D$71:$D$73,'450'!$D$75:$D$80,'450'!$D$82,'450'!$D$84,'450'!$D$86:$D$87</definedName>
    <definedName name="OSRRefD22x_0" localSheetId="88">'455'!$D$20:$D$27,'455'!$D$29:$D$38</definedName>
    <definedName name="OSRRefD22x_0" localSheetId="75">'491'!$D$34:$D$43,'491'!$D$45:$D$54,'491'!$D$56,'491'!$D$58,'491'!$D$60,'491'!$D$62:$D$65,'491'!$D$67,'491'!$D$69,'491'!$D$71,'491'!$D$73:$D$74,'491'!$D$76,'491'!$D$78,'491'!$D$80,'491'!$D$82,'491'!$D$84:$D$87,'491'!$D$89:$D$91,'491'!$D$93:$D$97,'491'!$D$99,'491'!$D$101:$D$110,'491'!$D$112:$D$113,'491'!$D$115,'491'!$D$117:$D$119,'491'!$D$121</definedName>
    <definedName name="OSRRefD22x_0" localSheetId="89">'492'!$D$29:$D$38,'492'!$D$40:$D$49,'492'!$D$51,'492'!$D$53:$D$54,'492'!$D$56,'492'!$D$58:$D$59,'492'!$D$61,'492'!$D$63,'492'!$D$65,'492'!$D$67,'492'!$D$69,'492'!$D$71,'492'!$D$73:$D$76,'492'!$D$78:$D$81,'492'!$D$83:$D$91,'492'!$D$93,'492'!$D$95,'492'!$D$97:$D$98</definedName>
    <definedName name="OSRRefD22x_0" localSheetId="97">'501'!$D$21:$D$29,'501'!$D$31:$D$40,'501'!$D$42,'501'!$D$44,'501'!$D$46,'501'!$D$48,'501'!$D$50,'501'!$D$52,'501'!$D$54,'501'!$D$56,'501'!$D$58:$D$59,'501'!$D$61:$D$63,'501'!$D$65</definedName>
    <definedName name="OSRRefD22x_0" localSheetId="39">'Div 2'!$D$20:$D$30,'Div 2'!$D$32:$D$41,'Div 2'!$D$43,'Div 2'!$D$45,'Div 2'!$D$47,'Div 2'!$D$49,'Div 2'!$D$51:$D$52,'Div 2'!$D$54,'Div 2'!$D$56,'Div 2'!$D$58,'Div 2'!$D$60,'Div 2'!$D$62,'Div 2'!$D$64:$D$66,'Div 2'!$D$68:$D$71,'Div 2'!$D$73:$D$76,'Div 2'!$D$78:$D$79,'Div 2'!$D$81:$D$82,'Div 2'!$D$84:$D$87,'Div 2'!$D$89:$D$90,'Div 2'!$D$92,'Div 2'!$D$94:$D$95</definedName>
    <definedName name="OSRRefD22x_0" localSheetId="47">'Div 3'!$D$161:$D$170,'Div 3'!$D$172:$D$181,'Div 3'!$D$183,'Div 3'!$D$185:$D$186,'Div 3'!$D$188,'Div 3'!$D$190:$D$192,'Div 3'!$D$194:$D$195,'Div 3'!$D$197:$D$198,'Div 3'!$D$200,'Div 3'!$D$202,'Div 3'!$D$204:$D$205,'Div 3'!$D$207,'Div 3'!$D$209,'Div 3'!$D$211,'Div 3'!$D$213,'Div 3'!$D$215,'Div 3'!$D$217,'Div 3'!$D$219,'Div 3'!$D$221:$D$223,'Div 3'!$D$225:$D$228,'Div 3'!$D$230:$D$235,'Div 3'!$D$237:$D$238,'Div 3'!$D$240:$D$247,'Div 3'!$D$249:$D$250,'Div 3'!$D$252,'Div 3'!$D$254:$D$256,'Div 3'!$D$258</definedName>
    <definedName name="OSRRefD22x_0" localSheetId="73">'Div 4'!$D$35:$D$44,'Div 4'!$D$46:$D$55,'Div 4'!$D$57,'Div 4'!$D$59:$D$60,'Div 4'!$D$62,'Div 4'!$D$64:$D$67,'Div 4'!$D$69:$D$70,'Div 4'!$D$72,'Div 4'!$D$74,'Div 4'!$D$76,'Div 4'!$D$78:$D$79,'Div 4'!$D$81,'Div 4'!$D$83,'Div 4'!$D$85,'Div 4'!$D$87,'Div 4'!$D$89,'Div 4'!$D$91:$D$94,'Div 4'!$D$96:$D$98,'Div 4'!$D$100:$D$104,'Div 4'!$D$106,'Div 4'!$D$108:$D$117,'Div 4'!$D$119:$D$120,'Div 4'!$D$122,'Div 4'!$D$124:$D$126,'Div 4'!$D$128</definedName>
    <definedName name="OSRRefD22x_0" localSheetId="96">'Div 5'!$D$21:$D$29,'Div 5'!$D$31:$D$40,'Div 5'!$D$42,'Div 5'!$D$44,'Div 5'!$D$46,'Div 5'!$D$48,'Div 5'!$D$50,'Div 5'!$D$52,'Div 5'!$D$54,'Div 5'!$D$56,'Div 5'!$D$58:$D$59,'Div 5'!$D$61:$D$63,'Div 5'!$D$65</definedName>
    <definedName name="OSRRefD22x_0" localSheetId="64">'Div 6'!$D$59:$D$68,'Div 6'!$D$70:$D$79,'Div 6'!$D$81,'Div 6'!$D$83,'Div 6'!$D$85,'Div 6'!$D$87,'Div 6'!$D$89,'Div 6'!$D$91,'Div 6'!$D$93:$D$94,'Div 6'!$D$96:$D$97,'Div 6'!$D$99</definedName>
    <definedName name="OSRRefD22x_0" localSheetId="2">Summary!$D$192:$D$201,Summary!$D$203:$D$212,Summary!$D$214,Summary!$D$216:$D$217,Summary!$D$219,Summary!$D$221:$D$224,Summary!$D$226:$D$227,Summary!$D$229:$D$231,Summary!$D$233,Summary!$D$235,Summary!$D$237:$D$238,Summary!$D$240:$D$241,Summary!$D$243,Summary!$D$245,Summary!$D$247,Summary!$D$249,Summary!$D$251,Summary!$D$253,Summary!$D$255:$D$258,Summary!$D$260:$D$263,Summary!$D$265:$D$270,Summary!$D$272:$D$273,Summary!$D$275:$D$284,Summary!$D$286:$D$287,Summary!$D$289,Summary!$D$291:$D$293,Summary!$D$295</definedName>
    <definedName name="OSRRefD25x_0" localSheetId="48">'300'!$D$248:$D$254</definedName>
    <definedName name="OSRRefD25x_0" localSheetId="49">'300 &amp; 317'!$D$272:$D$280</definedName>
    <definedName name="OSRRefD25x_0" localSheetId="50">'301'!$D$99:$D$101</definedName>
    <definedName name="OSRRefD25x_0" localSheetId="55">'308'!$D$115:$D$118</definedName>
    <definedName name="OSRRefD25x_0" localSheetId="74">'310 &amp; 491'!$D$137:$D$140</definedName>
    <definedName name="OSRRefD25x_0" localSheetId="56">'311'!$D$115:$D$118</definedName>
    <definedName name="OSRRefD25x_0" localSheetId="59">'315'!$D$113:$D$115</definedName>
    <definedName name="OSRRefD25x_0" localSheetId="62">'316'!$D$84:$D$85</definedName>
    <definedName name="OSRRefD25x_0" localSheetId="65">'317'!$D$102:$D$104</definedName>
    <definedName name="OSRRefD25x_0" localSheetId="63">'320'!$D$65:$D$68</definedName>
    <definedName name="OSRRefD25x_0" localSheetId="58">'331'!$D$145:$D$147</definedName>
    <definedName name="OSRRefD25x_0" localSheetId="61">'332'!$D$96:$D$101</definedName>
    <definedName name="OSRRefD25x_0" localSheetId="78">'411'!$D$89:$D$90</definedName>
    <definedName name="OSRRefD25x_0" localSheetId="80">'413'!$D$75</definedName>
    <definedName name="OSRRefD25x_0" localSheetId="85">'423'!$D$51</definedName>
    <definedName name="OSRRefD25x_0" localSheetId="86">'424'!$D$72</definedName>
    <definedName name="OSRRefD25x_0" localSheetId="87">'425'!$D$86</definedName>
    <definedName name="OSRRefD25x_0" localSheetId="88">'455'!$D$41:$D$44</definedName>
    <definedName name="OSRRefD25x_0" localSheetId="75">'491'!$D$124:$D$127</definedName>
    <definedName name="OSRRefD25x_0" localSheetId="97">'501'!$D$68</definedName>
    <definedName name="OSRRefD25x_0" localSheetId="47">'Div 3'!$D$261:$D$267</definedName>
    <definedName name="OSRRefD25x_0" localSheetId="73">'Div 4'!$D$131:$D$134</definedName>
    <definedName name="OSRRefD25x_0" localSheetId="96">'Div 5'!$D$68</definedName>
    <definedName name="OSRRefD25x_0" localSheetId="64">'Div 6'!$D$102:$D$104</definedName>
    <definedName name="OSRRefD25x_0" localSheetId="2">Summary!$D$298:$D$307</definedName>
    <definedName name="OSRRefH13x_0" localSheetId="48">'300'!$H$13:$H$99</definedName>
    <definedName name="OSRRefH13x_0" localSheetId="49">'300 &amp; 317'!$H$13:$H$116</definedName>
    <definedName name="OSRRefH13x_0" localSheetId="53">'307'!$H$13:$H$41</definedName>
    <definedName name="OSRRefH13x_0" localSheetId="55">'308'!$H$13:$H$38</definedName>
    <definedName name="OSRRefH13x_0" localSheetId="67">'309'!$H$13:$H$15</definedName>
    <definedName name="OSRRefH13x_0" localSheetId="66">'310'!$H$13:$H$22</definedName>
    <definedName name="OSRRefH13x_0" localSheetId="74">'310 &amp; 491'!$H$13:$H$29</definedName>
    <definedName name="OSRRefH13x_0" localSheetId="56">'311'!$H$13:$H$38</definedName>
    <definedName name="OSRRefH13x_0" localSheetId="68">'313'!$H$13:$H$18</definedName>
    <definedName name="OSRRefH13x_0" localSheetId="54">'314'!$H$13:$H$33</definedName>
    <definedName name="OSRRefH13x_0" localSheetId="59">'315'!$H$13:$H$33</definedName>
    <definedName name="OSRRefH13x_0" localSheetId="62">'316'!$H$13:$H$25</definedName>
    <definedName name="OSRRefH13x_0" localSheetId="65">'317'!$H$13:$H$37</definedName>
    <definedName name="OSRRefH13x_0" localSheetId="63">'320'!$H$13:$H$15</definedName>
    <definedName name="OSRRefH13x_0" localSheetId="69">'321'!$H$13:$H$15</definedName>
    <definedName name="OSRRefH13x_0" localSheetId="70">'322'!$H$13:$H$15</definedName>
    <definedName name="OSRRefH13x_0" localSheetId="57">'324'!$H$13:$H$15</definedName>
    <definedName name="OSRRefH13x_0" localSheetId="71">'325'!$H$13:$H$15</definedName>
    <definedName name="OSRRefH13x_0" localSheetId="60">'326'!$H$13:$H$30</definedName>
    <definedName name="OSRRefH13x_0" localSheetId="72">'327'!$H$13:$H$14</definedName>
    <definedName name="OSRRefH13x_0" localSheetId="52">'330'!$H$13:$H$46</definedName>
    <definedName name="OSRRefH13x_0" localSheetId="58">'331'!$H$13:$H$39</definedName>
    <definedName name="OSRRefH13x_0" localSheetId="61">'332'!$H$13:$H$28</definedName>
    <definedName name="OSRRefH13x_0" localSheetId="76">'405'!$H$13:$H$15</definedName>
    <definedName name="OSRRefH13x_0" localSheetId="77">'406'!$H$13:$H$16</definedName>
    <definedName name="OSRRefH13x_0" localSheetId="79">'412'!$H$13:$H$16</definedName>
    <definedName name="OSRRefH13x_0" localSheetId="80">'413'!$H$13:$H$16</definedName>
    <definedName name="OSRRefH13x_0" localSheetId="81">'414'!$H$13:$H$16</definedName>
    <definedName name="OSRRefH13x_0" localSheetId="82">'415'!$H$13:$H$15</definedName>
    <definedName name="OSRRefH13x_0" localSheetId="83">'418'!$H$13:$H$16</definedName>
    <definedName name="OSRRefH13x_0" localSheetId="86">'424'!$H$13:$H$15</definedName>
    <definedName name="OSRRefH13x_0" localSheetId="87">'425'!$H$13:$H$16</definedName>
    <definedName name="OSRRefH13x_0" localSheetId="91">'433'!$H$13:$H$16</definedName>
    <definedName name="OSRRefH13x_0" localSheetId="92">'435'!$H$13:$H$16</definedName>
    <definedName name="OSRRefH13x_0" localSheetId="93">'444'!$H$13:$H$16</definedName>
    <definedName name="OSRRefH13x_0" localSheetId="95">'450'!$H$13:$H$16</definedName>
    <definedName name="OSRRefH13x_0" localSheetId="75">'491'!$H$13:$H$23</definedName>
    <definedName name="OSRRefH13x_0" localSheetId="89">'492'!$H$13:$H$18</definedName>
    <definedName name="OSRRefH13x_0" localSheetId="97">'501'!$H$13</definedName>
    <definedName name="OSRRefH13x_0" localSheetId="47">'Div 3'!$H$13:$H$103</definedName>
    <definedName name="OSRRefH13x_0" localSheetId="73">'Div 4'!$H$13:$H$24</definedName>
    <definedName name="OSRRefH13x_0" localSheetId="96">'Div 5'!$H$13</definedName>
    <definedName name="OSRRefH13x_0" localSheetId="64">'Div 6'!$H$13:$H$37</definedName>
    <definedName name="OSRRefH13x_0" localSheetId="2">Summary!$H$13:$H$127</definedName>
    <definedName name="OSRRefH16x_0" localSheetId="48">'300'!$H$102:$H$149</definedName>
    <definedName name="OSRRefH16x_0" localSheetId="49">'300 &amp; 317'!$H$119:$H$173</definedName>
    <definedName name="OSRRefH16x_0" localSheetId="53">'307'!$H$44:$H$61</definedName>
    <definedName name="OSRRefH16x_0" localSheetId="55">'308'!$H$41:$H$54</definedName>
    <definedName name="OSRRefH16x_0" localSheetId="67">'309'!$H$18:$H$20</definedName>
    <definedName name="OSRRefH16x_0" localSheetId="66">'310'!$H$25:$H$27</definedName>
    <definedName name="OSRRefH16x_0" localSheetId="74">'310 &amp; 491'!$H$32:$H$34</definedName>
    <definedName name="OSRRefH16x_0" localSheetId="56">'311'!$H$41:$H$54</definedName>
    <definedName name="OSRRefH16x_0" localSheetId="68">'313'!$H$21:$H$23</definedName>
    <definedName name="OSRRefH16x_0" localSheetId="54">'314'!$H$36:$H$50</definedName>
    <definedName name="OSRRefH16x_0" localSheetId="59">'315'!$H$36:$H$50</definedName>
    <definedName name="OSRRefH16x_0" localSheetId="65">'317'!$H$40:$H$53</definedName>
    <definedName name="OSRRefH16x_0" localSheetId="63">'320'!$H$18:$H$22</definedName>
    <definedName name="OSRRefH16x_0" localSheetId="69">'321'!$H$18:$H$20</definedName>
    <definedName name="OSRRefH16x_0" localSheetId="70">'322'!$H$18:$H$20</definedName>
    <definedName name="OSRRefH16x_0" localSheetId="57">'324'!$H$18:$H$20</definedName>
    <definedName name="OSRRefH16x_0" localSheetId="71">'325'!$H$18:$H$20</definedName>
    <definedName name="OSRRefH16x_0" localSheetId="60">'326'!$H$33:$H$46</definedName>
    <definedName name="OSRRefH16x_0" localSheetId="72">'327'!$H$17:$H$18</definedName>
    <definedName name="OSRRefH16x_0" localSheetId="52">'330'!$H$49:$H$70</definedName>
    <definedName name="OSRRefH16x_0" localSheetId="58">'331'!$H$42:$H$62</definedName>
    <definedName name="OSRRefH16x_0" localSheetId="61">'332'!$H$31:$H$35</definedName>
    <definedName name="OSRRefH16x_0" localSheetId="76">'405'!$H$18:$H$20</definedName>
    <definedName name="OSRRefH16x_0" localSheetId="77">'406'!$H$19:$H$21</definedName>
    <definedName name="OSRRefH16x_0" localSheetId="79">'412'!$H$19:$H$20</definedName>
    <definedName name="OSRRefH16x_0" localSheetId="80">'413'!$H$19:$H$21</definedName>
    <definedName name="OSRRefH16x_0" localSheetId="81">'414'!$H$19:$H$21</definedName>
    <definedName name="OSRRefH16x_0" localSheetId="82">'415'!$H$18:$H$20</definedName>
    <definedName name="OSRRefH16x_0" localSheetId="83">'418'!$H$19:$H$21</definedName>
    <definedName name="OSRRefH16x_0" localSheetId="85">'423'!$H$15</definedName>
    <definedName name="OSRRefH16x_0" localSheetId="86">'424'!$H$18:$H$20</definedName>
    <definedName name="OSRRefH16x_0" localSheetId="87">'425'!$H$19:$H$21</definedName>
    <definedName name="OSRRefH16x_0" localSheetId="91">'433'!$H$19:$H$21</definedName>
    <definedName name="OSRRefH16x_0" localSheetId="92">'435'!$H$19:$H$21</definedName>
    <definedName name="OSRRefH16x_0" localSheetId="93">'444'!$H$19:$H$21</definedName>
    <definedName name="OSRRefH16x_0" localSheetId="95">'450'!$H$19:$H$21</definedName>
    <definedName name="OSRRefH16x_0" localSheetId="75">'491'!$H$26:$H$28</definedName>
    <definedName name="OSRRefH16x_0" localSheetId="89">'492'!$H$21:$H$23</definedName>
    <definedName name="OSRRefH16x_0" localSheetId="47">'Div 3'!$H$106:$H$155</definedName>
    <definedName name="OSRRefH16x_0" localSheetId="73">'Div 4'!$H$27:$H$29</definedName>
    <definedName name="OSRRefH16x_0" localSheetId="64">'Div 6'!$H$40:$H$53</definedName>
    <definedName name="OSRRefH16x_0" localSheetId="2">Summary!$H$130:$H$186</definedName>
    <definedName name="OSRRefH22_0x_0" localSheetId="40">'200'!$H$20</definedName>
    <definedName name="OSRRefH22_0x_0" localSheetId="41">'201'!$H$20:$H$28</definedName>
    <definedName name="OSRRefH22_0x_0" localSheetId="42">'202'!$H$20:$H$28</definedName>
    <definedName name="OSRRefH22_0x_0" localSheetId="43">'203'!$H$20:$H$29</definedName>
    <definedName name="OSRRefH22_0x_0" localSheetId="44">'204'!$H$20:$H$29</definedName>
    <definedName name="OSRRefH22_0x_0" localSheetId="45">'205'!$H$20:$H$28</definedName>
    <definedName name="OSRRefH22_0x_0" localSheetId="46">'206'!$H$20:$H$28</definedName>
    <definedName name="OSRRefH22_0x_0" localSheetId="48">'300'!$H$155:$H$164</definedName>
    <definedName name="OSRRefH22_0x_0" localSheetId="49">'300 &amp; 317'!$H$179:$H$188</definedName>
    <definedName name="OSRRefH22_0x_0" localSheetId="50">'301'!$H$20:$H$28</definedName>
    <definedName name="OSRRefH22_0x_0" localSheetId="51">'306'!$H$20:$H$28</definedName>
    <definedName name="OSRRefH22_0x_0" localSheetId="53">'307'!$H$67:$H$75</definedName>
    <definedName name="OSRRefH22_0x_0" localSheetId="55">'308'!$H$60:$H$69</definedName>
    <definedName name="OSRRefH22_0x_0" localSheetId="67">'309'!$H$26:$H$34</definedName>
    <definedName name="OSRRefH22_0x_0" localSheetId="66">'310'!$H$33:$H$41</definedName>
    <definedName name="OSRRefH22_0x_0" localSheetId="74">'310 &amp; 491'!$H$40:$H$49</definedName>
    <definedName name="OSRRefH22_0x_0" localSheetId="56">'311'!$H$60:$H$69</definedName>
    <definedName name="OSRRefH22_0x_0" localSheetId="68">'313'!$H$29:$H$37</definedName>
    <definedName name="OSRRefH22_0x_0" localSheetId="54">'314'!$H$56:$H$63</definedName>
    <definedName name="OSRRefH22_0x_0" localSheetId="59">'315'!$H$56:$H$64</definedName>
    <definedName name="OSRRefH22_0x_0" localSheetId="62">'316'!$H$33:$H$41</definedName>
    <definedName name="OSRRefH22_0x_0" localSheetId="65">'317'!$H$59:$H$68</definedName>
    <definedName name="OSRRefH22_0x_0" localSheetId="63">'320'!$H$28:$H$35</definedName>
    <definedName name="OSRRefH22_0x_0" localSheetId="69">'321'!$H$26:$H$33</definedName>
    <definedName name="OSRRefH22_0x_0" localSheetId="70">'322'!$H$26:$H$34</definedName>
    <definedName name="OSRRefH22_0x_0" localSheetId="71">'325'!$H$26:$H$34</definedName>
    <definedName name="OSRRefH22_0x_0" localSheetId="60">'326'!$H$52:$H$60</definedName>
    <definedName name="OSRRefH22_0x_0" localSheetId="72">'327'!$H$24</definedName>
    <definedName name="OSRRefH22_0x_0" localSheetId="52">'330'!$H$76:$H$84</definedName>
    <definedName name="OSRRefH22_0x_0" localSheetId="58">'331'!$H$68:$H$76</definedName>
    <definedName name="OSRRefH22_0x_0" localSheetId="61">'332'!$H$41:$H$49</definedName>
    <definedName name="OSRRefH22_0x_0" localSheetId="76">'405'!$H$26:$H$34</definedName>
    <definedName name="OSRRefH22_0x_0" localSheetId="77">'406'!$H$27:$H$35</definedName>
    <definedName name="OSRRefH22_0x_0" localSheetId="78">'411'!$H$20:$H$29</definedName>
    <definedName name="OSRRefH22_0x_0" localSheetId="79">'412'!$H$26:$H$34</definedName>
    <definedName name="OSRRefH22_0x_0" localSheetId="80">'413'!$H$27:$H$35</definedName>
    <definedName name="OSRRefH22_0x_0" localSheetId="81">'414'!$H$27:$H$35</definedName>
    <definedName name="OSRRefH22_0x_0" localSheetId="82">'415'!$H$26:$H$34</definedName>
    <definedName name="OSRRefH22_0x_0" localSheetId="83">'418'!$H$27:$H$35</definedName>
    <definedName name="OSRRefH22_0x_0" localSheetId="84">'420'!$H$20:$H$21</definedName>
    <definedName name="OSRRefH22_0x_0" localSheetId="85">'423'!$H$21:$H$29</definedName>
    <definedName name="OSRRefH22_0x_0" localSheetId="86">'424'!$H$26:$H$33</definedName>
    <definedName name="OSRRefH22_0x_0" localSheetId="87">'425'!$H$27:$H$35</definedName>
    <definedName name="OSRRefH22_0x_0" localSheetId="90">'430'!$H$20:$H$28</definedName>
    <definedName name="OSRRefH22_0x_0" localSheetId="91">'433'!$H$27:$H$36</definedName>
    <definedName name="OSRRefH22_0x_0" localSheetId="92">'435'!$H$27:$H$34</definedName>
    <definedName name="OSRRefH22_0x_0" localSheetId="93">'444'!$H$27:$H$36</definedName>
    <definedName name="OSRRefH22_0x_0" localSheetId="95">'450'!$H$27:$H$36</definedName>
    <definedName name="OSRRefH22_0x_0" localSheetId="88">'455'!$H$20:$H$27</definedName>
    <definedName name="OSRRefH22_0x_0" localSheetId="75">'491'!$H$34:$H$43</definedName>
    <definedName name="OSRRefH22_0x_0" localSheetId="89">'492'!$H$29:$H$38</definedName>
    <definedName name="OSRRefH22_0x_0" localSheetId="97">'501'!$H$21:$H$29</definedName>
    <definedName name="OSRRefH22_0x_0" localSheetId="39">'Div 2'!$H$20:$H$30</definedName>
    <definedName name="OSRRefH22_0x_0" localSheetId="47">'Div 3'!$H$161:$H$170</definedName>
    <definedName name="OSRRefH22_0x_0" localSheetId="73">'Div 4'!$H$35:$H$44</definedName>
    <definedName name="OSRRefH22_0x_0" localSheetId="96">'Div 5'!$H$21:$H$29</definedName>
    <definedName name="OSRRefH22_0x_0" localSheetId="64">'Div 6'!$H$59:$H$68</definedName>
    <definedName name="OSRRefH22_0x_0" localSheetId="2">Summary!$H$192:$H$201</definedName>
    <definedName name="OSRRefH22_10x_0" localSheetId="41">'201'!$H$58:$H$60</definedName>
    <definedName name="OSRRefH22_10x_0" localSheetId="42">'202'!$H$59</definedName>
    <definedName name="OSRRefH22_10x_0" localSheetId="43">'203'!$H$59:$H$60</definedName>
    <definedName name="OSRRefH22_10x_0" localSheetId="44">'204'!$H$61:$H$62</definedName>
    <definedName name="OSRRefH22_10x_0" localSheetId="46">'206'!$H$58</definedName>
    <definedName name="OSRRefH22_10x_0" localSheetId="48">'300'!$H$198:$H$199</definedName>
    <definedName name="OSRRefH22_10x_0" localSheetId="49">'300 &amp; 317'!$H$222:$H$223</definedName>
    <definedName name="OSRRefH22_10x_0" localSheetId="50">'301'!$H$61</definedName>
    <definedName name="OSRRefH22_10x_0" localSheetId="53">'307'!$H$106</definedName>
    <definedName name="OSRRefH22_10x_0" localSheetId="55">'308'!$H$101</definedName>
    <definedName name="OSRRefH22_10x_0" localSheetId="67">'309'!$H$64:$H$66</definedName>
    <definedName name="OSRRefH22_10x_0" localSheetId="66">'310'!$H$72</definedName>
    <definedName name="OSRRefH22_10x_0" localSheetId="74">'310 &amp; 491'!$H$81</definedName>
    <definedName name="OSRRefH22_10x_0" localSheetId="56">'311'!$H$101</definedName>
    <definedName name="OSRRefH22_10x_0" localSheetId="68">'313'!$H$67</definedName>
    <definedName name="OSRRefH22_10x_0" localSheetId="59">'315'!$H$94:$H$96</definedName>
    <definedName name="OSRRefH22_10x_0" localSheetId="62">'316'!$H$70:$H$71</definedName>
    <definedName name="OSRRefH22_10x_0" localSheetId="65">'317'!$H$99</definedName>
    <definedName name="OSRRefH22_10x_0" localSheetId="69">'321'!$H$63:$H$64</definedName>
    <definedName name="OSRRefH22_10x_0" localSheetId="70">'322'!$H$64:$H$66</definedName>
    <definedName name="OSRRefH22_10x_0" localSheetId="71">'325'!$H$65</definedName>
    <definedName name="OSRRefH22_10x_0" localSheetId="60">'326'!$H$90</definedName>
    <definedName name="OSRRefH22_10x_0" localSheetId="52">'330'!$H$115</definedName>
    <definedName name="OSRRefH22_10x_0" localSheetId="58">'331'!$H$107</definedName>
    <definedName name="OSRRefH22_10x_0" localSheetId="61">'332'!$H$79</definedName>
    <definedName name="OSRRefH22_10x_0" localSheetId="76">'405'!$H$65:$H$67</definedName>
    <definedName name="OSRRefH22_10x_0" localSheetId="77">'406'!$H$67:$H$72</definedName>
    <definedName name="OSRRefH22_10x_0" localSheetId="78">'411'!$H$60:$H$62</definedName>
    <definedName name="OSRRefH22_10x_0" localSheetId="79">'412'!$H$65:$H$67</definedName>
    <definedName name="OSRRefH22_10x_0" localSheetId="80">'413'!$H$69:$H$70</definedName>
    <definedName name="OSRRefH22_10x_0" localSheetId="81">'414'!$H$65</definedName>
    <definedName name="OSRRefH22_10x_0" localSheetId="82">'415'!$H$64</definedName>
    <definedName name="OSRRefH22_10x_0" localSheetId="83">'418'!$H$69:$H$71</definedName>
    <definedName name="OSRRefH22_10x_0" localSheetId="86">'424'!$H$64:$H$66</definedName>
    <definedName name="OSRRefH22_10x_0" localSheetId="87">'425'!$H$66:$H$67</definedName>
    <definedName name="OSRRefH22_10x_0" localSheetId="90">'430'!$H$59</definedName>
    <definedName name="OSRRefH22_10x_0" localSheetId="91">'433'!$H$65:$H$66</definedName>
    <definedName name="OSRRefH22_10x_0" localSheetId="93">'444'!$H$65</definedName>
    <definedName name="OSRRefH22_10x_0" localSheetId="95">'450'!$H$66</definedName>
    <definedName name="OSRRefH22_10x_0" localSheetId="75">'491'!$H$76</definedName>
    <definedName name="OSRRefH22_10x_0" localSheetId="89">'492'!$H$69</definedName>
    <definedName name="OSRRefH22_10x_0" localSheetId="97">'501'!$H$58:$H$59</definedName>
    <definedName name="OSRRefH22_10x_0" localSheetId="39">'Div 2'!$H$60</definedName>
    <definedName name="OSRRefH22_10x_0" localSheetId="47">'Div 3'!$H$204:$H$205</definedName>
    <definedName name="OSRRefH22_10x_0" localSheetId="73">'Div 4'!$H$78:$H$79</definedName>
    <definedName name="OSRRefH22_10x_0" localSheetId="96">'Div 5'!$H$58:$H$59</definedName>
    <definedName name="OSRRefH22_10x_0" localSheetId="64">'Div 6'!$H$99</definedName>
    <definedName name="OSRRefH22_10x_0" localSheetId="2">Summary!$H$237:$H$238</definedName>
    <definedName name="OSRRefH22_11x_0" localSheetId="41">'201'!$H$62:$H$64</definedName>
    <definedName name="OSRRefH22_11x_0" localSheetId="42">'202'!$H$61</definedName>
    <definedName name="OSRRefH22_11x_0" localSheetId="43">'203'!$H$62</definedName>
    <definedName name="OSRRefH22_11x_0" localSheetId="44">'204'!$H$64</definedName>
    <definedName name="OSRRefH22_11x_0" localSheetId="48">'300'!$H$201</definedName>
    <definedName name="OSRRefH22_11x_0" localSheetId="49">'300 &amp; 317'!$H$225</definedName>
    <definedName name="OSRRefH22_11x_0" localSheetId="50">'301'!$H$63</definedName>
    <definedName name="OSRRefH22_11x_0" localSheetId="53">'307'!$H$108</definedName>
    <definedName name="OSRRefH22_11x_0" localSheetId="55">'308'!$H$103:$H$105</definedName>
    <definedName name="OSRRefH22_11x_0" localSheetId="67">'309'!$H$68</definedName>
    <definedName name="OSRRefH22_11x_0" localSheetId="66">'310'!$H$74</definedName>
    <definedName name="OSRRefH22_11x_0" localSheetId="74">'310 &amp; 491'!$H$83:$H$84</definedName>
    <definedName name="OSRRefH22_11x_0" localSheetId="56">'311'!$H$103:$H$105</definedName>
    <definedName name="OSRRefH22_11x_0" localSheetId="68">'313'!$H$69:$H$73</definedName>
    <definedName name="OSRRefH22_11x_0" localSheetId="59">'315'!$H$98:$H$99</definedName>
    <definedName name="OSRRefH22_11x_0" localSheetId="62">'316'!$H$73:$H$76</definedName>
    <definedName name="OSRRefH22_11x_0" localSheetId="69">'321'!$H$66:$H$68</definedName>
    <definedName name="OSRRefH22_11x_0" localSheetId="70">'322'!$H$68:$H$72</definedName>
    <definedName name="OSRRefH22_11x_0" localSheetId="71">'325'!$H$67:$H$68</definedName>
    <definedName name="OSRRefH22_11x_0" localSheetId="60">'326'!$H$92</definedName>
    <definedName name="OSRRefH22_11x_0" localSheetId="52">'330'!$H$117</definedName>
    <definedName name="OSRRefH22_11x_0" localSheetId="58">'331'!$H$109</definedName>
    <definedName name="OSRRefH22_11x_0" localSheetId="61">'332'!$H$81:$H$82</definedName>
    <definedName name="OSRRefH22_11x_0" localSheetId="76">'405'!$H$69</definedName>
    <definedName name="OSRRefH22_11x_0" localSheetId="77">'406'!$H$74:$H$75</definedName>
    <definedName name="OSRRefH22_11x_0" localSheetId="78">'411'!$H$64:$H$68</definedName>
    <definedName name="OSRRefH22_11x_0" localSheetId="79">'412'!$H$69:$H$74</definedName>
    <definedName name="OSRRefH22_11x_0" localSheetId="80">'413'!$H$72</definedName>
    <definedName name="OSRRefH22_11x_0" localSheetId="81">'414'!$H$67</definedName>
    <definedName name="OSRRefH22_11x_0" localSheetId="82">'415'!$H$66:$H$67</definedName>
    <definedName name="OSRRefH22_11x_0" localSheetId="83">'418'!$H$73</definedName>
    <definedName name="OSRRefH22_11x_0" localSheetId="86">'424'!$H$68:$H$69</definedName>
    <definedName name="OSRRefH22_11x_0" localSheetId="87">'425'!$H$69:$H$70</definedName>
    <definedName name="OSRRefH22_11x_0" localSheetId="91">'433'!$H$68:$H$71</definedName>
    <definedName name="OSRRefH22_11x_0" localSheetId="93">'444'!$H$67:$H$69</definedName>
    <definedName name="OSRRefH22_11x_0" localSheetId="95">'450'!$H$68:$H$69</definedName>
    <definedName name="OSRRefH22_11x_0" localSheetId="75">'491'!$H$78</definedName>
    <definedName name="OSRRefH22_11x_0" localSheetId="89">'492'!$H$71</definedName>
    <definedName name="OSRRefH22_11x_0" localSheetId="97">'501'!$H$61:$H$63</definedName>
    <definedName name="OSRRefH22_11x_0" localSheetId="39">'Div 2'!$H$62</definedName>
    <definedName name="OSRRefH22_11x_0" localSheetId="47">'Div 3'!$H$207</definedName>
    <definedName name="OSRRefH22_11x_0" localSheetId="73">'Div 4'!$H$81</definedName>
    <definedName name="OSRRefH22_11x_0" localSheetId="96">'Div 5'!$H$61:$H$63</definedName>
    <definedName name="OSRRefH22_11x_0" localSheetId="2">Summary!$H$240:$H$241</definedName>
    <definedName name="OSRRefH22_12x_0" localSheetId="41">'201'!$H$66</definedName>
    <definedName name="OSRRefH22_12x_0" localSheetId="42">'202'!$H$63</definedName>
    <definedName name="OSRRefH22_12x_0" localSheetId="43">'203'!$H$64:$H$66</definedName>
    <definedName name="OSRRefH22_12x_0" localSheetId="44">'204'!$H$66:$H$67</definedName>
    <definedName name="OSRRefH22_12x_0" localSheetId="48">'300'!$H$203</definedName>
    <definedName name="OSRRefH22_12x_0" localSheetId="49">'300 &amp; 317'!$H$227</definedName>
    <definedName name="OSRRefH22_12x_0" localSheetId="50">'301'!$H$65</definedName>
    <definedName name="OSRRefH22_12x_0" localSheetId="53">'307'!$H$110</definedName>
    <definedName name="OSRRefH22_12x_0" localSheetId="55">'308'!$H$107:$H$108</definedName>
    <definedName name="OSRRefH22_12x_0" localSheetId="67">'309'!$H$70</definedName>
    <definedName name="OSRRefH22_12x_0" localSheetId="66">'310'!$H$76</definedName>
    <definedName name="OSRRefH22_12x_0" localSheetId="74">'310 &amp; 491'!$H$86</definedName>
    <definedName name="OSRRefH22_12x_0" localSheetId="56">'311'!$H$107:$H$108</definedName>
    <definedName name="OSRRefH22_12x_0" localSheetId="68">'313'!$H$75</definedName>
    <definedName name="OSRRefH22_12x_0" localSheetId="59">'315'!$H$101:$H$104</definedName>
    <definedName name="OSRRefH22_12x_0" localSheetId="62">'316'!$H$78:$H$79</definedName>
    <definedName name="OSRRefH22_12x_0" localSheetId="69">'321'!$H$70:$H$72</definedName>
    <definedName name="OSRRefH22_12x_0" localSheetId="70">'322'!$H$74</definedName>
    <definedName name="OSRRefH22_12x_0" localSheetId="71">'325'!$H$70:$H$73</definedName>
    <definedName name="OSRRefH22_12x_0" localSheetId="60">'326'!$H$94</definedName>
    <definedName name="OSRRefH22_12x_0" localSheetId="52">'330'!$H$119</definedName>
    <definedName name="OSRRefH22_12x_0" localSheetId="58">'331'!$H$111</definedName>
    <definedName name="OSRRefH22_12x_0" localSheetId="61">'332'!$H$84:$H$88</definedName>
    <definedName name="OSRRefH22_12x_0" localSheetId="76">'405'!$H$71:$H$73</definedName>
    <definedName name="OSRRefH22_12x_0" localSheetId="77">'406'!$H$77</definedName>
    <definedName name="OSRRefH22_12x_0" localSheetId="78">'411'!$H$70:$H$76</definedName>
    <definedName name="OSRRefH22_12x_0" localSheetId="79">'412'!$H$76</definedName>
    <definedName name="OSRRefH22_12x_0" localSheetId="81">'414'!$H$69</definedName>
    <definedName name="OSRRefH22_12x_0" localSheetId="82">'415'!$H$69:$H$73</definedName>
    <definedName name="OSRRefH22_12x_0" localSheetId="83">'418'!$H$75:$H$81</definedName>
    <definedName name="OSRRefH22_12x_0" localSheetId="87">'425'!$H$72:$H$76</definedName>
    <definedName name="OSRRefH22_12x_0" localSheetId="91">'433'!$H$73:$H$79</definedName>
    <definedName name="OSRRefH22_12x_0" localSheetId="93">'444'!$H$71:$H$74</definedName>
    <definedName name="OSRRefH22_12x_0" localSheetId="95">'450'!$H$71:$H$73</definedName>
    <definedName name="OSRRefH22_12x_0" localSheetId="75">'491'!$H$80</definedName>
    <definedName name="OSRRefH22_12x_0" localSheetId="89">'492'!$H$73:$H$76</definedName>
    <definedName name="OSRRefH22_12x_0" localSheetId="97">'501'!$H$65</definedName>
    <definedName name="OSRRefH22_12x_0" localSheetId="39">'Div 2'!$H$64:$H$66</definedName>
    <definedName name="OSRRefH22_12x_0" localSheetId="47">'Div 3'!$H$209</definedName>
    <definedName name="OSRRefH22_12x_0" localSheetId="73">'Div 4'!$H$83</definedName>
    <definedName name="OSRRefH22_12x_0" localSheetId="96">'Div 5'!$H$65</definedName>
    <definedName name="OSRRefH22_12x_0" localSheetId="2">Summary!$H$243</definedName>
    <definedName name="OSRRefH22_13x_0" localSheetId="41">'201'!$H$68:$H$70</definedName>
    <definedName name="OSRRefH22_13x_0" localSheetId="42">'202'!$H$65</definedName>
    <definedName name="OSRRefH22_13x_0" localSheetId="43">'203'!$H$68</definedName>
    <definedName name="OSRRefH22_13x_0" localSheetId="48">'300'!$H$205</definedName>
    <definedName name="OSRRefH22_13x_0" localSheetId="49">'300 &amp; 317'!$H$229</definedName>
    <definedName name="OSRRefH22_13x_0" localSheetId="50">'301'!$H$67</definedName>
    <definedName name="OSRRefH22_13x_0" localSheetId="55">'308'!$H$110</definedName>
    <definedName name="OSRRefH22_13x_0" localSheetId="66">'310'!$H$78</definedName>
    <definedName name="OSRRefH22_13x_0" localSheetId="74">'310 &amp; 491'!$H$88</definedName>
    <definedName name="OSRRefH22_13x_0" localSheetId="56">'311'!$H$110</definedName>
    <definedName name="OSRRefH22_13x_0" localSheetId="68">'313'!$H$77</definedName>
    <definedName name="OSRRefH22_13x_0" localSheetId="59">'315'!$H$106</definedName>
    <definedName name="OSRRefH22_13x_0" localSheetId="62">'316'!$H$81</definedName>
    <definedName name="OSRRefH22_13x_0" localSheetId="69">'321'!$H$74</definedName>
    <definedName name="OSRRefH22_13x_0" localSheetId="70">'322'!$H$76</definedName>
    <definedName name="OSRRefH22_13x_0" localSheetId="71">'325'!$H$75</definedName>
    <definedName name="OSRRefH22_13x_0" localSheetId="60">'326'!$H$96:$H$97</definedName>
    <definedName name="OSRRefH22_13x_0" localSheetId="52">'330'!$H$121</definedName>
    <definedName name="OSRRefH22_13x_0" localSheetId="58">'331'!$H$113</definedName>
    <definedName name="OSRRefH22_13x_0" localSheetId="61">'332'!$H$90:$H$91</definedName>
    <definedName name="OSRRefH22_13x_0" localSheetId="76">'405'!$H$75</definedName>
    <definedName name="OSRRefH22_13x_0" localSheetId="77">'406'!$H$79</definedName>
    <definedName name="OSRRefH22_13x_0" localSheetId="78">'411'!$H$78</definedName>
    <definedName name="OSRRefH22_13x_0" localSheetId="79">'412'!$H$78</definedName>
    <definedName name="OSRRefH22_13x_0" localSheetId="81">'414'!$H$71:$H$77</definedName>
    <definedName name="OSRRefH22_13x_0" localSheetId="82">'415'!$H$75</definedName>
    <definedName name="OSRRefH22_13x_0" localSheetId="83">'418'!$H$83</definedName>
    <definedName name="OSRRefH22_13x_0" localSheetId="87">'425'!$H$78:$H$79</definedName>
    <definedName name="OSRRefH22_13x_0" localSheetId="91">'433'!$H$81</definedName>
    <definedName name="OSRRefH22_13x_0" localSheetId="93">'444'!$H$76:$H$82</definedName>
    <definedName name="OSRRefH22_13x_0" localSheetId="95">'450'!$H$75:$H$80</definedName>
    <definedName name="OSRRefH22_13x_0" localSheetId="75">'491'!$H$82</definedName>
    <definedName name="OSRRefH22_13x_0" localSheetId="89">'492'!$H$78:$H$81</definedName>
    <definedName name="OSRRefH22_13x_0" localSheetId="39">'Div 2'!$H$68:$H$71</definedName>
    <definedName name="OSRRefH22_13x_0" localSheetId="47">'Div 3'!$H$211</definedName>
    <definedName name="OSRRefH22_13x_0" localSheetId="73">'Div 4'!$H$85</definedName>
    <definedName name="OSRRefH22_13x_0" localSheetId="2">Summary!$H$245</definedName>
    <definedName name="OSRRefH22_14x_0" localSheetId="41">'201'!$H$72</definedName>
    <definedName name="OSRRefH22_14x_0" localSheetId="42">'202'!$H$67:$H$68</definedName>
    <definedName name="OSRRefH22_14x_0" localSheetId="43">'203'!$H$70</definedName>
    <definedName name="OSRRefH22_14x_0" localSheetId="48">'300'!$H$207</definedName>
    <definedName name="OSRRefH22_14x_0" localSheetId="49">'300 &amp; 317'!$H$231</definedName>
    <definedName name="OSRRefH22_14x_0" localSheetId="50">'301'!$H$69</definedName>
    <definedName name="OSRRefH22_14x_0" localSheetId="55">'308'!$H$112</definedName>
    <definedName name="OSRRefH22_14x_0" localSheetId="66">'310'!$H$80</definedName>
    <definedName name="OSRRefH22_14x_0" localSheetId="74">'310 &amp; 491'!$H$90</definedName>
    <definedName name="OSRRefH22_14x_0" localSheetId="56">'311'!$H$112</definedName>
    <definedName name="OSRRefH22_14x_0" localSheetId="59">'315'!$H$108</definedName>
    <definedName name="OSRRefH22_14x_0" localSheetId="69">'321'!$H$76</definedName>
    <definedName name="OSRRefH22_14x_0" localSheetId="71">'325'!$H$77:$H$83</definedName>
    <definedName name="OSRRefH22_14x_0" localSheetId="60">'326'!$H$99:$H$101</definedName>
    <definedName name="OSRRefH22_14x_0" localSheetId="58">'331'!$H$115:$H$116</definedName>
    <definedName name="OSRRefH22_14x_0" localSheetId="61">'332'!$H$93</definedName>
    <definedName name="OSRRefH22_14x_0" localSheetId="76">'405'!$H$77:$H$85</definedName>
    <definedName name="OSRRefH22_14x_0" localSheetId="78">'411'!$H$80</definedName>
    <definedName name="OSRRefH22_14x_0" localSheetId="81">'414'!$H$79</definedName>
    <definedName name="OSRRefH22_14x_0" localSheetId="82">'415'!$H$77:$H$84</definedName>
    <definedName name="OSRRefH22_14x_0" localSheetId="83">'418'!$H$85</definedName>
    <definedName name="OSRRefH22_14x_0" localSheetId="87">'425'!$H$81</definedName>
    <definedName name="OSRRefH22_14x_0" localSheetId="91">'433'!$H$83</definedName>
    <definedName name="OSRRefH22_14x_0" localSheetId="93">'444'!$H$84</definedName>
    <definedName name="OSRRefH22_14x_0" localSheetId="95">'450'!$H$82</definedName>
    <definedName name="OSRRefH22_14x_0" localSheetId="75">'491'!$H$84:$H$87</definedName>
    <definedName name="OSRRefH22_14x_0" localSheetId="89">'492'!$H$83:$H$91</definedName>
    <definedName name="OSRRefH22_14x_0" localSheetId="39">'Div 2'!$H$73:$H$76</definedName>
    <definedName name="OSRRefH22_14x_0" localSheetId="47">'Div 3'!$H$213</definedName>
    <definedName name="OSRRefH22_14x_0" localSheetId="73">'Div 4'!$H$87</definedName>
    <definedName name="OSRRefH22_14x_0" localSheetId="2">Summary!$H$247</definedName>
    <definedName name="OSRRefH22_15x_0" localSheetId="41">'201'!$H$74</definedName>
    <definedName name="OSRRefH22_15x_0" localSheetId="42">'202'!$H$70</definedName>
    <definedName name="OSRRefH22_15x_0" localSheetId="43">'203'!$H$72</definedName>
    <definedName name="OSRRefH22_15x_0" localSheetId="48">'300'!$H$209</definedName>
    <definedName name="OSRRefH22_15x_0" localSheetId="49">'300 &amp; 317'!$H$233</definedName>
    <definedName name="OSRRefH22_15x_0" localSheetId="50">'301'!$H$71:$H$73</definedName>
    <definedName name="OSRRefH22_15x_0" localSheetId="66">'310'!$H$82:$H$83</definedName>
    <definedName name="OSRRefH22_15x_0" localSheetId="74">'310 &amp; 491'!$H$92</definedName>
    <definedName name="OSRRefH22_15x_0" localSheetId="59">'315'!$H$110</definedName>
    <definedName name="OSRRefH22_15x_0" localSheetId="71">'325'!$H$85</definedName>
    <definedName name="OSRRefH22_15x_0" localSheetId="60">'326'!$H$103:$H$104</definedName>
    <definedName name="OSRRefH22_15x_0" localSheetId="58">'331'!$H$118:$H$120</definedName>
    <definedName name="OSRRefH22_15x_0" localSheetId="76">'405'!$H$87</definedName>
    <definedName name="OSRRefH22_15x_0" localSheetId="78">'411'!$H$82:$H$84</definedName>
    <definedName name="OSRRefH22_15x_0" localSheetId="81">'414'!$H$81</definedName>
    <definedName name="OSRRefH22_15x_0" localSheetId="82">'415'!$H$86</definedName>
    <definedName name="OSRRefH22_15x_0" localSheetId="83">'418'!$H$87</definedName>
    <definedName name="OSRRefH22_15x_0" localSheetId="87">'425'!$H$83</definedName>
    <definedName name="OSRRefH22_15x_0" localSheetId="91">'433'!$H$85:$H$86</definedName>
    <definedName name="OSRRefH22_15x_0" localSheetId="93">'444'!$H$86</definedName>
    <definedName name="OSRRefH22_15x_0" localSheetId="95">'450'!$H$84</definedName>
    <definedName name="OSRRefH22_15x_0" localSheetId="75">'491'!$H$89:$H$91</definedName>
    <definedName name="OSRRefH22_15x_0" localSheetId="89">'492'!$H$93</definedName>
    <definedName name="OSRRefH22_15x_0" localSheetId="39">'Div 2'!$H$78:$H$79</definedName>
    <definedName name="OSRRefH22_15x_0" localSheetId="47">'Div 3'!$H$215</definedName>
    <definedName name="OSRRefH22_15x_0" localSheetId="73">'Div 4'!$H$89</definedName>
    <definedName name="OSRRefH22_15x_0" localSheetId="2">Summary!$H$249</definedName>
    <definedName name="OSRRefH22_16x_0" localSheetId="41">'201'!$H$76</definedName>
    <definedName name="OSRRefH22_16x_0" localSheetId="42">'202'!$H$72</definedName>
    <definedName name="OSRRefH22_16x_0" localSheetId="48">'300'!$H$211:$H$213</definedName>
    <definedName name="OSRRefH22_16x_0" localSheetId="49">'300 &amp; 317'!$H$235:$H$237</definedName>
    <definedName name="OSRRefH22_16x_0" localSheetId="50">'301'!$H$75:$H$77</definedName>
    <definedName name="OSRRefH22_16x_0" localSheetId="66">'310'!$H$85:$H$86</definedName>
    <definedName name="OSRRefH22_16x_0" localSheetId="74">'310 &amp; 491'!$H$94</definedName>
    <definedName name="OSRRefH22_16x_0" localSheetId="71">'325'!$H$87</definedName>
    <definedName name="OSRRefH22_16x_0" localSheetId="60">'326'!$H$106:$H$110</definedName>
    <definedName name="OSRRefH22_16x_0" localSheetId="58">'331'!$H$122:$H$124</definedName>
    <definedName name="OSRRefH22_16x_0" localSheetId="76">'405'!$H$89</definedName>
    <definedName name="OSRRefH22_16x_0" localSheetId="78">'411'!$H$86</definedName>
    <definedName name="OSRRefH22_16x_0" localSheetId="82">'415'!$H$88</definedName>
    <definedName name="OSRRefH22_16x_0" localSheetId="93">'444'!$H$88</definedName>
    <definedName name="OSRRefH22_16x_0" localSheetId="95">'450'!$H$86:$H$87</definedName>
    <definedName name="OSRRefH22_16x_0" localSheetId="75">'491'!$H$93:$H$97</definedName>
    <definedName name="OSRRefH22_16x_0" localSheetId="89">'492'!$H$95</definedName>
    <definedName name="OSRRefH22_16x_0" localSheetId="39">'Div 2'!$H$81:$H$82</definedName>
    <definedName name="OSRRefH22_16x_0" localSheetId="47">'Div 3'!$H$217</definedName>
    <definedName name="OSRRefH22_16x_0" localSheetId="73">'Div 4'!$H$91:$H$94</definedName>
    <definedName name="OSRRefH22_16x_0" localSheetId="2">Summary!$H$251</definedName>
    <definedName name="OSRRefH22_17x_0" localSheetId="48">'300'!$H$215:$H$218</definedName>
    <definedName name="OSRRefH22_17x_0" localSheetId="49">'300 &amp; 317'!$H$239:$H$242</definedName>
    <definedName name="OSRRefH22_17x_0" localSheetId="50">'301'!$H$79:$H$80</definedName>
    <definedName name="OSRRefH22_17x_0" localSheetId="66">'310'!$H$88:$H$92</definedName>
    <definedName name="OSRRefH22_17x_0" localSheetId="74">'310 &amp; 491'!$H$96:$H$99</definedName>
    <definedName name="OSRRefH22_17x_0" localSheetId="71">'325'!$H$89</definedName>
    <definedName name="OSRRefH22_17x_0" localSheetId="60">'326'!$H$112:$H$113</definedName>
    <definedName name="OSRRefH22_17x_0" localSheetId="58">'331'!$H$126:$H$127</definedName>
    <definedName name="OSRRefH22_17x_0" localSheetId="76">'405'!$H$91</definedName>
    <definedName name="OSRRefH22_17x_0" localSheetId="82">'415'!$H$90:$H$91</definedName>
    <definedName name="OSRRefH22_17x_0" localSheetId="75">'491'!$H$99</definedName>
    <definedName name="OSRRefH22_17x_0" localSheetId="89">'492'!$H$97:$H$98</definedName>
    <definedName name="OSRRefH22_17x_0" localSheetId="39">'Div 2'!$H$84:$H$87</definedName>
    <definedName name="OSRRefH22_17x_0" localSheetId="47">'Div 3'!$H$219</definedName>
    <definedName name="OSRRefH22_17x_0" localSheetId="73">'Div 4'!$H$96:$H$98</definedName>
    <definedName name="OSRRefH22_17x_0" localSheetId="2">Summary!$H$253</definedName>
    <definedName name="OSRRefH22_18x_0" localSheetId="48">'300'!$H$220:$H$223</definedName>
    <definedName name="OSRRefH22_18x_0" localSheetId="49">'300 &amp; 317'!$H$244:$H$247</definedName>
    <definedName name="OSRRefH22_18x_0" localSheetId="50">'301'!$H$82:$H$87</definedName>
    <definedName name="OSRRefH22_18x_0" localSheetId="66">'310'!$H$94</definedName>
    <definedName name="OSRRefH22_18x_0" localSheetId="74">'310 &amp; 491'!$H$101:$H$103</definedName>
    <definedName name="OSRRefH22_18x_0" localSheetId="60">'326'!$H$115</definedName>
    <definedName name="OSRRefH22_18x_0" localSheetId="58">'331'!$H$129:$H$133</definedName>
    <definedName name="OSRRefH22_18x_0" localSheetId="82">'415'!$H$93</definedName>
    <definedName name="OSRRefH22_18x_0" localSheetId="75">'491'!$H$101:$H$110</definedName>
    <definedName name="OSRRefH22_18x_0" localSheetId="39">'Div 2'!$H$89:$H$90</definedName>
    <definedName name="OSRRefH22_18x_0" localSheetId="47">'Div 3'!$H$221:$H$223</definedName>
    <definedName name="OSRRefH22_18x_0" localSheetId="73">'Div 4'!$H$100:$H$104</definedName>
    <definedName name="OSRRefH22_18x_0" localSheetId="2">Summary!$H$255:$H$258</definedName>
    <definedName name="OSRRefH22_19x_0" localSheetId="48">'300'!$H$225:$H$226</definedName>
    <definedName name="OSRRefH22_19x_0" localSheetId="49">'300 &amp; 317'!$H$249:$H$250</definedName>
    <definedName name="OSRRefH22_19x_0" localSheetId="50">'301'!$H$89</definedName>
    <definedName name="OSRRefH22_19x_0" localSheetId="66">'310'!$H$96:$H$103</definedName>
    <definedName name="OSRRefH22_19x_0" localSheetId="74">'310 &amp; 491'!$H$105:$H$110</definedName>
    <definedName name="OSRRefH22_19x_0" localSheetId="60">'326'!$H$117</definedName>
    <definedName name="OSRRefH22_19x_0" localSheetId="58">'331'!$H$135:$H$136</definedName>
    <definedName name="OSRRefH22_19x_0" localSheetId="75">'491'!$H$112:$H$113</definedName>
    <definedName name="OSRRefH22_19x_0" localSheetId="39">'Div 2'!$H$92</definedName>
    <definedName name="OSRRefH22_19x_0" localSheetId="47">'Div 3'!$H$225:$H$228</definedName>
    <definedName name="OSRRefH22_19x_0" localSheetId="73">'Div 4'!$H$106</definedName>
    <definedName name="OSRRefH22_19x_0" localSheetId="2">Summary!$H$260:$H$263</definedName>
    <definedName name="OSRRefH22_1x_0" localSheetId="40">'200'!$H$22</definedName>
    <definedName name="OSRRefH22_1x_0" localSheetId="41">'201'!$H$30:$H$39</definedName>
    <definedName name="OSRRefH22_1x_0" localSheetId="42">'202'!$H$30:$H$39</definedName>
    <definedName name="OSRRefH22_1x_0" localSheetId="43">'203'!$H$31:$H$40</definedName>
    <definedName name="OSRRefH22_1x_0" localSheetId="44">'204'!$H$31:$H$40</definedName>
    <definedName name="OSRRefH22_1x_0" localSheetId="45">'205'!$H$30:$H$39</definedName>
    <definedName name="OSRRefH22_1x_0" localSheetId="46">'206'!$H$30:$H$39</definedName>
    <definedName name="OSRRefH22_1x_0" localSheetId="48">'300'!$H$166:$H$175</definedName>
    <definedName name="OSRRefH22_1x_0" localSheetId="49">'300 &amp; 317'!$H$190:$H$199</definedName>
    <definedName name="OSRRefH22_1x_0" localSheetId="50">'301'!$H$30:$H$39</definedName>
    <definedName name="OSRRefH22_1x_0" localSheetId="51">'306'!$H$30:$H$39</definedName>
    <definedName name="OSRRefH22_1x_0" localSheetId="53">'307'!$H$77:$H$86</definedName>
    <definedName name="OSRRefH22_1x_0" localSheetId="55">'308'!$H$71:$H$80</definedName>
    <definedName name="OSRRefH22_1x_0" localSheetId="67">'309'!$H$36:$H$45</definedName>
    <definedName name="OSRRefH22_1x_0" localSheetId="66">'310'!$H$43:$H$52</definedName>
    <definedName name="OSRRefH22_1x_0" localSheetId="74">'310 &amp; 491'!$H$51:$H$60</definedName>
    <definedName name="OSRRefH22_1x_0" localSheetId="56">'311'!$H$71:$H$80</definedName>
    <definedName name="OSRRefH22_1x_0" localSheetId="68">'313'!$H$39:$H$48</definedName>
    <definedName name="OSRRefH22_1x_0" localSheetId="54">'314'!$H$65:$H$74</definedName>
    <definedName name="OSRRefH22_1x_0" localSheetId="59">'315'!$H$66:$H$75</definedName>
    <definedName name="OSRRefH22_1x_0" localSheetId="62">'316'!$H$43:$H$52</definedName>
    <definedName name="OSRRefH22_1x_0" localSheetId="65">'317'!$H$70:$H$79</definedName>
    <definedName name="OSRRefH22_1x_0" localSheetId="63">'320'!$H$37:$H$46</definedName>
    <definedName name="OSRRefH22_1x_0" localSheetId="69">'321'!$H$35:$H$44</definedName>
    <definedName name="OSRRefH22_1x_0" localSheetId="70">'322'!$H$36:$H$45</definedName>
    <definedName name="OSRRefH22_1x_0" localSheetId="71">'325'!$H$36:$H$45</definedName>
    <definedName name="OSRRefH22_1x_0" localSheetId="60">'326'!$H$62:$H$71</definedName>
    <definedName name="OSRRefH22_1x_0" localSheetId="52">'330'!$H$86:$H$95</definedName>
    <definedName name="OSRRefH22_1x_0" localSheetId="58">'331'!$H$78:$H$87</definedName>
    <definedName name="OSRRefH22_1x_0" localSheetId="61">'332'!$H$51:$H$60</definedName>
    <definedName name="OSRRefH22_1x_0" localSheetId="76">'405'!$H$36:$H$45</definedName>
    <definedName name="OSRRefH22_1x_0" localSheetId="77">'406'!$H$37:$H$46</definedName>
    <definedName name="OSRRefH22_1x_0" localSheetId="78">'411'!$H$31:$H$40</definedName>
    <definedName name="OSRRefH22_1x_0" localSheetId="79">'412'!$H$36:$H$45</definedName>
    <definedName name="OSRRefH22_1x_0" localSheetId="80">'413'!$H$37:$H$46</definedName>
    <definedName name="OSRRefH22_1x_0" localSheetId="81">'414'!$H$37:$H$46</definedName>
    <definedName name="OSRRefH22_1x_0" localSheetId="82">'415'!$H$36:$H$45</definedName>
    <definedName name="OSRRefH22_1x_0" localSheetId="83">'418'!$H$37:$H$46</definedName>
    <definedName name="OSRRefH22_1x_0" localSheetId="84">'420'!$H$23</definedName>
    <definedName name="OSRRefH22_1x_0" localSheetId="85">'423'!$H$31:$H$40</definedName>
    <definedName name="OSRRefH22_1x_0" localSheetId="86">'424'!$H$35:$H$44</definedName>
    <definedName name="OSRRefH22_1x_0" localSheetId="87">'425'!$H$37:$H$46</definedName>
    <definedName name="OSRRefH22_1x_0" localSheetId="90">'430'!$H$30:$H$39</definedName>
    <definedName name="OSRRefH22_1x_0" localSheetId="91">'433'!$H$38:$H$47</definedName>
    <definedName name="OSRRefH22_1x_0" localSheetId="92">'435'!$H$36:$H$45</definedName>
    <definedName name="OSRRefH22_1x_0" localSheetId="93">'444'!$H$38:$H$47</definedName>
    <definedName name="OSRRefH22_1x_0" localSheetId="95">'450'!$H$38:$H$47</definedName>
    <definedName name="OSRRefH22_1x_0" localSheetId="88">'455'!$H$29:$H$38</definedName>
    <definedName name="OSRRefH22_1x_0" localSheetId="75">'491'!$H$45:$H$54</definedName>
    <definedName name="OSRRefH22_1x_0" localSheetId="89">'492'!$H$40:$H$49</definedName>
    <definedName name="OSRRefH22_1x_0" localSheetId="97">'501'!$H$31:$H$40</definedName>
    <definedName name="OSRRefH22_1x_0" localSheetId="39">'Div 2'!$H$32:$H$41</definedName>
    <definedName name="OSRRefH22_1x_0" localSheetId="47">'Div 3'!$H$172:$H$181</definedName>
    <definedName name="OSRRefH22_1x_0" localSheetId="73">'Div 4'!$H$46:$H$55</definedName>
    <definedName name="OSRRefH22_1x_0" localSheetId="96">'Div 5'!$H$31:$H$40</definedName>
    <definedName name="OSRRefH22_1x_0" localSheetId="64">'Div 6'!$H$70:$H$79</definedName>
    <definedName name="OSRRefH22_1x_0" localSheetId="2">Summary!$H$203:$H$212</definedName>
    <definedName name="OSRRefH22_20x_0" localSheetId="48">'300'!$H$228:$H$234</definedName>
    <definedName name="OSRRefH22_20x_0" localSheetId="49">'300 &amp; 317'!$H$252:$H$258</definedName>
    <definedName name="OSRRefH22_20x_0" localSheetId="50">'301'!$H$91</definedName>
    <definedName name="OSRRefH22_20x_0" localSheetId="66">'310'!$H$105</definedName>
    <definedName name="OSRRefH22_20x_0" localSheetId="74">'310 &amp; 491'!$H$112</definedName>
    <definedName name="OSRRefH22_20x_0" localSheetId="60">'326'!$H$119</definedName>
    <definedName name="OSRRefH22_20x_0" localSheetId="58">'331'!$H$138</definedName>
    <definedName name="OSRRefH22_20x_0" localSheetId="75">'491'!$H$115</definedName>
    <definedName name="OSRRefH22_20x_0" localSheetId="39">'Div 2'!$H$94:$H$95</definedName>
    <definedName name="OSRRefH22_20x_0" localSheetId="47">'Div 3'!$H$230:$H$235</definedName>
    <definedName name="OSRRefH22_20x_0" localSheetId="73">'Div 4'!$H$108:$H$117</definedName>
    <definedName name="OSRRefH22_20x_0" localSheetId="2">Summary!$H$265:$H$270</definedName>
    <definedName name="OSRRefH22_21x_0" localSheetId="48">'300'!$H$236:$H$237</definedName>
    <definedName name="OSRRefH22_21x_0" localSheetId="49">'300 &amp; 317'!$H$260:$H$261</definedName>
    <definedName name="OSRRefH22_21x_0" localSheetId="50">'301'!$H$93:$H$94</definedName>
    <definedName name="OSRRefH22_21x_0" localSheetId="66">'310'!$H$107</definedName>
    <definedName name="OSRRefH22_21x_0" localSheetId="74">'310 &amp; 491'!$H$114:$H$123</definedName>
    <definedName name="OSRRefH22_21x_0" localSheetId="58">'331'!$H$140</definedName>
    <definedName name="OSRRefH22_21x_0" localSheetId="75">'491'!$H$117:$H$119</definedName>
    <definedName name="OSRRefH22_21x_0" localSheetId="47">'Div 3'!$H$237:$H$238</definedName>
    <definedName name="OSRRefH22_21x_0" localSheetId="73">'Div 4'!$H$119:$H$120</definedName>
    <definedName name="OSRRefH22_21x_0" localSheetId="2">Summary!$H$272:$H$273</definedName>
    <definedName name="OSRRefH22_22x_0" localSheetId="48">'300'!$H$239</definedName>
    <definedName name="OSRRefH22_22x_0" localSheetId="49">'300 &amp; 317'!$H$263</definedName>
    <definedName name="OSRRefH22_22x_0" localSheetId="50">'301'!$H$96</definedName>
    <definedName name="OSRRefH22_22x_0" localSheetId="66">'310'!$H$109</definedName>
    <definedName name="OSRRefH22_22x_0" localSheetId="74">'310 &amp; 491'!$H$125:$H$126</definedName>
    <definedName name="OSRRefH22_22x_0" localSheetId="58">'331'!$H$142</definedName>
    <definedName name="OSRRefH22_22x_0" localSheetId="75">'491'!$H$121</definedName>
    <definedName name="OSRRefH22_22x_0" localSheetId="47">'Div 3'!$H$240:$H$247</definedName>
    <definedName name="OSRRefH22_22x_0" localSheetId="73">'Div 4'!$H$122</definedName>
    <definedName name="OSRRefH22_22x_0" localSheetId="2">Summary!$H$275:$H$284</definedName>
    <definedName name="OSRRefH22_23x_0" localSheetId="48">'300'!$H$241:$H$243</definedName>
    <definedName name="OSRRefH22_23x_0" localSheetId="49">'300 &amp; 317'!$H$265:$H$267</definedName>
    <definedName name="OSRRefH22_23x_0" localSheetId="74">'310 &amp; 491'!$H$128</definedName>
    <definedName name="OSRRefH22_23x_0" localSheetId="47">'Div 3'!$H$249:$H$250</definedName>
    <definedName name="OSRRefH22_23x_0" localSheetId="73">'Div 4'!$H$124:$H$126</definedName>
    <definedName name="OSRRefH22_23x_0" localSheetId="2">Summary!$H$286:$H$287</definedName>
    <definedName name="OSRRefH22_24x_0" localSheetId="48">'300'!$H$245</definedName>
    <definedName name="OSRRefH22_24x_0" localSheetId="49">'300 &amp; 317'!$H$269</definedName>
    <definedName name="OSRRefH22_24x_0" localSheetId="74">'310 &amp; 491'!$H$130:$H$132</definedName>
    <definedName name="OSRRefH22_24x_0" localSheetId="47">'Div 3'!$H$252</definedName>
    <definedName name="OSRRefH22_24x_0" localSheetId="73">'Div 4'!$H$128</definedName>
    <definedName name="OSRRefH22_24x_0" localSheetId="2">Summary!$H$289</definedName>
    <definedName name="OSRRefH22_25x_0" localSheetId="74">'310 &amp; 491'!$H$134</definedName>
    <definedName name="OSRRefH22_25x_0" localSheetId="47">'Div 3'!$H$254:$H$256</definedName>
    <definedName name="OSRRefH22_25x_0" localSheetId="2">Summary!$H$291:$H$293</definedName>
    <definedName name="OSRRefH22_26x_0" localSheetId="47">'Div 3'!$H$258</definedName>
    <definedName name="OSRRefH22_26x_0" localSheetId="2">Summary!$H$295</definedName>
    <definedName name="OSRRefH22_2x_0" localSheetId="40">'200'!$H$24</definedName>
    <definedName name="OSRRefH22_2x_0" localSheetId="41">'201'!$H$41</definedName>
    <definedName name="OSRRefH22_2x_0" localSheetId="42">'202'!$H$41</definedName>
    <definedName name="OSRRefH22_2x_0" localSheetId="43">'203'!$H$42</definedName>
    <definedName name="OSRRefH22_2x_0" localSheetId="44">'204'!$H$42</definedName>
    <definedName name="OSRRefH22_2x_0" localSheetId="45">'205'!$H$41</definedName>
    <definedName name="OSRRefH22_2x_0" localSheetId="46">'206'!$H$41</definedName>
    <definedName name="OSRRefH22_2x_0" localSheetId="48">'300'!$H$177</definedName>
    <definedName name="OSRRefH22_2x_0" localSheetId="49">'300 &amp; 317'!$H$201</definedName>
    <definedName name="OSRRefH22_2x_0" localSheetId="50">'301'!$H$41</definedName>
    <definedName name="OSRRefH22_2x_0" localSheetId="51">'306'!$H$41</definedName>
    <definedName name="OSRRefH22_2x_0" localSheetId="53">'307'!$H$88</definedName>
    <definedName name="OSRRefH22_2x_0" localSheetId="55">'308'!$H$82</definedName>
    <definedName name="OSRRefH22_2x_0" localSheetId="67">'309'!$H$47</definedName>
    <definedName name="OSRRefH22_2x_0" localSheetId="66">'310'!$H$54</definedName>
    <definedName name="OSRRefH22_2x_0" localSheetId="74">'310 &amp; 491'!$H$62</definedName>
    <definedName name="OSRRefH22_2x_0" localSheetId="56">'311'!$H$82</definedName>
    <definedName name="OSRRefH22_2x_0" localSheetId="68">'313'!$H$50</definedName>
    <definedName name="OSRRefH22_2x_0" localSheetId="54">'314'!$H$76</definedName>
    <definedName name="OSRRefH22_2x_0" localSheetId="59">'315'!$H$77</definedName>
    <definedName name="OSRRefH22_2x_0" localSheetId="62">'316'!$H$54</definedName>
    <definedName name="OSRRefH22_2x_0" localSheetId="65">'317'!$H$81</definedName>
    <definedName name="OSRRefH22_2x_0" localSheetId="63">'320'!$H$48</definedName>
    <definedName name="OSRRefH22_2x_0" localSheetId="69">'321'!$H$46</definedName>
    <definedName name="OSRRefH22_2x_0" localSheetId="70">'322'!$H$47</definedName>
    <definedName name="OSRRefH22_2x_0" localSheetId="71">'325'!$H$47</definedName>
    <definedName name="OSRRefH22_2x_0" localSheetId="60">'326'!$H$73</definedName>
    <definedName name="OSRRefH22_2x_0" localSheetId="52">'330'!$H$97</definedName>
    <definedName name="OSRRefH22_2x_0" localSheetId="58">'331'!$H$89</definedName>
    <definedName name="OSRRefH22_2x_0" localSheetId="61">'332'!$H$62</definedName>
    <definedName name="OSRRefH22_2x_0" localSheetId="76">'405'!$H$47</definedName>
    <definedName name="OSRRefH22_2x_0" localSheetId="77">'406'!$H$48</definedName>
    <definedName name="OSRRefH22_2x_0" localSheetId="78">'411'!$H$42</definedName>
    <definedName name="OSRRefH22_2x_0" localSheetId="79">'412'!$H$47</definedName>
    <definedName name="OSRRefH22_2x_0" localSheetId="80">'413'!$H$48</definedName>
    <definedName name="OSRRefH22_2x_0" localSheetId="81">'414'!$H$48</definedName>
    <definedName name="OSRRefH22_2x_0" localSheetId="82">'415'!$H$47</definedName>
    <definedName name="OSRRefH22_2x_0" localSheetId="83">'418'!$H$48</definedName>
    <definedName name="OSRRefH22_2x_0" localSheetId="85">'423'!$H$42</definedName>
    <definedName name="OSRRefH22_2x_0" localSheetId="86">'424'!$H$46</definedName>
    <definedName name="OSRRefH22_2x_0" localSheetId="87">'425'!$H$48</definedName>
    <definedName name="OSRRefH22_2x_0" localSheetId="90">'430'!$H$41</definedName>
    <definedName name="OSRRefH22_2x_0" localSheetId="91">'433'!$H$49</definedName>
    <definedName name="OSRRefH22_2x_0" localSheetId="92">'435'!$H$47</definedName>
    <definedName name="OSRRefH22_2x_0" localSheetId="93">'444'!$H$49</definedName>
    <definedName name="OSRRefH22_2x_0" localSheetId="95">'450'!$H$49</definedName>
    <definedName name="OSRRefH22_2x_0" localSheetId="75">'491'!$H$56</definedName>
    <definedName name="OSRRefH22_2x_0" localSheetId="89">'492'!$H$51</definedName>
    <definedName name="OSRRefH22_2x_0" localSheetId="97">'501'!$H$42</definedName>
    <definedName name="OSRRefH22_2x_0" localSheetId="39">'Div 2'!$H$43</definedName>
    <definedName name="OSRRefH22_2x_0" localSheetId="47">'Div 3'!$H$183</definedName>
    <definedName name="OSRRefH22_2x_0" localSheetId="73">'Div 4'!$H$57</definedName>
    <definedName name="OSRRefH22_2x_0" localSheetId="96">'Div 5'!$H$42</definedName>
    <definedName name="OSRRefH22_2x_0" localSheetId="64">'Div 6'!$H$81</definedName>
    <definedName name="OSRRefH22_2x_0" localSheetId="2">Summary!$H$214</definedName>
    <definedName name="OSRRefH22_3x_0" localSheetId="40">'200'!$H$26:$H$27</definedName>
    <definedName name="OSRRefH22_3x_0" localSheetId="41">'201'!$H$43</definedName>
    <definedName name="OSRRefH22_3x_0" localSheetId="42">'202'!$H$43</definedName>
    <definedName name="OSRRefH22_3x_0" localSheetId="43">'203'!$H$44</definedName>
    <definedName name="OSRRefH22_3x_0" localSheetId="44">'204'!$H$44</definedName>
    <definedName name="OSRRefH22_3x_0" localSheetId="45">'205'!$H$43</definedName>
    <definedName name="OSRRefH22_3x_0" localSheetId="46">'206'!$H$43</definedName>
    <definedName name="OSRRefH22_3x_0" localSheetId="48">'300'!$H$179:$H$180</definedName>
    <definedName name="OSRRefH22_3x_0" localSheetId="49">'300 &amp; 317'!$H$203:$H$204</definedName>
    <definedName name="OSRRefH22_3x_0" localSheetId="50">'301'!$H$43</definedName>
    <definedName name="OSRRefH22_3x_0" localSheetId="51">'306'!$H$43</definedName>
    <definedName name="OSRRefH22_3x_0" localSheetId="53">'307'!$H$90</definedName>
    <definedName name="OSRRefH22_3x_0" localSheetId="55">'308'!$H$84:$H$85</definedName>
    <definedName name="OSRRefH22_3x_0" localSheetId="67">'309'!$H$49</definedName>
    <definedName name="OSRRefH22_3x_0" localSheetId="66">'310'!$H$56</definedName>
    <definedName name="OSRRefH22_3x_0" localSheetId="74">'310 &amp; 491'!$H$64</definedName>
    <definedName name="OSRRefH22_3x_0" localSheetId="56">'311'!$H$84:$H$85</definedName>
    <definedName name="OSRRefH22_3x_0" localSheetId="68">'313'!$H$52</definedName>
    <definedName name="OSRRefH22_3x_0" localSheetId="54">'314'!$H$78:$H$79</definedName>
    <definedName name="OSRRefH22_3x_0" localSheetId="59">'315'!$H$79:$H$80</definedName>
    <definedName name="OSRRefH22_3x_0" localSheetId="62">'316'!$H$56</definedName>
    <definedName name="OSRRefH22_3x_0" localSheetId="65">'317'!$H$83</definedName>
    <definedName name="OSRRefH22_3x_0" localSheetId="63">'320'!$H$50</definedName>
    <definedName name="OSRRefH22_3x_0" localSheetId="69">'321'!$H$48</definedName>
    <definedName name="OSRRefH22_3x_0" localSheetId="70">'322'!$H$49</definedName>
    <definedName name="OSRRefH22_3x_0" localSheetId="71">'325'!$H$49</definedName>
    <definedName name="OSRRefH22_3x_0" localSheetId="60">'326'!$H$75:$H$76</definedName>
    <definedName name="OSRRefH22_3x_0" localSheetId="52">'330'!$H$99</definedName>
    <definedName name="OSRRefH22_3x_0" localSheetId="58">'331'!$H$91:$H$92</definedName>
    <definedName name="OSRRefH22_3x_0" localSheetId="61">'332'!$H$64</definedName>
    <definedName name="OSRRefH22_3x_0" localSheetId="76">'405'!$H$49</definedName>
    <definedName name="OSRRefH22_3x_0" localSheetId="77">'406'!$H$50</definedName>
    <definedName name="OSRRefH22_3x_0" localSheetId="78">'411'!$H$44:$H$46</definedName>
    <definedName name="OSRRefH22_3x_0" localSheetId="79">'412'!$H$49</definedName>
    <definedName name="OSRRefH22_3x_0" localSheetId="80">'413'!$H$50</definedName>
    <definedName name="OSRRefH22_3x_0" localSheetId="81">'414'!$H$50</definedName>
    <definedName name="OSRRefH22_3x_0" localSheetId="82">'415'!$H$49</definedName>
    <definedName name="OSRRefH22_3x_0" localSheetId="83">'418'!$H$50</definedName>
    <definedName name="OSRRefH22_3x_0" localSheetId="85">'423'!$H$44</definedName>
    <definedName name="OSRRefH22_3x_0" localSheetId="86">'424'!$H$48</definedName>
    <definedName name="OSRRefH22_3x_0" localSheetId="87">'425'!$H$50</definedName>
    <definedName name="OSRRefH22_3x_0" localSheetId="90">'430'!$H$43</definedName>
    <definedName name="OSRRefH22_3x_0" localSheetId="91">'433'!$H$51</definedName>
    <definedName name="OSRRefH22_3x_0" localSheetId="92">'435'!$H$49</definedName>
    <definedName name="OSRRefH22_3x_0" localSheetId="93">'444'!$H$51</definedName>
    <definedName name="OSRRefH22_3x_0" localSheetId="95">'450'!$H$51:$H$52</definedName>
    <definedName name="OSRRefH22_3x_0" localSheetId="75">'491'!$H$58</definedName>
    <definedName name="OSRRefH22_3x_0" localSheetId="89">'492'!$H$53:$H$54</definedName>
    <definedName name="OSRRefH22_3x_0" localSheetId="97">'501'!$H$44</definedName>
    <definedName name="OSRRefH22_3x_0" localSheetId="39">'Div 2'!$H$45</definedName>
    <definedName name="OSRRefH22_3x_0" localSheetId="47">'Div 3'!$H$185:$H$186</definedName>
    <definedName name="OSRRefH22_3x_0" localSheetId="73">'Div 4'!$H$59:$H$60</definedName>
    <definedName name="OSRRefH22_3x_0" localSheetId="96">'Div 5'!$H$44</definedName>
    <definedName name="OSRRefH22_3x_0" localSheetId="64">'Div 6'!$H$83</definedName>
    <definedName name="OSRRefH22_3x_0" localSheetId="2">Summary!$H$216:$H$217</definedName>
    <definedName name="OSRRefH22_4x_0" localSheetId="41">'201'!$H$45:$H$46</definedName>
    <definedName name="OSRRefH22_4x_0" localSheetId="42">'202'!$H$45</definedName>
    <definedName name="OSRRefH22_4x_0" localSheetId="43">'203'!$H$46</definedName>
    <definedName name="OSRRefH22_4x_0" localSheetId="44">'204'!$H$46</definedName>
    <definedName name="OSRRefH22_4x_0" localSheetId="45">'205'!$H$45</definedName>
    <definedName name="OSRRefH22_4x_0" localSheetId="46">'206'!$H$45</definedName>
    <definedName name="OSRRefH22_4x_0" localSheetId="48">'300'!$H$182</definedName>
    <definedName name="OSRRefH22_4x_0" localSheetId="49">'300 &amp; 317'!$H$206</definedName>
    <definedName name="OSRRefH22_4x_0" localSheetId="50">'301'!$H$45</definedName>
    <definedName name="OSRRefH22_4x_0" localSheetId="51">'306'!$H$45</definedName>
    <definedName name="OSRRefH22_4x_0" localSheetId="53">'307'!$H$92:$H$93</definedName>
    <definedName name="OSRRefH22_4x_0" localSheetId="55">'308'!$H$87</definedName>
    <definedName name="OSRRefH22_4x_0" localSheetId="67">'309'!$H$51</definedName>
    <definedName name="OSRRefH22_4x_0" localSheetId="66">'310'!$H$58</definedName>
    <definedName name="OSRRefH22_4x_0" localSheetId="74">'310 &amp; 491'!$H$66</definedName>
    <definedName name="OSRRefH22_4x_0" localSheetId="56">'311'!$H$87</definedName>
    <definedName name="OSRRefH22_4x_0" localSheetId="68">'313'!$H$54</definedName>
    <definedName name="OSRRefH22_4x_0" localSheetId="54">'314'!$H$81</definedName>
    <definedName name="OSRRefH22_4x_0" localSheetId="59">'315'!$H$82</definedName>
    <definedName name="OSRRefH22_4x_0" localSheetId="62">'316'!$H$58</definedName>
    <definedName name="OSRRefH22_4x_0" localSheetId="65">'317'!$H$85</definedName>
    <definedName name="OSRRefH22_4x_0" localSheetId="63">'320'!$H$52:$H$53</definedName>
    <definedName name="OSRRefH22_4x_0" localSheetId="69">'321'!$H$50</definedName>
    <definedName name="OSRRefH22_4x_0" localSheetId="70">'322'!$H$51</definedName>
    <definedName name="OSRRefH22_4x_0" localSheetId="71">'325'!$H$51</definedName>
    <definedName name="OSRRefH22_4x_0" localSheetId="60">'326'!$H$78</definedName>
    <definedName name="OSRRefH22_4x_0" localSheetId="52">'330'!$H$101:$H$102</definedName>
    <definedName name="OSRRefH22_4x_0" localSheetId="58">'331'!$H$94</definedName>
    <definedName name="OSRRefH22_4x_0" localSheetId="61">'332'!$H$66</definedName>
    <definedName name="OSRRefH22_4x_0" localSheetId="76">'405'!$H$51</definedName>
    <definedName name="OSRRefH22_4x_0" localSheetId="77">'406'!$H$52</definedName>
    <definedName name="OSRRefH22_4x_0" localSheetId="78">'411'!$H$48</definedName>
    <definedName name="OSRRefH22_4x_0" localSheetId="79">'412'!$H$51</definedName>
    <definedName name="OSRRefH22_4x_0" localSheetId="80">'413'!$H$52</definedName>
    <definedName name="OSRRefH22_4x_0" localSheetId="81">'414'!$H$52</definedName>
    <definedName name="OSRRefH22_4x_0" localSheetId="82">'415'!$H$51</definedName>
    <definedName name="OSRRefH22_4x_0" localSheetId="83">'418'!$H$52</definedName>
    <definedName name="OSRRefH22_4x_0" localSheetId="85">'423'!$H$46</definedName>
    <definedName name="OSRRefH22_4x_0" localSheetId="86">'424'!$H$50</definedName>
    <definedName name="OSRRefH22_4x_0" localSheetId="87">'425'!$H$52</definedName>
    <definedName name="OSRRefH22_4x_0" localSheetId="90">'430'!$H$45</definedName>
    <definedName name="OSRRefH22_4x_0" localSheetId="91">'433'!$H$53</definedName>
    <definedName name="OSRRefH22_4x_0" localSheetId="92">'435'!$H$51</definedName>
    <definedName name="OSRRefH22_4x_0" localSheetId="93">'444'!$H$53</definedName>
    <definedName name="OSRRefH22_4x_0" localSheetId="95">'450'!$H$54</definedName>
    <definedName name="OSRRefH22_4x_0" localSheetId="75">'491'!$H$60</definedName>
    <definedName name="OSRRefH22_4x_0" localSheetId="89">'492'!$H$56</definedName>
    <definedName name="OSRRefH22_4x_0" localSheetId="97">'501'!$H$46</definedName>
    <definedName name="OSRRefH22_4x_0" localSheetId="39">'Div 2'!$H$47</definedName>
    <definedName name="OSRRefH22_4x_0" localSheetId="47">'Div 3'!$H$188</definedName>
    <definedName name="OSRRefH22_4x_0" localSheetId="73">'Div 4'!$H$62</definedName>
    <definedName name="OSRRefH22_4x_0" localSheetId="96">'Div 5'!$H$46</definedName>
    <definedName name="OSRRefH22_4x_0" localSheetId="64">'Div 6'!$H$85</definedName>
    <definedName name="OSRRefH22_4x_0" localSheetId="2">Summary!$H$219</definedName>
    <definedName name="OSRRefH22_5x_0" localSheetId="41">'201'!$H$48</definedName>
    <definedName name="OSRRefH22_5x_0" localSheetId="42">'202'!$H$47</definedName>
    <definedName name="OSRRefH22_5x_0" localSheetId="43">'203'!$H$48</definedName>
    <definedName name="OSRRefH22_5x_0" localSheetId="44">'204'!$H$48</definedName>
    <definedName name="OSRRefH22_5x_0" localSheetId="45">'205'!$H$47</definedName>
    <definedName name="OSRRefH22_5x_0" localSheetId="46">'206'!$H$47</definedName>
    <definedName name="OSRRefH22_5x_0" localSheetId="48">'300'!$H$184:$H$186</definedName>
    <definedName name="OSRRefH22_5x_0" localSheetId="49">'300 &amp; 317'!$H$208:$H$210</definedName>
    <definedName name="OSRRefH22_5x_0" localSheetId="50">'301'!$H$47:$H$49</definedName>
    <definedName name="OSRRefH22_5x_0" localSheetId="51">'306'!$H$47</definedName>
    <definedName name="OSRRefH22_5x_0" localSheetId="53">'307'!$H$95</definedName>
    <definedName name="OSRRefH22_5x_0" localSheetId="55">'308'!$H$89</definedName>
    <definedName name="OSRRefH22_5x_0" localSheetId="67">'309'!$H$53</definedName>
    <definedName name="OSRRefH22_5x_0" localSheetId="66">'310'!$H$60:$H$62</definedName>
    <definedName name="OSRRefH22_5x_0" localSheetId="74">'310 &amp; 491'!$H$68:$H$71</definedName>
    <definedName name="OSRRefH22_5x_0" localSheetId="56">'311'!$H$89</definedName>
    <definedName name="OSRRefH22_5x_0" localSheetId="68">'313'!$H$56</definedName>
    <definedName name="OSRRefH22_5x_0" localSheetId="54">'314'!$H$83</definedName>
    <definedName name="OSRRefH22_5x_0" localSheetId="59">'315'!$H$84</definedName>
    <definedName name="OSRRefH22_5x_0" localSheetId="62">'316'!$H$60</definedName>
    <definedName name="OSRRefH22_5x_0" localSheetId="65">'317'!$H$87</definedName>
    <definedName name="OSRRefH22_5x_0" localSheetId="63">'320'!$H$55</definedName>
    <definedName name="OSRRefH22_5x_0" localSheetId="69">'321'!$H$52</definedName>
    <definedName name="OSRRefH22_5x_0" localSheetId="70">'322'!$H$53</definedName>
    <definedName name="OSRRefH22_5x_0" localSheetId="71">'325'!$H$53:$H$55</definedName>
    <definedName name="OSRRefH22_5x_0" localSheetId="60">'326'!$H$80</definedName>
    <definedName name="OSRRefH22_5x_0" localSheetId="52">'330'!$H$104</definedName>
    <definedName name="OSRRefH22_5x_0" localSheetId="58">'331'!$H$96:$H$97</definedName>
    <definedName name="OSRRefH22_5x_0" localSheetId="61">'332'!$H$68</definedName>
    <definedName name="OSRRefH22_5x_0" localSheetId="76">'405'!$H$53:$H$55</definedName>
    <definedName name="OSRRefH22_5x_0" localSheetId="77">'406'!$H$54</definedName>
    <definedName name="OSRRefH22_5x_0" localSheetId="78">'411'!$H$50</definedName>
    <definedName name="OSRRefH22_5x_0" localSheetId="79">'412'!$H$53:$H$54</definedName>
    <definedName name="OSRRefH22_5x_0" localSheetId="80">'413'!$H$54</definedName>
    <definedName name="OSRRefH22_5x_0" localSheetId="81">'414'!$H$54:$H$55</definedName>
    <definedName name="OSRRefH22_5x_0" localSheetId="82">'415'!$H$53:$H$54</definedName>
    <definedName name="OSRRefH22_5x_0" localSheetId="83">'418'!$H$54:$H$56</definedName>
    <definedName name="OSRRefH22_5x_0" localSheetId="85">'423'!$H$48</definedName>
    <definedName name="OSRRefH22_5x_0" localSheetId="86">'424'!$H$52</definedName>
    <definedName name="OSRRefH22_5x_0" localSheetId="87">'425'!$H$54</definedName>
    <definedName name="OSRRefH22_5x_0" localSheetId="90">'430'!$H$47</definedName>
    <definedName name="OSRRefH22_5x_0" localSheetId="91">'433'!$H$55</definedName>
    <definedName name="OSRRefH22_5x_0" localSheetId="92">'435'!$H$53</definedName>
    <definedName name="OSRRefH22_5x_0" localSheetId="93">'444'!$H$55</definedName>
    <definedName name="OSRRefH22_5x_0" localSheetId="95">'450'!$H$56</definedName>
    <definedName name="OSRRefH22_5x_0" localSheetId="75">'491'!$H$62:$H$65</definedName>
    <definedName name="OSRRefH22_5x_0" localSheetId="89">'492'!$H$58:$H$59</definedName>
    <definedName name="OSRRefH22_5x_0" localSheetId="97">'501'!$H$48</definedName>
    <definedName name="OSRRefH22_5x_0" localSheetId="39">'Div 2'!$H$49</definedName>
    <definedName name="OSRRefH22_5x_0" localSheetId="47">'Div 3'!$H$190:$H$192</definedName>
    <definedName name="OSRRefH22_5x_0" localSheetId="73">'Div 4'!$H$64:$H$67</definedName>
    <definedName name="OSRRefH22_5x_0" localSheetId="96">'Div 5'!$H$48</definedName>
    <definedName name="OSRRefH22_5x_0" localSheetId="64">'Div 6'!$H$87</definedName>
    <definedName name="OSRRefH22_5x_0" localSheetId="2">Summary!$H$221:$H$224</definedName>
    <definedName name="OSRRefH22_6x_0" localSheetId="41">'201'!$H$50</definedName>
    <definedName name="OSRRefH22_6x_0" localSheetId="42">'202'!$H$49</definedName>
    <definedName name="OSRRefH22_6x_0" localSheetId="43">'203'!$H$50</definedName>
    <definedName name="OSRRefH22_6x_0" localSheetId="44">'204'!$H$50</definedName>
    <definedName name="OSRRefH22_6x_0" localSheetId="45">'205'!$H$49</definedName>
    <definedName name="OSRRefH22_6x_0" localSheetId="46">'206'!$H$49</definedName>
    <definedName name="OSRRefH22_6x_0" localSheetId="48">'300'!$H$188:$H$189</definedName>
    <definedName name="OSRRefH22_6x_0" localSheetId="49">'300 &amp; 317'!$H$212:$H$213</definedName>
    <definedName name="OSRRefH22_6x_0" localSheetId="50">'301'!$H$51:$H$52</definedName>
    <definedName name="OSRRefH22_6x_0" localSheetId="51">'306'!$H$49:$H$50</definedName>
    <definedName name="OSRRefH22_6x_0" localSheetId="53">'307'!$H$97</definedName>
    <definedName name="OSRRefH22_6x_0" localSheetId="55">'308'!$H$91:$H$92</definedName>
    <definedName name="OSRRefH22_6x_0" localSheetId="67">'309'!$H$55</definedName>
    <definedName name="OSRRefH22_6x_0" localSheetId="66">'310'!$H$64</definedName>
    <definedName name="OSRRefH22_6x_0" localSheetId="74">'310 &amp; 491'!$H$73</definedName>
    <definedName name="OSRRefH22_6x_0" localSheetId="56">'311'!$H$91:$H$92</definedName>
    <definedName name="OSRRefH22_6x_0" localSheetId="68">'313'!$H$58</definedName>
    <definedName name="OSRRefH22_6x_0" localSheetId="54">'314'!$H$85</definedName>
    <definedName name="OSRRefH22_6x_0" localSheetId="59">'315'!$H$86</definedName>
    <definedName name="OSRRefH22_6x_0" localSheetId="62">'316'!$H$62</definedName>
    <definedName name="OSRRefH22_6x_0" localSheetId="65">'317'!$H$89</definedName>
    <definedName name="OSRRefH22_6x_0" localSheetId="63">'320'!$H$57</definedName>
    <definedName name="OSRRefH22_6x_0" localSheetId="69">'321'!$H$54</definedName>
    <definedName name="OSRRefH22_6x_0" localSheetId="70">'322'!$H$55</definedName>
    <definedName name="OSRRefH22_6x_0" localSheetId="71">'325'!$H$57</definedName>
    <definedName name="OSRRefH22_6x_0" localSheetId="60">'326'!$H$82</definedName>
    <definedName name="OSRRefH22_6x_0" localSheetId="52">'330'!$H$106</definedName>
    <definedName name="OSRRefH22_6x_0" localSheetId="58">'331'!$H$99</definedName>
    <definedName name="OSRRefH22_6x_0" localSheetId="61">'332'!$H$70</definedName>
    <definedName name="OSRRefH22_6x_0" localSheetId="76">'405'!$H$57</definedName>
    <definedName name="OSRRefH22_6x_0" localSheetId="77">'406'!$H$56</definedName>
    <definedName name="OSRRefH22_6x_0" localSheetId="78">'411'!$H$52</definedName>
    <definedName name="OSRRefH22_6x_0" localSheetId="79">'412'!$H$56</definedName>
    <definedName name="OSRRefH22_6x_0" localSheetId="80">'413'!$H$56</definedName>
    <definedName name="OSRRefH22_6x_0" localSheetId="81">'414'!$H$57</definedName>
    <definedName name="OSRRefH22_6x_0" localSheetId="82">'415'!$H$56</definedName>
    <definedName name="OSRRefH22_6x_0" localSheetId="83">'418'!$H$58</definedName>
    <definedName name="OSRRefH22_6x_0" localSheetId="86">'424'!$H$54</definedName>
    <definedName name="OSRRefH22_6x_0" localSheetId="87">'425'!$H$56</definedName>
    <definedName name="OSRRefH22_6x_0" localSheetId="90">'430'!$H$49</definedName>
    <definedName name="OSRRefH22_6x_0" localSheetId="91">'433'!$H$57</definedName>
    <definedName name="OSRRefH22_6x_0" localSheetId="92">'435'!$H$55:$H$56</definedName>
    <definedName name="OSRRefH22_6x_0" localSheetId="93">'444'!$H$57</definedName>
    <definedName name="OSRRefH22_6x_0" localSheetId="95">'450'!$H$58</definedName>
    <definedName name="OSRRefH22_6x_0" localSheetId="75">'491'!$H$67</definedName>
    <definedName name="OSRRefH22_6x_0" localSheetId="89">'492'!$H$61</definedName>
    <definedName name="OSRRefH22_6x_0" localSheetId="97">'501'!$H$50</definedName>
    <definedName name="OSRRefH22_6x_0" localSheetId="39">'Div 2'!$H$51:$H$52</definedName>
    <definedName name="OSRRefH22_6x_0" localSheetId="47">'Div 3'!$H$194:$H$195</definedName>
    <definedName name="OSRRefH22_6x_0" localSheetId="73">'Div 4'!$H$69:$H$70</definedName>
    <definedName name="OSRRefH22_6x_0" localSheetId="96">'Div 5'!$H$50</definedName>
    <definedName name="OSRRefH22_6x_0" localSheetId="64">'Div 6'!$H$89</definedName>
    <definedName name="OSRRefH22_6x_0" localSheetId="2">Summary!$H$226:$H$227</definedName>
    <definedName name="OSRRefH22_7x_0" localSheetId="41">'201'!$H$52</definedName>
    <definedName name="OSRRefH22_7x_0" localSheetId="42">'202'!$H$51</definedName>
    <definedName name="OSRRefH22_7x_0" localSheetId="43">'203'!$H$52</definedName>
    <definedName name="OSRRefH22_7x_0" localSheetId="44">'204'!$H$52:$H$55</definedName>
    <definedName name="OSRRefH22_7x_0" localSheetId="45">'205'!$H$51:$H$52</definedName>
    <definedName name="OSRRefH22_7x_0" localSheetId="46">'206'!$H$51:$H$52</definedName>
    <definedName name="OSRRefH22_7x_0" localSheetId="48">'300'!$H$191:$H$192</definedName>
    <definedName name="OSRRefH22_7x_0" localSheetId="49">'300 &amp; 317'!$H$215:$H$216</definedName>
    <definedName name="OSRRefH22_7x_0" localSheetId="50">'301'!$H$54:$H$55</definedName>
    <definedName name="OSRRefH22_7x_0" localSheetId="51">'306'!$H$52:$H$54</definedName>
    <definedName name="OSRRefH22_7x_0" localSheetId="53">'307'!$H$99</definedName>
    <definedName name="OSRRefH22_7x_0" localSheetId="55">'308'!$H$94</definedName>
    <definedName name="OSRRefH22_7x_0" localSheetId="67">'309'!$H$57</definedName>
    <definedName name="OSRRefH22_7x_0" localSheetId="66">'310'!$H$66</definedName>
    <definedName name="OSRRefH22_7x_0" localSheetId="74">'310 &amp; 491'!$H$75</definedName>
    <definedName name="OSRRefH22_7x_0" localSheetId="56">'311'!$H$94</definedName>
    <definedName name="OSRRefH22_7x_0" localSheetId="68">'313'!$H$60</definedName>
    <definedName name="OSRRefH22_7x_0" localSheetId="54">'314'!$H$87</definedName>
    <definedName name="OSRRefH22_7x_0" localSheetId="59">'315'!$H$88</definedName>
    <definedName name="OSRRefH22_7x_0" localSheetId="62">'316'!$H$64</definedName>
    <definedName name="OSRRefH22_7x_0" localSheetId="65">'317'!$H$91</definedName>
    <definedName name="OSRRefH22_7x_0" localSheetId="63">'320'!$H$59:$H$60</definedName>
    <definedName name="OSRRefH22_7x_0" localSheetId="69">'321'!$H$56</definedName>
    <definedName name="OSRRefH22_7x_0" localSheetId="70">'322'!$H$57</definedName>
    <definedName name="OSRRefH22_7x_0" localSheetId="71">'325'!$H$59</definedName>
    <definedName name="OSRRefH22_7x_0" localSheetId="60">'326'!$H$84</definedName>
    <definedName name="OSRRefH22_7x_0" localSheetId="52">'330'!$H$108</definedName>
    <definedName name="OSRRefH22_7x_0" localSheetId="58">'331'!$H$101</definedName>
    <definedName name="OSRRefH22_7x_0" localSheetId="61">'332'!$H$72:$H$73</definedName>
    <definedName name="OSRRefH22_7x_0" localSheetId="76">'405'!$H$59</definedName>
    <definedName name="OSRRefH22_7x_0" localSheetId="77">'406'!$H$58</definedName>
    <definedName name="OSRRefH22_7x_0" localSheetId="78">'411'!$H$54</definedName>
    <definedName name="OSRRefH22_7x_0" localSheetId="79">'412'!$H$58</definedName>
    <definedName name="OSRRefH22_7x_0" localSheetId="80">'413'!$H$58:$H$59</definedName>
    <definedName name="OSRRefH22_7x_0" localSheetId="81">'414'!$H$59</definedName>
    <definedName name="OSRRefH22_7x_0" localSheetId="82">'415'!$H$58</definedName>
    <definedName name="OSRRefH22_7x_0" localSheetId="83">'418'!$H$60</definedName>
    <definedName name="OSRRefH22_7x_0" localSheetId="86">'424'!$H$56:$H$57</definedName>
    <definedName name="OSRRefH22_7x_0" localSheetId="87">'425'!$H$58</definedName>
    <definedName name="OSRRefH22_7x_0" localSheetId="90">'430'!$H$51:$H$53</definedName>
    <definedName name="OSRRefH22_7x_0" localSheetId="91">'433'!$H$59</definedName>
    <definedName name="OSRRefH22_7x_0" localSheetId="92">'435'!$H$58</definedName>
    <definedName name="OSRRefH22_7x_0" localSheetId="93">'444'!$H$59</definedName>
    <definedName name="OSRRefH22_7x_0" localSheetId="95">'450'!$H$60</definedName>
    <definedName name="OSRRefH22_7x_0" localSheetId="75">'491'!$H$69</definedName>
    <definedName name="OSRRefH22_7x_0" localSheetId="89">'492'!$H$63</definedName>
    <definedName name="OSRRefH22_7x_0" localSheetId="97">'501'!$H$52</definedName>
    <definedName name="OSRRefH22_7x_0" localSheetId="39">'Div 2'!$H$54</definedName>
    <definedName name="OSRRefH22_7x_0" localSheetId="47">'Div 3'!$H$197:$H$198</definedName>
    <definedName name="OSRRefH22_7x_0" localSheetId="73">'Div 4'!$H$72</definedName>
    <definedName name="OSRRefH22_7x_0" localSheetId="96">'Div 5'!$H$52</definedName>
    <definedName name="OSRRefH22_7x_0" localSheetId="64">'Div 6'!$H$91</definedName>
    <definedName name="OSRRefH22_7x_0" localSheetId="2">Summary!$H$229:$H$231</definedName>
    <definedName name="OSRRefH22_8x_0" localSheetId="41">'201'!$H$54</definedName>
    <definedName name="OSRRefH22_8x_0" localSheetId="42">'202'!$H$53</definedName>
    <definedName name="OSRRefH22_8x_0" localSheetId="43">'203'!$H$54</definedName>
    <definedName name="OSRRefH22_8x_0" localSheetId="44">'204'!$H$57</definedName>
    <definedName name="OSRRefH22_8x_0" localSheetId="45">'205'!$H$54</definedName>
    <definedName name="OSRRefH22_8x_0" localSheetId="46">'206'!$H$54</definedName>
    <definedName name="OSRRefH22_8x_0" localSheetId="48">'300'!$H$194</definedName>
    <definedName name="OSRRefH22_8x_0" localSheetId="49">'300 &amp; 317'!$H$218</definedName>
    <definedName name="OSRRefH22_8x_0" localSheetId="50">'301'!$H$57</definedName>
    <definedName name="OSRRefH22_8x_0" localSheetId="51">'306'!$H$56</definedName>
    <definedName name="OSRRefH22_8x_0" localSheetId="53">'307'!$H$101</definedName>
    <definedName name="OSRRefH22_8x_0" localSheetId="55">'308'!$H$96</definedName>
    <definedName name="OSRRefH22_8x_0" localSheetId="67">'309'!$H$59</definedName>
    <definedName name="OSRRefH22_8x_0" localSheetId="66">'310'!$H$68</definedName>
    <definedName name="OSRRefH22_8x_0" localSheetId="74">'310 &amp; 491'!$H$77</definedName>
    <definedName name="OSRRefH22_8x_0" localSheetId="56">'311'!$H$96</definedName>
    <definedName name="OSRRefH22_8x_0" localSheetId="68">'313'!$H$62</definedName>
    <definedName name="OSRRefH22_8x_0" localSheetId="59">'315'!$H$90</definedName>
    <definedName name="OSRRefH22_8x_0" localSheetId="62">'316'!$H$66</definedName>
    <definedName name="OSRRefH22_8x_0" localSheetId="65">'317'!$H$93:$H$94</definedName>
    <definedName name="OSRRefH22_8x_0" localSheetId="63">'320'!$H$62</definedName>
    <definedName name="OSRRefH22_8x_0" localSheetId="69">'321'!$H$58</definedName>
    <definedName name="OSRRefH22_8x_0" localSheetId="70">'322'!$H$59</definedName>
    <definedName name="OSRRefH22_8x_0" localSheetId="71">'325'!$H$61</definedName>
    <definedName name="OSRRefH22_8x_0" localSheetId="60">'326'!$H$86</definedName>
    <definedName name="OSRRefH22_8x_0" localSheetId="52">'330'!$H$110</definedName>
    <definedName name="OSRRefH22_8x_0" localSheetId="58">'331'!$H$103</definedName>
    <definedName name="OSRRefH22_8x_0" localSheetId="61">'332'!$H$75</definedName>
    <definedName name="OSRRefH22_8x_0" localSheetId="76">'405'!$H$61</definedName>
    <definedName name="OSRRefH22_8x_0" localSheetId="77">'406'!$H$60:$H$61</definedName>
    <definedName name="OSRRefH22_8x_0" localSheetId="78">'411'!$H$56</definedName>
    <definedName name="OSRRefH22_8x_0" localSheetId="79">'412'!$H$60:$H$61</definedName>
    <definedName name="OSRRefH22_8x_0" localSheetId="80">'413'!$H$61</definedName>
    <definedName name="OSRRefH22_8x_0" localSheetId="81">'414'!$H$61</definedName>
    <definedName name="OSRRefH22_8x_0" localSheetId="82">'415'!$H$60</definedName>
    <definedName name="OSRRefH22_8x_0" localSheetId="83">'418'!$H$62:$H$63</definedName>
    <definedName name="OSRRefH22_8x_0" localSheetId="86">'424'!$H$59:$H$60</definedName>
    <definedName name="OSRRefH22_8x_0" localSheetId="87">'425'!$H$60</definedName>
    <definedName name="OSRRefH22_8x_0" localSheetId="90">'430'!$H$55</definedName>
    <definedName name="OSRRefH22_8x_0" localSheetId="91">'433'!$H$61</definedName>
    <definedName name="OSRRefH22_8x_0" localSheetId="93">'444'!$H$61</definedName>
    <definedName name="OSRRefH22_8x_0" localSheetId="95">'450'!$H$62</definedName>
    <definedName name="OSRRefH22_8x_0" localSheetId="75">'491'!$H$71</definedName>
    <definedName name="OSRRefH22_8x_0" localSheetId="89">'492'!$H$65</definedName>
    <definedName name="OSRRefH22_8x_0" localSheetId="97">'501'!$H$54</definedName>
    <definedName name="OSRRefH22_8x_0" localSheetId="39">'Div 2'!$H$56</definedName>
    <definedName name="OSRRefH22_8x_0" localSheetId="47">'Div 3'!$H$200</definedName>
    <definedName name="OSRRefH22_8x_0" localSheetId="73">'Div 4'!$H$74</definedName>
    <definedName name="OSRRefH22_8x_0" localSheetId="96">'Div 5'!$H$54</definedName>
    <definedName name="OSRRefH22_8x_0" localSheetId="64">'Div 6'!$H$93:$H$94</definedName>
    <definedName name="OSRRefH22_8x_0" localSheetId="2">Summary!$H$233</definedName>
    <definedName name="OSRRefH22_9x_0" localSheetId="41">'201'!$H$56</definedName>
    <definedName name="OSRRefH22_9x_0" localSheetId="42">'202'!$H$55:$H$57</definedName>
    <definedName name="OSRRefH22_9x_0" localSheetId="43">'203'!$H$56:$H$57</definedName>
    <definedName name="OSRRefH22_9x_0" localSheetId="44">'204'!$H$59</definedName>
    <definedName name="OSRRefH22_9x_0" localSheetId="45">'205'!$H$56</definedName>
    <definedName name="OSRRefH22_9x_0" localSheetId="46">'206'!$H$56</definedName>
    <definedName name="OSRRefH22_9x_0" localSheetId="48">'300'!$H$196</definedName>
    <definedName name="OSRRefH22_9x_0" localSheetId="49">'300 &amp; 317'!$H$220</definedName>
    <definedName name="OSRRefH22_9x_0" localSheetId="50">'301'!$H$59</definedName>
    <definedName name="OSRRefH22_9x_0" localSheetId="53">'307'!$H$103:$H$104</definedName>
    <definedName name="OSRRefH22_9x_0" localSheetId="55">'308'!$H$98:$H$99</definedName>
    <definedName name="OSRRefH22_9x_0" localSheetId="67">'309'!$H$61:$H$62</definedName>
    <definedName name="OSRRefH22_9x_0" localSheetId="66">'310'!$H$70</definedName>
    <definedName name="OSRRefH22_9x_0" localSheetId="74">'310 &amp; 491'!$H$79</definedName>
    <definedName name="OSRRefH22_9x_0" localSheetId="56">'311'!$H$98:$H$99</definedName>
    <definedName name="OSRRefH22_9x_0" localSheetId="68">'313'!$H$64:$H$65</definedName>
    <definedName name="OSRRefH22_9x_0" localSheetId="59">'315'!$H$92</definedName>
    <definedName name="OSRRefH22_9x_0" localSheetId="62">'316'!$H$68</definedName>
    <definedName name="OSRRefH22_9x_0" localSheetId="65">'317'!$H$96:$H$97</definedName>
    <definedName name="OSRRefH22_9x_0" localSheetId="69">'321'!$H$60:$H$61</definedName>
    <definedName name="OSRRefH22_9x_0" localSheetId="70">'322'!$H$61:$H$62</definedName>
    <definedName name="OSRRefH22_9x_0" localSheetId="71">'325'!$H$63</definedName>
    <definedName name="OSRRefH22_9x_0" localSheetId="60">'326'!$H$88</definedName>
    <definedName name="OSRRefH22_9x_0" localSheetId="52">'330'!$H$112:$H$113</definedName>
    <definedName name="OSRRefH22_9x_0" localSheetId="58">'331'!$H$105</definedName>
    <definedName name="OSRRefH22_9x_0" localSheetId="61">'332'!$H$77</definedName>
    <definedName name="OSRRefH22_9x_0" localSheetId="76">'405'!$H$63</definedName>
    <definedName name="OSRRefH22_9x_0" localSheetId="77">'406'!$H$63:$H$65</definedName>
    <definedName name="OSRRefH22_9x_0" localSheetId="78">'411'!$H$58</definedName>
    <definedName name="OSRRefH22_9x_0" localSheetId="79">'412'!$H$63</definedName>
    <definedName name="OSRRefH22_9x_0" localSheetId="80">'413'!$H$63:$H$67</definedName>
    <definedName name="OSRRefH22_9x_0" localSheetId="81">'414'!$H$63</definedName>
    <definedName name="OSRRefH22_9x_0" localSheetId="82">'415'!$H$62</definedName>
    <definedName name="OSRRefH22_9x_0" localSheetId="83">'418'!$H$65:$H$67</definedName>
    <definedName name="OSRRefH22_9x_0" localSheetId="86">'424'!$H$62</definedName>
    <definedName name="OSRRefH22_9x_0" localSheetId="87">'425'!$H$62:$H$64</definedName>
    <definedName name="OSRRefH22_9x_0" localSheetId="90">'430'!$H$57</definedName>
    <definedName name="OSRRefH22_9x_0" localSheetId="91">'433'!$H$63</definedName>
    <definedName name="OSRRefH22_9x_0" localSheetId="93">'444'!$H$63</definedName>
    <definedName name="OSRRefH22_9x_0" localSheetId="95">'450'!$H$64</definedName>
    <definedName name="OSRRefH22_9x_0" localSheetId="75">'491'!$H$73:$H$74</definedName>
    <definedName name="OSRRefH22_9x_0" localSheetId="89">'492'!$H$67</definedName>
    <definedName name="OSRRefH22_9x_0" localSheetId="97">'501'!$H$56</definedName>
    <definedName name="OSRRefH22_9x_0" localSheetId="39">'Div 2'!$H$58</definedName>
    <definedName name="OSRRefH22_9x_0" localSheetId="47">'Div 3'!$H$202</definedName>
    <definedName name="OSRRefH22_9x_0" localSheetId="73">'Div 4'!$H$76</definedName>
    <definedName name="OSRRefH22_9x_0" localSheetId="96">'Div 5'!$H$56</definedName>
    <definedName name="OSRRefH22_9x_0" localSheetId="64">'Div 6'!$H$96:$H$97</definedName>
    <definedName name="OSRRefH22_9x_0" localSheetId="2">Summary!$H$235</definedName>
    <definedName name="OSRRefH22x_0" localSheetId="40">'200'!$H$20,'200'!$H$22,'200'!$H$24,'200'!$H$26:$H$27</definedName>
    <definedName name="OSRRefH22x_0" localSheetId="41">'201'!$H$20:$H$28,'201'!$H$30:$H$39,'201'!$H$41,'201'!$H$43,'201'!$H$45:$H$46,'201'!$H$48,'201'!$H$50,'201'!$H$52,'201'!$H$54,'201'!$H$56,'201'!$H$58:$H$60,'201'!$H$62:$H$64,'201'!$H$66,'201'!$H$68:$H$70,'201'!$H$72,'201'!$H$74,'201'!$H$76</definedName>
    <definedName name="OSRRefH22x_0" localSheetId="42">'202'!$H$20:$H$28,'202'!$H$30:$H$39,'202'!$H$41,'202'!$H$43,'202'!$H$45,'202'!$H$47,'202'!$H$49,'202'!$H$51,'202'!$H$53,'202'!$H$55:$H$57,'202'!$H$59,'202'!$H$61,'202'!$H$63,'202'!$H$65,'202'!$H$67:$H$68,'202'!$H$70,'202'!$H$72</definedName>
    <definedName name="OSRRefH22x_0" localSheetId="43">'203'!$H$20:$H$29,'203'!$H$31:$H$40,'203'!$H$42,'203'!$H$44,'203'!$H$46,'203'!$H$48,'203'!$H$50,'203'!$H$52,'203'!$H$54,'203'!$H$56:$H$57,'203'!$H$59:$H$60,'203'!$H$62,'203'!$H$64:$H$66,'203'!$H$68,'203'!$H$70,'203'!$H$72</definedName>
    <definedName name="OSRRefH22x_0" localSheetId="44">'204'!$H$20:$H$29,'204'!$H$31:$H$40,'204'!$H$42,'204'!$H$44,'204'!$H$46,'204'!$H$48,'204'!$H$50,'204'!$H$52:$H$55,'204'!$H$57,'204'!$H$59,'204'!$H$61:$H$62,'204'!$H$64,'204'!$H$66:$H$67</definedName>
    <definedName name="OSRRefH22x_0" localSheetId="45">'205'!$H$20:$H$28,'205'!$H$30:$H$39,'205'!$H$41,'205'!$H$43,'205'!$H$45,'205'!$H$47,'205'!$H$49,'205'!$H$51:$H$52,'205'!$H$54,'205'!$H$56</definedName>
    <definedName name="OSRRefH22x_0" localSheetId="46">'206'!$H$20:$H$28,'206'!$H$30:$H$39,'206'!$H$41,'206'!$H$43,'206'!$H$45,'206'!$H$47,'206'!$H$49,'206'!$H$51:$H$52,'206'!$H$54,'206'!$H$56,'206'!$H$58</definedName>
    <definedName name="OSRRefH22x_0" localSheetId="48">'300'!$H$155:$H$164,'300'!$H$166:$H$175,'300'!$H$177,'300'!$H$179:$H$180,'300'!$H$182,'300'!$H$184:$H$186,'300'!$H$188:$H$189,'300'!$H$191:$H$192,'300'!$H$194,'300'!$H$196,'300'!$H$198:$H$199,'300'!$H$201,'300'!$H$203,'300'!$H$205,'300'!$H$207,'300'!$H$209,'300'!$H$211:$H$213,'300'!$H$215:$H$218,'300'!$H$220:$H$223,'300'!$H$225:$H$226,'300'!$H$228:$H$234,'300'!$H$236:$H$237,'300'!$H$239,'300'!$H$241:$H$243,'300'!$H$245</definedName>
    <definedName name="OSRRefH22x_0" localSheetId="49">'300 &amp; 317'!$H$179:$H$188,'300 &amp; 317'!$H$190:$H$199,'300 &amp; 317'!$H$201,'300 &amp; 317'!$H$203:$H$204,'300 &amp; 317'!$H$206,'300 &amp; 317'!$H$208:$H$210,'300 &amp; 317'!$H$212:$H$213,'300 &amp; 317'!$H$215:$H$216,'300 &amp; 317'!$H$218,'300 &amp; 317'!$H$220,'300 &amp; 317'!$H$222:$H$223,'300 &amp; 317'!$H$225,'300 &amp; 317'!$H$227,'300 &amp; 317'!$H$229,'300 &amp; 317'!$H$231,'300 &amp; 317'!$H$233,'300 &amp; 317'!$H$235:$H$237,'300 &amp; 317'!$H$239:$H$242,'300 &amp; 317'!$H$244:$H$247,'300 &amp; 317'!$H$249:$H$250,'300 &amp; 317'!$H$252:$H$258,'300 &amp; 317'!$H$260:$H$261,'300 &amp; 317'!$H$263,'300 &amp; 317'!$H$265:$H$267,'300 &amp; 317'!$H$269</definedName>
    <definedName name="OSRRefH22x_0" localSheetId="50">'301'!$H$20:$H$28,'301'!$H$30:$H$39,'301'!$H$41,'301'!$H$43,'301'!$H$45,'301'!$H$47:$H$49,'301'!$H$51:$H$52,'301'!$H$54:$H$55,'301'!$H$57,'301'!$H$59,'301'!$H$61,'301'!$H$63,'301'!$H$65,'301'!$H$67,'301'!$H$69,'301'!$H$71:$H$73,'301'!$H$75:$H$77,'301'!$H$79:$H$80,'301'!$H$82:$H$87,'301'!$H$89,'301'!$H$91,'301'!$H$93:$H$94,'301'!$H$96</definedName>
    <definedName name="OSRRefH22x_0" localSheetId="51">'306'!$H$20:$H$28,'306'!$H$30:$H$39,'306'!$H$41,'306'!$H$43,'306'!$H$45,'306'!$H$47,'306'!$H$49:$H$50,'306'!$H$52:$H$54,'306'!$H$56</definedName>
    <definedName name="OSRRefH22x_0" localSheetId="53">'307'!$H$67:$H$75,'307'!$H$77:$H$86,'307'!$H$88,'307'!$H$90,'307'!$H$92:$H$93,'307'!$H$95,'307'!$H$97,'307'!$H$99,'307'!$H$101,'307'!$H$103:$H$104,'307'!$H$106,'307'!$H$108,'307'!$H$110</definedName>
    <definedName name="OSRRefH22x_0" localSheetId="55">'308'!$H$60:$H$69,'308'!$H$71:$H$80,'308'!$H$82,'308'!$H$84:$H$85,'308'!$H$87,'308'!$H$89,'308'!$H$91:$H$92,'308'!$H$94,'308'!$H$96,'308'!$H$98:$H$99,'308'!$H$101,'308'!$H$103:$H$105,'308'!$H$107:$H$108,'308'!$H$110,'308'!$H$112</definedName>
    <definedName name="OSRRefH22x_0" localSheetId="67">'309'!$H$26:$H$34,'309'!$H$36:$H$45,'309'!$H$47,'309'!$H$49,'309'!$H$51,'309'!$H$53,'309'!$H$55,'309'!$H$57,'309'!$H$59,'309'!$H$61:$H$62,'309'!$H$64:$H$66,'309'!$H$68,'309'!$H$70</definedName>
    <definedName name="OSRRefH22x_0" localSheetId="66">'310'!$H$33:$H$41,'310'!$H$43:$H$52,'310'!$H$54,'310'!$H$56,'310'!$H$58,'310'!$H$60:$H$62,'310'!$H$64,'310'!$H$66,'310'!$H$68,'310'!$H$70,'310'!$H$72,'310'!$H$74,'310'!$H$76,'310'!$H$78,'310'!$H$80,'310'!$H$82:$H$83,'310'!$H$85:$H$86,'310'!$H$88:$H$92,'310'!$H$94,'310'!$H$96:$H$103,'310'!$H$105,'310'!$H$107,'310'!$H$109</definedName>
    <definedName name="OSRRefH22x_0" localSheetId="74">'310 &amp; 491'!$H$40:$H$49,'310 &amp; 491'!$H$51:$H$60,'310 &amp; 491'!$H$62,'310 &amp; 491'!$H$64,'310 &amp; 491'!$H$66,'310 &amp; 491'!$H$68:$H$71,'310 &amp; 491'!$H$73,'310 &amp; 491'!$H$75,'310 &amp; 491'!$H$77,'310 &amp; 491'!$H$79,'310 &amp; 491'!$H$81,'310 &amp; 491'!$H$83:$H$84,'310 &amp; 491'!$H$86,'310 &amp; 491'!$H$88,'310 &amp; 491'!$H$90,'310 &amp; 491'!$H$92,'310 &amp; 491'!$H$94,'310 &amp; 491'!$H$96:$H$99,'310 &amp; 491'!$H$101:$H$103,'310 &amp; 491'!$H$105:$H$110,'310 &amp; 491'!$H$112,'310 &amp; 491'!$H$114:$H$123,'310 &amp; 491'!$H$125:$H$126,'310 &amp; 491'!$H$128,'310 &amp; 491'!$H$130:$H$132,'310 &amp; 491'!$H$134</definedName>
    <definedName name="OSRRefH22x_0" localSheetId="56">'311'!$H$60:$H$69,'311'!$H$71:$H$80,'311'!$H$82,'311'!$H$84:$H$85,'311'!$H$87,'311'!$H$89,'311'!$H$91:$H$92,'311'!$H$94,'311'!$H$96,'311'!$H$98:$H$99,'311'!$H$101,'311'!$H$103:$H$105,'311'!$H$107:$H$108,'311'!$H$110,'311'!$H$112</definedName>
    <definedName name="OSRRefH22x_0" localSheetId="68">'313'!$H$29:$H$37,'313'!$H$39:$H$48,'313'!$H$50,'313'!$H$52,'313'!$H$54,'313'!$H$56,'313'!$H$58,'313'!$H$60,'313'!$H$62,'313'!$H$64:$H$65,'313'!$H$67,'313'!$H$69:$H$73,'313'!$H$75,'313'!$H$77</definedName>
    <definedName name="OSRRefH22x_0" localSheetId="54">'314'!$H$56:$H$63,'314'!$H$65:$H$74,'314'!$H$76,'314'!$H$78:$H$79,'314'!$H$81,'314'!$H$83,'314'!$H$85,'314'!$H$87</definedName>
    <definedName name="OSRRefH22x_0" localSheetId="59">'315'!$H$56:$H$64,'315'!$H$66:$H$75,'315'!$H$77,'315'!$H$79:$H$80,'315'!$H$82,'315'!$H$84,'315'!$H$86,'315'!$H$88,'315'!$H$90,'315'!$H$92,'315'!$H$94:$H$96,'315'!$H$98:$H$99,'315'!$H$101:$H$104,'315'!$H$106,'315'!$H$108,'315'!$H$110</definedName>
    <definedName name="OSRRefH22x_0" localSheetId="62">'316'!$H$33:$H$41,'316'!$H$43:$H$52,'316'!$H$54,'316'!$H$56,'316'!$H$58,'316'!$H$60,'316'!$H$62,'316'!$H$64,'316'!$H$66,'316'!$H$68,'316'!$H$70:$H$71,'316'!$H$73:$H$76,'316'!$H$78:$H$79,'316'!$H$81</definedName>
    <definedName name="OSRRefH22x_0" localSheetId="65">'317'!$H$59:$H$68,'317'!$H$70:$H$79,'317'!$H$81,'317'!$H$83,'317'!$H$85,'317'!$H$87,'317'!$H$89,'317'!$H$91,'317'!$H$93:$H$94,'317'!$H$96:$H$97,'317'!$H$99</definedName>
    <definedName name="OSRRefH22x_0" localSheetId="63">'320'!$H$28:$H$35,'320'!$H$37:$H$46,'320'!$H$48,'320'!$H$50,'320'!$H$52:$H$53,'320'!$H$55,'320'!$H$57,'320'!$H$59:$H$60,'320'!$H$62</definedName>
    <definedName name="OSRRefH22x_0" localSheetId="69">'321'!$H$26:$H$33,'321'!$H$35:$H$44,'321'!$H$46,'321'!$H$48,'321'!$H$50,'321'!$H$52,'321'!$H$54,'321'!$H$56,'321'!$H$58,'321'!$H$60:$H$61,'321'!$H$63:$H$64,'321'!$H$66:$H$68,'321'!$H$70:$H$72,'321'!$H$74,'321'!$H$76</definedName>
    <definedName name="OSRRefH22x_0" localSheetId="70">'322'!$H$26:$H$34,'322'!$H$36:$H$45,'322'!$H$47,'322'!$H$49,'322'!$H$51,'322'!$H$53,'322'!$H$55,'322'!$H$57,'322'!$H$59,'322'!$H$61:$H$62,'322'!$H$64:$H$66,'322'!$H$68:$H$72,'322'!$H$74,'322'!$H$76</definedName>
    <definedName name="OSRRefH22x_0" localSheetId="71">'325'!$H$26:$H$34,'325'!$H$36:$H$45,'325'!$H$47,'325'!$H$49,'325'!$H$51,'325'!$H$53:$H$55,'325'!$H$57,'325'!$H$59,'325'!$H$61,'325'!$H$63,'325'!$H$65,'325'!$H$67:$H$68,'325'!$H$70:$H$73,'325'!$H$75,'325'!$H$77:$H$83,'325'!$H$85,'325'!$H$87,'325'!$H$89</definedName>
    <definedName name="OSRRefH22x_0" localSheetId="60">'326'!$H$52:$H$60,'326'!$H$62:$H$71,'326'!$H$73,'326'!$H$75:$H$76,'326'!$H$78,'326'!$H$80,'326'!$H$82,'326'!$H$84,'326'!$H$86,'326'!$H$88,'326'!$H$90,'326'!$H$92,'326'!$H$94,'326'!$H$96:$H$97,'326'!$H$99:$H$101,'326'!$H$103:$H$104,'326'!$H$106:$H$110,'326'!$H$112:$H$113,'326'!$H$115,'326'!$H$117,'326'!$H$119</definedName>
    <definedName name="OSRRefH22x_0" localSheetId="72">'327'!$H$24</definedName>
    <definedName name="OSRRefH22x_0" localSheetId="52">'330'!$H$76:$H$84,'330'!$H$86:$H$95,'330'!$H$97,'330'!$H$99,'330'!$H$101:$H$102,'330'!$H$104,'330'!$H$106,'330'!$H$108,'330'!$H$110,'330'!$H$112:$H$113,'330'!$H$115,'330'!$H$117,'330'!$H$119,'330'!$H$121</definedName>
    <definedName name="OSRRefH22x_0" localSheetId="58">'331'!$H$68:$H$76,'331'!$H$78:$H$87,'331'!$H$89,'331'!$H$91:$H$92,'331'!$H$94,'331'!$H$96:$H$97,'331'!$H$99,'331'!$H$101,'331'!$H$103,'331'!$H$105,'331'!$H$107,'331'!$H$109,'331'!$H$111,'331'!$H$113,'331'!$H$115:$H$116,'331'!$H$118:$H$120,'331'!$H$122:$H$124,'331'!$H$126:$H$127,'331'!$H$129:$H$133,'331'!$H$135:$H$136,'331'!$H$138,'331'!$H$140,'331'!$H$142</definedName>
    <definedName name="OSRRefH22x_0" localSheetId="61">'332'!$H$41:$H$49,'332'!$H$51:$H$60,'332'!$H$62,'332'!$H$64,'332'!$H$66,'332'!$H$68,'332'!$H$70,'332'!$H$72:$H$73,'332'!$H$75,'332'!$H$77,'332'!$H$79,'332'!$H$81:$H$82,'332'!$H$84:$H$88,'332'!$H$90:$H$91,'332'!$H$93</definedName>
    <definedName name="OSRRefH22x_0" localSheetId="76">'405'!$H$26:$H$34,'405'!$H$36:$H$45,'405'!$H$47,'405'!$H$49,'405'!$H$51,'405'!$H$53:$H$55,'405'!$H$57,'405'!$H$59,'405'!$H$61,'405'!$H$63,'405'!$H$65:$H$67,'405'!$H$69,'405'!$H$71:$H$73,'405'!$H$75,'405'!$H$77:$H$85,'405'!$H$87,'405'!$H$89,'405'!$H$91</definedName>
    <definedName name="OSRRefH22x_0" localSheetId="77">'406'!$H$27:$H$35,'406'!$H$37:$H$46,'406'!$H$48,'406'!$H$50,'406'!$H$52,'406'!$H$54,'406'!$H$56,'406'!$H$58,'406'!$H$60:$H$61,'406'!$H$63:$H$65,'406'!$H$67:$H$72,'406'!$H$74:$H$75,'406'!$H$77,'406'!$H$79</definedName>
    <definedName name="OSRRefH22x_0" localSheetId="78">'411'!$H$20:$H$29,'411'!$H$31:$H$40,'411'!$H$42,'411'!$H$44:$H$46,'411'!$H$48,'411'!$H$50,'411'!$H$52,'411'!$H$54,'411'!$H$56,'411'!$H$58,'411'!$H$60:$H$62,'411'!$H$64:$H$68,'411'!$H$70:$H$76,'411'!$H$78,'411'!$H$80,'411'!$H$82:$H$84,'411'!$H$86</definedName>
    <definedName name="OSRRefH22x_0" localSheetId="79">'412'!$H$26:$H$34,'412'!$H$36:$H$45,'412'!$H$47,'412'!$H$49,'412'!$H$51,'412'!$H$53:$H$54,'412'!$H$56,'412'!$H$58,'412'!$H$60:$H$61,'412'!$H$63,'412'!$H$65:$H$67,'412'!$H$69:$H$74,'412'!$H$76,'412'!$H$78</definedName>
    <definedName name="OSRRefH22x_0" localSheetId="80">'413'!$H$27:$H$35,'413'!$H$37:$H$46,'413'!$H$48,'413'!$H$50,'413'!$H$52,'413'!$H$54,'413'!$H$56,'413'!$H$58:$H$59,'413'!$H$61,'413'!$H$63:$H$67,'413'!$H$69:$H$70,'413'!$H$72</definedName>
    <definedName name="OSRRefH22x_0" localSheetId="81">'414'!$H$27:$H$35,'414'!$H$37:$H$46,'414'!$H$48,'414'!$H$50,'414'!$H$52,'414'!$H$54:$H$55,'414'!$H$57,'414'!$H$59,'414'!$H$61,'414'!$H$63,'414'!$H$65,'414'!$H$67,'414'!$H$69,'414'!$H$71:$H$77,'414'!$H$79,'414'!$H$81</definedName>
    <definedName name="OSRRefH22x_0" localSheetId="82">'415'!$H$26:$H$34,'415'!$H$36:$H$45,'415'!$H$47,'415'!$H$49,'415'!$H$51,'415'!$H$53:$H$54,'415'!$H$56,'415'!$H$58,'415'!$H$60,'415'!$H$62,'415'!$H$64,'415'!$H$66:$H$67,'415'!$H$69:$H$73,'415'!$H$75,'415'!$H$77:$H$84,'415'!$H$86,'415'!$H$88,'415'!$H$90:$H$91,'415'!$H$93</definedName>
    <definedName name="OSRRefH22x_0" localSheetId="83">'418'!$H$27:$H$35,'418'!$H$37:$H$46,'418'!$H$48,'418'!$H$50,'418'!$H$52,'418'!$H$54:$H$56,'418'!$H$58,'418'!$H$60,'418'!$H$62:$H$63,'418'!$H$65:$H$67,'418'!$H$69:$H$71,'418'!$H$73,'418'!$H$75:$H$81,'418'!$H$83,'418'!$H$85,'418'!$H$87</definedName>
    <definedName name="OSRRefH22x_0" localSheetId="84">'420'!$H$20:$H$21,'420'!$H$23</definedName>
    <definedName name="OSRRefH22x_0" localSheetId="85">'423'!$H$21:$H$29,'423'!$H$31:$H$40,'423'!$H$42,'423'!$H$44,'423'!$H$46,'423'!$H$48</definedName>
    <definedName name="OSRRefH22x_0" localSheetId="86">'424'!$H$26:$H$33,'424'!$H$35:$H$44,'424'!$H$46,'424'!$H$48,'424'!$H$50,'424'!$H$52,'424'!$H$54,'424'!$H$56:$H$57,'424'!$H$59:$H$60,'424'!$H$62,'424'!$H$64:$H$66,'424'!$H$68:$H$69</definedName>
    <definedName name="OSRRefH22x_0" localSheetId="87">'425'!$H$27:$H$35,'425'!$H$37:$H$46,'425'!$H$48,'425'!$H$50,'425'!$H$52,'425'!$H$54,'425'!$H$56,'425'!$H$58,'425'!$H$60,'425'!$H$62:$H$64,'425'!$H$66:$H$67,'425'!$H$69:$H$70,'425'!$H$72:$H$76,'425'!$H$78:$H$79,'425'!$H$81,'425'!$H$83</definedName>
    <definedName name="OSRRefH22x_0" localSheetId="90">'430'!$H$20:$H$28,'430'!$H$30:$H$39,'430'!$H$41,'430'!$H$43,'430'!$H$45,'430'!$H$47,'430'!$H$49,'430'!$H$51:$H$53,'430'!$H$55,'430'!$H$57,'430'!$H$59</definedName>
    <definedName name="OSRRefH22x_0" localSheetId="91">'433'!$H$27:$H$36,'433'!$H$38:$H$47,'433'!$H$49,'433'!$H$51,'433'!$H$53,'433'!$H$55,'433'!$H$57,'433'!$H$59,'433'!$H$61,'433'!$H$63,'433'!$H$65:$H$66,'433'!$H$68:$H$71,'433'!$H$73:$H$79,'433'!$H$81,'433'!$H$83,'433'!$H$85:$H$86</definedName>
    <definedName name="OSRRefH22x_0" localSheetId="92">'435'!$H$27:$H$34,'435'!$H$36:$H$45,'435'!$H$47,'435'!$H$49,'435'!$H$51,'435'!$H$53,'435'!$H$55:$H$56,'435'!$H$58</definedName>
    <definedName name="OSRRefH22x_0" localSheetId="93">'444'!$H$27:$H$36,'444'!$H$38:$H$47,'444'!$H$49,'444'!$H$51,'444'!$H$53,'444'!$H$55,'444'!$H$57,'444'!$H$59,'444'!$H$61,'444'!$H$63,'444'!$H$65,'444'!$H$67:$H$69,'444'!$H$71:$H$74,'444'!$H$76:$H$82,'444'!$H$84,'444'!$H$86,'444'!$H$88</definedName>
    <definedName name="OSRRefH22x_0" localSheetId="95">'450'!$H$27:$H$36,'450'!$H$38:$H$47,'450'!$H$49,'450'!$H$51:$H$52,'450'!$H$54,'450'!$H$56,'450'!$H$58,'450'!$H$60,'450'!$H$62,'450'!$H$64,'450'!$H$66,'450'!$H$68:$H$69,'450'!$H$71:$H$73,'450'!$H$75:$H$80,'450'!$H$82,'450'!$H$84,'450'!$H$86:$H$87</definedName>
    <definedName name="OSRRefH22x_0" localSheetId="88">'455'!$H$20:$H$27,'455'!$H$29:$H$38</definedName>
    <definedName name="OSRRefH22x_0" localSheetId="75">'491'!$H$34:$H$43,'491'!$H$45:$H$54,'491'!$H$56,'491'!$H$58,'491'!$H$60,'491'!$H$62:$H$65,'491'!$H$67,'491'!$H$69,'491'!$H$71,'491'!$H$73:$H$74,'491'!$H$76,'491'!$H$78,'491'!$H$80,'491'!$H$82,'491'!$H$84:$H$87,'491'!$H$89:$H$91,'491'!$H$93:$H$97,'491'!$H$99,'491'!$H$101:$H$110,'491'!$H$112:$H$113,'491'!$H$115,'491'!$H$117:$H$119,'491'!$H$121</definedName>
    <definedName name="OSRRefH22x_0" localSheetId="89">'492'!$H$29:$H$38,'492'!$H$40:$H$49,'492'!$H$51,'492'!$H$53:$H$54,'492'!$H$56,'492'!$H$58:$H$59,'492'!$H$61,'492'!$H$63,'492'!$H$65,'492'!$H$67,'492'!$H$69,'492'!$H$71,'492'!$H$73:$H$76,'492'!$H$78:$H$81,'492'!$H$83:$H$91,'492'!$H$93,'492'!$H$95,'492'!$H$97:$H$98</definedName>
    <definedName name="OSRRefH22x_0" localSheetId="97">'501'!$H$21:$H$29,'501'!$H$31:$H$40,'501'!$H$42,'501'!$H$44,'501'!$H$46,'501'!$H$48,'501'!$H$50,'501'!$H$52,'501'!$H$54,'501'!$H$56,'501'!$H$58:$H$59,'501'!$H$61:$H$63,'501'!$H$65</definedName>
    <definedName name="OSRRefH22x_0" localSheetId="39">'Div 2'!$H$20:$H$30,'Div 2'!$H$32:$H$41,'Div 2'!$H$43,'Div 2'!$H$45,'Div 2'!$H$47,'Div 2'!$H$49,'Div 2'!$H$51:$H$52,'Div 2'!$H$54,'Div 2'!$H$56,'Div 2'!$H$58,'Div 2'!$H$60,'Div 2'!$H$62,'Div 2'!$H$64:$H$66,'Div 2'!$H$68:$H$71,'Div 2'!$H$73:$H$76,'Div 2'!$H$78:$H$79,'Div 2'!$H$81:$H$82,'Div 2'!$H$84:$H$87,'Div 2'!$H$89:$H$90,'Div 2'!$H$92,'Div 2'!$H$94:$H$95</definedName>
    <definedName name="OSRRefH22x_0" localSheetId="47">'Div 3'!$H$161:$H$170,'Div 3'!$H$172:$H$181,'Div 3'!$H$183,'Div 3'!$H$185:$H$186,'Div 3'!$H$188,'Div 3'!$H$190:$H$192,'Div 3'!$H$194:$H$195,'Div 3'!$H$197:$H$198,'Div 3'!$H$200,'Div 3'!$H$202,'Div 3'!$H$204:$H$205,'Div 3'!$H$207,'Div 3'!$H$209,'Div 3'!$H$211,'Div 3'!$H$213,'Div 3'!$H$215,'Div 3'!$H$217,'Div 3'!$H$219,'Div 3'!$H$221:$H$223,'Div 3'!$H$225:$H$228,'Div 3'!$H$230:$H$235,'Div 3'!$H$237:$H$238,'Div 3'!$H$240:$H$247,'Div 3'!$H$249:$H$250,'Div 3'!$H$252,'Div 3'!$H$254:$H$256,'Div 3'!$H$258</definedName>
    <definedName name="OSRRefH22x_0" localSheetId="73">'Div 4'!$H$35:$H$44,'Div 4'!$H$46:$H$55,'Div 4'!$H$57,'Div 4'!$H$59:$H$60,'Div 4'!$H$62,'Div 4'!$H$64:$H$67,'Div 4'!$H$69:$H$70,'Div 4'!$H$72,'Div 4'!$H$74,'Div 4'!$H$76,'Div 4'!$H$78:$H$79,'Div 4'!$H$81,'Div 4'!$H$83,'Div 4'!$H$85,'Div 4'!$H$87,'Div 4'!$H$89,'Div 4'!$H$91:$H$94,'Div 4'!$H$96:$H$98,'Div 4'!$H$100:$H$104,'Div 4'!$H$106,'Div 4'!$H$108:$H$117,'Div 4'!$H$119:$H$120,'Div 4'!$H$122,'Div 4'!$H$124:$H$126,'Div 4'!$H$128</definedName>
    <definedName name="OSRRefH22x_0" localSheetId="96">'Div 5'!$H$21:$H$29,'Div 5'!$H$31:$H$40,'Div 5'!$H$42,'Div 5'!$H$44,'Div 5'!$H$46,'Div 5'!$H$48,'Div 5'!$H$50,'Div 5'!$H$52,'Div 5'!$H$54,'Div 5'!$H$56,'Div 5'!$H$58:$H$59,'Div 5'!$H$61:$H$63,'Div 5'!$H$65</definedName>
    <definedName name="OSRRefH22x_0" localSheetId="64">'Div 6'!$H$59:$H$68,'Div 6'!$H$70:$H$79,'Div 6'!$H$81,'Div 6'!$H$83,'Div 6'!$H$85,'Div 6'!$H$87,'Div 6'!$H$89,'Div 6'!$H$91,'Div 6'!$H$93:$H$94,'Div 6'!$H$96:$H$97,'Div 6'!$H$99</definedName>
    <definedName name="OSRRefH22x_0" localSheetId="2">Summary!$H$192:$H$201,Summary!$H$203:$H$212,Summary!$H$214,Summary!$H$216:$H$217,Summary!$H$219,Summary!$H$221:$H$224,Summary!$H$226:$H$227,Summary!$H$229:$H$231,Summary!$H$233,Summary!$H$235,Summary!$H$237:$H$238,Summary!$H$240:$H$241,Summary!$H$243,Summary!$H$245,Summary!$H$247,Summary!$H$249,Summary!$H$251,Summary!$H$253,Summary!$H$255:$H$258,Summary!$H$260:$H$263,Summary!$H$265:$H$270,Summary!$H$272:$H$273,Summary!$H$275:$H$284,Summary!$H$286:$H$287,Summary!$H$289,Summary!$H$291:$H$293,Summary!$H$295</definedName>
    <definedName name="OSRRefH25x_0" localSheetId="48">'300'!$H$248:$H$254</definedName>
    <definedName name="OSRRefH25x_0" localSheetId="49">'300 &amp; 317'!$H$272:$H$280</definedName>
    <definedName name="OSRRefH25x_0" localSheetId="50">'301'!$H$99:$H$101</definedName>
    <definedName name="OSRRefH25x_0" localSheetId="55">'308'!$H$115:$H$118</definedName>
    <definedName name="OSRRefH25x_0" localSheetId="74">'310 &amp; 491'!$H$137:$H$140</definedName>
    <definedName name="OSRRefH25x_0" localSheetId="56">'311'!$H$115:$H$118</definedName>
    <definedName name="OSRRefH25x_0" localSheetId="59">'315'!$H$113:$H$115</definedName>
    <definedName name="OSRRefH25x_0" localSheetId="62">'316'!$H$84:$H$85</definedName>
    <definedName name="OSRRefH25x_0" localSheetId="65">'317'!$H$102:$H$104</definedName>
    <definedName name="OSRRefH25x_0" localSheetId="63">'320'!$H$65:$H$68</definedName>
    <definedName name="OSRRefH25x_0" localSheetId="58">'331'!$H$145:$H$147</definedName>
    <definedName name="OSRRefH25x_0" localSheetId="61">'332'!$H$96:$H$101</definedName>
    <definedName name="OSRRefH25x_0" localSheetId="78">'411'!$H$89:$H$90</definedName>
    <definedName name="OSRRefH25x_0" localSheetId="80">'413'!$H$75</definedName>
    <definedName name="OSRRefH25x_0" localSheetId="85">'423'!$H$51</definedName>
    <definedName name="OSRRefH25x_0" localSheetId="86">'424'!$H$72</definedName>
    <definedName name="OSRRefH25x_0" localSheetId="87">'425'!$H$86</definedName>
    <definedName name="OSRRefH25x_0" localSheetId="88">'455'!$H$41:$H$44</definedName>
    <definedName name="OSRRefH25x_0" localSheetId="75">'491'!$H$124:$H$127</definedName>
    <definedName name="OSRRefH25x_0" localSheetId="97">'501'!$H$68</definedName>
    <definedName name="OSRRefH25x_0" localSheetId="47">'Div 3'!$H$261:$H$267</definedName>
    <definedName name="OSRRefH25x_0" localSheetId="73">'Div 4'!$H$131:$H$134</definedName>
    <definedName name="OSRRefH25x_0" localSheetId="96">'Div 5'!$H$68</definedName>
    <definedName name="OSRRefH25x_0" localSheetId="64">'Div 6'!$H$102:$H$104</definedName>
    <definedName name="OSRRefH25x_0" localSheetId="2">Summary!$H$298:$H$307</definedName>
    <definedName name="OSRRefP13x_0" localSheetId="48">'300'!$P$13:$P$99</definedName>
    <definedName name="OSRRefP13x_0" localSheetId="49">'300 &amp; 317'!$P$13:$P$116</definedName>
    <definedName name="OSRRefP13x_0" localSheetId="53">'307'!$P$13:$P$41</definedName>
    <definedName name="OSRRefP13x_0" localSheetId="55">'308'!$P$13:$P$38</definedName>
    <definedName name="OSRRefP13x_0" localSheetId="67">'309'!$P$13:$P$15</definedName>
    <definedName name="OSRRefP13x_0" localSheetId="66">'310'!$P$13:$P$22</definedName>
    <definedName name="OSRRefP13x_0" localSheetId="74">'310 &amp; 491'!$P$13:$P$29</definedName>
    <definedName name="OSRRefP13x_0" localSheetId="56">'311'!$P$13:$P$38</definedName>
    <definedName name="OSRRefP13x_0" localSheetId="68">'313'!$P$13:$P$18</definedName>
    <definedName name="OSRRefP13x_0" localSheetId="54">'314'!$P$13:$P$33</definedName>
    <definedName name="OSRRefP13x_0" localSheetId="59">'315'!$P$13:$P$33</definedName>
    <definedName name="OSRRefP13x_0" localSheetId="62">'316'!$P$13:$P$25</definedName>
    <definedName name="OSRRefP13x_0" localSheetId="65">'317'!$P$13:$P$37</definedName>
    <definedName name="OSRRefP13x_0" localSheetId="63">'320'!$P$13:$P$15</definedName>
    <definedName name="OSRRefP13x_0" localSheetId="69">'321'!$P$13:$P$15</definedName>
    <definedName name="OSRRefP13x_0" localSheetId="70">'322'!$P$13:$P$15</definedName>
    <definedName name="OSRRefP13x_0" localSheetId="57">'324'!$P$13:$P$15</definedName>
    <definedName name="OSRRefP13x_0" localSheetId="71">'325'!$P$13:$P$15</definedName>
    <definedName name="OSRRefP13x_0" localSheetId="60">'326'!$P$13:$P$30</definedName>
    <definedName name="OSRRefP13x_0" localSheetId="72">'327'!$P$13:$P$14</definedName>
    <definedName name="OSRRefP13x_0" localSheetId="52">'330'!$P$13:$P$46</definedName>
    <definedName name="OSRRefP13x_0" localSheetId="58">'331'!$P$13:$P$39</definedName>
    <definedName name="OSRRefP13x_0" localSheetId="61">'332'!$P$13:$P$28</definedName>
    <definedName name="OSRRefP13x_0" localSheetId="76">'405'!$P$13:$P$15</definedName>
    <definedName name="OSRRefP13x_0" localSheetId="77">'406'!$P$13:$P$16</definedName>
    <definedName name="OSRRefP13x_0" localSheetId="79">'412'!$P$13:$P$16</definedName>
    <definedName name="OSRRefP13x_0" localSheetId="80">'413'!$P$13:$P$16</definedName>
    <definedName name="OSRRefP13x_0" localSheetId="81">'414'!$P$13:$P$16</definedName>
    <definedName name="OSRRefP13x_0" localSheetId="82">'415'!$P$13:$P$15</definedName>
    <definedName name="OSRRefP13x_0" localSheetId="83">'418'!$P$13:$P$16</definedName>
    <definedName name="OSRRefP13x_0" localSheetId="86">'424'!$P$13:$P$15</definedName>
    <definedName name="OSRRefP13x_0" localSheetId="87">'425'!$P$13:$P$16</definedName>
    <definedName name="OSRRefP13x_0" localSheetId="91">'433'!$P$13:$P$16</definedName>
    <definedName name="OSRRefP13x_0" localSheetId="92">'435'!$P$13:$P$16</definedName>
    <definedName name="OSRRefP13x_0" localSheetId="93">'444'!$P$13:$P$16</definedName>
    <definedName name="OSRRefP13x_0" localSheetId="95">'450'!$P$13:$P$16</definedName>
    <definedName name="OSRRefP13x_0" localSheetId="75">'491'!$P$13:$P$23</definedName>
    <definedName name="OSRRefP13x_0" localSheetId="89">'492'!$P$13:$P$18</definedName>
    <definedName name="OSRRefP13x_0" localSheetId="97">'501'!$P$13</definedName>
    <definedName name="OSRRefP13x_0" localSheetId="47">'Div 3'!$P$13:$P$103</definedName>
    <definedName name="OSRRefP13x_0" localSheetId="73">'Div 4'!$P$13:$P$24</definedName>
    <definedName name="OSRRefP13x_0" localSheetId="96">'Div 5'!$P$13</definedName>
    <definedName name="OSRRefP13x_0" localSheetId="64">'Div 6'!$P$13:$P$37</definedName>
    <definedName name="OSRRefP13x_0" localSheetId="2">Summary!$P$13:$P$127</definedName>
    <definedName name="OSRRefP16x_0" localSheetId="48">'300'!$P$102:$P$149</definedName>
    <definedName name="OSRRefP16x_0" localSheetId="49">'300 &amp; 317'!$P$119:$P$173</definedName>
    <definedName name="OSRRefP16x_0" localSheetId="53">'307'!$P$44:$P$61</definedName>
    <definedName name="OSRRefP16x_0" localSheetId="55">'308'!$P$41:$P$54</definedName>
    <definedName name="OSRRefP16x_0" localSheetId="67">'309'!$P$18:$P$20</definedName>
    <definedName name="OSRRefP16x_0" localSheetId="66">'310'!$P$25:$P$27</definedName>
    <definedName name="OSRRefP16x_0" localSheetId="74">'310 &amp; 491'!$P$32:$P$34</definedName>
    <definedName name="OSRRefP16x_0" localSheetId="56">'311'!$P$41:$P$54</definedName>
    <definedName name="OSRRefP16x_0" localSheetId="68">'313'!$P$21:$P$23</definedName>
    <definedName name="OSRRefP16x_0" localSheetId="54">'314'!$P$36:$P$50</definedName>
    <definedName name="OSRRefP16x_0" localSheetId="59">'315'!$P$36:$P$50</definedName>
    <definedName name="OSRRefP16x_0" localSheetId="65">'317'!$P$40:$P$53</definedName>
    <definedName name="OSRRefP16x_0" localSheetId="63">'320'!$P$18:$P$22</definedName>
    <definedName name="OSRRefP16x_0" localSheetId="69">'321'!$P$18:$P$20</definedName>
    <definedName name="OSRRefP16x_0" localSheetId="70">'322'!$P$18:$P$20</definedName>
    <definedName name="OSRRefP16x_0" localSheetId="57">'324'!$P$18:$P$20</definedName>
    <definedName name="OSRRefP16x_0" localSheetId="71">'325'!$P$18:$P$20</definedName>
    <definedName name="OSRRefP16x_0" localSheetId="60">'326'!$P$33:$P$46</definedName>
    <definedName name="OSRRefP16x_0" localSheetId="72">'327'!$P$17:$P$18</definedName>
    <definedName name="OSRRefP16x_0" localSheetId="52">'330'!$P$49:$P$70</definedName>
    <definedName name="OSRRefP16x_0" localSheetId="58">'331'!$P$42:$P$62</definedName>
    <definedName name="OSRRefP16x_0" localSheetId="61">'332'!$P$31:$P$35</definedName>
    <definedName name="OSRRefP16x_0" localSheetId="76">'405'!$P$18:$P$20</definedName>
    <definedName name="OSRRefP16x_0" localSheetId="77">'406'!$P$19:$P$21</definedName>
    <definedName name="OSRRefP16x_0" localSheetId="79">'412'!$P$19:$P$20</definedName>
    <definedName name="OSRRefP16x_0" localSheetId="80">'413'!$P$19:$P$21</definedName>
    <definedName name="OSRRefP16x_0" localSheetId="81">'414'!$P$19:$P$21</definedName>
    <definedName name="OSRRefP16x_0" localSheetId="82">'415'!$P$18:$P$20</definedName>
    <definedName name="OSRRefP16x_0" localSheetId="83">'418'!$P$19:$P$21</definedName>
    <definedName name="OSRRefP16x_0" localSheetId="85">'423'!$P$15</definedName>
    <definedName name="OSRRefP16x_0" localSheetId="86">'424'!$P$18:$P$20</definedName>
    <definedName name="OSRRefP16x_0" localSheetId="87">'425'!$P$19:$P$21</definedName>
    <definedName name="OSRRefP16x_0" localSheetId="91">'433'!$P$19:$P$21</definedName>
    <definedName name="OSRRefP16x_0" localSheetId="92">'435'!$P$19:$P$21</definedName>
    <definedName name="OSRRefP16x_0" localSheetId="93">'444'!$P$19:$P$21</definedName>
    <definedName name="OSRRefP16x_0" localSheetId="95">'450'!$P$19:$P$21</definedName>
    <definedName name="OSRRefP16x_0" localSheetId="75">'491'!$P$26:$P$28</definedName>
    <definedName name="OSRRefP16x_0" localSheetId="89">'492'!$P$21:$P$23</definedName>
    <definedName name="OSRRefP16x_0" localSheetId="47">'Div 3'!$P$106:$P$155</definedName>
    <definedName name="OSRRefP16x_0" localSheetId="73">'Div 4'!$P$27:$P$29</definedName>
    <definedName name="OSRRefP16x_0" localSheetId="64">'Div 6'!$P$40:$P$53</definedName>
    <definedName name="OSRRefP16x_0" localSheetId="2">Summary!$P$130:$P$186</definedName>
    <definedName name="OSRRefP22_0x_0" localSheetId="40">'200'!$P$20</definedName>
    <definedName name="OSRRefP22_0x_0" localSheetId="41">'201'!$P$20:$P$28</definedName>
    <definedName name="OSRRefP22_0x_0" localSheetId="42">'202'!$P$20:$P$28</definedName>
    <definedName name="OSRRefP22_0x_0" localSheetId="43">'203'!$P$20:$P$29</definedName>
    <definedName name="OSRRefP22_0x_0" localSheetId="44">'204'!$P$20:$P$29</definedName>
    <definedName name="OSRRefP22_0x_0" localSheetId="45">'205'!$P$20:$P$28</definedName>
    <definedName name="OSRRefP22_0x_0" localSheetId="46">'206'!$P$20:$P$28</definedName>
    <definedName name="OSRRefP22_0x_0" localSheetId="48">'300'!$P$155:$P$164</definedName>
    <definedName name="OSRRefP22_0x_0" localSheetId="49">'300 &amp; 317'!$P$179:$P$188</definedName>
    <definedName name="OSRRefP22_0x_0" localSheetId="50">'301'!$P$20:$P$28</definedName>
    <definedName name="OSRRefP22_0x_0" localSheetId="51">'306'!$P$20:$P$28</definedName>
    <definedName name="OSRRefP22_0x_0" localSheetId="53">'307'!$P$67:$P$75</definedName>
    <definedName name="OSRRefP22_0x_0" localSheetId="55">'308'!$P$60:$P$69</definedName>
    <definedName name="OSRRefP22_0x_0" localSheetId="67">'309'!$P$26:$P$34</definedName>
    <definedName name="OSRRefP22_0x_0" localSheetId="66">'310'!$P$33:$P$41</definedName>
    <definedName name="OSRRefP22_0x_0" localSheetId="74">'310 &amp; 491'!$P$40:$P$49</definedName>
    <definedName name="OSRRefP22_0x_0" localSheetId="56">'311'!$P$60:$P$69</definedName>
    <definedName name="OSRRefP22_0x_0" localSheetId="68">'313'!$P$29:$P$37</definedName>
    <definedName name="OSRRefP22_0x_0" localSheetId="54">'314'!$P$56:$P$63</definedName>
    <definedName name="OSRRefP22_0x_0" localSheetId="59">'315'!$P$56:$P$64</definedName>
    <definedName name="OSRRefP22_0x_0" localSheetId="62">'316'!$P$33:$P$41</definedName>
    <definedName name="OSRRefP22_0x_0" localSheetId="65">'317'!$P$59:$P$68</definedName>
    <definedName name="OSRRefP22_0x_0" localSheetId="63">'320'!$P$28:$P$35</definedName>
    <definedName name="OSRRefP22_0x_0" localSheetId="69">'321'!$P$26:$P$33</definedName>
    <definedName name="OSRRefP22_0x_0" localSheetId="70">'322'!$P$26:$P$34</definedName>
    <definedName name="OSRRefP22_0x_0" localSheetId="71">'325'!$P$26:$P$34</definedName>
    <definedName name="OSRRefP22_0x_0" localSheetId="60">'326'!$P$52:$P$60</definedName>
    <definedName name="OSRRefP22_0x_0" localSheetId="72">'327'!$P$24</definedName>
    <definedName name="OSRRefP22_0x_0" localSheetId="52">'330'!$P$76:$P$84</definedName>
    <definedName name="OSRRefP22_0x_0" localSheetId="58">'331'!$P$68:$P$76</definedName>
    <definedName name="OSRRefP22_0x_0" localSheetId="61">'332'!$P$41:$P$49</definedName>
    <definedName name="OSRRefP22_0x_0" localSheetId="76">'405'!$P$26:$P$34</definedName>
    <definedName name="OSRRefP22_0x_0" localSheetId="77">'406'!$P$27:$P$35</definedName>
    <definedName name="OSRRefP22_0x_0" localSheetId="78">'411'!$P$20:$P$29</definedName>
    <definedName name="OSRRefP22_0x_0" localSheetId="79">'412'!$P$26:$P$34</definedName>
    <definedName name="OSRRefP22_0x_0" localSheetId="80">'413'!$P$27:$P$35</definedName>
    <definedName name="OSRRefP22_0x_0" localSheetId="81">'414'!$P$27:$P$35</definedName>
    <definedName name="OSRRefP22_0x_0" localSheetId="82">'415'!$P$26:$P$34</definedName>
    <definedName name="OSRRefP22_0x_0" localSheetId="83">'418'!$P$27:$P$35</definedName>
    <definedName name="OSRRefP22_0x_0" localSheetId="84">'420'!$P$20:$P$21</definedName>
    <definedName name="OSRRefP22_0x_0" localSheetId="85">'423'!$P$21:$P$29</definedName>
    <definedName name="OSRRefP22_0x_0" localSheetId="86">'424'!$P$26:$P$33</definedName>
    <definedName name="OSRRefP22_0x_0" localSheetId="87">'425'!$P$27:$P$35</definedName>
    <definedName name="OSRRefP22_0x_0" localSheetId="90">'430'!$P$20:$P$28</definedName>
    <definedName name="OSRRefP22_0x_0" localSheetId="91">'433'!$P$27:$P$36</definedName>
    <definedName name="OSRRefP22_0x_0" localSheetId="92">'435'!$P$27:$P$34</definedName>
    <definedName name="OSRRefP22_0x_0" localSheetId="93">'444'!$P$27:$P$36</definedName>
    <definedName name="OSRRefP22_0x_0" localSheetId="95">'450'!$P$27:$P$36</definedName>
    <definedName name="OSRRefP22_0x_0" localSheetId="88">'455'!$P$20:$P$27</definedName>
    <definedName name="OSRRefP22_0x_0" localSheetId="75">'491'!$P$34:$P$43</definedName>
    <definedName name="OSRRefP22_0x_0" localSheetId="89">'492'!$P$29:$P$38</definedName>
    <definedName name="OSRRefP22_0x_0" localSheetId="97">'501'!$P$21:$P$29</definedName>
    <definedName name="OSRRefP22_0x_0" localSheetId="39">'Div 2'!$P$20:$P$30</definedName>
    <definedName name="OSRRefP22_0x_0" localSheetId="47">'Div 3'!$P$161:$P$170</definedName>
    <definedName name="OSRRefP22_0x_0" localSheetId="73">'Div 4'!$P$35:$P$44</definedName>
    <definedName name="OSRRefP22_0x_0" localSheetId="96">'Div 5'!$P$21:$P$29</definedName>
    <definedName name="OSRRefP22_0x_0" localSheetId="64">'Div 6'!$P$59:$P$68</definedName>
    <definedName name="OSRRefP22_0x_0" localSheetId="2">Summary!$P$192:$P$201</definedName>
    <definedName name="OSRRefP22_10x_0" localSheetId="41">'201'!$P$58:$P$60</definedName>
    <definedName name="OSRRefP22_10x_0" localSheetId="42">'202'!$P$59</definedName>
    <definedName name="OSRRefP22_10x_0" localSheetId="43">'203'!$P$59:$P$60</definedName>
    <definedName name="OSRRefP22_10x_0" localSheetId="44">'204'!$P$61:$P$62</definedName>
    <definedName name="OSRRefP22_10x_0" localSheetId="46">'206'!$P$58</definedName>
    <definedName name="OSRRefP22_10x_0" localSheetId="48">'300'!$P$198:$P$199</definedName>
    <definedName name="OSRRefP22_10x_0" localSheetId="49">'300 &amp; 317'!$P$222:$P$223</definedName>
    <definedName name="OSRRefP22_10x_0" localSheetId="50">'301'!$P$61</definedName>
    <definedName name="OSRRefP22_10x_0" localSheetId="53">'307'!$P$106</definedName>
    <definedName name="OSRRefP22_10x_0" localSheetId="55">'308'!$P$101</definedName>
    <definedName name="OSRRefP22_10x_0" localSheetId="67">'309'!$P$64:$P$66</definedName>
    <definedName name="OSRRefP22_10x_0" localSheetId="66">'310'!$P$72</definedName>
    <definedName name="OSRRefP22_10x_0" localSheetId="74">'310 &amp; 491'!$P$81</definedName>
    <definedName name="OSRRefP22_10x_0" localSheetId="56">'311'!$P$101</definedName>
    <definedName name="OSRRefP22_10x_0" localSheetId="68">'313'!$P$67</definedName>
    <definedName name="OSRRefP22_10x_0" localSheetId="59">'315'!$P$94:$P$96</definedName>
    <definedName name="OSRRefP22_10x_0" localSheetId="62">'316'!$P$70:$P$71</definedName>
    <definedName name="OSRRefP22_10x_0" localSheetId="65">'317'!$P$99</definedName>
    <definedName name="OSRRefP22_10x_0" localSheetId="69">'321'!$P$63:$P$64</definedName>
    <definedName name="OSRRefP22_10x_0" localSheetId="70">'322'!$P$64:$P$66</definedName>
    <definedName name="OSRRefP22_10x_0" localSheetId="71">'325'!$P$65</definedName>
    <definedName name="OSRRefP22_10x_0" localSheetId="60">'326'!$P$90</definedName>
    <definedName name="OSRRefP22_10x_0" localSheetId="52">'330'!$P$115</definedName>
    <definedName name="OSRRefP22_10x_0" localSheetId="58">'331'!$P$107</definedName>
    <definedName name="OSRRefP22_10x_0" localSheetId="61">'332'!$P$79</definedName>
    <definedName name="OSRRefP22_10x_0" localSheetId="76">'405'!$P$65:$P$67</definedName>
    <definedName name="OSRRefP22_10x_0" localSheetId="77">'406'!$P$67:$P$72</definedName>
    <definedName name="OSRRefP22_10x_0" localSheetId="78">'411'!$P$60:$P$62</definedName>
    <definedName name="OSRRefP22_10x_0" localSheetId="79">'412'!$P$65:$P$67</definedName>
    <definedName name="OSRRefP22_10x_0" localSheetId="80">'413'!$P$69:$P$70</definedName>
    <definedName name="OSRRefP22_10x_0" localSheetId="81">'414'!$P$65</definedName>
    <definedName name="OSRRefP22_10x_0" localSheetId="82">'415'!$P$64</definedName>
    <definedName name="OSRRefP22_10x_0" localSheetId="83">'418'!$P$69:$P$71</definedName>
    <definedName name="OSRRefP22_10x_0" localSheetId="86">'424'!$P$64:$P$66</definedName>
    <definedName name="OSRRefP22_10x_0" localSheetId="87">'425'!$P$66:$P$67</definedName>
    <definedName name="OSRRefP22_10x_0" localSheetId="90">'430'!$P$59</definedName>
    <definedName name="OSRRefP22_10x_0" localSheetId="91">'433'!$P$65:$P$66</definedName>
    <definedName name="OSRRefP22_10x_0" localSheetId="93">'444'!$P$65</definedName>
    <definedName name="OSRRefP22_10x_0" localSheetId="95">'450'!$P$66</definedName>
    <definedName name="OSRRefP22_10x_0" localSheetId="75">'491'!$P$76</definedName>
    <definedName name="OSRRefP22_10x_0" localSheetId="89">'492'!$P$69</definedName>
    <definedName name="OSRRefP22_10x_0" localSheetId="97">'501'!$P$58:$P$59</definedName>
    <definedName name="OSRRefP22_10x_0" localSheetId="39">'Div 2'!$P$60</definedName>
    <definedName name="OSRRefP22_10x_0" localSheetId="47">'Div 3'!$P$204:$P$205</definedName>
    <definedName name="OSRRefP22_10x_0" localSheetId="73">'Div 4'!$P$78:$P$79</definedName>
    <definedName name="OSRRefP22_10x_0" localSheetId="96">'Div 5'!$P$58:$P$59</definedName>
    <definedName name="OSRRefP22_10x_0" localSheetId="64">'Div 6'!$P$99</definedName>
    <definedName name="OSRRefP22_10x_0" localSheetId="2">Summary!$P$237:$P$238</definedName>
    <definedName name="OSRRefP22_11x_0" localSheetId="41">'201'!$P$62:$P$64</definedName>
    <definedName name="OSRRefP22_11x_0" localSheetId="42">'202'!$P$61</definedName>
    <definedName name="OSRRefP22_11x_0" localSheetId="43">'203'!$P$62</definedName>
    <definedName name="OSRRefP22_11x_0" localSheetId="44">'204'!$P$64</definedName>
    <definedName name="OSRRefP22_11x_0" localSheetId="48">'300'!$P$201</definedName>
    <definedName name="OSRRefP22_11x_0" localSheetId="49">'300 &amp; 317'!$P$225</definedName>
    <definedName name="OSRRefP22_11x_0" localSheetId="50">'301'!$P$63</definedName>
    <definedName name="OSRRefP22_11x_0" localSheetId="53">'307'!$P$108</definedName>
    <definedName name="OSRRefP22_11x_0" localSheetId="55">'308'!$P$103:$P$105</definedName>
    <definedName name="OSRRefP22_11x_0" localSheetId="67">'309'!$P$68</definedName>
    <definedName name="OSRRefP22_11x_0" localSheetId="66">'310'!$P$74</definedName>
    <definedName name="OSRRefP22_11x_0" localSheetId="74">'310 &amp; 491'!$P$83:$P$84</definedName>
    <definedName name="OSRRefP22_11x_0" localSheetId="56">'311'!$P$103:$P$105</definedName>
    <definedName name="OSRRefP22_11x_0" localSheetId="68">'313'!$P$69:$P$73</definedName>
    <definedName name="OSRRefP22_11x_0" localSheetId="59">'315'!$P$98:$P$99</definedName>
    <definedName name="OSRRefP22_11x_0" localSheetId="62">'316'!$P$73:$P$76</definedName>
    <definedName name="OSRRefP22_11x_0" localSheetId="69">'321'!$P$66:$P$68</definedName>
    <definedName name="OSRRefP22_11x_0" localSheetId="70">'322'!$P$68:$P$72</definedName>
    <definedName name="OSRRefP22_11x_0" localSheetId="71">'325'!$P$67:$P$68</definedName>
    <definedName name="OSRRefP22_11x_0" localSheetId="60">'326'!$P$92</definedName>
    <definedName name="OSRRefP22_11x_0" localSheetId="52">'330'!$P$117</definedName>
    <definedName name="OSRRefP22_11x_0" localSheetId="58">'331'!$P$109</definedName>
    <definedName name="OSRRefP22_11x_0" localSheetId="61">'332'!$P$81:$P$82</definedName>
    <definedName name="OSRRefP22_11x_0" localSheetId="76">'405'!$P$69</definedName>
    <definedName name="OSRRefP22_11x_0" localSheetId="77">'406'!$P$74:$P$75</definedName>
    <definedName name="OSRRefP22_11x_0" localSheetId="78">'411'!$P$64:$P$68</definedName>
    <definedName name="OSRRefP22_11x_0" localSheetId="79">'412'!$P$69:$P$74</definedName>
    <definedName name="OSRRefP22_11x_0" localSheetId="80">'413'!$P$72</definedName>
    <definedName name="OSRRefP22_11x_0" localSheetId="81">'414'!$P$67</definedName>
    <definedName name="OSRRefP22_11x_0" localSheetId="82">'415'!$P$66:$P$67</definedName>
    <definedName name="OSRRefP22_11x_0" localSheetId="83">'418'!$P$73</definedName>
    <definedName name="OSRRefP22_11x_0" localSheetId="86">'424'!$P$68:$P$69</definedName>
    <definedName name="OSRRefP22_11x_0" localSheetId="87">'425'!$P$69:$P$70</definedName>
    <definedName name="OSRRefP22_11x_0" localSheetId="91">'433'!$P$68:$P$71</definedName>
    <definedName name="OSRRefP22_11x_0" localSheetId="93">'444'!$P$67:$P$69</definedName>
    <definedName name="OSRRefP22_11x_0" localSheetId="95">'450'!$P$68:$P$69</definedName>
    <definedName name="OSRRefP22_11x_0" localSheetId="75">'491'!$P$78</definedName>
    <definedName name="OSRRefP22_11x_0" localSheetId="89">'492'!$P$71</definedName>
    <definedName name="OSRRefP22_11x_0" localSheetId="97">'501'!$P$61:$P$63</definedName>
    <definedName name="OSRRefP22_11x_0" localSheetId="39">'Div 2'!$P$62</definedName>
    <definedName name="OSRRefP22_11x_0" localSheetId="47">'Div 3'!$P$207</definedName>
    <definedName name="OSRRefP22_11x_0" localSheetId="73">'Div 4'!$P$81</definedName>
    <definedName name="OSRRefP22_11x_0" localSheetId="96">'Div 5'!$P$61:$P$63</definedName>
    <definedName name="OSRRefP22_11x_0" localSheetId="2">Summary!$P$240:$P$241</definedName>
    <definedName name="OSRRefP22_12x_0" localSheetId="41">'201'!$P$66</definedName>
    <definedName name="OSRRefP22_12x_0" localSheetId="42">'202'!$P$63</definedName>
    <definedName name="OSRRefP22_12x_0" localSheetId="43">'203'!$P$64:$P$66</definedName>
    <definedName name="OSRRefP22_12x_0" localSheetId="44">'204'!$P$66:$P$67</definedName>
    <definedName name="OSRRefP22_12x_0" localSheetId="48">'300'!$P$203</definedName>
    <definedName name="OSRRefP22_12x_0" localSheetId="49">'300 &amp; 317'!$P$227</definedName>
    <definedName name="OSRRefP22_12x_0" localSheetId="50">'301'!$P$65</definedName>
    <definedName name="OSRRefP22_12x_0" localSheetId="53">'307'!$P$110</definedName>
    <definedName name="OSRRefP22_12x_0" localSheetId="55">'308'!$P$107:$P$108</definedName>
    <definedName name="OSRRefP22_12x_0" localSheetId="67">'309'!$P$70</definedName>
    <definedName name="OSRRefP22_12x_0" localSheetId="66">'310'!$P$76</definedName>
    <definedName name="OSRRefP22_12x_0" localSheetId="74">'310 &amp; 491'!$P$86</definedName>
    <definedName name="OSRRefP22_12x_0" localSheetId="56">'311'!$P$107:$P$108</definedName>
    <definedName name="OSRRefP22_12x_0" localSheetId="68">'313'!$P$75</definedName>
    <definedName name="OSRRefP22_12x_0" localSheetId="59">'315'!$P$101:$P$104</definedName>
    <definedName name="OSRRefP22_12x_0" localSheetId="62">'316'!$P$78:$P$79</definedName>
    <definedName name="OSRRefP22_12x_0" localSheetId="69">'321'!$P$70:$P$72</definedName>
    <definedName name="OSRRefP22_12x_0" localSheetId="70">'322'!$P$74</definedName>
    <definedName name="OSRRefP22_12x_0" localSheetId="71">'325'!$P$70:$P$73</definedName>
    <definedName name="OSRRefP22_12x_0" localSheetId="60">'326'!$P$94</definedName>
    <definedName name="OSRRefP22_12x_0" localSheetId="52">'330'!$P$119</definedName>
    <definedName name="OSRRefP22_12x_0" localSheetId="58">'331'!$P$111</definedName>
    <definedName name="OSRRefP22_12x_0" localSheetId="61">'332'!$P$84:$P$88</definedName>
    <definedName name="OSRRefP22_12x_0" localSheetId="76">'405'!$P$71:$P$73</definedName>
    <definedName name="OSRRefP22_12x_0" localSheetId="77">'406'!$P$77</definedName>
    <definedName name="OSRRefP22_12x_0" localSheetId="78">'411'!$P$70:$P$76</definedName>
    <definedName name="OSRRefP22_12x_0" localSheetId="79">'412'!$P$76</definedName>
    <definedName name="OSRRefP22_12x_0" localSheetId="81">'414'!$P$69</definedName>
    <definedName name="OSRRefP22_12x_0" localSheetId="82">'415'!$P$69:$P$73</definedName>
    <definedName name="OSRRefP22_12x_0" localSheetId="83">'418'!$P$75:$P$81</definedName>
    <definedName name="OSRRefP22_12x_0" localSheetId="87">'425'!$P$72:$P$76</definedName>
    <definedName name="OSRRefP22_12x_0" localSheetId="91">'433'!$P$73:$P$79</definedName>
    <definedName name="OSRRefP22_12x_0" localSheetId="93">'444'!$P$71:$P$74</definedName>
    <definedName name="OSRRefP22_12x_0" localSheetId="95">'450'!$P$71:$P$73</definedName>
    <definedName name="OSRRefP22_12x_0" localSheetId="75">'491'!$P$80</definedName>
    <definedName name="OSRRefP22_12x_0" localSheetId="89">'492'!$P$73:$P$76</definedName>
    <definedName name="OSRRefP22_12x_0" localSheetId="97">'501'!$P$65</definedName>
    <definedName name="OSRRefP22_12x_0" localSheetId="39">'Div 2'!$P$64:$P$66</definedName>
    <definedName name="OSRRefP22_12x_0" localSheetId="47">'Div 3'!$P$209</definedName>
    <definedName name="OSRRefP22_12x_0" localSheetId="73">'Div 4'!$P$83</definedName>
    <definedName name="OSRRefP22_12x_0" localSheetId="96">'Div 5'!$P$65</definedName>
    <definedName name="OSRRefP22_12x_0" localSheetId="2">Summary!$P$243</definedName>
    <definedName name="OSRRefP22_13x_0" localSheetId="41">'201'!$P$68:$P$70</definedName>
    <definedName name="OSRRefP22_13x_0" localSheetId="42">'202'!$P$65</definedName>
    <definedName name="OSRRefP22_13x_0" localSheetId="43">'203'!$P$68</definedName>
    <definedName name="OSRRefP22_13x_0" localSheetId="48">'300'!$P$205</definedName>
    <definedName name="OSRRefP22_13x_0" localSheetId="49">'300 &amp; 317'!$P$229</definedName>
    <definedName name="OSRRefP22_13x_0" localSheetId="50">'301'!$P$67</definedName>
    <definedName name="OSRRefP22_13x_0" localSheetId="55">'308'!$P$110</definedName>
    <definedName name="OSRRefP22_13x_0" localSheetId="66">'310'!$P$78</definedName>
    <definedName name="OSRRefP22_13x_0" localSheetId="74">'310 &amp; 491'!$P$88</definedName>
    <definedName name="OSRRefP22_13x_0" localSheetId="56">'311'!$P$110</definedName>
    <definedName name="OSRRefP22_13x_0" localSheetId="68">'313'!$P$77</definedName>
    <definedName name="OSRRefP22_13x_0" localSheetId="59">'315'!$P$106</definedName>
    <definedName name="OSRRefP22_13x_0" localSheetId="62">'316'!$P$81</definedName>
    <definedName name="OSRRefP22_13x_0" localSheetId="69">'321'!$P$74</definedName>
    <definedName name="OSRRefP22_13x_0" localSheetId="70">'322'!$P$76</definedName>
    <definedName name="OSRRefP22_13x_0" localSheetId="71">'325'!$P$75</definedName>
    <definedName name="OSRRefP22_13x_0" localSheetId="60">'326'!$P$96:$P$97</definedName>
    <definedName name="OSRRefP22_13x_0" localSheetId="52">'330'!$P$121</definedName>
    <definedName name="OSRRefP22_13x_0" localSheetId="58">'331'!$P$113</definedName>
    <definedName name="OSRRefP22_13x_0" localSheetId="61">'332'!$P$90:$P$91</definedName>
    <definedName name="OSRRefP22_13x_0" localSheetId="76">'405'!$P$75</definedName>
    <definedName name="OSRRefP22_13x_0" localSheetId="77">'406'!$P$79</definedName>
    <definedName name="OSRRefP22_13x_0" localSheetId="78">'411'!$P$78</definedName>
    <definedName name="OSRRefP22_13x_0" localSheetId="79">'412'!$P$78</definedName>
    <definedName name="OSRRefP22_13x_0" localSheetId="81">'414'!$P$71:$P$77</definedName>
    <definedName name="OSRRefP22_13x_0" localSheetId="82">'415'!$P$75</definedName>
    <definedName name="OSRRefP22_13x_0" localSheetId="83">'418'!$P$83</definedName>
    <definedName name="OSRRefP22_13x_0" localSheetId="87">'425'!$P$78:$P$79</definedName>
    <definedName name="OSRRefP22_13x_0" localSheetId="91">'433'!$P$81</definedName>
    <definedName name="OSRRefP22_13x_0" localSheetId="93">'444'!$P$76:$P$82</definedName>
    <definedName name="OSRRefP22_13x_0" localSheetId="95">'450'!$P$75:$P$80</definedName>
    <definedName name="OSRRefP22_13x_0" localSheetId="75">'491'!$P$82</definedName>
    <definedName name="OSRRefP22_13x_0" localSheetId="89">'492'!$P$78:$P$81</definedName>
    <definedName name="OSRRefP22_13x_0" localSheetId="39">'Div 2'!$P$68:$P$71</definedName>
    <definedName name="OSRRefP22_13x_0" localSheetId="47">'Div 3'!$P$211</definedName>
    <definedName name="OSRRefP22_13x_0" localSheetId="73">'Div 4'!$P$85</definedName>
    <definedName name="OSRRefP22_13x_0" localSheetId="2">Summary!$P$245</definedName>
    <definedName name="OSRRefP22_14x_0" localSheetId="41">'201'!$P$72</definedName>
    <definedName name="OSRRefP22_14x_0" localSheetId="42">'202'!$P$67:$P$68</definedName>
    <definedName name="OSRRefP22_14x_0" localSheetId="43">'203'!$P$70</definedName>
    <definedName name="OSRRefP22_14x_0" localSheetId="48">'300'!$P$207</definedName>
    <definedName name="OSRRefP22_14x_0" localSheetId="49">'300 &amp; 317'!$P$231</definedName>
    <definedName name="OSRRefP22_14x_0" localSheetId="50">'301'!$P$69</definedName>
    <definedName name="OSRRefP22_14x_0" localSheetId="55">'308'!$P$112</definedName>
    <definedName name="OSRRefP22_14x_0" localSheetId="66">'310'!$P$80</definedName>
    <definedName name="OSRRefP22_14x_0" localSheetId="74">'310 &amp; 491'!$P$90</definedName>
    <definedName name="OSRRefP22_14x_0" localSheetId="56">'311'!$P$112</definedName>
    <definedName name="OSRRefP22_14x_0" localSheetId="59">'315'!$P$108</definedName>
    <definedName name="OSRRefP22_14x_0" localSheetId="69">'321'!$P$76</definedName>
    <definedName name="OSRRefP22_14x_0" localSheetId="71">'325'!$P$77:$P$83</definedName>
    <definedName name="OSRRefP22_14x_0" localSheetId="60">'326'!$P$99:$P$101</definedName>
    <definedName name="OSRRefP22_14x_0" localSheetId="58">'331'!$P$115:$P$116</definedName>
    <definedName name="OSRRefP22_14x_0" localSheetId="61">'332'!$P$93</definedName>
    <definedName name="OSRRefP22_14x_0" localSheetId="76">'405'!$P$77:$P$85</definedName>
    <definedName name="OSRRefP22_14x_0" localSheetId="78">'411'!$P$80</definedName>
    <definedName name="OSRRefP22_14x_0" localSheetId="81">'414'!$P$79</definedName>
    <definedName name="OSRRefP22_14x_0" localSheetId="82">'415'!$P$77:$P$84</definedName>
    <definedName name="OSRRefP22_14x_0" localSheetId="83">'418'!$P$85</definedName>
    <definedName name="OSRRefP22_14x_0" localSheetId="87">'425'!$P$81</definedName>
    <definedName name="OSRRefP22_14x_0" localSheetId="91">'433'!$P$83</definedName>
    <definedName name="OSRRefP22_14x_0" localSheetId="93">'444'!$P$84</definedName>
    <definedName name="OSRRefP22_14x_0" localSheetId="95">'450'!$P$82</definedName>
    <definedName name="OSRRefP22_14x_0" localSheetId="75">'491'!$P$84:$P$87</definedName>
    <definedName name="OSRRefP22_14x_0" localSheetId="89">'492'!$P$83:$P$91</definedName>
    <definedName name="OSRRefP22_14x_0" localSheetId="39">'Div 2'!$P$73:$P$76</definedName>
    <definedName name="OSRRefP22_14x_0" localSheetId="47">'Div 3'!$P$213</definedName>
    <definedName name="OSRRefP22_14x_0" localSheetId="73">'Div 4'!$P$87</definedName>
    <definedName name="OSRRefP22_14x_0" localSheetId="2">Summary!$P$247</definedName>
    <definedName name="OSRRefP22_15x_0" localSheetId="41">'201'!$P$74</definedName>
    <definedName name="OSRRefP22_15x_0" localSheetId="42">'202'!$P$70</definedName>
    <definedName name="OSRRefP22_15x_0" localSheetId="43">'203'!$P$72</definedName>
    <definedName name="OSRRefP22_15x_0" localSheetId="48">'300'!$P$209</definedName>
    <definedName name="OSRRefP22_15x_0" localSheetId="49">'300 &amp; 317'!$P$233</definedName>
    <definedName name="OSRRefP22_15x_0" localSheetId="50">'301'!$P$71:$P$73</definedName>
    <definedName name="OSRRefP22_15x_0" localSheetId="66">'310'!$P$82:$P$83</definedName>
    <definedName name="OSRRefP22_15x_0" localSheetId="74">'310 &amp; 491'!$P$92</definedName>
    <definedName name="OSRRefP22_15x_0" localSheetId="59">'315'!$P$110</definedName>
    <definedName name="OSRRefP22_15x_0" localSheetId="71">'325'!$P$85</definedName>
    <definedName name="OSRRefP22_15x_0" localSheetId="60">'326'!$P$103:$P$104</definedName>
    <definedName name="OSRRefP22_15x_0" localSheetId="58">'331'!$P$118:$P$120</definedName>
    <definedName name="OSRRefP22_15x_0" localSheetId="76">'405'!$P$87</definedName>
    <definedName name="OSRRefP22_15x_0" localSheetId="78">'411'!$P$82:$P$84</definedName>
    <definedName name="OSRRefP22_15x_0" localSheetId="81">'414'!$P$81</definedName>
    <definedName name="OSRRefP22_15x_0" localSheetId="82">'415'!$P$86</definedName>
    <definedName name="OSRRefP22_15x_0" localSheetId="83">'418'!$P$87</definedName>
    <definedName name="OSRRefP22_15x_0" localSheetId="87">'425'!$P$83</definedName>
    <definedName name="OSRRefP22_15x_0" localSheetId="91">'433'!$P$85:$P$86</definedName>
    <definedName name="OSRRefP22_15x_0" localSheetId="93">'444'!$P$86</definedName>
    <definedName name="OSRRefP22_15x_0" localSheetId="95">'450'!$P$84</definedName>
    <definedName name="OSRRefP22_15x_0" localSheetId="75">'491'!$P$89:$P$91</definedName>
    <definedName name="OSRRefP22_15x_0" localSheetId="89">'492'!$P$93</definedName>
    <definedName name="OSRRefP22_15x_0" localSheetId="39">'Div 2'!$P$78:$P$79</definedName>
    <definedName name="OSRRefP22_15x_0" localSheetId="47">'Div 3'!$P$215</definedName>
    <definedName name="OSRRefP22_15x_0" localSheetId="73">'Div 4'!$P$89</definedName>
    <definedName name="OSRRefP22_15x_0" localSheetId="2">Summary!$P$249</definedName>
    <definedName name="OSRRefP22_16x_0" localSheetId="41">'201'!$P$76</definedName>
    <definedName name="OSRRefP22_16x_0" localSheetId="42">'202'!$P$72</definedName>
    <definedName name="OSRRefP22_16x_0" localSheetId="48">'300'!$P$211:$P$213</definedName>
    <definedName name="OSRRefP22_16x_0" localSheetId="49">'300 &amp; 317'!$P$235:$P$237</definedName>
    <definedName name="OSRRefP22_16x_0" localSheetId="50">'301'!$P$75:$P$77</definedName>
    <definedName name="OSRRefP22_16x_0" localSheetId="66">'310'!$P$85:$P$86</definedName>
    <definedName name="OSRRefP22_16x_0" localSheetId="74">'310 &amp; 491'!$P$94</definedName>
    <definedName name="OSRRefP22_16x_0" localSheetId="71">'325'!$P$87</definedName>
    <definedName name="OSRRefP22_16x_0" localSheetId="60">'326'!$P$106:$P$110</definedName>
    <definedName name="OSRRefP22_16x_0" localSheetId="58">'331'!$P$122:$P$124</definedName>
    <definedName name="OSRRefP22_16x_0" localSheetId="76">'405'!$P$89</definedName>
    <definedName name="OSRRefP22_16x_0" localSheetId="78">'411'!$P$86</definedName>
    <definedName name="OSRRefP22_16x_0" localSheetId="82">'415'!$P$88</definedName>
    <definedName name="OSRRefP22_16x_0" localSheetId="93">'444'!$P$88</definedName>
    <definedName name="OSRRefP22_16x_0" localSheetId="95">'450'!$P$86:$P$87</definedName>
    <definedName name="OSRRefP22_16x_0" localSheetId="75">'491'!$P$93:$P$97</definedName>
    <definedName name="OSRRefP22_16x_0" localSheetId="89">'492'!$P$95</definedName>
    <definedName name="OSRRefP22_16x_0" localSheetId="39">'Div 2'!$P$81:$P$82</definedName>
    <definedName name="OSRRefP22_16x_0" localSheetId="47">'Div 3'!$P$217</definedName>
    <definedName name="OSRRefP22_16x_0" localSheetId="73">'Div 4'!$P$91:$P$94</definedName>
    <definedName name="OSRRefP22_16x_0" localSheetId="2">Summary!$P$251</definedName>
    <definedName name="OSRRefP22_17x_0" localSheetId="48">'300'!$P$215:$P$218</definedName>
    <definedName name="OSRRefP22_17x_0" localSheetId="49">'300 &amp; 317'!$P$239:$P$242</definedName>
    <definedName name="OSRRefP22_17x_0" localSheetId="50">'301'!$P$79:$P$80</definedName>
    <definedName name="OSRRefP22_17x_0" localSheetId="66">'310'!$P$88:$P$92</definedName>
    <definedName name="OSRRefP22_17x_0" localSheetId="74">'310 &amp; 491'!$P$96:$P$99</definedName>
    <definedName name="OSRRefP22_17x_0" localSheetId="71">'325'!$P$89</definedName>
    <definedName name="OSRRefP22_17x_0" localSheetId="60">'326'!$P$112:$P$113</definedName>
    <definedName name="OSRRefP22_17x_0" localSheetId="58">'331'!$P$126:$P$127</definedName>
    <definedName name="OSRRefP22_17x_0" localSheetId="76">'405'!$P$91</definedName>
    <definedName name="OSRRefP22_17x_0" localSheetId="82">'415'!$P$90:$P$91</definedName>
    <definedName name="OSRRefP22_17x_0" localSheetId="75">'491'!$P$99</definedName>
    <definedName name="OSRRefP22_17x_0" localSheetId="89">'492'!$P$97:$P$98</definedName>
    <definedName name="OSRRefP22_17x_0" localSheetId="39">'Div 2'!$P$84:$P$87</definedName>
    <definedName name="OSRRefP22_17x_0" localSheetId="47">'Div 3'!$P$219</definedName>
    <definedName name="OSRRefP22_17x_0" localSheetId="73">'Div 4'!$P$96:$P$98</definedName>
    <definedName name="OSRRefP22_17x_0" localSheetId="2">Summary!$P$253</definedName>
    <definedName name="OSRRefP22_18x_0" localSheetId="48">'300'!$P$220:$P$223</definedName>
    <definedName name="OSRRefP22_18x_0" localSheetId="49">'300 &amp; 317'!$P$244:$P$247</definedName>
    <definedName name="OSRRefP22_18x_0" localSheetId="50">'301'!$P$82:$P$87</definedName>
    <definedName name="OSRRefP22_18x_0" localSheetId="66">'310'!$P$94</definedName>
    <definedName name="OSRRefP22_18x_0" localSheetId="74">'310 &amp; 491'!$P$101:$P$103</definedName>
    <definedName name="OSRRefP22_18x_0" localSheetId="60">'326'!$P$115</definedName>
    <definedName name="OSRRefP22_18x_0" localSheetId="58">'331'!$P$129:$P$133</definedName>
    <definedName name="OSRRefP22_18x_0" localSheetId="82">'415'!$P$93</definedName>
    <definedName name="OSRRefP22_18x_0" localSheetId="75">'491'!$P$101:$P$110</definedName>
    <definedName name="OSRRefP22_18x_0" localSheetId="39">'Div 2'!$P$89:$P$90</definedName>
    <definedName name="OSRRefP22_18x_0" localSheetId="47">'Div 3'!$P$221:$P$223</definedName>
    <definedName name="OSRRefP22_18x_0" localSheetId="73">'Div 4'!$P$100:$P$104</definedName>
    <definedName name="OSRRefP22_18x_0" localSheetId="2">Summary!$P$255:$P$258</definedName>
    <definedName name="OSRRefP22_19x_0" localSheetId="48">'300'!$P$225:$P$226</definedName>
    <definedName name="OSRRefP22_19x_0" localSheetId="49">'300 &amp; 317'!$P$249:$P$250</definedName>
    <definedName name="OSRRefP22_19x_0" localSheetId="50">'301'!$P$89</definedName>
    <definedName name="OSRRefP22_19x_0" localSheetId="66">'310'!$P$96:$P$103</definedName>
    <definedName name="OSRRefP22_19x_0" localSheetId="74">'310 &amp; 491'!$P$105:$P$110</definedName>
    <definedName name="OSRRefP22_19x_0" localSheetId="60">'326'!$P$117</definedName>
    <definedName name="OSRRefP22_19x_0" localSheetId="58">'331'!$P$135:$P$136</definedName>
    <definedName name="OSRRefP22_19x_0" localSheetId="75">'491'!$P$112:$P$113</definedName>
    <definedName name="OSRRefP22_19x_0" localSheetId="39">'Div 2'!$P$92</definedName>
    <definedName name="OSRRefP22_19x_0" localSheetId="47">'Div 3'!$P$225:$P$228</definedName>
    <definedName name="OSRRefP22_19x_0" localSheetId="73">'Div 4'!$P$106</definedName>
    <definedName name="OSRRefP22_19x_0" localSheetId="2">Summary!$P$260:$P$263</definedName>
    <definedName name="OSRRefP22_1x_0" localSheetId="40">'200'!$P$22</definedName>
    <definedName name="OSRRefP22_1x_0" localSheetId="41">'201'!$P$30:$P$39</definedName>
    <definedName name="OSRRefP22_1x_0" localSheetId="42">'202'!$P$30:$P$39</definedName>
    <definedName name="OSRRefP22_1x_0" localSheetId="43">'203'!$P$31:$P$40</definedName>
    <definedName name="OSRRefP22_1x_0" localSheetId="44">'204'!$P$31:$P$40</definedName>
    <definedName name="OSRRefP22_1x_0" localSheetId="45">'205'!$P$30:$P$39</definedName>
    <definedName name="OSRRefP22_1x_0" localSheetId="46">'206'!$P$30:$P$39</definedName>
    <definedName name="OSRRefP22_1x_0" localSheetId="48">'300'!$P$166:$P$175</definedName>
    <definedName name="OSRRefP22_1x_0" localSheetId="49">'300 &amp; 317'!$P$190:$P$199</definedName>
    <definedName name="OSRRefP22_1x_0" localSheetId="50">'301'!$P$30:$P$39</definedName>
    <definedName name="OSRRefP22_1x_0" localSheetId="51">'306'!$P$30:$P$39</definedName>
    <definedName name="OSRRefP22_1x_0" localSheetId="53">'307'!$P$77:$P$86</definedName>
    <definedName name="OSRRefP22_1x_0" localSheetId="55">'308'!$P$71:$P$80</definedName>
    <definedName name="OSRRefP22_1x_0" localSheetId="67">'309'!$P$36:$P$45</definedName>
    <definedName name="OSRRefP22_1x_0" localSheetId="66">'310'!$P$43:$P$52</definedName>
    <definedName name="OSRRefP22_1x_0" localSheetId="74">'310 &amp; 491'!$P$51:$P$60</definedName>
    <definedName name="OSRRefP22_1x_0" localSheetId="56">'311'!$P$71:$P$80</definedName>
    <definedName name="OSRRefP22_1x_0" localSheetId="68">'313'!$P$39:$P$48</definedName>
    <definedName name="OSRRefP22_1x_0" localSheetId="54">'314'!$P$65:$P$74</definedName>
    <definedName name="OSRRefP22_1x_0" localSheetId="59">'315'!$P$66:$P$75</definedName>
    <definedName name="OSRRefP22_1x_0" localSheetId="62">'316'!$P$43:$P$52</definedName>
    <definedName name="OSRRefP22_1x_0" localSheetId="65">'317'!$P$70:$P$79</definedName>
    <definedName name="OSRRefP22_1x_0" localSheetId="63">'320'!$P$37:$P$46</definedName>
    <definedName name="OSRRefP22_1x_0" localSheetId="69">'321'!$P$35:$P$44</definedName>
    <definedName name="OSRRefP22_1x_0" localSheetId="70">'322'!$P$36:$P$45</definedName>
    <definedName name="OSRRefP22_1x_0" localSheetId="71">'325'!$P$36:$P$45</definedName>
    <definedName name="OSRRefP22_1x_0" localSheetId="60">'326'!$P$62:$P$71</definedName>
    <definedName name="OSRRefP22_1x_0" localSheetId="52">'330'!$P$86:$P$95</definedName>
    <definedName name="OSRRefP22_1x_0" localSheetId="58">'331'!$P$78:$P$87</definedName>
    <definedName name="OSRRefP22_1x_0" localSheetId="61">'332'!$P$51:$P$60</definedName>
    <definedName name="OSRRefP22_1x_0" localSheetId="76">'405'!$P$36:$P$45</definedName>
    <definedName name="OSRRefP22_1x_0" localSheetId="77">'406'!$P$37:$P$46</definedName>
    <definedName name="OSRRefP22_1x_0" localSheetId="78">'411'!$P$31:$P$40</definedName>
    <definedName name="OSRRefP22_1x_0" localSheetId="79">'412'!$P$36:$P$45</definedName>
    <definedName name="OSRRefP22_1x_0" localSheetId="80">'413'!$P$37:$P$46</definedName>
    <definedName name="OSRRefP22_1x_0" localSheetId="81">'414'!$P$37:$P$46</definedName>
    <definedName name="OSRRefP22_1x_0" localSheetId="82">'415'!$P$36:$P$45</definedName>
    <definedName name="OSRRefP22_1x_0" localSheetId="83">'418'!$P$37:$P$46</definedName>
    <definedName name="OSRRefP22_1x_0" localSheetId="84">'420'!$P$23</definedName>
    <definedName name="OSRRefP22_1x_0" localSheetId="85">'423'!$P$31:$P$40</definedName>
    <definedName name="OSRRefP22_1x_0" localSheetId="86">'424'!$P$35:$P$44</definedName>
    <definedName name="OSRRefP22_1x_0" localSheetId="87">'425'!$P$37:$P$46</definedName>
    <definedName name="OSRRefP22_1x_0" localSheetId="90">'430'!$P$30:$P$39</definedName>
    <definedName name="OSRRefP22_1x_0" localSheetId="91">'433'!$P$38:$P$47</definedName>
    <definedName name="OSRRefP22_1x_0" localSheetId="92">'435'!$P$36:$P$45</definedName>
    <definedName name="OSRRefP22_1x_0" localSheetId="93">'444'!$P$38:$P$47</definedName>
    <definedName name="OSRRefP22_1x_0" localSheetId="95">'450'!$P$38:$P$47</definedName>
    <definedName name="OSRRefP22_1x_0" localSheetId="88">'455'!$P$29:$P$38</definedName>
    <definedName name="OSRRefP22_1x_0" localSheetId="75">'491'!$P$45:$P$54</definedName>
    <definedName name="OSRRefP22_1x_0" localSheetId="89">'492'!$P$40:$P$49</definedName>
    <definedName name="OSRRefP22_1x_0" localSheetId="97">'501'!$P$31:$P$40</definedName>
    <definedName name="OSRRefP22_1x_0" localSheetId="39">'Div 2'!$P$32:$P$41</definedName>
    <definedName name="OSRRefP22_1x_0" localSheetId="47">'Div 3'!$P$172:$P$181</definedName>
    <definedName name="OSRRefP22_1x_0" localSheetId="73">'Div 4'!$P$46:$P$55</definedName>
    <definedName name="OSRRefP22_1x_0" localSheetId="96">'Div 5'!$P$31:$P$40</definedName>
    <definedName name="OSRRefP22_1x_0" localSheetId="64">'Div 6'!$P$70:$P$79</definedName>
    <definedName name="OSRRefP22_1x_0" localSheetId="2">Summary!$P$203:$P$212</definedName>
    <definedName name="OSRRefP22_20x_0" localSheetId="48">'300'!$P$228:$P$234</definedName>
    <definedName name="OSRRefP22_20x_0" localSheetId="49">'300 &amp; 317'!$P$252:$P$258</definedName>
    <definedName name="OSRRefP22_20x_0" localSheetId="50">'301'!$P$91</definedName>
    <definedName name="OSRRefP22_20x_0" localSheetId="66">'310'!$P$105</definedName>
    <definedName name="OSRRefP22_20x_0" localSheetId="74">'310 &amp; 491'!$P$112</definedName>
    <definedName name="OSRRefP22_20x_0" localSheetId="60">'326'!$P$119</definedName>
    <definedName name="OSRRefP22_20x_0" localSheetId="58">'331'!$P$138</definedName>
    <definedName name="OSRRefP22_20x_0" localSheetId="75">'491'!$P$115</definedName>
    <definedName name="OSRRefP22_20x_0" localSheetId="39">'Div 2'!$P$94:$P$95</definedName>
    <definedName name="OSRRefP22_20x_0" localSheetId="47">'Div 3'!$P$230:$P$235</definedName>
    <definedName name="OSRRefP22_20x_0" localSheetId="73">'Div 4'!$P$108:$P$117</definedName>
    <definedName name="OSRRefP22_20x_0" localSheetId="2">Summary!$P$265:$P$270</definedName>
    <definedName name="OSRRefP22_21x_0" localSheetId="48">'300'!$P$236:$P$237</definedName>
    <definedName name="OSRRefP22_21x_0" localSheetId="49">'300 &amp; 317'!$P$260:$P$261</definedName>
    <definedName name="OSRRefP22_21x_0" localSheetId="50">'301'!$P$93:$P$94</definedName>
    <definedName name="OSRRefP22_21x_0" localSheetId="66">'310'!$P$107</definedName>
    <definedName name="OSRRefP22_21x_0" localSheetId="74">'310 &amp; 491'!$P$114:$P$123</definedName>
    <definedName name="OSRRefP22_21x_0" localSheetId="58">'331'!$P$140</definedName>
    <definedName name="OSRRefP22_21x_0" localSheetId="75">'491'!$P$117:$P$119</definedName>
    <definedName name="OSRRefP22_21x_0" localSheetId="47">'Div 3'!$P$237:$P$238</definedName>
    <definedName name="OSRRefP22_21x_0" localSheetId="73">'Div 4'!$P$119:$P$120</definedName>
    <definedName name="OSRRefP22_21x_0" localSheetId="2">Summary!$P$272:$P$273</definedName>
    <definedName name="OSRRefP22_22x_0" localSheetId="48">'300'!$P$239</definedName>
    <definedName name="OSRRefP22_22x_0" localSheetId="49">'300 &amp; 317'!$P$263</definedName>
    <definedName name="OSRRefP22_22x_0" localSheetId="50">'301'!$P$96</definedName>
    <definedName name="OSRRefP22_22x_0" localSheetId="66">'310'!$P$109</definedName>
    <definedName name="OSRRefP22_22x_0" localSheetId="74">'310 &amp; 491'!$P$125:$P$126</definedName>
    <definedName name="OSRRefP22_22x_0" localSheetId="58">'331'!$P$142</definedName>
    <definedName name="OSRRefP22_22x_0" localSheetId="75">'491'!$P$121</definedName>
    <definedName name="OSRRefP22_22x_0" localSheetId="47">'Div 3'!$P$240:$P$247</definedName>
    <definedName name="OSRRefP22_22x_0" localSheetId="73">'Div 4'!$P$122</definedName>
    <definedName name="OSRRefP22_22x_0" localSheetId="2">Summary!$P$275:$P$284</definedName>
    <definedName name="OSRRefP22_23x_0" localSheetId="48">'300'!$P$241:$P$243</definedName>
    <definedName name="OSRRefP22_23x_0" localSheetId="49">'300 &amp; 317'!$P$265:$P$267</definedName>
    <definedName name="OSRRefP22_23x_0" localSheetId="74">'310 &amp; 491'!$P$128</definedName>
    <definedName name="OSRRefP22_23x_0" localSheetId="47">'Div 3'!$P$249:$P$250</definedName>
    <definedName name="OSRRefP22_23x_0" localSheetId="73">'Div 4'!$P$124:$P$126</definedName>
    <definedName name="OSRRefP22_23x_0" localSheetId="2">Summary!$P$286:$P$287</definedName>
    <definedName name="OSRRefP22_24x_0" localSheetId="48">'300'!$P$245</definedName>
    <definedName name="OSRRefP22_24x_0" localSheetId="49">'300 &amp; 317'!$P$269</definedName>
    <definedName name="OSRRefP22_24x_0" localSheetId="74">'310 &amp; 491'!$P$130:$P$132</definedName>
    <definedName name="OSRRefP22_24x_0" localSheetId="47">'Div 3'!$P$252</definedName>
    <definedName name="OSRRefP22_24x_0" localSheetId="73">'Div 4'!$P$128</definedName>
    <definedName name="OSRRefP22_24x_0" localSheetId="2">Summary!$P$289</definedName>
    <definedName name="OSRRefP22_25x_0" localSheetId="74">'310 &amp; 491'!$P$134</definedName>
    <definedName name="OSRRefP22_25x_0" localSheetId="47">'Div 3'!$P$254:$P$256</definedName>
    <definedName name="OSRRefP22_25x_0" localSheetId="2">Summary!$P$291:$P$293</definedName>
    <definedName name="OSRRefP22_26x_0" localSheetId="47">'Div 3'!$P$258</definedName>
    <definedName name="OSRRefP22_26x_0" localSheetId="2">Summary!$P$295</definedName>
    <definedName name="OSRRefP22_2x_0" localSheetId="40">'200'!$P$24</definedName>
    <definedName name="OSRRefP22_2x_0" localSheetId="41">'201'!$P$41</definedName>
    <definedName name="OSRRefP22_2x_0" localSheetId="42">'202'!$P$41</definedName>
    <definedName name="OSRRefP22_2x_0" localSheetId="43">'203'!$P$42</definedName>
    <definedName name="OSRRefP22_2x_0" localSheetId="44">'204'!$P$42</definedName>
    <definedName name="OSRRefP22_2x_0" localSheetId="45">'205'!$P$41</definedName>
    <definedName name="OSRRefP22_2x_0" localSheetId="46">'206'!$P$41</definedName>
    <definedName name="OSRRefP22_2x_0" localSheetId="48">'300'!$P$177</definedName>
    <definedName name="OSRRefP22_2x_0" localSheetId="49">'300 &amp; 317'!$P$201</definedName>
    <definedName name="OSRRefP22_2x_0" localSheetId="50">'301'!$P$41</definedName>
    <definedName name="OSRRefP22_2x_0" localSheetId="51">'306'!$P$41</definedName>
    <definedName name="OSRRefP22_2x_0" localSheetId="53">'307'!$P$88</definedName>
    <definedName name="OSRRefP22_2x_0" localSheetId="55">'308'!$P$82</definedName>
    <definedName name="OSRRefP22_2x_0" localSheetId="67">'309'!$P$47</definedName>
    <definedName name="OSRRefP22_2x_0" localSheetId="66">'310'!$P$54</definedName>
    <definedName name="OSRRefP22_2x_0" localSheetId="74">'310 &amp; 491'!$P$62</definedName>
    <definedName name="OSRRefP22_2x_0" localSheetId="56">'311'!$P$82</definedName>
    <definedName name="OSRRefP22_2x_0" localSheetId="68">'313'!$P$50</definedName>
    <definedName name="OSRRefP22_2x_0" localSheetId="54">'314'!$P$76</definedName>
    <definedName name="OSRRefP22_2x_0" localSheetId="59">'315'!$P$77</definedName>
    <definedName name="OSRRefP22_2x_0" localSheetId="62">'316'!$P$54</definedName>
    <definedName name="OSRRefP22_2x_0" localSheetId="65">'317'!$P$81</definedName>
    <definedName name="OSRRefP22_2x_0" localSheetId="63">'320'!$P$48</definedName>
    <definedName name="OSRRefP22_2x_0" localSheetId="69">'321'!$P$46</definedName>
    <definedName name="OSRRefP22_2x_0" localSheetId="70">'322'!$P$47</definedName>
    <definedName name="OSRRefP22_2x_0" localSheetId="71">'325'!$P$47</definedName>
    <definedName name="OSRRefP22_2x_0" localSheetId="60">'326'!$P$73</definedName>
    <definedName name="OSRRefP22_2x_0" localSheetId="52">'330'!$P$97</definedName>
    <definedName name="OSRRefP22_2x_0" localSheetId="58">'331'!$P$89</definedName>
    <definedName name="OSRRefP22_2x_0" localSheetId="61">'332'!$P$62</definedName>
    <definedName name="OSRRefP22_2x_0" localSheetId="76">'405'!$P$47</definedName>
    <definedName name="OSRRefP22_2x_0" localSheetId="77">'406'!$P$48</definedName>
    <definedName name="OSRRefP22_2x_0" localSheetId="78">'411'!$P$42</definedName>
    <definedName name="OSRRefP22_2x_0" localSheetId="79">'412'!$P$47</definedName>
    <definedName name="OSRRefP22_2x_0" localSheetId="80">'413'!$P$48</definedName>
    <definedName name="OSRRefP22_2x_0" localSheetId="81">'414'!$P$48</definedName>
    <definedName name="OSRRefP22_2x_0" localSheetId="82">'415'!$P$47</definedName>
    <definedName name="OSRRefP22_2x_0" localSheetId="83">'418'!$P$48</definedName>
    <definedName name="OSRRefP22_2x_0" localSheetId="85">'423'!$P$42</definedName>
    <definedName name="OSRRefP22_2x_0" localSheetId="86">'424'!$P$46</definedName>
    <definedName name="OSRRefP22_2x_0" localSheetId="87">'425'!$P$48</definedName>
    <definedName name="OSRRefP22_2x_0" localSheetId="90">'430'!$P$41</definedName>
    <definedName name="OSRRefP22_2x_0" localSheetId="91">'433'!$P$49</definedName>
    <definedName name="OSRRefP22_2x_0" localSheetId="92">'435'!$P$47</definedName>
    <definedName name="OSRRefP22_2x_0" localSheetId="93">'444'!$P$49</definedName>
    <definedName name="OSRRefP22_2x_0" localSheetId="95">'450'!$P$49</definedName>
    <definedName name="OSRRefP22_2x_0" localSheetId="75">'491'!$P$56</definedName>
    <definedName name="OSRRefP22_2x_0" localSheetId="89">'492'!$P$51</definedName>
    <definedName name="OSRRefP22_2x_0" localSheetId="97">'501'!$P$42</definedName>
    <definedName name="OSRRefP22_2x_0" localSheetId="39">'Div 2'!$P$43</definedName>
    <definedName name="OSRRefP22_2x_0" localSheetId="47">'Div 3'!$P$183</definedName>
    <definedName name="OSRRefP22_2x_0" localSheetId="73">'Div 4'!$P$57</definedName>
    <definedName name="OSRRefP22_2x_0" localSheetId="96">'Div 5'!$P$42</definedName>
    <definedName name="OSRRefP22_2x_0" localSheetId="64">'Div 6'!$P$81</definedName>
    <definedName name="OSRRefP22_2x_0" localSheetId="2">Summary!$P$214</definedName>
    <definedName name="OSRRefP22_3x_0" localSheetId="40">'200'!$P$26:$P$27</definedName>
    <definedName name="OSRRefP22_3x_0" localSheetId="41">'201'!$P$43</definedName>
    <definedName name="OSRRefP22_3x_0" localSheetId="42">'202'!$P$43</definedName>
    <definedName name="OSRRefP22_3x_0" localSheetId="43">'203'!$P$44</definedName>
    <definedName name="OSRRefP22_3x_0" localSheetId="44">'204'!$P$44</definedName>
    <definedName name="OSRRefP22_3x_0" localSheetId="45">'205'!$P$43</definedName>
    <definedName name="OSRRefP22_3x_0" localSheetId="46">'206'!$P$43</definedName>
    <definedName name="OSRRefP22_3x_0" localSheetId="48">'300'!$P$179:$P$180</definedName>
    <definedName name="OSRRefP22_3x_0" localSheetId="49">'300 &amp; 317'!$P$203:$P$204</definedName>
    <definedName name="OSRRefP22_3x_0" localSheetId="50">'301'!$P$43</definedName>
    <definedName name="OSRRefP22_3x_0" localSheetId="51">'306'!$P$43</definedName>
    <definedName name="OSRRefP22_3x_0" localSheetId="53">'307'!$P$90</definedName>
    <definedName name="OSRRefP22_3x_0" localSheetId="55">'308'!$P$84:$P$85</definedName>
    <definedName name="OSRRefP22_3x_0" localSheetId="67">'309'!$P$49</definedName>
    <definedName name="OSRRefP22_3x_0" localSheetId="66">'310'!$P$56</definedName>
    <definedName name="OSRRefP22_3x_0" localSheetId="74">'310 &amp; 491'!$P$64</definedName>
    <definedName name="OSRRefP22_3x_0" localSheetId="56">'311'!$P$84:$P$85</definedName>
    <definedName name="OSRRefP22_3x_0" localSheetId="68">'313'!$P$52</definedName>
    <definedName name="OSRRefP22_3x_0" localSheetId="54">'314'!$P$78:$P$79</definedName>
    <definedName name="OSRRefP22_3x_0" localSheetId="59">'315'!$P$79:$P$80</definedName>
    <definedName name="OSRRefP22_3x_0" localSheetId="62">'316'!$P$56</definedName>
    <definedName name="OSRRefP22_3x_0" localSheetId="65">'317'!$P$83</definedName>
    <definedName name="OSRRefP22_3x_0" localSheetId="63">'320'!$P$50</definedName>
    <definedName name="OSRRefP22_3x_0" localSheetId="69">'321'!$P$48</definedName>
    <definedName name="OSRRefP22_3x_0" localSheetId="70">'322'!$P$49</definedName>
    <definedName name="OSRRefP22_3x_0" localSheetId="71">'325'!$P$49</definedName>
    <definedName name="OSRRefP22_3x_0" localSheetId="60">'326'!$P$75:$P$76</definedName>
    <definedName name="OSRRefP22_3x_0" localSheetId="52">'330'!$P$99</definedName>
    <definedName name="OSRRefP22_3x_0" localSheetId="58">'331'!$P$91:$P$92</definedName>
    <definedName name="OSRRefP22_3x_0" localSheetId="61">'332'!$P$64</definedName>
    <definedName name="OSRRefP22_3x_0" localSheetId="76">'405'!$P$49</definedName>
    <definedName name="OSRRefP22_3x_0" localSheetId="77">'406'!$P$50</definedName>
    <definedName name="OSRRefP22_3x_0" localSheetId="78">'411'!$P$44:$P$46</definedName>
    <definedName name="OSRRefP22_3x_0" localSheetId="79">'412'!$P$49</definedName>
    <definedName name="OSRRefP22_3x_0" localSheetId="80">'413'!$P$50</definedName>
    <definedName name="OSRRefP22_3x_0" localSheetId="81">'414'!$P$50</definedName>
    <definedName name="OSRRefP22_3x_0" localSheetId="82">'415'!$P$49</definedName>
    <definedName name="OSRRefP22_3x_0" localSheetId="83">'418'!$P$50</definedName>
    <definedName name="OSRRefP22_3x_0" localSheetId="85">'423'!$P$44</definedName>
    <definedName name="OSRRefP22_3x_0" localSheetId="86">'424'!$P$48</definedName>
    <definedName name="OSRRefP22_3x_0" localSheetId="87">'425'!$P$50</definedName>
    <definedName name="OSRRefP22_3x_0" localSheetId="90">'430'!$P$43</definedName>
    <definedName name="OSRRefP22_3x_0" localSheetId="91">'433'!$P$51</definedName>
    <definedName name="OSRRefP22_3x_0" localSheetId="92">'435'!$P$49</definedName>
    <definedName name="OSRRefP22_3x_0" localSheetId="93">'444'!$P$51</definedName>
    <definedName name="OSRRefP22_3x_0" localSheetId="95">'450'!$P$51:$P$52</definedName>
    <definedName name="OSRRefP22_3x_0" localSheetId="75">'491'!$P$58</definedName>
    <definedName name="OSRRefP22_3x_0" localSheetId="89">'492'!$P$53:$P$54</definedName>
    <definedName name="OSRRefP22_3x_0" localSheetId="97">'501'!$P$44</definedName>
    <definedName name="OSRRefP22_3x_0" localSheetId="39">'Div 2'!$P$45</definedName>
    <definedName name="OSRRefP22_3x_0" localSheetId="47">'Div 3'!$P$185:$P$186</definedName>
    <definedName name="OSRRefP22_3x_0" localSheetId="73">'Div 4'!$P$59:$P$60</definedName>
    <definedName name="OSRRefP22_3x_0" localSheetId="96">'Div 5'!$P$44</definedName>
    <definedName name="OSRRefP22_3x_0" localSheetId="64">'Div 6'!$P$83</definedName>
    <definedName name="OSRRefP22_3x_0" localSheetId="2">Summary!$P$216:$P$217</definedName>
    <definedName name="OSRRefP22_4x_0" localSheetId="41">'201'!$P$45:$P$46</definedName>
    <definedName name="OSRRefP22_4x_0" localSheetId="42">'202'!$P$45</definedName>
    <definedName name="OSRRefP22_4x_0" localSheetId="43">'203'!$P$46</definedName>
    <definedName name="OSRRefP22_4x_0" localSheetId="44">'204'!$P$46</definedName>
    <definedName name="OSRRefP22_4x_0" localSheetId="45">'205'!$P$45</definedName>
    <definedName name="OSRRefP22_4x_0" localSheetId="46">'206'!$P$45</definedName>
    <definedName name="OSRRefP22_4x_0" localSheetId="48">'300'!$P$182</definedName>
    <definedName name="OSRRefP22_4x_0" localSheetId="49">'300 &amp; 317'!$P$206</definedName>
    <definedName name="OSRRefP22_4x_0" localSheetId="50">'301'!$P$45</definedName>
    <definedName name="OSRRefP22_4x_0" localSheetId="51">'306'!$P$45</definedName>
    <definedName name="OSRRefP22_4x_0" localSheetId="53">'307'!$P$92:$P$93</definedName>
    <definedName name="OSRRefP22_4x_0" localSheetId="55">'308'!$P$87</definedName>
    <definedName name="OSRRefP22_4x_0" localSheetId="67">'309'!$P$51</definedName>
    <definedName name="OSRRefP22_4x_0" localSheetId="66">'310'!$P$58</definedName>
    <definedName name="OSRRefP22_4x_0" localSheetId="74">'310 &amp; 491'!$P$66</definedName>
    <definedName name="OSRRefP22_4x_0" localSheetId="56">'311'!$P$87</definedName>
    <definedName name="OSRRefP22_4x_0" localSheetId="68">'313'!$P$54</definedName>
    <definedName name="OSRRefP22_4x_0" localSheetId="54">'314'!$P$81</definedName>
    <definedName name="OSRRefP22_4x_0" localSheetId="59">'315'!$P$82</definedName>
    <definedName name="OSRRefP22_4x_0" localSheetId="62">'316'!$P$58</definedName>
    <definedName name="OSRRefP22_4x_0" localSheetId="65">'317'!$P$85</definedName>
    <definedName name="OSRRefP22_4x_0" localSheetId="63">'320'!$P$52:$P$53</definedName>
    <definedName name="OSRRefP22_4x_0" localSheetId="69">'321'!$P$50</definedName>
    <definedName name="OSRRefP22_4x_0" localSheetId="70">'322'!$P$51</definedName>
    <definedName name="OSRRefP22_4x_0" localSheetId="71">'325'!$P$51</definedName>
    <definedName name="OSRRefP22_4x_0" localSheetId="60">'326'!$P$78</definedName>
    <definedName name="OSRRefP22_4x_0" localSheetId="52">'330'!$P$101:$P$102</definedName>
    <definedName name="OSRRefP22_4x_0" localSheetId="58">'331'!$P$94</definedName>
    <definedName name="OSRRefP22_4x_0" localSheetId="61">'332'!$P$66</definedName>
    <definedName name="OSRRefP22_4x_0" localSheetId="76">'405'!$P$51</definedName>
    <definedName name="OSRRefP22_4x_0" localSheetId="77">'406'!$P$52</definedName>
    <definedName name="OSRRefP22_4x_0" localSheetId="78">'411'!$P$48</definedName>
    <definedName name="OSRRefP22_4x_0" localSheetId="79">'412'!$P$51</definedName>
    <definedName name="OSRRefP22_4x_0" localSheetId="80">'413'!$P$52</definedName>
    <definedName name="OSRRefP22_4x_0" localSheetId="81">'414'!$P$52</definedName>
    <definedName name="OSRRefP22_4x_0" localSheetId="82">'415'!$P$51</definedName>
    <definedName name="OSRRefP22_4x_0" localSheetId="83">'418'!$P$52</definedName>
    <definedName name="OSRRefP22_4x_0" localSheetId="85">'423'!$P$46</definedName>
    <definedName name="OSRRefP22_4x_0" localSheetId="86">'424'!$P$50</definedName>
    <definedName name="OSRRefP22_4x_0" localSheetId="87">'425'!$P$52</definedName>
    <definedName name="OSRRefP22_4x_0" localSheetId="90">'430'!$P$45</definedName>
    <definedName name="OSRRefP22_4x_0" localSheetId="91">'433'!$P$53</definedName>
    <definedName name="OSRRefP22_4x_0" localSheetId="92">'435'!$P$51</definedName>
    <definedName name="OSRRefP22_4x_0" localSheetId="93">'444'!$P$53</definedName>
    <definedName name="OSRRefP22_4x_0" localSheetId="95">'450'!$P$54</definedName>
    <definedName name="OSRRefP22_4x_0" localSheetId="75">'491'!$P$60</definedName>
    <definedName name="OSRRefP22_4x_0" localSheetId="89">'492'!$P$56</definedName>
    <definedName name="OSRRefP22_4x_0" localSheetId="97">'501'!$P$46</definedName>
    <definedName name="OSRRefP22_4x_0" localSheetId="39">'Div 2'!$P$47</definedName>
    <definedName name="OSRRefP22_4x_0" localSheetId="47">'Div 3'!$P$188</definedName>
    <definedName name="OSRRefP22_4x_0" localSheetId="73">'Div 4'!$P$62</definedName>
    <definedName name="OSRRefP22_4x_0" localSheetId="96">'Div 5'!$P$46</definedName>
    <definedName name="OSRRefP22_4x_0" localSheetId="64">'Div 6'!$P$85</definedName>
    <definedName name="OSRRefP22_4x_0" localSheetId="2">Summary!$P$219</definedName>
    <definedName name="OSRRefP22_5x_0" localSheetId="41">'201'!$P$48</definedName>
    <definedName name="OSRRefP22_5x_0" localSheetId="42">'202'!$P$47</definedName>
    <definedName name="OSRRefP22_5x_0" localSheetId="43">'203'!$P$48</definedName>
    <definedName name="OSRRefP22_5x_0" localSheetId="44">'204'!$P$48</definedName>
    <definedName name="OSRRefP22_5x_0" localSheetId="45">'205'!$P$47</definedName>
    <definedName name="OSRRefP22_5x_0" localSheetId="46">'206'!$P$47</definedName>
    <definedName name="OSRRefP22_5x_0" localSheetId="48">'300'!$P$184:$P$186</definedName>
    <definedName name="OSRRefP22_5x_0" localSheetId="49">'300 &amp; 317'!$P$208:$P$210</definedName>
    <definedName name="OSRRefP22_5x_0" localSheetId="50">'301'!$P$47:$P$49</definedName>
    <definedName name="OSRRefP22_5x_0" localSheetId="51">'306'!$P$47</definedName>
    <definedName name="OSRRefP22_5x_0" localSheetId="53">'307'!$P$95</definedName>
    <definedName name="OSRRefP22_5x_0" localSheetId="55">'308'!$P$89</definedName>
    <definedName name="OSRRefP22_5x_0" localSheetId="67">'309'!$P$53</definedName>
    <definedName name="OSRRefP22_5x_0" localSheetId="66">'310'!$P$60:$P$62</definedName>
    <definedName name="OSRRefP22_5x_0" localSheetId="74">'310 &amp; 491'!$P$68:$P$71</definedName>
    <definedName name="OSRRefP22_5x_0" localSheetId="56">'311'!$P$89</definedName>
    <definedName name="OSRRefP22_5x_0" localSheetId="68">'313'!$P$56</definedName>
    <definedName name="OSRRefP22_5x_0" localSheetId="54">'314'!$P$83</definedName>
    <definedName name="OSRRefP22_5x_0" localSheetId="59">'315'!$P$84</definedName>
    <definedName name="OSRRefP22_5x_0" localSheetId="62">'316'!$P$60</definedName>
    <definedName name="OSRRefP22_5x_0" localSheetId="65">'317'!$P$87</definedName>
    <definedName name="OSRRefP22_5x_0" localSheetId="63">'320'!$P$55</definedName>
    <definedName name="OSRRefP22_5x_0" localSheetId="69">'321'!$P$52</definedName>
    <definedName name="OSRRefP22_5x_0" localSheetId="70">'322'!$P$53</definedName>
    <definedName name="OSRRefP22_5x_0" localSheetId="71">'325'!$P$53:$P$55</definedName>
    <definedName name="OSRRefP22_5x_0" localSheetId="60">'326'!$P$80</definedName>
    <definedName name="OSRRefP22_5x_0" localSheetId="52">'330'!$P$104</definedName>
    <definedName name="OSRRefP22_5x_0" localSheetId="58">'331'!$P$96:$P$97</definedName>
    <definedName name="OSRRefP22_5x_0" localSheetId="61">'332'!$P$68</definedName>
    <definedName name="OSRRefP22_5x_0" localSheetId="76">'405'!$P$53:$P$55</definedName>
    <definedName name="OSRRefP22_5x_0" localSheetId="77">'406'!$P$54</definedName>
    <definedName name="OSRRefP22_5x_0" localSheetId="78">'411'!$P$50</definedName>
    <definedName name="OSRRefP22_5x_0" localSheetId="79">'412'!$P$53:$P$54</definedName>
    <definedName name="OSRRefP22_5x_0" localSheetId="80">'413'!$P$54</definedName>
    <definedName name="OSRRefP22_5x_0" localSheetId="81">'414'!$P$54:$P$55</definedName>
    <definedName name="OSRRefP22_5x_0" localSheetId="82">'415'!$P$53:$P$54</definedName>
    <definedName name="OSRRefP22_5x_0" localSheetId="83">'418'!$P$54:$P$56</definedName>
    <definedName name="OSRRefP22_5x_0" localSheetId="85">'423'!$P$48</definedName>
    <definedName name="OSRRefP22_5x_0" localSheetId="86">'424'!$P$52</definedName>
    <definedName name="OSRRefP22_5x_0" localSheetId="87">'425'!$P$54</definedName>
    <definedName name="OSRRefP22_5x_0" localSheetId="90">'430'!$P$47</definedName>
    <definedName name="OSRRefP22_5x_0" localSheetId="91">'433'!$P$55</definedName>
    <definedName name="OSRRefP22_5x_0" localSheetId="92">'435'!$P$53</definedName>
    <definedName name="OSRRefP22_5x_0" localSheetId="93">'444'!$P$55</definedName>
    <definedName name="OSRRefP22_5x_0" localSheetId="95">'450'!$P$56</definedName>
    <definedName name="OSRRefP22_5x_0" localSheetId="75">'491'!$P$62:$P$65</definedName>
    <definedName name="OSRRefP22_5x_0" localSheetId="89">'492'!$P$58:$P$59</definedName>
    <definedName name="OSRRefP22_5x_0" localSheetId="97">'501'!$P$48</definedName>
    <definedName name="OSRRefP22_5x_0" localSheetId="39">'Div 2'!$P$49</definedName>
    <definedName name="OSRRefP22_5x_0" localSheetId="47">'Div 3'!$P$190:$P$192</definedName>
    <definedName name="OSRRefP22_5x_0" localSheetId="73">'Div 4'!$P$64:$P$67</definedName>
    <definedName name="OSRRefP22_5x_0" localSheetId="96">'Div 5'!$P$48</definedName>
    <definedName name="OSRRefP22_5x_0" localSheetId="64">'Div 6'!$P$87</definedName>
    <definedName name="OSRRefP22_5x_0" localSheetId="2">Summary!$P$221:$P$224</definedName>
    <definedName name="OSRRefP22_6x_0" localSheetId="41">'201'!$P$50</definedName>
    <definedName name="OSRRefP22_6x_0" localSheetId="42">'202'!$P$49</definedName>
    <definedName name="OSRRefP22_6x_0" localSheetId="43">'203'!$P$50</definedName>
    <definedName name="OSRRefP22_6x_0" localSheetId="44">'204'!$P$50</definedName>
    <definedName name="OSRRefP22_6x_0" localSheetId="45">'205'!$P$49</definedName>
    <definedName name="OSRRefP22_6x_0" localSheetId="46">'206'!$P$49</definedName>
    <definedName name="OSRRefP22_6x_0" localSheetId="48">'300'!$P$188:$P$189</definedName>
    <definedName name="OSRRefP22_6x_0" localSheetId="49">'300 &amp; 317'!$P$212:$P$213</definedName>
    <definedName name="OSRRefP22_6x_0" localSheetId="50">'301'!$P$51:$P$52</definedName>
    <definedName name="OSRRefP22_6x_0" localSheetId="51">'306'!$P$49:$P$50</definedName>
    <definedName name="OSRRefP22_6x_0" localSheetId="53">'307'!$P$97</definedName>
    <definedName name="OSRRefP22_6x_0" localSheetId="55">'308'!$P$91:$P$92</definedName>
    <definedName name="OSRRefP22_6x_0" localSheetId="67">'309'!$P$55</definedName>
    <definedName name="OSRRefP22_6x_0" localSheetId="66">'310'!$P$64</definedName>
    <definedName name="OSRRefP22_6x_0" localSheetId="74">'310 &amp; 491'!$P$73</definedName>
    <definedName name="OSRRefP22_6x_0" localSheetId="56">'311'!$P$91:$P$92</definedName>
    <definedName name="OSRRefP22_6x_0" localSheetId="68">'313'!$P$58</definedName>
    <definedName name="OSRRefP22_6x_0" localSheetId="54">'314'!$P$85</definedName>
    <definedName name="OSRRefP22_6x_0" localSheetId="59">'315'!$P$86</definedName>
    <definedName name="OSRRefP22_6x_0" localSheetId="62">'316'!$P$62</definedName>
    <definedName name="OSRRefP22_6x_0" localSheetId="65">'317'!$P$89</definedName>
    <definedName name="OSRRefP22_6x_0" localSheetId="63">'320'!$P$57</definedName>
    <definedName name="OSRRefP22_6x_0" localSheetId="69">'321'!$P$54</definedName>
    <definedName name="OSRRefP22_6x_0" localSheetId="70">'322'!$P$55</definedName>
    <definedName name="OSRRefP22_6x_0" localSheetId="71">'325'!$P$57</definedName>
    <definedName name="OSRRefP22_6x_0" localSheetId="60">'326'!$P$82</definedName>
    <definedName name="OSRRefP22_6x_0" localSheetId="52">'330'!$P$106</definedName>
    <definedName name="OSRRefP22_6x_0" localSheetId="58">'331'!$P$99</definedName>
    <definedName name="OSRRefP22_6x_0" localSheetId="61">'332'!$P$70</definedName>
    <definedName name="OSRRefP22_6x_0" localSheetId="76">'405'!$P$57</definedName>
    <definedName name="OSRRefP22_6x_0" localSheetId="77">'406'!$P$56</definedName>
    <definedName name="OSRRefP22_6x_0" localSheetId="78">'411'!$P$52</definedName>
    <definedName name="OSRRefP22_6x_0" localSheetId="79">'412'!$P$56</definedName>
    <definedName name="OSRRefP22_6x_0" localSheetId="80">'413'!$P$56</definedName>
    <definedName name="OSRRefP22_6x_0" localSheetId="81">'414'!$P$57</definedName>
    <definedName name="OSRRefP22_6x_0" localSheetId="82">'415'!$P$56</definedName>
    <definedName name="OSRRefP22_6x_0" localSheetId="83">'418'!$P$58</definedName>
    <definedName name="OSRRefP22_6x_0" localSheetId="86">'424'!$P$54</definedName>
    <definedName name="OSRRefP22_6x_0" localSheetId="87">'425'!$P$56</definedName>
    <definedName name="OSRRefP22_6x_0" localSheetId="90">'430'!$P$49</definedName>
    <definedName name="OSRRefP22_6x_0" localSheetId="91">'433'!$P$57</definedName>
    <definedName name="OSRRefP22_6x_0" localSheetId="92">'435'!$P$55:$P$56</definedName>
    <definedName name="OSRRefP22_6x_0" localSheetId="93">'444'!$P$57</definedName>
    <definedName name="OSRRefP22_6x_0" localSheetId="95">'450'!$P$58</definedName>
    <definedName name="OSRRefP22_6x_0" localSheetId="75">'491'!$P$67</definedName>
    <definedName name="OSRRefP22_6x_0" localSheetId="89">'492'!$P$61</definedName>
    <definedName name="OSRRefP22_6x_0" localSheetId="97">'501'!$P$50</definedName>
    <definedName name="OSRRefP22_6x_0" localSheetId="39">'Div 2'!$P$51:$P$52</definedName>
    <definedName name="OSRRefP22_6x_0" localSheetId="47">'Div 3'!$P$194:$P$195</definedName>
    <definedName name="OSRRefP22_6x_0" localSheetId="73">'Div 4'!$P$69:$P$70</definedName>
    <definedName name="OSRRefP22_6x_0" localSheetId="96">'Div 5'!$P$50</definedName>
    <definedName name="OSRRefP22_6x_0" localSheetId="64">'Div 6'!$P$89</definedName>
    <definedName name="OSRRefP22_6x_0" localSheetId="2">Summary!$P$226:$P$227</definedName>
    <definedName name="OSRRefP22_7x_0" localSheetId="41">'201'!$P$52</definedName>
    <definedName name="OSRRefP22_7x_0" localSheetId="42">'202'!$P$51</definedName>
    <definedName name="OSRRefP22_7x_0" localSheetId="43">'203'!$P$52</definedName>
    <definedName name="OSRRefP22_7x_0" localSheetId="44">'204'!$P$52:$P$55</definedName>
    <definedName name="OSRRefP22_7x_0" localSheetId="45">'205'!$P$51:$P$52</definedName>
    <definedName name="OSRRefP22_7x_0" localSheetId="46">'206'!$P$51:$P$52</definedName>
    <definedName name="OSRRefP22_7x_0" localSheetId="48">'300'!$P$191:$P$192</definedName>
    <definedName name="OSRRefP22_7x_0" localSheetId="49">'300 &amp; 317'!$P$215:$P$216</definedName>
    <definedName name="OSRRefP22_7x_0" localSheetId="50">'301'!$P$54:$P$55</definedName>
    <definedName name="OSRRefP22_7x_0" localSheetId="51">'306'!$P$52:$P$54</definedName>
    <definedName name="OSRRefP22_7x_0" localSheetId="53">'307'!$P$99</definedName>
    <definedName name="OSRRefP22_7x_0" localSheetId="55">'308'!$P$94</definedName>
    <definedName name="OSRRefP22_7x_0" localSheetId="67">'309'!$P$57</definedName>
    <definedName name="OSRRefP22_7x_0" localSheetId="66">'310'!$P$66</definedName>
    <definedName name="OSRRefP22_7x_0" localSheetId="74">'310 &amp; 491'!$P$75</definedName>
    <definedName name="OSRRefP22_7x_0" localSheetId="56">'311'!$P$94</definedName>
    <definedName name="OSRRefP22_7x_0" localSheetId="68">'313'!$P$60</definedName>
    <definedName name="OSRRefP22_7x_0" localSheetId="54">'314'!$P$87</definedName>
    <definedName name="OSRRefP22_7x_0" localSheetId="59">'315'!$P$88</definedName>
    <definedName name="OSRRefP22_7x_0" localSheetId="62">'316'!$P$64</definedName>
    <definedName name="OSRRefP22_7x_0" localSheetId="65">'317'!$P$91</definedName>
    <definedName name="OSRRefP22_7x_0" localSheetId="63">'320'!$P$59:$P$60</definedName>
    <definedName name="OSRRefP22_7x_0" localSheetId="69">'321'!$P$56</definedName>
    <definedName name="OSRRefP22_7x_0" localSheetId="70">'322'!$P$57</definedName>
    <definedName name="OSRRefP22_7x_0" localSheetId="71">'325'!$P$59</definedName>
    <definedName name="OSRRefP22_7x_0" localSheetId="60">'326'!$P$84</definedName>
    <definedName name="OSRRefP22_7x_0" localSheetId="52">'330'!$P$108</definedName>
    <definedName name="OSRRefP22_7x_0" localSheetId="58">'331'!$P$101</definedName>
    <definedName name="OSRRefP22_7x_0" localSheetId="61">'332'!$P$72:$P$73</definedName>
    <definedName name="OSRRefP22_7x_0" localSheetId="76">'405'!$P$59</definedName>
    <definedName name="OSRRefP22_7x_0" localSheetId="77">'406'!$P$58</definedName>
    <definedName name="OSRRefP22_7x_0" localSheetId="78">'411'!$P$54</definedName>
    <definedName name="OSRRefP22_7x_0" localSheetId="79">'412'!$P$58</definedName>
    <definedName name="OSRRefP22_7x_0" localSheetId="80">'413'!$P$58:$P$59</definedName>
    <definedName name="OSRRefP22_7x_0" localSheetId="81">'414'!$P$59</definedName>
    <definedName name="OSRRefP22_7x_0" localSheetId="82">'415'!$P$58</definedName>
    <definedName name="OSRRefP22_7x_0" localSheetId="83">'418'!$P$60</definedName>
    <definedName name="OSRRefP22_7x_0" localSheetId="86">'424'!$P$56:$P$57</definedName>
    <definedName name="OSRRefP22_7x_0" localSheetId="87">'425'!$P$58</definedName>
    <definedName name="OSRRefP22_7x_0" localSheetId="90">'430'!$P$51:$P$53</definedName>
    <definedName name="OSRRefP22_7x_0" localSheetId="91">'433'!$P$59</definedName>
    <definedName name="OSRRefP22_7x_0" localSheetId="92">'435'!$P$58</definedName>
    <definedName name="OSRRefP22_7x_0" localSheetId="93">'444'!$P$59</definedName>
    <definedName name="OSRRefP22_7x_0" localSheetId="95">'450'!$P$60</definedName>
    <definedName name="OSRRefP22_7x_0" localSheetId="75">'491'!$P$69</definedName>
    <definedName name="OSRRefP22_7x_0" localSheetId="89">'492'!$P$63</definedName>
    <definedName name="OSRRefP22_7x_0" localSheetId="97">'501'!$P$52</definedName>
    <definedName name="OSRRefP22_7x_0" localSheetId="39">'Div 2'!$P$54</definedName>
    <definedName name="OSRRefP22_7x_0" localSheetId="47">'Div 3'!$P$197:$P$198</definedName>
    <definedName name="OSRRefP22_7x_0" localSheetId="73">'Div 4'!$P$72</definedName>
    <definedName name="OSRRefP22_7x_0" localSheetId="96">'Div 5'!$P$52</definedName>
    <definedName name="OSRRefP22_7x_0" localSheetId="64">'Div 6'!$P$91</definedName>
    <definedName name="OSRRefP22_7x_0" localSheetId="2">Summary!$P$229:$P$231</definedName>
    <definedName name="OSRRefP22_8x_0" localSheetId="41">'201'!$P$54</definedName>
    <definedName name="OSRRefP22_8x_0" localSheetId="42">'202'!$P$53</definedName>
    <definedName name="OSRRefP22_8x_0" localSheetId="43">'203'!$P$54</definedName>
    <definedName name="OSRRefP22_8x_0" localSheetId="44">'204'!$P$57</definedName>
    <definedName name="OSRRefP22_8x_0" localSheetId="45">'205'!$P$54</definedName>
    <definedName name="OSRRefP22_8x_0" localSheetId="46">'206'!$P$54</definedName>
    <definedName name="OSRRefP22_8x_0" localSheetId="48">'300'!$P$194</definedName>
    <definedName name="OSRRefP22_8x_0" localSheetId="49">'300 &amp; 317'!$P$218</definedName>
    <definedName name="OSRRefP22_8x_0" localSheetId="50">'301'!$P$57</definedName>
    <definedName name="OSRRefP22_8x_0" localSheetId="51">'306'!$P$56</definedName>
    <definedName name="OSRRefP22_8x_0" localSheetId="53">'307'!$P$101</definedName>
    <definedName name="OSRRefP22_8x_0" localSheetId="55">'308'!$P$96</definedName>
    <definedName name="OSRRefP22_8x_0" localSheetId="67">'309'!$P$59</definedName>
    <definedName name="OSRRefP22_8x_0" localSheetId="66">'310'!$P$68</definedName>
    <definedName name="OSRRefP22_8x_0" localSheetId="74">'310 &amp; 491'!$P$77</definedName>
    <definedName name="OSRRefP22_8x_0" localSheetId="56">'311'!$P$96</definedName>
    <definedName name="OSRRefP22_8x_0" localSheetId="68">'313'!$P$62</definedName>
    <definedName name="OSRRefP22_8x_0" localSheetId="59">'315'!$P$90</definedName>
    <definedName name="OSRRefP22_8x_0" localSheetId="62">'316'!$P$66</definedName>
    <definedName name="OSRRefP22_8x_0" localSheetId="65">'317'!$P$93:$P$94</definedName>
    <definedName name="OSRRefP22_8x_0" localSheetId="63">'320'!$P$62</definedName>
    <definedName name="OSRRefP22_8x_0" localSheetId="69">'321'!$P$58</definedName>
    <definedName name="OSRRefP22_8x_0" localSheetId="70">'322'!$P$59</definedName>
    <definedName name="OSRRefP22_8x_0" localSheetId="71">'325'!$P$61</definedName>
    <definedName name="OSRRefP22_8x_0" localSheetId="60">'326'!$P$86</definedName>
    <definedName name="OSRRefP22_8x_0" localSheetId="52">'330'!$P$110</definedName>
    <definedName name="OSRRefP22_8x_0" localSheetId="58">'331'!$P$103</definedName>
    <definedName name="OSRRefP22_8x_0" localSheetId="61">'332'!$P$75</definedName>
    <definedName name="OSRRefP22_8x_0" localSheetId="76">'405'!$P$61</definedName>
    <definedName name="OSRRefP22_8x_0" localSheetId="77">'406'!$P$60:$P$61</definedName>
    <definedName name="OSRRefP22_8x_0" localSheetId="78">'411'!$P$56</definedName>
    <definedName name="OSRRefP22_8x_0" localSheetId="79">'412'!$P$60:$P$61</definedName>
    <definedName name="OSRRefP22_8x_0" localSheetId="80">'413'!$P$61</definedName>
    <definedName name="OSRRefP22_8x_0" localSheetId="81">'414'!$P$61</definedName>
    <definedName name="OSRRefP22_8x_0" localSheetId="82">'415'!$P$60</definedName>
    <definedName name="OSRRefP22_8x_0" localSheetId="83">'418'!$P$62:$P$63</definedName>
    <definedName name="OSRRefP22_8x_0" localSheetId="86">'424'!$P$59:$P$60</definedName>
    <definedName name="OSRRefP22_8x_0" localSheetId="87">'425'!$P$60</definedName>
    <definedName name="OSRRefP22_8x_0" localSheetId="90">'430'!$P$55</definedName>
    <definedName name="OSRRefP22_8x_0" localSheetId="91">'433'!$P$61</definedName>
    <definedName name="OSRRefP22_8x_0" localSheetId="93">'444'!$P$61</definedName>
    <definedName name="OSRRefP22_8x_0" localSheetId="95">'450'!$P$62</definedName>
    <definedName name="OSRRefP22_8x_0" localSheetId="75">'491'!$P$71</definedName>
    <definedName name="OSRRefP22_8x_0" localSheetId="89">'492'!$P$65</definedName>
    <definedName name="OSRRefP22_8x_0" localSheetId="97">'501'!$P$54</definedName>
    <definedName name="OSRRefP22_8x_0" localSheetId="39">'Div 2'!$P$56</definedName>
    <definedName name="OSRRefP22_8x_0" localSheetId="47">'Div 3'!$P$200</definedName>
    <definedName name="OSRRefP22_8x_0" localSheetId="73">'Div 4'!$P$74</definedName>
    <definedName name="OSRRefP22_8x_0" localSheetId="96">'Div 5'!$P$54</definedName>
    <definedName name="OSRRefP22_8x_0" localSheetId="64">'Div 6'!$P$93:$P$94</definedName>
    <definedName name="OSRRefP22_8x_0" localSheetId="2">Summary!$P$233</definedName>
    <definedName name="OSRRefP22_9x_0" localSheetId="41">'201'!$P$56</definedName>
    <definedName name="OSRRefP22_9x_0" localSheetId="42">'202'!$P$55:$P$57</definedName>
    <definedName name="OSRRefP22_9x_0" localSheetId="43">'203'!$P$56:$P$57</definedName>
    <definedName name="OSRRefP22_9x_0" localSheetId="44">'204'!$P$59</definedName>
    <definedName name="OSRRefP22_9x_0" localSheetId="45">'205'!$P$56</definedName>
    <definedName name="OSRRefP22_9x_0" localSheetId="46">'206'!$P$56</definedName>
    <definedName name="OSRRefP22_9x_0" localSheetId="48">'300'!$P$196</definedName>
    <definedName name="OSRRefP22_9x_0" localSheetId="49">'300 &amp; 317'!$P$220</definedName>
    <definedName name="OSRRefP22_9x_0" localSheetId="50">'301'!$P$59</definedName>
    <definedName name="OSRRefP22_9x_0" localSheetId="53">'307'!$P$103:$P$104</definedName>
    <definedName name="OSRRefP22_9x_0" localSheetId="55">'308'!$P$98:$P$99</definedName>
    <definedName name="OSRRefP22_9x_0" localSheetId="67">'309'!$P$61:$P$62</definedName>
    <definedName name="OSRRefP22_9x_0" localSheetId="66">'310'!$P$70</definedName>
    <definedName name="OSRRefP22_9x_0" localSheetId="74">'310 &amp; 491'!$P$79</definedName>
    <definedName name="OSRRefP22_9x_0" localSheetId="56">'311'!$P$98:$P$99</definedName>
    <definedName name="OSRRefP22_9x_0" localSheetId="68">'313'!$P$64:$P$65</definedName>
    <definedName name="OSRRefP22_9x_0" localSheetId="59">'315'!$P$92</definedName>
    <definedName name="OSRRefP22_9x_0" localSheetId="62">'316'!$P$68</definedName>
    <definedName name="OSRRefP22_9x_0" localSheetId="65">'317'!$P$96:$P$97</definedName>
    <definedName name="OSRRefP22_9x_0" localSheetId="69">'321'!$P$60:$P$61</definedName>
    <definedName name="OSRRefP22_9x_0" localSheetId="70">'322'!$P$61:$P$62</definedName>
    <definedName name="OSRRefP22_9x_0" localSheetId="71">'325'!$P$63</definedName>
    <definedName name="OSRRefP22_9x_0" localSheetId="60">'326'!$P$88</definedName>
    <definedName name="OSRRefP22_9x_0" localSheetId="52">'330'!$P$112:$P$113</definedName>
    <definedName name="OSRRefP22_9x_0" localSheetId="58">'331'!$P$105</definedName>
    <definedName name="OSRRefP22_9x_0" localSheetId="61">'332'!$P$77</definedName>
    <definedName name="OSRRefP22_9x_0" localSheetId="76">'405'!$P$63</definedName>
    <definedName name="OSRRefP22_9x_0" localSheetId="77">'406'!$P$63:$P$65</definedName>
    <definedName name="OSRRefP22_9x_0" localSheetId="78">'411'!$P$58</definedName>
    <definedName name="OSRRefP22_9x_0" localSheetId="79">'412'!$P$63</definedName>
    <definedName name="OSRRefP22_9x_0" localSheetId="80">'413'!$P$63:$P$67</definedName>
    <definedName name="OSRRefP22_9x_0" localSheetId="81">'414'!$P$63</definedName>
    <definedName name="OSRRefP22_9x_0" localSheetId="82">'415'!$P$62</definedName>
    <definedName name="OSRRefP22_9x_0" localSheetId="83">'418'!$P$65:$P$67</definedName>
    <definedName name="OSRRefP22_9x_0" localSheetId="86">'424'!$P$62</definedName>
    <definedName name="OSRRefP22_9x_0" localSheetId="87">'425'!$P$62:$P$64</definedName>
    <definedName name="OSRRefP22_9x_0" localSheetId="90">'430'!$P$57</definedName>
    <definedName name="OSRRefP22_9x_0" localSheetId="91">'433'!$P$63</definedName>
    <definedName name="OSRRefP22_9x_0" localSheetId="93">'444'!$P$63</definedName>
    <definedName name="OSRRefP22_9x_0" localSheetId="95">'450'!$P$64</definedName>
    <definedName name="OSRRefP22_9x_0" localSheetId="75">'491'!$P$73:$P$74</definedName>
    <definedName name="OSRRefP22_9x_0" localSheetId="89">'492'!$P$67</definedName>
    <definedName name="OSRRefP22_9x_0" localSheetId="97">'501'!$P$56</definedName>
    <definedName name="OSRRefP22_9x_0" localSheetId="39">'Div 2'!$P$58</definedName>
    <definedName name="OSRRefP22_9x_0" localSheetId="47">'Div 3'!$P$202</definedName>
    <definedName name="OSRRefP22_9x_0" localSheetId="73">'Div 4'!$P$76</definedName>
    <definedName name="OSRRefP22_9x_0" localSheetId="96">'Div 5'!$P$56</definedName>
    <definedName name="OSRRefP22_9x_0" localSheetId="64">'Div 6'!$P$96:$P$97</definedName>
    <definedName name="OSRRefP22_9x_0" localSheetId="2">Summary!$P$235</definedName>
    <definedName name="OSRRefP22x_0" localSheetId="40">'200'!$P$20,'200'!$P$22,'200'!$P$24,'200'!$P$26:$P$27</definedName>
    <definedName name="OSRRefP22x_0" localSheetId="41">'201'!$P$20:$P$28,'201'!$P$30:$P$39,'201'!$P$41,'201'!$P$43,'201'!$P$45:$P$46,'201'!$P$48,'201'!$P$50,'201'!$P$52,'201'!$P$54,'201'!$P$56,'201'!$P$58:$P$60,'201'!$P$62:$P$64,'201'!$P$66,'201'!$P$68:$P$70,'201'!$P$72,'201'!$P$74,'201'!$P$76</definedName>
    <definedName name="OSRRefP22x_0" localSheetId="42">'202'!$P$20:$P$28,'202'!$P$30:$P$39,'202'!$P$41,'202'!$P$43,'202'!$P$45,'202'!$P$47,'202'!$P$49,'202'!$P$51,'202'!$P$53,'202'!$P$55:$P$57,'202'!$P$59,'202'!$P$61,'202'!$P$63,'202'!$P$65,'202'!$P$67:$P$68,'202'!$P$70,'202'!$P$72</definedName>
    <definedName name="OSRRefP22x_0" localSheetId="43">'203'!$P$20:$P$29,'203'!$P$31:$P$40,'203'!$P$42,'203'!$P$44,'203'!$P$46,'203'!$P$48,'203'!$P$50,'203'!$P$52,'203'!$P$54,'203'!$P$56:$P$57,'203'!$P$59:$P$60,'203'!$P$62,'203'!$P$64:$P$66,'203'!$P$68,'203'!$P$70,'203'!$P$72</definedName>
    <definedName name="OSRRefP22x_0" localSheetId="44">'204'!$P$20:$P$29,'204'!$P$31:$P$40,'204'!$P$42,'204'!$P$44,'204'!$P$46,'204'!$P$48,'204'!$P$50,'204'!$P$52:$P$55,'204'!$P$57,'204'!$P$59,'204'!$P$61:$P$62,'204'!$P$64,'204'!$P$66:$P$67</definedName>
    <definedName name="OSRRefP22x_0" localSheetId="45">'205'!$P$20:$P$28,'205'!$P$30:$P$39,'205'!$P$41,'205'!$P$43,'205'!$P$45,'205'!$P$47,'205'!$P$49,'205'!$P$51:$P$52,'205'!$P$54,'205'!$P$56</definedName>
    <definedName name="OSRRefP22x_0" localSheetId="46">'206'!$P$20:$P$28,'206'!$P$30:$P$39,'206'!$P$41,'206'!$P$43,'206'!$P$45,'206'!$P$47,'206'!$P$49,'206'!$P$51:$P$52,'206'!$P$54,'206'!$P$56,'206'!$P$58</definedName>
    <definedName name="OSRRefP22x_0" localSheetId="48">'300'!$P$155:$P$164,'300'!$P$166:$P$175,'300'!$P$177,'300'!$P$179:$P$180,'300'!$P$182,'300'!$P$184:$P$186,'300'!$P$188:$P$189,'300'!$P$191:$P$192,'300'!$P$194,'300'!$P$196,'300'!$P$198:$P$199,'300'!$P$201,'300'!$P$203,'300'!$P$205,'300'!$P$207,'300'!$P$209,'300'!$P$211:$P$213,'300'!$P$215:$P$218,'300'!$P$220:$P$223,'300'!$P$225:$P$226,'300'!$P$228:$P$234,'300'!$P$236:$P$237,'300'!$P$239,'300'!$P$241:$P$243,'300'!$P$245</definedName>
    <definedName name="OSRRefP22x_0" localSheetId="49">'300 &amp; 317'!$P$179:$P$188,'300 &amp; 317'!$P$190:$P$199,'300 &amp; 317'!$P$201,'300 &amp; 317'!$P$203:$P$204,'300 &amp; 317'!$P$206,'300 &amp; 317'!$P$208:$P$210,'300 &amp; 317'!$P$212:$P$213,'300 &amp; 317'!$P$215:$P$216,'300 &amp; 317'!$P$218,'300 &amp; 317'!$P$220,'300 &amp; 317'!$P$222:$P$223,'300 &amp; 317'!$P$225,'300 &amp; 317'!$P$227,'300 &amp; 317'!$P$229,'300 &amp; 317'!$P$231,'300 &amp; 317'!$P$233,'300 &amp; 317'!$P$235:$P$237,'300 &amp; 317'!$P$239:$P$242,'300 &amp; 317'!$P$244:$P$247,'300 &amp; 317'!$P$249:$P$250,'300 &amp; 317'!$P$252:$P$258,'300 &amp; 317'!$P$260:$P$261,'300 &amp; 317'!$P$263,'300 &amp; 317'!$P$265:$P$267,'300 &amp; 317'!$P$269</definedName>
    <definedName name="OSRRefP22x_0" localSheetId="50">'301'!$P$20:$P$28,'301'!$P$30:$P$39,'301'!$P$41,'301'!$P$43,'301'!$P$45,'301'!$P$47:$P$49,'301'!$P$51:$P$52,'301'!$P$54:$P$55,'301'!$P$57,'301'!$P$59,'301'!$P$61,'301'!$P$63,'301'!$P$65,'301'!$P$67,'301'!$P$69,'301'!$P$71:$P$73,'301'!$P$75:$P$77,'301'!$P$79:$P$80,'301'!$P$82:$P$87,'301'!$P$89,'301'!$P$91,'301'!$P$93:$P$94,'301'!$P$96</definedName>
    <definedName name="OSRRefP22x_0" localSheetId="51">'306'!$P$20:$P$28,'306'!$P$30:$P$39,'306'!$P$41,'306'!$P$43,'306'!$P$45,'306'!$P$47,'306'!$P$49:$P$50,'306'!$P$52:$P$54,'306'!$P$56</definedName>
    <definedName name="OSRRefP22x_0" localSheetId="53">'307'!$P$67:$P$75,'307'!$P$77:$P$86,'307'!$P$88,'307'!$P$90,'307'!$P$92:$P$93,'307'!$P$95,'307'!$P$97,'307'!$P$99,'307'!$P$101,'307'!$P$103:$P$104,'307'!$P$106,'307'!$P$108,'307'!$P$110</definedName>
    <definedName name="OSRRefP22x_0" localSheetId="55">'308'!$P$60:$P$69,'308'!$P$71:$P$80,'308'!$P$82,'308'!$P$84:$P$85,'308'!$P$87,'308'!$P$89,'308'!$P$91:$P$92,'308'!$P$94,'308'!$P$96,'308'!$P$98:$P$99,'308'!$P$101,'308'!$P$103:$P$105,'308'!$P$107:$P$108,'308'!$P$110,'308'!$P$112</definedName>
    <definedName name="OSRRefP22x_0" localSheetId="67">'309'!$P$26:$P$34,'309'!$P$36:$P$45,'309'!$P$47,'309'!$P$49,'309'!$P$51,'309'!$P$53,'309'!$P$55,'309'!$P$57,'309'!$P$59,'309'!$P$61:$P$62,'309'!$P$64:$P$66,'309'!$P$68,'309'!$P$70</definedName>
    <definedName name="OSRRefP22x_0" localSheetId="66">'310'!$P$33:$P$41,'310'!$P$43:$P$52,'310'!$P$54,'310'!$P$56,'310'!$P$58,'310'!$P$60:$P$62,'310'!$P$64,'310'!$P$66,'310'!$P$68,'310'!$P$70,'310'!$P$72,'310'!$P$74,'310'!$P$76,'310'!$P$78,'310'!$P$80,'310'!$P$82:$P$83,'310'!$P$85:$P$86,'310'!$P$88:$P$92,'310'!$P$94,'310'!$P$96:$P$103,'310'!$P$105,'310'!$P$107,'310'!$P$109</definedName>
    <definedName name="OSRRefP22x_0" localSheetId="74">'310 &amp; 491'!$P$40:$P$49,'310 &amp; 491'!$P$51:$P$60,'310 &amp; 491'!$P$62,'310 &amp; 491'!$P$64,'310 &amp; 491'!$P$66,'310 &amp; 491'!$P$68:$P$71,'310 &amp; 491'!$P$73,'310 &amp; 491'!$P$75,'310 &amp; 491'!$P$77,'310 &amp; 491'!$P$79,'310 &amp; 491'!$P$81,'310 &amp; 491'!$P$83:$P$84,'310 &amp; 491'!$P$86,'310 &amp; 491'!$P$88,'310 &amp; 491'!$P$90,'310 &amp; 491'!$P$92,'310 &amp; 491'!$P$94,'310 &amp; 491'!$P$96:$P$99,'310 &amp; 491'!$P$101:$P$103,'310 &amp; 491'!$P$105:$P$110,'310 &amp; 491'!$P$112,'310 &amp; 491'!$P$114:$P$123,'310 &amp; 491'!$P$125:$P$126,'310 &amp; 491'!$P$128,'310 &amp; 491'!$P$130:$P$132,'310 &amp; 491'!$P$134</definedName>
    <definedName name="OSRRefP22x_0" localSheetId="56">'311'!$P$60:$P$69,'311'!$P$71:$P$80,'311'!$P$82,'311'!$P$84:$P$85,'311'!$P$87,'311'!$P$89,'311'!$P$91:$P$92,'311'!$P$94,'311'!$P$96,'311'!$P$98:$P$99,'311'!$P$101,'311'!$P$103:$P$105,'311'!$P$107:$P$108,'311'!$P$110,'311'!$P$112</definedName>
    <definedName name="OSRRefP22x_0" localSheetId="68">'313'!$P$29:$P$37,'313'!$P$39:$P$48,'313'!$P$50,'313'!$P$52,'313'!$P$54,'313'!$P$56,'313'!$P$58,'313'!$P$60,'313'!$P$62,'313'!$P$64:$P$65,'313'!$P$67,'313'!$P$69:$P$73,'313'!$P$75,'313'!$P$77</definedName>
    <definedName name="OSRRefP22x_0" localSheetId="54">'314'!$P$56:$P$63,'314'!$P$65:$P$74,'314'!$P$76,'314'!$P$78:$P$79,'314'!$P$81,'314'!$P$83,'314'!$P$85,'314'!$P$87</definedName>
    <definedName name="OSRRefP22x_0" localSheetId="59">'315'!$P$56:$P$64,'315'!$P$66:$P$75,'315'!$P$77,'315'!$P$79:$P$80,'315'!$P$82,'315'!$P$84,'315'!$P$86,'315'!$P$88,'315'!$P$90,'315'!$P$92,'315'!$P$94:$P$96,'315'!$P$98:$P$99,'315'!$P$101:$P$104,'315'!$P$106,'315'!$P$108,'315'!$P$110</definedName>
    <definedName name="OSRRefP22x_0" localSheetId="62">'316'!$P$33:$P$41,'316'!$P$43:$P$52,'316'!$P$54,'316'!$P$56,'316'!$P$58,'316'!$P$60,'316'!$P$62,'316'!$P$64,'316'!$P$66,'316'!$P$68,'316'!$P$70:$P$71,'316'!$P$73:$P$76,'316'!$P$78:$P$79,'316'!$P$81</definedName>
    <definedName name="OSRRefP22x_0" localSheetId="65">'317'!$P$59:$P$68,'317'!$P$70:$P$79,'317'!$P$81,'317'!$P$83,'317'!$P$85,'317'!$P$87,'317'!$P$89,'317'!$P$91,'317'!$P$93:$P$94,'317'!$P$96:$P$97,'317'!$P$99</definedName>
    <definedName name="OSRRefP22x_0" localSheetId="63">'320'!$P$28:$P$35,'320'!$P$37:$P$46,'320'!$P$48,'320'!$P$50,'320'!$P$52:$P$53,'320'!$P$55,'320'!$P$57,'320'!$P$59:$P$60,'320'!$P$62</definedName>
    <definedName name="OSRRefP22x_0" localSheetId="69">'321'!$P$26:$P$33,'321'!$P$35:$P$44,'321'!$P$46,'321'!$P$48,'321'!$P$50,'321'!$P$52,'321'!$P$54,'321'!$P$56,'321'!$P$58,'321'!$P$60:$P$61,'321'!$P$63:$P$64,'321'!$P$66:$P$68,'321'!$P$70:$P$72,'321'!$P$74,'321'!$P$76</definedName>
    <definedName name="OSRRefP22x_0" localSheetId="70">'322'!$P$26:$P$34,'322'!$P$36:$P$45,'322'!$P$47,'322'!$P$49,'322'!$P$51,'322'!$P$53,'322'!$P$55,'322'!$P$57,'322'!$P$59,'322'!$P$61:$P$62,'322'!$P$64:$P$66,'322'!$P$68:$P$72,'322'!$P$74,'322'!$P$76</definedName>
    <definedName name="OSRRefP22x_0" localSheetId="71">'325'!$P$26:$P$34,'325'!$P$36:$P$45,'325'!$P$47,'325'!$P$49,'325'!$P$51,'325'!$P$53:$P$55,'325'!$P$57,'325'!$P$59,'325'!$P$61,'325'!$P$63,'325'!$P$65,'325'!$P$67:$P$68,'325'!$P$70:$P$73,'325'!$P$75,'325'!$P$77:$P$83,'325'!$P$85,'325'!$P$87,'325'!$P$89</definedName>
    <definedName name="OSRRefP22x_0" localSheetId="60">'326'!$P$52:$P$60,'326'!$P$62:$P$71,'326'!$P$73,'326'!$P$75:$P$76,'326'!$P$78,'326'!$P$80,'326'!$P$82,'326'!$P$84,'326'!$P$86,'326'!$P$88,'326'!$P$90,'326'!$P$92,'326'!$P$94,'326'!$P$96:$P$97,'326'!$P$99:$P$101,'326'!$P$103:$P$104,'326'!$P$106:$P$110,'326'!$P$112:$P$113,'326'!$P$115,'326'!$P$117,'326'!$P$119</definedName>
    <definedName name="OSRRefP22x_0" localSheetId="72">'327'!$P$24</definedName>
    <definedName name="OSRRefP22x_0" localSheetId="52">'330'!$P$76:$P$84,'330'!$P$86:$P$95,'330'!$P$97,'330'!$P$99,'330'!$P$101:$P$102,'330'!$P$104,'330'!$P$106,'330'!$P$108,'330'!$P$110,'330'!$P$112:$P$113,'330'!$P$115,'330'!$P$117,'330'!$P$119,'330'!$P$121</definedName>
    <definedName name="OSRRefP22x_0" localSheetId="58">'331'!$P$68:$P$76,'331'!$P$78:$P$87,'331'!$P$89,'331'!$P$91:$P$92,'331'!$P$94,'331'!$P$96:$P$97,'331'!$P$99,'331'!$P$101,'331'!$P$103,'331'!$P$105,'331'!$P$107,'331'!$P$109,'331'!$P$111,'331'!$P$113,'331'!$P$115:$P$116,'331'!$P$118:$P$120,'331'!$P$122:$P$124,'331'!$P$126:$P$127,'331'!$P$129:$P$133,'331'!$P$135:$P$136,'331'!$P$138,'331'!$P$140,'331'!$P$142</definedName>
    <definedName name="OSRRefP22x_0" localSheetId="61">'332'!$P$41:$P$49,'332'!$P$51:$P$60,'332'!$P$62,'332'!$P$64,'332'!$P$66,'332'!$P$68,'332'!$P$70,'332'!$P$72:$P$73,'332'!$P$75,'332'!$P$77,'332'!$P$79,'332'!$P$81:$P$82,'332'!$P$84:$P$88,'332'!$P$90:$P$91,'332'!$P$93</definedName>
    <definedName name="OSRRefP22x_0" localSheetId="76">'405'!$P$26:$P$34,'405'!$P$36:$P$45,'405'!$P$47,'405'!$P$49,'405'!$P$51,'405'!$P$53:$P$55,'405'!$P$57,'405'!$P$59,'405'!$P$61,'405'!$P$63,'405'!$P$65:$P$67,'405'!$P$69,'405'!$P$71:$P$73,'405'!$P$75,'405'!$P$77:$P$85,'405'!$P$87,'405'!$P$89,'405'!$P$91</definedName>
    <definedName name="OSRRefP22x_0" localSheetId="77">'406'!$P$27:$P$35,'406'!$P$37:$P$46,'406'!$P$48,'406'!$P$50,'406'!$P$52,'406'!$P$54,'406'!$P$56,'406'!$P$58,'406'!$P$60:$P$61,'406'!$P$63:$P$65,'406'!$P$67:$P$72,'406'!$P$74:$P$75,'406'!$P$77,'406'!$P$79</definedName>
    <definedName name="OSRRefP22x_0" localSheetId="78">'411'!$P$20:$P$29,'411'!$P$31:$P$40,'411'!$P$42,'411'!$P$44:$P$46,'411'!$P$48,'411'!$P$50,'411'!$P$52,'411'!$P$54,'411'!$P$56,'411'!$P$58,'411'!$P$60:$P$62,'411'!$P$64:$P$68,'411'!$P$70:$P$76,'411'!$P$78,'411'!$P$80,'411'!$P$82:$P$84,'411'!$P$86</definedName>
    <definedName name="OSRRefP22x_0" localSheetId="79">'412'!$P$26:$P$34,'412'!$P$36:$P$45,'412'!$P$47,'412'!$P$49,'412'!$P$51,'412'!$P$53:$P$54,'412'!$P$56,'412'!$P$58,'412'!$P$60:$P$61,'412'!$P$63,'412'!$P$65:$P$67,'412'!$P$69:$P$74,'412'!$P$76,'412'!$P$78</definedName>
    <definedName name="OSRRefP22x_0" localSheetId="80">'413'!$P$27:$P$35,'413'!$P$37:$P$46,'413'!$P$48,'413'!$P$50,'413'!$P$52,'413'!$P$54,'413'!$P$56,'413'!$P$58:$P$59,'413'!$P$61,'413'!$P$63:$P$67,'413'!$P$69:$P$70,'413'!$P$72</definedName>
    <definedName name="OSRRefP22x_0" localSheetId="81">'414'!$P$27:$P$35,'414'!$P$37:$P$46,'414'!$P$48,'414'!$P$50,'414'!$P$52,'414'!$P$54:$P$55,'414'!$P$57,'414'!$P$59,'414'!$P$61,'414'!$P$63,'414'!$P$65,'414'!$P$67,'414'!$P$69,'414'!$P$71:$P$77,'414'!$P$79,'414'!$P$81</definedName>
    <definedName name="OSRRefP22x_0" localSheetId="82">'415'!$P$26:$P$34,'415'!$P$36:$P$45,'415'!$P$47,'415'!$P$49,'415'!$P$51,'415'!$P$53:$P$54,'415'!$P$56,'415'!$P$58,'415'!$P$60,'415'!$P$62,'415'!$P$64,'415'!$P$66:$P$67,'415'!$P$69:$P$73,'415'!$P$75,'415'!$P$77:$P$84,'415'!$P$86,'415'!$P$88,'415'!$P$90:$P$91,'415'!$P$93</definedName>
    <definedName name="OSRRefP22x_0" localSheetId="83">'418'!$P$27:$P$35,'418'!$P$37:$P$46,'418'!$P$48,'418'!$P$50,'418'!$P$52,'418'!$P$54:$P$56,'418'!$P$58,'418'!$P$60,'418'!$P$62:$P$63,'418'!$P$65:$P$67,'418'!$P$69:$P$71,'418'!$P$73,'418'!$P$75:$P$81,'418'!$P$83,'418'!$P$85,'418'!$P$87</definedName>
    <definedName name="OSRRefP22x_0" localSheetId="84">'420'!$P$20:$P$21,'420'!$P$23</definedName>
    <definedName name="OSRRefP22x_0" localSheetId="85">'423'!$P$21:$P$29,'423'!$P$31:$P$40,'423'!$P$42,'423'!$P$44,'423'!$P$46,'423'!$P$48</definedName>
    <definedName name="OSRRefP22x_0" localSheetId="86">'424'!$P$26:$P$33,'424'!$P$35:$P$44,'424'!$P$46,'424'!$P$48,'424'!$P$50,'424'!$P$52,'424'!$P$54,'424'!$P$56:$P$57,'424'!$P$59:$P$60,'424'!$P$62,'424'!$P$64:$P$66,'424'!$P$68:$P$69</definedName>
    <definedName name="OSRRefP22x_0" localSheetId="87">'425'!$P$27:$P$35,'425'!$P$37:$P$46,'425'!$P$48,'425'!$P$50,'425'!$P$52,'425'!$P$54,'425'!$P$56,'425'!$P$58,'425'!$P$60,'425'!$P$62:$P$64,'425'!$P$66:$P$67,'425'!$P$69:$P$70,'425'!$P$72:$P$76,'425'!$P$78:$P$79,'425'!$P$81,'425'!$P$83</definedName>
    <definedName name="OSRRefP22x_0" localSheetId="90">'430'!$P$20:$P$28,'430'!$P$30:$P$39,'430'!$P$41,'430'!$P$43,'430'!$P$45,'430'!$P$47,'430'!$P$49,'430'!$P$51:$P$53,'430'!$P$55,'430'!$P$57,'430'!$P$59</definedName>
    <definedName name="OSRRefP22x_0" localSheetId="91">'433'!$P$27:$P$36,'433'!$P$38:$P$47,'433'!$P$49,'433'!$P$51,'433'!$P$53,'433'!$P$55,'433'!$P$57,'433'!$P$59,'433'!$P$61,'433'!$P$63,'433'!$P$65:$P$66,'433'!$P$68:$P$71,'433'!$P$73:$P$79,'433'!$P$81,'433'!$P$83,'433'!$P$85:$P$86</definedName>
    <definedName name="OSRRefP22x_0" localSheetId="92">'435'!$P$27:$P$34,'435'!$P$36:$P$45,'435'!$P$47,'435'!$P$49,'435'!$P$51,'435'!$P$53,'435'!$P$55:$P$56,'435'!$P$58</definedName>
    <definedName name="OSRRefP22x_0" localSheetId="93">'444'!$P$27:$P$36,'444'!$P$38:$P$47,'444'!$P$49,'444'!$P$51,'444'!$P$53,'444'!$P$55,'444'!$P$57,'444'!$P$59,'444'!$P$61,'444'!$P$63,'444'!$P$65,'444'!$P$67:$P$69,'444'!$P$71:$P$74,'444'!$P$76:$P$82,'444'!$P$84,'444'!$P$86,'444'!$P$88</definedName>
    <definedName name="OSRRefP22x_0" localSheetId="95">'450'!$P$27:$P$36,'450'!$P$38:$P$47,'450'!$P$49,'450'!$P$51:$P$52,'450'!$P$54,'450'!$P$56,'450'!$P$58,'450'!$P$60,'450'!$P$62,'450'!$P$64,'450'!$P$66,'450'!$P$68:$P$69,'450'!$P$71:$P$73,'450'!$P$75:$P$80,'450'!$P$82,'450'!$P$84,'450'!$P$86:$P$87</definedName>
    <definedName name="OSRRefP22x_0" localSheetId="88">'455'!$P$20:$P$27,'455'!$P$29:$P$38</definedName>
    <definedName name="OSRRefP22x_0" localSheetId="75">'491'!$P$34:$P$43,'491'!$P$45:$P$54,'491'!$P$56,'491'!$P$58,'491'!$P$60,'491'!$P$62:$P$65,'491'!$P$67,'491'!$P$69,'491'!$P$71,'491'!$P$73:$P$74,'491'!$P$76,'491'!$P$78,'491'!$P$80,'491'!$P$82,'491'!$P$84:$P$87,'491'!$P$89:$P$91,'491'!$P$93:$P$97,'491'!$P$99,'491'!$P$101:$P$110,'491'!$P$112:$P$113,'491'!$P$115,'491'!$P$117:$P$119,'491'!$P$121</definedName>
    <definedName name="OSRRefP22x_0" localSheetId="89">'492'!$P$29:$P$38,'492'!$P$40:$P$49,'492'!$P$51,'492'!$P$53:$P$54,'492'!$P$56,'492'!$P$58:$P$59,'492'!$P$61,'492'!$P$63,'492'!$P$65,'492'!$P$67,'492'!$P$69,'492'!$P$71,'492'!$P$73:$P$76,'492'!$P$78:$P$81,'492'!$P$83:$P$91,'492'!$P$93,'492'!$P$95,'492'!$P$97:$P$98</definedName>
    <definedName name="OSRRefP22x_0" localSheetId="97">'501'!$P$21:$P$29,'501'!$P$31:$P$40,'501'!$P$42,'501'!$P$44,'501'!$P$46,'501'!$P$48,'501'!$P$50,'501'!$P$52,'501'!$P$54,'501'!$P$56,'501'!$P$58:$P$59,'501'!$P$61:$P$63,'501'!$P$65</definedName>
    <definedName name="OSRRefP22x_0" localSheetId="39">'Div 2'!$P$20:$P$30,'Div 2'!$P$32:$P$41,'Div 2'!$P$43,'Div 2'!$P$45,'Div 2'!$P$47,'Div 2'!$P$49,'Div 2'!$P$51:$P$52,'Div 2'!$P$54,'Div 2'!$P$56,'Div 2'!$P$58,'Div 2'!$P$60,'Div 2'!$P$62,'Div 2'!$P$64:$P$66,'Div 2'!$P$68:$P$71,'Div 2'!$P$73:$P$76,'Div 2'!$P$78:$P$79,'Div 2'!$P$81:$P$82,'Div 2'!$P$84:$P$87,'Div 2'!$P$89:$P$90,'Div 2'!$P$92,'Div 2'!$P$94:$P$95</definedName>
    <definedName name="OSRRefP22x_0" localSheetId="47">'Div 3'!$P$161:$P$170,'Div 3'!$P$172:$P$181,'Div 3'!$P$183,'Div 3'!$P$185:$P$186,'Div 3'!$P$188,'Div 3'!$P$190:$P$192,'Div 3'!$P$194:$P$195,'Div 3'!$P$197:$P$198,'Div 3'!$P$200,'Div 3'!$P$202,'Div 3'!$P$204:$P$205,'Div 3'!$P$207,'Div 3'!$P$209,'Div 3'!$P$211,'Div 3'!$P$213,'Div 3'!$P$215,'Div 3'!$P$217,'Div 3'!$P$219,'Div 3'!$P$221:$P$223,'Div 3'!$P$225:$P$228,'Div 3'!$P$230:$P$235,'Div 3'!$P$237:$P$238,'Div 3'!$P$240:$P$247,'Div 3'!$P$249:$P$250,'Div 3'!$P$252,'Div 3'!$P$254:$P$256,'Div 3'!$P$258</definedName>
    <definedName name="OSRRefP22x_0" localSheetId="73">'Div 4'!$P$35:$P$44,'Div 4'!$P$46:$P$55,'Div 4'!$P$57,'Div 4'!$P$59:$P$60,'Div 4'!$P$62,'Div 4'!$P$64:$P$67,'Div 4'!$P$69:$P$70,'Div 4'!$P$72,'Div 4'!$P$74,'Div 4'!$P$76,'Div 4'!$P$78:$P$79,'Div 4'!$P$81,'Div 4'!$P$83,'Div 4'!$P$85,'Div 4'!$P$87,'Div 4'!$P$89,'Div 4'!$P$91:$P$94,'Div 4'!$P$96:$P$98,'Div 4'!$P$100:$P$104,'Div 4'!$P$106,'Div 4'!$P$108:$P$117,'Div 4'!$P$119:$P$120,'Div 4'!$P$122,'Div 4'!$P$124:$P$126,'Div 4'!$P$128</definedName>
    <definedName name="OSRRefP22x_0" localSheetId="96">'Div 5'!$P$21:$P$29,'Div 5'!$P$31:$P$40,'Div 5'!$P$42,'Div 5'!$P$44,'Div 5'!$P$46,'Div 5'!$P$48,'Div 5'!$P$50,'Div 5'!$P$52,'Div 5'!$P$54,'Div 5'!$P$56,'Div 5'!$P$58:$P$59,'Div 5'!$P$61:$P$63,'Div 5'!$P$65</definedName>
    <definedName name="OSRRefP22x_0" localSheetId="64">'Div 6'!$P$59:$P$68,'Div 6'!$P$70:$P$79,'Div 6'!$P$81,'Div 6'!$P$83,'Div 6'!$P$85,'Div 6'!$P$87,'Div 6'!$P$89,'Div 6'!$P$91,'Div 6'!$P$93:$P$94,'Div 6'!$P$96:$P$97,'Div 6'!$P$99</definedName>
    <definedName name="OSRRefP22x_0" localSheetId="2">Summary!$P$192:$P$201,Summary!$P$203:$P$212,Summary!$P$214,Summary!$P$216:$P$217,Summary!$P$219,Summary!$P$221:$P$224,Summary!$P$226:$P$227,Summary!$P$229:$P$231,Summary!$P$233,Summary!$P$235,Summary!$P$237:$P$238,Summary!$P$240:$P$241,Summary!$P$243,Summary!$P$245,Summary!$P$247,Summary!$P$249,Summary!$P$251,Summary!$P$253,Summary!$P$255:$P$258,Summary!$P$260:$P$263,Summary!$P$265:$P$270,Summary!$P$272:$P$273,Summary!$P$275:$P$284,Summary!$P$286:$P$287,Summary!$P$289,Summary!$P$291:$P$293,Summary!$P$295</definedName>
    <definedName name="OSRRefP25x_0" localSheetId="48">'300'!$P$248:$P$254</definedName>
    <definedName name="OSRRefP25x_0" localSheetId="49">'300 &amp; 317'!$P$272:$P$280</definedName>
    <definedName name="OSRRefP25x_0" localSheetId="50">'301'!$P$99:$P$101</definedName>
    <definedName name="OSRRefP25x_0" localSheetId="55">'308'!$P$115:$P$118</definedName>
    <definedName name="OSRRefP25x_0" localSheetId="74">'310 &amp; 491'!$P$137:$P$140</definedName>
    <definedName name="OSRRefP25x_0" localSheetId="56">'311'!$P$115:$P$118</definedName>
    <definedName name="OSRRefP25x_0" localSheetId="59">'315'!$P$113:$P$115</definedName>
    <definedName name="OSRRefP25x_0" localSheetId="62">'316'!$P$84:$P$85</definedName>
    <definedName name="OSRRefP25x_0" localSheetId="65">'317'!$P$102:$P$104</definedName>
    <definedName name="OSRRefP25x_0" localSheetId="63">'320'!$P$65:$P$68</definedName>
    <definedName name="OSRRefP25x_0" localSheetId="58">'331'!$P$145:$P$147</definedName>
    <definedName name="OSRRefP25x_0" localSheetId="61">'332'!$P$96:$P$101</definedName>
    <definedName name="OSRRefP25x_0" localSheetId="78">'411'!$P$89:$P$90</definedName>
    <definedName name="OSRRefP25x_0" localSheetId="80">'413'!$P$75</definedName>
    <definedName name="OSRRefP25x_0" localSheetId="85">'423'!$P$51</definedName>
    <definedName name="OSRRefP25x_0" localSheetId="86">'424'!$P$72</definedName>
    <definedName name="OSRRefP25x_0" localSheetId="87">'425'!$P$86</definedName>
    <definedName name="OSRRefP25x_0" localSheetId="88">'455'!$P$41:$P$44</definedName>
    <definedName name="OSRRefP25x_0" localSheetId="75">'491'!$P$124:$P$127</definedName>
    <definedName name="OSRRefP25x_0" localSheetId="97">'501'!$P$68</definedName>
    <definedName name="OSRRefP25x_0" localSheetId="47">'Div 3'!$P$261:$P$267</definedName>
    <definedName name="OSRRefP25x_0" localSheetId="73">'Div 4'!$P$131:$P$134</definedName>
    <definedName name="OSRRefP25x_0" localSheetId="96">'Div 5'!$P$68</definedName>
    <definedName name="OSRRefP25x_0" localSheetId="64">'Div 6'!$P$102:$P$104</definedName>
    <definedName name="OSRRefP25x_0" localSheetId="2">Summary!$P$298:$P$307</definedName>
    <definedName name="OSRRefT13x_0" localSheetId="48">'300'!$T$13:$T$99</definedName>
    <definedName name="OSRRefT13x_0" localSheetId="49">'300 &amp; 317'!$T$13:$T$116</definedName>
    <definedName name="OSRRefT13x_0" localSheetId="53">'307'!$T$13:$T$41</definedName>
    <definedName name="OSRRefT13x_0" localSheetId="55">'308'!$T$13:$T$38</definedName>
    <definedName name="OSRRefT13x_0" localSheetId="67">'309'!$T$13:$T$15</definedName>
    <definedName name="OSRRefT13x_0" localSheetId="66">'310'!$T$13:$T$22</definedName>
    <definedName name="OSRRefT13x_0" localSheetId="74">'310 &amp; 491'!$T$13:$T$29</definedName>
    <definedName name="OSRRefT13x_0" localSheetId="56">'311'!$T$13:$T$38</definedName>
    <definedName name="OSRRefT13x_0" localSheetId="68">'313'!$T$13:$T$18</definedName>
    <definedName name="OSRRefT13x_0" localSheetId="54">'314'!$T$13:$T$33</definedName>
    <definedName name="OSRRefT13x_0" localSheetId="59">'315'!$T$13:$T$33</definedName>
    <definedName name="OSRRefT13x_0" localSheetId="62">'316'!$T$13:$T$25</definedName>
    <definedName name="OSRRefT13x_0" localSheetId="65">'317'!$T$13:$T$37</definedName>
    <definedName name="OSRRefT13x_0" localSheetId="63">'320'!$T$13:$T$15</definedName>
    <definedName name="OSRRefT13x_0" localSheetId="69">'321'!$T$13:$T$15</definedName>
    <definedName name="OSRRefT13x_0" localSheetId="70">'322'!$T$13:$T$15</definedName>
    <definedName name="OSRRefT13x_0" localSheetId="57">'324'!$T$13:$T$15</definedName>
    <definedName name="OSRRefT13x_0" localSheetId="71">'325'!$T$13:$T$15</definedName>
    <definedName name="OSRRefT13x_0" localSheetId="60">'326'!$T$13:$T$30</definedName>
    <definedName name="OSRRefT13x_0" localSheetId="72">'327'!$T$13:$T$14</definedName>
    <definedName name="OSRRefT13x_0" localSheetId="52">'330'!$T$13:$T$46</definedName>
    <definedName name="OSRRefT13x_0" localSheetId="58">'331'!$T$13:$T$39</definedName>
    <definedName name="OSRRefT13x_0" localSheetId="61">'332'!$T$13:$T$28</definedName>
    <definedName name="OSRRefT13x_0" localSheetId="76">'405'!$T$13:$T$15</definedName>
    <definedName name="OSRRefT13x_0" localSheetId="77">'406'!$T$13:$T$16</definedName>
    <definedName name="OSRRefT13x_0" localSheetId="79">'412'!$T$13:$T$16</definedName>
    <definedName name="OSRRefT13x_0" localSheetId="80">'413'!$T$13:$T$16</definedName>
    <definedName name="OSRRefT13x_0" localSheetId="81">'414'!$T$13:$T$16</definedName>
    <definedName name="OSRRefT13x_0" localSheetId="82">'415'!$T$13:$T$15</definedName>
    <definedName name="OSRRefT13x_0" localSheetId="83">'418'!$T$13:$T$16</definedName>
    <definedName name="OSRRefT13x_0" localSheetId="86">'424'!$T$13:$T$15</definedName>
    <definedName name="OSRRefT13x_0" localSheetId="87">'425'!$T$13:$T$16</definedName>
    <definedName name="OSRRefT13x_0" localSheetId="91">'433'!$T$13:$T$16</definedName>
    <definedName name="OSRRefT13x_0" localSheetId="92">'435'!$T$13:$T$16</definedName>
    <definedName name="OSRRefT13x_0" localSheetId="93">'444'!$T$13:$T$16</definedName>
    <definedName name="OSRRefT13x_0" localSheetId="95">'450'!$T$13:$T$16</definedName>
    <definedName name="OSRRefT13x_0" localSheetId="75">'491'!$T$13:$T$23</definedName>
    <definedName name="OSRRefT13x_0" localSheetId="89">'492'!$T$13:$T$18</definedName>
    <definedName name="OSRRefT13x_0" localSheetId="97">'501'!$T$13</definedName>
    <definedName name="OSRRefT13x_0" localSheetId="47">'Div 3'!$T$13:$T$103</definedName>
    <definedName name="OSRRefT13x_0" localSheetId="73">'Div 4'!$T$13:$T$24</definedName>
    <definedName name="OSRRefT13x_0" localSheetId="96">'Div 5'!$T$13</definedName>
    <definedName name="OSRRefT13x_0" localSheetId="64">'Div 6'!$T$13:$T$37</definedName>
    <definedName name="OSRRefT13x_0" localSheetId="2">Summary!$T$13:$T$127</definedName>
    <definedName name="OSRRefT16x_0" localSheetId="48">'300'!$T$102:$T$149</definedName>
    <definedName name="OSRRefT16x_0" localSheetId="49">'300 &amp; 317'!$T$119:$T$173</definedName>
    <definedName name="OSRRefT16x_0" localSheetId="53">'307'!$T$44:$T$61</definedName>
    <definedName name="OSRRefT16x_0" localSheetId="55">'308'!$T$41:$T$54</definedName>
    <definedName name="OSRRefT16x_0" localSheetId="67">'309'!$T$18:$T$20</definedName>
    <definedName name="OSRRefT16x_0" localSheetId="66">'310'!$T$25:$T$27</definedName>
    <definedName name="OSRRefT16x_0" localSheetId="74">'310 &amp; 491'!$T$32:$T$34</definedName>
    <definedName name="OSRRefT16x_0" localSheetId="56">'311'!$T$41:$T$54</definedName>
    <definedName name="OSRRefT16x_0" localSheetId="68">'313'!$T$21:$T$23</definedName>
    <definedName name="OSRRefT16x_0" localSheetId="54">'314'!$T$36:$T$50</definedName>
    <definedName name="OSRRefT16x_0" localSheetId="59">'315'!$T$36:$T$50</definedName>
    <definedName name="OSRRefT16x_0" localSheetId="65">'317'!$T$40:$T$53</definedName>
    <definedName name="OSRRefT16x_0" localSheetId="63">'320'!$T$18:$T$22</definedName>
    <definedName name="OSRRefT16x_0" localSheetId="69">'321'!$T$18:$T$20</definedName>
    <definedName name="OSRRefT16x_0" localSheetId="70">'322'!$T$18:$T$20</definedName>
    <definedName name="OSRRefT16x_0" localSheetId="57">'324'!$T$18:$T$20</definedName>
    <definedName name="OSRRefT16x_0" localSheetId="71">'325'!$T$18:$T$20</definedName>
    <definedName name="OSRRefT16x_0" localSheetId="60">'326'!$T$33:$T$46</definedName>
    <definedName name="OSRRefT16x_0" localSheetId="72">'327'!$T$17:$T$18</definedName>
    <definedName name="OSRRefT16x_0" localSheetId="52">'330'!$T$49:$T$70</definedName>
    <definedName name="OSRRefT16x_0" localSheetId="58">'331'!$T$42:$T$62</definedName>
    <definedName name="OSRRefT16x_0" localSheetId="61">'332'!$T$31:$T$35</definedName>
    <definedName name="OSRRefT16x_0" localSheetId="76">'405'!$T$18:$T$20</definedName>
    <definedName name="OSRRefT16x_0" localSheetId="77">'406'!$T$19:$T$21</definedName>
    <definedName name="OSRRefT16x_0" localSheetId="79">'412'!$T$19:$T$20</definedName>
    <definedName name="OSRRefT16x_0" localSheetId="80">'413'!$T$19:$T$21</definedName>
    <definedName name="OSRRefT16x_0" localSheetId="81">'414'!$T$19:$T$21</definedName>
    <definedName name="OSRRefT16x_0" localSheetId="82">'415'!$T$18:$T$20</definedName>
    <definedName name="OSRRefT16x_0" localSheetId="83">'418'!$T$19:$T$21</definedName>
    <definedName name="OSRRefT16x_0" localSheetId="85">'423'!$T$15</definedName>
    <definedName name="OSRRefT16x_0" localSheetId="86">'424'!$T$18:$T$20</definedName>
    <definedName name="OSRRefT16x_0" localSheetId="87">'425'!$T$19:$T$21</definedName>
    <definedName name="OSRRefT16x_0" localSheetId="91">'433'!$T$19:$T$21</definedName>
    <definedName name="OSRRefT16x_0" localSheetId="92">'435'!$T$19:$T$21</definedName>
    <definedName name="OSRRefT16x_0" localSheetId="93">'444'!$T$19:$T$21</definedName>
    <definedName name="OSRRefT16x_0" localSheetId="95">'450'!$T$19:$T$21</definedName>
    <definedName name="OSRRefT16x_0" localSheetId="75">'491'!$T$26:$T$28</definedName>
    <definedName name="OSRRefT16x_0" localSheetId="89">'492'!$T$21:$T$23</definedName>
    <definedName name="OSRRefT16x_0" localSheetId="47">'Div 3'!$T$106:$T$155</definedName>
    <definedName name="OSRRefT16x_0" localSheetId="73">'Div 4'!$T$27:$T$29</definedName>
    <definedName name="OSRRefT16x_0" localSheetId="64">'Div 6'!$T$40:$T$53</definedName>
    <definedName name="OSRRefT16x_0" localSheetId="2">Summary!$T$130:$T$186</definedName>
    <definedName name="OSRRefT22_0x_0" localSheetId="40">'200'!$T$20</definedName>
    <definedName name="OSRRefT22_0x_0" localSheetId="41">'201'!$T$20:$T$28</definedName>
    <definedName name="OSRRefT22_0x_0" localSheetId="42">'202'!$T$20:$T$28</definedName>
    <definedName name="OSRRefT22_0x_0" localSheetId="43">'203'!$T$20:$T$29</definedName>
    <definedName name="OSRRefT22_0x_0" localSheetId="44">'204'!$T$20:$T$29</definedName>
    <definedName name="OSRRefT22_0x_0" localSheetId="45">'205'!$T$20:$T$28</definedName>
    <definedName name="OSRRefT22_0x_0" localSheetId="46">'206'!$T$20:$T$28</definedName>
    <definedName name="OSRRefT22_0x_0" localSheetId="48">'300'!$T$155:$T$164</definedName>
    <definedName name="OSRRefT22_0x_0" localSheetId="49">'300 &amp; 317'!$T$179:$T$188</definedName>
    <definedName name="OSRRefT22_0x_0" localSheetId="50">'301'!$T$20:$T$28</definedName>
    <definedName name="OSRRefT22_0x_0" localSheetId="51">'306'!$T$20:$T$28</definedName>
    <definedName name="OSRRefT22_0x_0" localSheetId="53">'307'!$T$67:$T$75</definedName>
    <definedName name="OSRRefT22_0x_0" localSheetId="55">'308'!$T$60:$T$69</definedName>
    <definedName name="OSRRefT22_0x_0" localSheetId="67">'309'!$T$26:$T$34</definedName>
    <definedName name="OSRRefT22_0x_0" localSheetId="66">'310'!$T$33:$T$41</definedName>
    <definedName name="OSRRefT22_0x_0" localSheetId="74">'310 &amp; 491'!$T$40:$T$49</definedName>
    <definedName name="OSRRefT22_0x_0" localSheetId="56">'311'!$T$60:$T$69</definedName>
    <definedName name="OSRRefT22_0x_0" localSheetId="68">'313'!$T$29:$T$37</definedName>
    <definedName name="OSRRefT22_0x_0" localSheetId="54">'314'!$T$56:$T$63</definedName>
    <definedName name="OSRRefT22_0x_0" localSheetId="59">'315'!$T$56:$T$64</definedName>
    <definedName name="OSRRefT22_0x_0" localSheetId="62">'316'!$T$33:$T$41</definedName>
    <definedName name="OSRRefT22_0x_0" localSheetId="65">'317'!$T$59:$T$68</definedName>
    <definedName name="OSRRefT22_0x_0" localSheetId="63">'320'!$T$28:$T$35</definedName>
    <definedName name="OSRRefT22_0x_0" localSheetId="69">'321'!$T$26:$T$33</definedName>
    <definedName name="OSRRefT22_0x_0" localSheetId="70">'322'!$T$26:$T$34</definedName>
    <definedName name="OSRRefT22_0x_0" localSheetId="71">'325'!$T$26:$T$34</definedName>
    <definedName name="OSRRefT22_0x_0" localSheetId="60">'326'!$T$52:$T$60</definedName>
    <definedName name="OSRRefT22_0x_0" localSheetId="72">'327'!$T$24</definedName>
    <definedName name="OSRRefT22_0x_0" localSheetId="52">'330'!$T$76:$T$84</definedName>
    <definedName name="OSRRefT22_0x_0" localSheetId="58">'331'!$T$68:$T$76</definedName>
    <definedName name="OSRRefT22_0x_0" localSheetId="61">'332'!$T$41:$T$49</definedName>
    <definedName name="OSRRefT22_0x_0" localSheetId="76">'405'!$T$26:$T$34</definedName>
    <definedName name="OSRRefT22_0x_0" localSheetId="77">'406'!$T$27:$T$35</definedName>
    <definedName name="OSRRefT22_0x_0" localSheetId="78">'411'!$T$20:$T$29</definedName>
    <definedName name="OSRRefT22_0x_0" localSheetId="79">'412'!$T$26:$T$34</definedName>
    <definedName name="OSRRefT22_0x_0" localSheetId="80">'413'!$T$27:$T$35</definedName>
    <definedName name="OSRRefT22_0x_0" localSheetId="81">'414'!$T$27:$T$35</definedName>
    <definedName name="OSRRefT22_0x_0" localSheetId="82">'415'!$T$26:$T$34</definedName>
    <definedName name="OSRRefT22_0x_0" localSheetId="83">'418'!$T$27:$T$35</definedName>
    <definedName name="OSRRefT22_0x_0" localSheetId="84">'420'!$T$20:$T$21</definedName>
    <definedName name="OSRRefT22_0x_0" localSheetId="85">'423'!$T$21:$T$29</definedName>
    <definedName name="OSRRefT22_0x_0" localSheetId="86">'424'!$T$26:$T$33</definedName>
    <definedName name="OSRRefT22_0x_0" localSheetId="87">'425'!$T$27:$T$35</definedName>
    <definedName name="OSRRefT22_0x_0" localSheetId="90">'430'!$T$20:$T$28</definedName>
    <definedName name="OSRRefT22_0x_0" localSheetId="91">'433'!$T$27:$T$36</definedName>
    <definedName name="OSRRefT22_0x_0" localSheetId="92">'435'!$T$27:$T$34</definedName>
    <definedName name="OSRRefT22_0x_0" localSheetId="93">'444'!$T$27:$T$36</definedName>
    <definedName name="OSRRefT22_0x_0" localSheetId="95">'450'!$T$27:$T$36</definedName>
    <definedName name="OSRRefT22_0x_0" localSheetId="88">'455'!$T$20:$T$27</definedName>
    <definedName name="OSRRefT22_0x_0" localSheetId="75">'491'!$T$34:$T$43</definedName>
    <definedName name="OSRRefT22_0x_0" localSheetId="89">'492'!$T$29:$T$38</definedName>
    <definedName name="OSRRefT22_0x_0" localSheetId="97">'501'!$T$21:$T$29</definedName>
    <definedName name="OSRRefT22_0x_0" localSheetId="39">'Div 2'!$T$20:$T$30</definedName>
    <definedName name="OSRRefT22_0x_0" localSheetId="47">'Div 3'!$T$161:$T$170</definedName>
    <definedName name="OSRRefT22_0x_0" localSheetId="73">'Div 4'!$T$35:$T$44</definedName>
    <definedName name="OSRRefT22_0x_0" localSheetId="96">'Div 5'!$T$21:$T$29</definedName>
    <definedName name="OSRRefT22_0x_0" localSheetId="64">'Div 6'!$T$59:$T$68</definedName>
    <definedName name="OSRRefT22_0x_0" localSheetId="2">Summary!$T$192:$T$201</definedName>
    <definedName name="OSRRefT22_10x_0" localSheetId="41">'201'!$T$58:$T$60</definedName>
    <definedName name="OSRRefT22_10x_0" localSheetId="42">'202'!$T$59</definedName>
    <definedName name="OSRRefT22_10x_0" localSheetId="43">'203'!$T$59:$T$60</definedName>
    <definedName name="OSRRefT22_10x_0" localSheetId="44">'204'!$T$61:$T$62</definedName>
    <definedName name="OSRRefT22_10x_0" localSheetId="46">'206'!$T$58</definedName>
    <definedName name="OSRRefT22_10x_0" localSheetId="48">'300'!$T$198:$T$199</definedName>
    <definedName name="OSRRefT22_10x_0" localSheetId="49">'300 &amp; 317'!$T$222:$T$223</definedName>
    <definedName name="OSRRefT22_10x_0" localSheetId="50">'301'!$T$61</definedName>
    <definedName name="OSRRefT22_10x_0" localSheetId="53">'307'!$T$106</definedName>
    <definedName name="OSRRefT22_10x_0" localSheetId="55">'308'!$T$101</definedName>
    <definedName name="OSRRefT22_10x_0" localSheetId="67">'309'!$T$64:$T$66</definedName>
    <definedName name="OSRRefT22_10x_0" localSheetId="66">'310'!$T$72</definedName>
    <definedName name="OSRRefT22_10x_0" localSheetId="74">'310 &amp; 491'!$T$81</definedName>
    <definedName name="OSRRefT22_10x_0" localSheetId="56">'311'!$T$101</definedName>
    <definedName name="OSRRefT22_10x_0" localSheetId="68">'313'!$T$67</definedName>
    <definedName name="OSRRefT22_10x_0" localSheetId="59">'315'!$T$94:$T$96</definedName>
    <definedName name="OSRRefT22_10x_0" localSheetId="62">'316'!$T$70:$T$71</definedName>
    <definedName name="OSRRefT22_10x_0" localSheetId="65">'317'!$T$99</definedName>
    <definedName name="OSRRefT22_10x_0" localSheetId="69">'321'!$T$63:$T$64</definedName>
    <definedName name="OSRRefT22_10x_0" localSheetId="70">'322'!$T$64:$T$66</definedName>
    <definedName name="OSRRefT22_10x_0" localSheetId="71">'325'!$T$65</definedName>
    <definedName name="OSRRefT22_10x_0" localSheetId="60">'326'!$T$90</definedName>
    <definedName name="OSRRefT22_10x_0" localSheetId="52">'330'!$T$115</definedName>
    <definedName name="OSRRefT22_10x_0" localSheetId="58">'331'!$T$107</definedName>
    <definedName name="OSRRefT22_10x_0" localSheetId="61">'332'!$T$79</definedName>
    <definedName name="OSRRefT22_10x_0" localSheetId="76">'405'!$T$65:$T$67</definedName>
    <definedName name="OSRRefT22_10x_0" localSheetId="77">'406'!$T$67:$T$72</definedName>
    <definedName name="OSRRefT22_10x_0" localSheetId="78">'411'!$T$60:$T$62</definedName>
    <definedName name="OSRRefT22_10x_0" localSheetId="79">'412'!$T$65:$T$67</definedName>
    <definedName name="OSRRefT22_10x_0" localSheetId="80">'413'!$T$69:$T$70</definedName>
    <definedName name="OSRRefT22_10x_0" localSheetId="81">'414'!$T$65</definedName>
    <definedName name="OSRRefT22_10x_0" localSheetId="82">'415'!$T$64</definedName>
    <definedName name="OSRRefT22_10x_0" localSheetId="83">'418'!$T$69:$T$71</definedName>
    <definedName name="OSRRefT22_10x_0" localSheetId="86">'424'!$T$64:$T$66</definedName>
    <definedName name="OSRRefT22_10x_0" localSheetId="87">'425'!$T$66:$T$67</definedName>
    <definedName name="OSRRefT22_10x_0" localSheetId="90">'430'!$T$59</definedName>
    <definedName name="OSRRefT22_10x_0" localSheetId="91">'433'!$T$65:$T$66</definedName>
    <definedName name="OSRRefT22_10x_0" localSheetId="93">'444'!$T$65</definedName>
    <definedName name="OSRRefT22_10x_0" localSheetId="95">'450'!$T$66</definedName>
    <definedName name="OSRRefT22_10x_0" localSheetId="75">'491'!$T$76</definedName>
    <definedName name="OSRRefT22_10x_0" localSheetId="89">'492'!$T$69</definedName>
    <definedName name="OSRRefT22_10x_0" localSheetId="97">'501'!$T$58:$T$59</definedName>
    <definedName name="OSRRefT22_10x_0" localSheetId="39">'Div 2'!$T$60</definedName>
    <definedName name="OSRRefT22_10x_0" localSheetId="47">'Div 3'!$T$204:$T$205</definedName>
    <definedName name="OSRRefT22_10x_0" localSheetId="73">'Div 4'!$T$78:$T$79</definedName>
    <definedName name="OSRRefT22_10x_0" localSheetId="96">'Div 5'!$T$58:$T$59</definedName>
    <definedName name="OSRRefT22_10x_0" localSheetId="64">'Div 6'!$T$99</definedName>
    <definedName name="OSRRefT22_10x_0" localSheetId="2">Summary!$T$237:$T$238</definedName>
    <definedName name="OSRRefT22_11x_0" localSheetId="41">'201'!$T$62:$T$64</definedName>
    <definedName name="OSRRefT22_11x_0" localSheetId="42">'202'!$T$61</definedName>
    <definedName name="OSRRefT22_11x_0" localSheetId="43">'203'!$T$62</definedName>
    <definedName name="OSRRefT22_11x_0" localSheetId="44">'204'!$T$64</definedName>
    <definedName name="OSRRefT22_11x_0" localSheetId="48">'300'!$T$201</definedName>
    <definedName name="OSRRefT22_11x_0" localSheetId="49">'300 &amp; 317'!$T$225</definedName>
    <definedName name="OSRRefT22_11x_0" localSheetId="50">'301'!$T$63</definedName>
    <definedName name="OSRRefT22_11x_0" localSheetId="53">'307'!$T$108</definedName>
    <definedName name="OSRRefT22_11x_0" localSheetId="55">'308'!$T$103:$T$105</definedName>
    <definedName name="OSRRefT22_11x_0" localSheetId="67">'309'!$T$68</definedName>
    <definedName name="OSRRefT22_11x_0" localSheetId="66">'310'!$T$74</definedName>
    <definedName name="OSRRefT22_11x_0" localSheetId="74">'310 &amp; 491'!$T$83:$T$84</definedName>
    <definedName name="OSRRefT22_11x_0" localSheetId="56">'311'!$T$103:$T$105</definedName>
    <definedName name="OSRRefT22_11x_0" localSheetId="68">'313'!$T$69:$T$73</definedName>
    <definedName name="OSRRefT22_11x_0" localSheetId="59">'315'!$T$98:$T$99</definedName>
    <definedName name="OSRRefT22_11x_0" localSheetId="62">'316'!$T$73:$T$76</definedName>
    <definedName name="OSRRefT22_11x_0" localSheetId="69">'321'!$T$66:$T$68</definedName>
    <definedName name="OSRRefT22_11x_0" localSheetId="70">'322'!$T$68:$T$72</definedName>
    <definedName name="OSRRefT22_11x_0" localSheetId="71">'325'!$T$67:$T$68</definedName>
    <definedName name="OSRRefT22_11x_0" localSheetId="60">'326'!$T$92</definedName>
    <definedName name="OSRRefT22_11x_0" localSheetId="52">'330'!$T$117</definedName>
    <definedName name="OSRRefT22_11x_0" localSheetId="58">'331'!$T$109</definedName>
    <definedName name="OSRRefT22_11x_0" localSheetId="61">'332'!$T$81:$T$82</definedName>
    <definedName name="OSRRefT22_11x_0" localSheetId="76">'405'!$T$69</definedName>
    <definedName name="OSRRefT22_11x_0" localSheetId="77">'406'!$T$74:$T$75</definedName>
    <definedName name="OSRRefT22_11x_0" localSheetId="78">'411'!$T$64:$T$68</definedName>
    <definedName name="OSRRefT22_11x_0" localSheetId="79">'412'!$T$69:$T$74</definedName>
    <definedName name="OSRRefT22_11x_0" localSheetId="80">'413'!$T$72</definedName>
    <definedName name="OSRRefT22_11x_0" localSheetId="81">'414'!$T$67</definedName>
    <definedName name="OSRRefT22_11x_0" localSheetId="82">'415'!$T$66:$T$67</definedName>
    <definedName name="OSRRefT22_11x_0" localSheetId="83">'418'!$T$73</definedName>
    <definedName name="OSRRefT22_11x_0" localSheetId="86">'424'!$T$68:$T$69</definedName>
    <definedName name="OSRRefT22_11x_0" localSheetId="87">'425'!$T$69:$T$70</definedName>
    <definedName name="OSRRefT22_11x_0" localSheetId="91">'433'!$T$68:$T$71</definedName>
    <definedName name="OSRRefT22_11x_0" localSheetId="93">'444'!$T$67:$T$69</definedName>
    <definedName name="OSRRefT22_11x_0" localSheetId="95">'450'!$T$68:$T$69</definedName>
    <definedName name="OSRRefT22_11x_0" localSheetId="75">'491'!$T$78</definedName>
    <definedName name="OSRRefT22_11x_0" localSheetId="89">'492'!$T$71</definedName>
    <definedName name="OSRRefT22_11x_0" localSheetId="97">'501'!$T$61:$T$63</definedName>
    <definedName name="OSRRefT22_11x_0" localSheetId="39">'Div 2'!$T$62</definedName>
    <definedName name="OSRRefT22_11x_0" localSheetId="47">'Div 3'!$T$207</definedName>
    <definedName name="OSRRefT22_11x_0" localSheetId="73">'Div 4'!$T$81</definedName>
    <definedName name="OSRRefT22_11x_0" localSheetId="96">'Div 5'!$T$61:$T$63</definedName>
    <definedName name="OSRRefT22_11x_0" localSheetId="2">Summary!$T$240:$T$241</definedName>
    <definedName name="OSRRefT22_12x_0" localSheetId="41">'201'!$T$66</definedName>
    <definedName name="OSRRefT22_12x_0" localSheetId="42">'202'!$T$63</definedName>
    <definedName name="OSRRefT22_12x_0" localSheetId="43">'203'!$T$64:$T$66</definedName>
    <definedName name="OSRRefT22_12x_0" localSheetId="44">'204'!$T$66:$T$67</definedName>
    <definedName name="OSRRefT22_12x_0" localSheetId="48">'300'!$T$203</definedName>
    <definedName name="OSRRefT22_12x_0" localSheetId="49">'300 &amp; 317'!$T$227</definedName>
    <definedName name="OSRRefT22_12x_0" localSheetId="50">'301'!$T$65</definedName>
    <definedName name="OSRRefT22_12x_0" localSheetId="53">'307'!$T$110</definedName>
    <definedName name="OSRRefT22_12x_0" localSheetId="55">'308'!$T$107:$T$108</definedName>
    <definedName name="OSRRefT22_12x_0" localSheetId="67">'309'!$T$70</definedName>
    <definedName name="OSRRefT22_12x_0" localSheetId="66">'310'!$T$76</definedName>
    <definedName name="OSRRefT22_12x_0" localSheetId="74">'310 &amp; 491'!$T$86</definedName>
    <definedName name="OSRRefT22_12x_0" localSheetId="56">'311'!$T$107:$T$108</definedName>
    <definedName name="OSRRefT22_12x_0" localSheetId="68">'313'!$T$75</definedName>
    <definedName name="OSRRefT22_12x_0" localSheetId="59">'315'!$T$101:$T$104</definedName>
    <definedName name="OSRRefT22_12x_0" localSheetId="62">'316'!$T$78:$T$79</definedName>
    <definedName name="OSRRefT22_12x_0" localSheetId="69">'321'!$T$70:$T$72</definedName>
    <definedName name="OSRRefT22_12x_0" localSheetId="70">'322'!$T$74</definedName>
    <definedName name="OSRRefT22_12x_0" localSheetId="71">'325'!$T$70:$T$73</definedName>
    <definedName name="OSRRefT22_12x_0" localSheetId="60">'326'!$T$94</definedName>
    <definedName name="OSRRefT22_12x_0" localSheetId="52">'330'!$T$119</definedName>
    <definedName name="OSRRefT22_12x_0" localSheetId="58">'331'!$T$111</definedName>
    <definedName name="OSRRefT22_12x_0" localSheetId="61">'332'!$T$84:$T$88</definedName>
    <definedName name="OSRRefT22_12x_0" localSheetId="76">'405'!$T$71:$T$73</definedName>
    <definedName name="OSRRefT22_12x_0" localSheetId="77">'406'!$T$77</definedName>
    <definedName name="OSRRefT22_12x_0" localSheetId="78">'411'!$T$70:$T$76</definedName>
    <definedName name="OSRRefT22_12x_0" localSheetId="79">'412'!$T$76</definedName>
    <definedName name="OSRRefT22_12x_0" localSheetId="81">'414'!$T$69</definedName>
    <definedName name="OSRRefT22_12x_0" localSheetId="82">'415'!$T$69:$T$73</definedName>
    <definedName name="OSRRefT22_12x_0" localSheetId="83">'418'!$T$75:$T$81</definedName>
    <definedName name="OSRRefT22_12x_0" localSheetId="87">'425'!$T$72:$T$76</definedName>
    <definedName name="OSRRefT22_12x_0" localSheetId="91">'433'!$T$73:$T$79</definedName>
    <definedName name="OSRRefT22_12x_0" localSheetId="93">'444'!$T$71:$T$74</definedName>
    <definedName name="OSRRefT22_12x_0" localSheetId="95">'450'!$T$71:$T$73</definedName>
    <definedName name="OSRRefT22_12x_0" localSheetId="75">'491'!$T$80</definedName>
    <definedName name="OSRRefT22_12x_0" localSheetId="89">'492'!$T$73:$T$76</definedName>
    <definedName name="OSRRefT22_12x_0" localSheetId="97">'501'!$T$65</definedName>
    <definedName name="OSRRefT22_12x_0" localSheetId="39">'Div 2'!$T$64:$T$66</definedName>
    <definedName name="OSRRefT22_12x_0" localSheetId="47">'Div 3'!$T$209</definedName>
    <definedName name="OSRRefT22_12x_0" localSheetId="73">'Div 4'!$T$83</definedName>
    <definedName name="OSRRefT22_12x_0" localSheetId="96">'Div 5'!$T$65</definedName>
    <definedName name="OSRRefT22_12x_0" localSheetId="2">Summary!$T$243</definedName>
    <definedName name="OSRRefT22_13x_0" localSheetId="41">'201'!$T$68:$T$70</definedName>
    <definedName name="OSRRefT22_13x_0" localSheetId="42">'202'!$T$65</definedName>
    <definedName name="OSRRefT22_13x_0" localSheetId="43">'203'!$T$68</definedName>
    <definedName name="OSRRefT22_13x_0" localSheetId="48">'300'!$T$205</definedName>
    <definedName name="OSRRefT22_13x_0" localSheetId="49">'300 &amp; 317'!$T$229</definedName>
    <definedName name="OSRRefT22_13x_0" localSheetId="50">'301'!$T$67</definedName>
    <definedName name="OSRRefT22_13x_0" localSheetId="55">'308'!$T$110</definedName>
    <definedName name="OSRRefT22_13x_0" localSheetId="66">'310'!$T$78</definedName>
    <definedName name="OSRRefT22_13x_0" localSheetId="74">'310 &amp; 491'!$T$88</definedName>
    <definedName name="OSRRefT22_13x_0" localSheetId="56">'311'!$T$110</definedName>
    <definedName name="OSRRefT22_13x_0" localSheetId="68">'313'!$T$77</definedName>
    <definedName name="OSRRefT22_13x_0" localSheetId="59">'315'!$T$106</definedName>
    <definedName name="OSRRefT22_13x_0" localSheetId="62">'316'!$T$81</definedName>
    <definedName name="OSRRefT22_13x_0" localSheetId="69">'321'!$T$74</definedName>
    <definedName name="OSRRefT22_13x_0" localSheetId="70">'322'!$T$76</definedName>
    <definedName name="OSRRefT22_13x_0" localSheetId="71">'325'!$T$75</definedName>
    <definedName name="OSRRefT22_13x_0" localSheetId="60">'326'!$T$96:$T$97</definedName>
    <definedName name="OSRRefT22_13x_0" localSheetId="52">'330'!$T$121</definedName>
    <definedName name="OSRRefT22_13x_0" localSheetId="58">'331'!$T$113</definedName>
    <definedName name="OSRRefT22_13x_0" localSheetId="61">'332'!$T$90:$T$91</definedName>
    <definedName name="OSRRefT22_13x_0" localSheetId="76">'405'!$T$75</definedName>
    <definedName name="OSRRefT22_13x_0" localSheetId="77">'406'!$T$79</definedName>
    <definedName name="OSRRefT22_13x_0" localSheetId="78">'411'!$T$78</definedName>
    <definedName name="OSRRefT22_13x_0" localSheetId="79">'412'!$T$78</definedName>
    <definedName name="OSRRefT22_13x_0" localSheetId="81">'414'!$T$71:$T$77</definedName>
    <definedName name="OSRRefT22_13x_0" localSheetId="82">'415'!$T$75</definedName>
    <definedName name="OSRRefT22_13x_0" localSheetId="83">'418'!$T$83</definedName>
    <definedName name="OSRRefT22_13x_0" localSheetId="87">'425'!$T$78:$T$79</definedName>
    <definedName name="OSRRefT22_13x_0" localSheetId="91">'433'!$T$81</definedName>
    <definedName name="OSRRefT22_13x_0" localSheetId="93">'444'!$T$76:$T$82</definedName>
    <definedName name="OSRRefT22_13x_0" localSheetId="95">'450'!$T$75:$T$80</definedName>
    <definedName name="OSRRefT22_13x_0" localSheetId="75">'491'!$T$82</definedName>
    <definedName name="OSRRefT22_13x_0" localSheetId="89">'492'!$T$78:$T$81</definedName>
    <definedName name="OSRRefT22_13x_0" localSheetId="39">'Div 2'!$T$68:$T$71</definedName>
    <definedName name="OSRRefT22_13x_0" localSheetId="47">'Div 3'!$T$211</definedName>
    <definedName name="OSRRefT22_13x_0" localSheetId="73">'Div 4'!$T$85</definedName>
    <definedName name="OSRRefT22_13x_0" localSheetId="2">Summary!$T$245</definedName>
    <definedName name="OSRRefT22_14x_0" localSheetId="41">'201'!$T$72</definedName>
    <definedName name="OSRRefT22_14x_0" localSheetId="42">'202'!$T$67:$T$68</definedName>
    <definedName name="OSRRefT22_14x_0" localSheetId="43">'203'!$T$70</definedName>
    <definedName name="OSRRefT22_14x_0" localSheetId="48">'300'!$T$207</definedName>
    <definedName name="OSRRefT22_14x_0" localSheetId="49">'300 &amp; 317'!$T$231</definedName>
    <definedName name="OSRRefT22_14x_0" localSheetId="50">'301'!$T$69</definedName>
    <definedName name="OSRRefT22_14x_0" localSheetId="55">'308'!$T$112</definedName>
    <definedName name="OSRRefT22_14x_0" localSheetId="66">'310'!$T$80</definedName>
    <definedName name="OSRRefT22_14x_0" localSheetId="74">'310 &amp; 491'!$T$90</definedName>
    <definedName name="OSRRefT22_14x_0" localSheetId="56">'311'!$T$112</definedName>
    <definedName name="OSRRefT22_14x_0" localSheetId="59">'315'!$T$108</definedName>
    <definedName name="OSRRefT22_14x_0" localSheetId="69">'321'!$T$76</definedName>
    <definedName name="OSRRefT22_14x_0" localSheetId="71">'325'!$T$77:$T$83</definedName>
    <definedName name="OSRRefT22_14x_0" localSheetId="60">'326'!$T$99:$T$101</definedName>
    <definedName name="OSRRefT22_14x_0" localSheetId="58">'331'!$T$115:$T$116</definedName>
    <definedName name="OSRRefT22_14x_0" localSheetId="61">'332'!$T$93</definedName>
    <definedName name="OSRRefT22_14x_0" localSheetId="76">'405'!$T$77:$T$85</definedName>
    <definedName name="OSRRefT22_14x_0" localSheetId="78">'411'!$T$80</definedName>
    <definedName name="OSRRefT22_14x_0" localSheetId="81">'414'!$T$79</definedName>
    <definedName name="OSRRefT22_14x_0" localSheetId="82">'415'!$T$77:$T$84</definedName>
    <definedName name="OSRRefT22_14x_0" localSheetId="83">'418'!$T$85</definedName>
    <definedName name="OSRRefT22_14x_0" localSheetId="87">'425'!$T$81</definedName>
    <definedName name="OSRRefT22_14x_0" localSheetId="91">'433'!$T$83</definedName>
    <definedName name="OSRRefT22_14x_0" localSheetId="93">'444'!$T$84</definedName>
    <definedName name="OSRRefT22_14x_0" localSheetId="95">'450'!$T$82</definedName>
    <definedName name="OSRRefT22_14x_0" localSheetId="75">'491'!$T$84:$T$87</definedName>
    <definedName name="OSRRefT22_14x_0" localSheetId="89">'492'!$T$83:$T$91</definedName>
    <definedName name="OSRRefT22_14x_0" localSheetId="39">'Div 2'!$T$73:$T$76</definedName>
    <definedName name="OSRRefT22_14x_0" localSheetId="47">'Div 3'!$T$213</definedName>
    <definedName name="OSRRefT22_14x_0" localSheetId="73">'Div 4'!$T$87</definedName>
    <definedName name="OSRRefT22_14x_0" localSheetId="2">Summary!$T$247</definedName>
    <definedName name="OSRRefT22_15x_0" localSheetId="41">'201'!$T$74</definedName>
    <definedName name="OSRRefT22_15x_0" localSheetId="42">'202'!$T$70</definedName>
    <definedName name="OSRRefT22_15x_0" localSheetId="43">'203'!$T$72</definedName>
    <definedName name="OSRRefT22_15x_0" localSheetId="48">'300'!$T$209</definedName>
    <definedName name="OSRRefT22_15x_0" localSheetId="49">'300 &amp; 317'!$T$233</definedName>
    <definedName name="OSRRefT22_15x_0" localSheetId="50">'301'!$T$71:$T$73</definedName>
    <definedName name="OSRRefT22_15x_0" localSheetId="66">'310'!$T$82:$T$83</definedName>
    <definedName name="OSRRefT22_15x_0" localSheetId="74">'310 &amp; 491'!$T$92</definedName>
    <definedName name="OSRRefT22_15x_0" localSheetId="59">'315'!$T$110</definedName>
    <definedName name="OSRRefT22_15x_0" localSheetId="71">'325'!$T$85</definedName>
    <definedName name="OSRRefT22_15x_0" localSheetId="60">'326'!$T$103:$T$104</definedName>
    <definedName name="OSRRefT22_15x_0" localSheetId="58">'331'!$T$118:$T$120</definedName>
    <definedName name="OSRRefT22_15x_0" localSheetId="76">'405'!$T$87</definedName>
    <definedName name="OSRRefT22_15x_0" localSheetId="78">'411'!$T$82:$T$84</definedName>
    <definedName name="OSRRefT22_15x_0" localSheetId="81">'414'!$T$81</definedName>
    <definedName name="OSRRefT22_15x_0" localSheetId="82">'415'!$T$86</definedName>
    <definedName name="OSRRefT22_15x_0" localSheetId="83">'418'!$T$87</definedName>
    <definedName name="OSRRefT22_15x_0" localSheetId="87">'425'!$T$83</definedName>
    <definedName name="OSRRefT22_15x_0" localSheetId="91">'433'!$T$85:$T$86</definedName>
    <definedName name="OSRRefT22_15x_0" localSheetId="93">'444'!$T$86</definedName>
    <definedName name="OSRRefT22_15x_0" localSheetId="95">'450'!$T$84</definedName>
    <definedName name="OSRRefT22_15x_0" localSheetId="75">'491'!$T$89:$T$91</definedName>
    <definedName name="OSRRefT22_15x_0" localSheetId="89">'492'!$T$93</definedName>
    <definedName name="OSRRefT22_15x_0" localSheetId="39">'Div 2'!$T$78:$T$79</definedName>
    <definedName name="OSRRefT22_15x_0" localSheetId="47">'Div 3'!$T$215</definedName>
    <definedName name="OSRRefT22_15x_0" localSheetId="73">'Div 4'!$T$89</definedName>
    <definedName name="OSRRefT22_15x_0" localSheetId="2">Summary!$T$249</definedName>
    <definedName name="OSRRefT22_16x_0" localSheetId="41">'201'!$T$76</definedName>
    <definedName name="OSRRefT22_16x_0" localSheetId="42">'202'!$T$72</definedName>
    <definedName name="OSRRefT22_16x_0" localSheetId="48">'300'!$T$211:$T$213</definedName>
    <definedName name="OSRRefT22_16x_0" localSheetId="49">'300 &amp; 317'!$T$235:$T$237</definedName>
    <definedName name="OSRRefT22_16x_0" localSheetId="50">'301'!$T$75:$T$77</definedName>
    <definedName name="OSRRefT22_16x_0" localSheetId="66">'310'!$T$85:$T$86</definedName>
    <definedName name="OSRRefT22_16x_0" localSheetId="74">'310 &amp; 491'!$T$94</definedName>
    <definedName name="OSRRefT22_16x_0" localSheetId="71">'325'!$T$87</definedName>
    <definedName name="OSRRefT22_16x_0" localSheetId="60">'326'!$T$106:$T$110</definedName>
    <definedName name="OSRRefT22_16x_0" localSheetId="58">'331'!$T$122:$T$124</definedName>
    <definedName name="OSRRefT22_16x_0" localSheetId="76">'405'!$T$89</definedName>
    <definedName name="OSRRefT22_16x_0" localSheetId="78">'411'!$T$86</definedName>
    <definedName name="OSRRefT22_16x_0" localSheetId="82">'415'!$T$88</definedName>
    <definedName name="OSRRefT22_16x_0" localSheetId="93">'444'!$T$88</definedName>
    <definedName name="OSRRefT22_16x_0" localSheetId="95">'450'!$T$86:$T$87</definedName>
    <definedName name="OSRRefT22_16x_0" localSheetId="75">'491'!$T$93:$T$97</definedName>
    <definedName name="OSRRefT22_16x_0" localSheetId="89">'492'!$T$95</definedName>
    <definedName name="OSRRefT22_16x_0" localSheetId="39">'Div 2'!$T$81:$T$82</definedName>
    <definedName name="OSRRefT22_16x_0" localSheetId="47">'Div 3'!$T$217</definedName>
    <definedName name="OSRRefT22_16x_0" localSheetId="73">'Div 4'!$T$91:$T$94</definedName>
    <definedName name="OSRRefT22_16x_0" localSheetId="2">Summary!$T$251</definedName>
    <definedName name="OSRRefT22_17x_0" localSheetId="48">'300'!$T$215:$T$218</definedName>
    <definedName name="OSRRefT22_17x_0" localSheetId="49">'300 &amp; 317'!$T$239:$T$242</definedName>
    <definedName name="OSRRefT22_17x_0" localSheetId="50">'301'!$T$79:$T$80</definedName>
    <definedName name="OSRRefT22_17x_0" localSheetId="66">'310'!$T$88:$T$92</definedName>
    <definedName name="OSRRefT22_17x_0" localSheetId="74">'310 &amp; 491'!$T$96:$T$99</definedName>
    <definedName name="OSRRefT22_17x_0" localSheetId="71">'325'!$T$89</definedName>
    <definedName name="OSRRefT22_17x_0" localSheetId="60">'326'!$T$112:$T$113</definedName>
    <definedName name="OSRRefT22_17x_0" localSheetId="58">'331'!$T$126:$T$127</definedName>
    <definedName name="OSRRefT22_17x_0" localSheetId="76">'405'!$T$91</definedName>
    <definedName name="OSRRefT22_17x_0" localSheetId="82">'415'!$T$90:$T$91</definedName>
    <definedName name="OSRRefT22_17x_0" localSheetId="75">'491'!$T$99</definedName>
    <definedName name="OSRRefT22_17x_0" localSheetId="89">'492'!$T$97:$T$98</definedName>
    <definedName name="OSRRefT22_17x_0" localSheetId="39">'Div 2'!$T$84:$T$87</definedName>
    <definedName name="OSRRefT22_17x_0" localSheetId="47">'Div 3'!$T$219</definedName>
    <definedName name="OSRRefT22_17x_0" localSheetId="73">'Div 4'!$T$96:$T$98</definedName>
    <definedName name="OSRRefT22_17x_0" localSheetId="2">Summary!$T$253</definedName>
    <definedName name="OSRRefT22_18x_0" localSheetId="48">'300'!$T$220:$T$223</definedName>
    <definedName name="OSRRefT22_18x_0" localSheetId="49">'300 &amp; 317'!$T$244:$T$247</definedName>
    <definedName name="OSRRefT22_18x_0" localSheetId="50">'301'!$T$82:$T$87</definedName>
    <definedName name="OSRRefT22_18x_0" localSheetId="66">'310'!$T$94</definedName>
    <definedName name="OSRRefT22_18x_0" localSheetId="74">'310 &amp; 491'!$T$101:$T$103</definedName>
    <definedName name="OSRRefT22_18x_0" localSheetId="60">'326'!$T$115</definedName>
    <definedName name="OSRRefT22_18x_0" localSheetId="58">'331'!$T$129:$T$133</definedName>
    <definedName name="OSRRefT22_18x_0" localSheetId="82">'415'!$T$93</definedName>
    <definedName name="OSRRefT22_18x_0" localSheetId="75">'491'!$T$101:$T$110</definedName>
    <definedName name="OSRRefT22_18x_0" localSheetId="39">'Div 2'!$T$89:$T$90</definedName>
    <definedName name="OSRRefT22_18x_0" localSheetId="47">'Div 3'!$T$221:$T$223</definedName>
    <definedName name="OSRRefT22_18x_0" localSheetId="73">'Div 4'!$T$100:$T$104</definedName>
    <definedName name="OSRRefT22_18x_0" localSheetId="2">Summary!$T$255:$T$258</definedName>
    <definedName name="OSRRefT22_19x_0" localSheetId="48">'300'!$T$225:$T$226</definedName>
    <definedName name="OSRRefT22_19x_0" localSheetId="49">'300 &amp; 317'!$T$249:$T$250</definedName>
    <definedName name="OSRRefT22_19x_0" localSheetId="50">'301'!$T$89</definedName>
    <definedName name="OSRRefT22_19x_0" localSheetId="66">'310'!$T$96:$T$103</definedName>
    <definedName name="OSRRefT22_19x_0" localSheetId="74">'310 &amp; 491'!$T$105:$T$110</definedName>
    <definedName name="OSRRefT22_19x_0" localSheetId="60">'326'!$T$117</definedName>
    <definedName name="OSRRefT22_19x_0" localSheetId="58">'331'!$T$135:$T$136</definedName>
    <definedName name="OSRRefT22_19x_0" localSheetId="75">'491'!$T$112:$T$113</definedName>
    <definedName name="OSRRefT22_19x_0" localSheetId="39">'Div 2'!$T$92</definedName>
    <definedName name="OSRRefT22_19x_0" localSheetId="47">'Div 3'!$T$225:$T$228</definedName>
    <definedName name="OSRRefT22_19x_0" localSheetId="73">'Div 4'!$T$106</definedName>
    <definedName name="OSRRefT22_19x_0" localSheetId="2">Summary!$T$260:$T$263</definedName>
    <definedName name="OSRRefT22_1x_0" localSheetId="40">'200'!$T$22</definedName>
    <definedName name="OSRRefT22_1x_0" localSheetId="41">'201'!$T$30:$T$39</definedName>
    <definedName name="OSRRefT22_1x_0" localSheetId="42">'202'!$T$30:$T$39</definedName>
    <definedName name="OSRRefT22_1x_0" localSheetId="43">'203'!$T$31:$T$40</definedName>
    <definedName name="OSRRefT22_1x_0" localSheetId="44">'204'!$T$31:$T$40</definedName>
    <definedName name="OSRRefT22_1x_0" localSheetId="45">'205'!$T$30:$T$39</definedName>
    <definedName name="OSRRefT22_1x_0" localSheetId="46">'206'!$T$30:$T$39</definedName>
    <definedName name="OSRRefT22_1x_0" localSheetId="48">'300'!$T$166:$T$175</definedName>
    <definedName name="OSRRefT22_1x_0" localSheetId="49">'300 &amp; 317'!$T$190:$T$199</definedName>
    <definedName name="OSRRefT22_1x_0" localSheetId="50">'301'!$T$30:$T$39</definedName>
    <definedName name="OSRRefT22_1x_0" localSheetId="51">'306'!$T$30:$T$39</definedName>
    <definedName name="OSRRefT22_1x_0" localSheetId="53">'307'!$T$77:$T$86</definedName>
    <definedName name="OSRRefT22_1x_0" localSheetId="55">'308'!$T$71:$T$80</definedName>
    <definedName name="OSRRefT22_1x_0" localSheetId="67">'309'!$T$36:$T$45</definedName>
    <definedName name="OSRRefT22_1x_0" localSheetId="66">'310'!$T$43:$T$52</definedName>
    <definedName name="OSRRefT22_1x_0" localSheetId="74">'310 &amp; 491'!$T$51:$T$60</definedName>
    <definedName name="OSRRefT22_1x_0" localSheetId="56">'311'!$T$71:$T$80</definedName>
    <definedName name="OSRRefT22_1x_0" localSheetId="68">'313'!$T$39:$T$48</definedName>
    <definedName name="OSRRefT22_1x_0" localSheetId="54">'314'!$T$65:$T$74</definedName>
    <definedName name="OSRRefT22_1x_0" localSheetId="59">'315'!$T$66:$T$75</definedName>
    <definedName name="OSRRefT22_1x_0" localSheetId="62">'316'!$T$43:$T$52</definedName>
    <definedName name="OSRRefT22_1x_0" localSheetId="65">'317'!$T$70:$T$79</definedName>
    <definedName name="OSRRefT22_1x_0" localSheetId="63">'320'!$T$37:$T$46</definedName>
    <definedName name="OSRRefT22_1x_0" localSheetId="69">'321'!$T$35:$T$44</definedName>
    <definedName name="OSRRefT22_1x_0" localSheetId="70">'322'!$T$36:$T$45</definedName>
    <definedName name="OSRRefT22_1x_0" localSheetId="71">'325'!$T$36:$T$45</definedName>
    <definedName name="OSRRefT22_1x_0" localSheetId="60">'326'!$T$62:$T$71</definedName>
    <definedName name="OSRRefT22_1x_0" localSheetId="52">'330'!$T$86:$T$95</definedName>
    <definedName name="OSRRefT22_1x_0" localSheetId="58">'331'!$T$78:$T$87</definedName>
    <definedName name="OSRRefT22_1x_0" localSheetId="61">'332'!$T$51:$T$60</definedName>
    <definedName name="OSRRefT22_1x_0" localSheetId="76">'405'!$T$36:$T$45</definedName>
    <definedName name="OSRRefT22_1x_0" localSheetId="77">'406'!$T$37:$T$46</definedName>
    <definedName name="OSRRefT22_1x_0" localSheetId="78">'411'!$T$31:$T$40</definedName>
    <definedName name="OSRRefT22_1x_0" localSheetId="79">'412'!$T$36:$T$45</definedName>
    <definedName name="OSRRefT22_1x_0" localSheetId="80">'413'!$T$37:$T$46</definedName>
    <definedName name="OSRRefT22_1x_0" localSheetId="81">'414'!$T$37:$T$46</definedName>
    <definedName name="OSRRefT22_1x_0" localSheetId="82">'415'!$T$36:$T$45</definedName>
    <definedName name="OSRRefT22_1x_0" localSheetId="83">'418'!$T$37:$T$46</definedName>
    <definedName name="OSRRefT22_1x_0" localSheetId="84">'420'!$T$23</definedName>
    <definedName name="OSRRefT22_1x_0" localSheetId="85">'423'!$T$31:$T$40</definedName>
    <definedName name="OSRRefT22_1x_0" localSheetId="86">'424'!$T$35:$T$44</definedName>
    <definedName name="OSRRefT22_1x_0" localSheetId="87">'425'!$T$37:$T$46</definedName>
    <definedName name="OSRRefT22_1x_0" localSheetId="90">'430'!$T$30:$T$39</definedName>
    <definedName name="OSRRefT22_1x_0" localSheetId="91">'433'!$T$38:$T$47</definedName>
    <definedName name="OSRRefT22_1x_0" localSheetId="92">'435'!$T$36:$T$45</definedName>
    <definedName name="OSRRefT22_1x_0" localSheetId="93">'444'!$T$38:$T$47</definedName>
    <definedName name="OSRRefT22_1x_0" localSheetId="95">'450'!$T$38:$T$47</definedName>
    <definedName name="OSRRefT22_1x_0" localSheetId="88">'455'!$T$29:$T$38</definedName>
    <definedName name="OSRRefT22_1x_0" localSheetId="75">'491'!$T$45:$T$54</definedName>
    <definedName name="OSRRefT22_1x_0" localSheetId="89">'492'!$T$40:$T$49</definedName>
    <definedName name="OSRRefT22_1x_0" localSheetId="97">'501'!$T$31:$T$40</definedName>
    <definedName name="OSRRefT22_1x_0" localSheetId="39">'Div 2'!$T$32:$T$41</definedName>
    <definedName name="OSRRefT22_1x_0" localSheetId="47">'Div 3'!$T$172:$T$181</definedName>
    <definedName name="OSRRefT22_1x_0" localSheetId="73">'Div 4'!$T$46:$T$55</definedName>
    <definedName name="OSRRefT22_1x_0" localSheetId="96">'Div 5'!$T$31:$T$40</definedName>
    <definedName name="OSRRefT22_1x_0" localSheetId="64">'Div 6'!$T$70:$T$79</definedName>
    <definedName name="OSRRefT22_1x_0" localSheetId="2">Summary!$T$203:$T$212</definedName>
    <definedName name="OSRRefT22_20x_0" localSheetId="48">'300'!$T$228:$T$234</definedName>
    <definedName name="OSRRefT22_20x_0" localSheetId="49">'300 &amp; 317'!$T$252:$T$258</definedName>
    <definedName name="OSRRefT22_20x_0" localSheetId="50">'301'!$T$91</definedName>
    <definedName name="OSRRefT22_20x_0" localSheetId="66">'310'!$T$105</definedName>
    <definedName name="OSRRefT22_20x_0" localSheetId="74">'310 &amp; 491'!$T$112</definedName>
    <definedName name="OSRRefT22_20x_0" localSheetId="60">'326'!$T$119</definedName>
    <definedName name="OSRRefT22_20x_0" localSheetId="58">'331'!$T$138</definedName>
    <definedName name="OSRRefT22_20x_0" localSheetId="75">'491'!$T$115</definedName>
    <definedName name="OSRRefT22_20x_0" localSheetId="39">'Div 2'!$T$94:$T$95</definedName>
    <definedName name="OSRRefT22_20x_0" localSheetId="47">'Div 3'!$T$230:$T$235</definedName>
    <definedName name="OSRRefT22_20x_0" localSheetId="73">'Div 4'!$T$108:$T$117</definedName>
    <definedName name="OSRRefT22_20x_0" localSheetId="2">Summary!$T$265:$T$270</definedName>
    <definedName name="OSRRefT22_21x_0" localSheetId="48">'300'!$T$236:$T$237</definedName>
    <definedName name="OSRRefT22_21x_0" localSheetId="49">'300 &amp; 317'!$T$260:$T$261</definedName>
    <definedName name="OSRRefT22_21x_0" localSheetId="50">'301'!$T$93:$T$94</definedName>
    <definedName name="OSRRefT22_21x_0" localSheetId="66">'310'!$T$107</definedName>
    <definedName name="OSRRefT22_21x_0" localSheetId="74">'310 &amp; 491'!$T$114:$T$123</definedName>
    <definedName name="OSRRefT22_21x_0" localSheetId="58">'331'!$T$140</definedName>
    <definedName name="OSRRefT22_21x_0" localSheetId="75">'491'!$T$117:$T$119</definedName>
    <definedName name="OSRRefT22_21x_0" localSheetId="47">'Div 3'!$T$237:$T$238</definedName>
    <definedName name="OSRRefT22_21x_0" localSheetId="73">'Div 4'!$T$119:$T$120</definedName>
    <definedName name="OSRRefT22_21x_0" localSheetId="2">Summary!$T$272:$T$273</definedName>
    <definedName name="OSRRefT22_22x_0" localSheetId="48">'300'!$T$239</definedName>
    <definedName name="OSRRefT22_22x_0" localSheetId="49">'300 &amp; 317'!$T$263</definedName>
    <definedName name="OSRRefT22_22x_0" localSheetId="50">'301'!$T$96</definedName>
    <definedName name="OSRRefT22_22x_0" localSheetId="66">'310'!$T$109</definedName>
    <definedName name="OSRRefT22_22x_0" localSheetId="74">'310 &amp; 491'!$T$125:$T$126</definedName>
    <definedName name="OSRRefT22_22x_0" localSheetId="58">'331'!$T$142</definedName>
    <definedName name="OSRRefT22_22x_0" localSheetId="75">'491'!$T$121</definedName>
    <definedName name="OSRRefT22_22x_0" localSheetId="47">'Div 3'!$T$240:$T$247</definedName>
    <definedName name="OSRRefT22_22x_0" localSheetId="73">'Div 4'!$T$122</definedName>
    <definedName name="OSRRefT22_22x_0" localSheetId="2">Summary!$T$275:$T$284</definedName>
    <definedName name="OSRRefT22_23x_0" localSheetId="48">'300'!$T$241:$T$243</definedName>
    <definedName name="OSRRefT22_23x_0" localSheetId="49">'300 &amp; 317'!$T$265:$T$267</definedName>
    <definedName name="OSRRefT22_23x_0" localSheetId="74">'310 &amp; 491'!$T$128</definedName>
    <definedName name="OSRRefT22_23x_0" localSheetId="47">'Div 3'!$T$249:$T$250</definedName>
    <definedName name="OSRRefT22_23x_0" localSheetId="73">'Div 4'!$T$124:$T$126</definedName>
    <definedName name="OSRRefT22_23x_0" localSheetId="2">Summary!$T$286:$T$287</definedName>
    <definedName name="OSRRefT22_24x_0" localSheetId="48">'300'!$T$245</definedName>
    <definedName name="OSRRefT22_24x_0" localSheetId="49">'300 &amp; 317'!$T$269</definedName>
    <definedName name="OSRRefT22_24x_0" localSheetId="74">'310 &amp; 491'!$T$130:$T$132</definedName>
    <definedName name="OSRRefT22_24x_0" localSheetId="47">'Div 3'!$T$252</definedName>
    <definedName name="OSRRefT22_24x_0" localSheetId="73">'Div 4'!$T$128</definedName>
    <definedName name="OSRRefT22_24x_0" localSheetId="2">Summary!$T$289</definedName>
    <definedName name="OSRRefT22_25x_0" localSheetId="74">'310 &amp; 491'!$T$134</definedName>
    <definedName name="OSRRefT22_25x_0" localSheetId="47">'Div 3'!$T$254:$T$256</definedName>
    <definedName name="OSRRefT22_25x_0" localSheetId="2">Summary!$T$291:$T$293</definedName>
    <definedName name="OSRRefT22_26x_0" localSheetId="47">'Div 3'!$T$258</definedName>
    <definedName name="OSRRefT22_26x_0" localSheetId="2">Summary!$T$295</definedName>
    <definedName name="OSRRefT22_2x_0" localSheetId="40">'200'!$T$24</definedName>
    <definedName name="OSRRefT22_2x_0" localSheetId="41">'201'!$T$41</definedName>
    <definedName name="OSRRefT22_2x_0" localSheetId="42">'202'!$T$41</definedName>
    <definedName name="OSRRefT22_2x_0" localSheetId="43">'203'!$T$42</definedName>
    <definedName name="OSRRefT22_2x_0" localSheetId="44">'204'!$T$42</definedName>
    <definedName name="OSRRefT22_2x_0" localSheetId="45">'205'!$T$41</definedName>
    <definedName name="OSRRefT22_2x_0" localSheetId="46">'206'!$T$41</definedName>
    <definedName name="OSRRefT22_2x_0" localSheetId="48">'300'!$T$177</definedName>
    <definedName name="OSRRefT22_2x_0" localSheetId="49">'300 &amp; 317'!$T$201</definedName>
    <definedName name="OSRRefT22_2x_0" localSheetId="50">'301'!$T$41</definedName>
    <definedName name="OSRRefT22_2x_0" localSheetId="51">'306'!$T$41</definedName>
    <definedName name="OSRRefT22_2x_0" localSheetId="53">'307'!$T$88</definedName>
    <definedName name="OSRRefT22_2x_0" localSheetId="55">'308'!$T$82</definedName>
    <definedName name="OSRRefT22_2x_0" localSheetId="67">'309'!$T$47</definedName>
    <definedName name="OSRRefT22_2x_0" localSheetId="66">'310'!$T$54</definedName>
    <definedName name="OSRRefT22_2x_0" localSheetId="74">'310 &amp; 491'!$T$62</definedName>
    <definedName name="OSRRefT22_2x_0" localSheetId="56">'311'!$T$82</definedName>
    <definedName name="OSRRefT22_2x_0" localSheetId="68">'313'!$T$50</definedName>
    <definedName name="OSRRefT22_2x_0" localSheetId="54">'314'!$T$76</definedName>
    <definedName name="OSRRefT22_2x_0" localSheetId="59">'315'!$T$77</definedName>
    <definedName name="OSRRefT22_2x_0" localSheetId="62">'316'!$T$54</definedName>
    <definedName name="OSRRefT22_2x_0" localSheetId="65">'317'!$T$81</definedName>
    <definedName name="OSRRefT22_2x_0" localSheetId="63">'320'!$T$48</definedName>
    <definedName name="OSRRefT22_2x_0" localSheetId="69">'321'!$T$46</definedName>
    <definedName name="OSRRefT22_2x_0" localSheetId="70">'322'!$T$47</definedName>
    <definedName name="OSRRefT22_2x_0" localSheetId="71">'325'!$T$47</definedName>
    <definedName name="OSRRefT22_2x_0" localSheetId="60">'326'!$T$73</definedName>
    <definedName name="OSRRefT22_2x_0" localSheetId="52">'330'!$T$97</definedName>
    <definedName name="OSRRefT22_2x_0" localSheetId="58">'331'!$T$89</definedName>
    <definedName name="OSRRefT22_2x_0" localSheetId="61">'332'!$T$62</definedName>
    <definedName name="OSRRefT22_2x_0" localSheetId="76">'405'!$T$47</definedName>
    <definedName name="OSRRefT22_2x_0" localSheetId="77">'406'!$T$48</definedName>
    <definedName name="OSRRefT22_2x_0" localSheetId="78">'411'!$T$42</definedName>
    <definedName name="OSRRefT22_2x_0" localSheetId="79">'412'!$T$47</definedName>
    <definedName name="OSRRefT22_2x_0" localSheetId="80">'413'!$T$48</definedName>
    <definedName name="OSRRefT22_2x_0" localSheetId="81">'414'!$T$48</definedName>
    <definedName name="OSRRefT22_2x_0" localSheetId="82">'415'!$T$47</definedName>
    <definedName name="OSRRefT22_2x_0" localSheetId="83">'418'!$T$48</definedName>
    <definedName name="OSRRefT22_2x_0" localSheetId="85">'423'!$T$42</definedName>
    <definedName name="OSRRefT22_2x_0" localSheetId="86">'424'!$T$46</definedName>
    <definedName name="OSRRefT22_2x_0" localSheetId="87">'425'!$T$48</definedName>
    <definedName name="OSRRefT22_2x_0" localSheetId="90">'430'!$T$41</definedName>
    <definedName name="OSRRefT22_2x_0" localSheetId="91">'433'!$T$49</definedName>
    <definedName name="OSRRefT22_2x_0" localSheetId="92">'435'!$T$47</definedName>
    <definedName name="OSRRefT22_2x_0" localSheetId="93">'444'!$T$49</definedName>
    <definedName name="OSRRefT22_2x_0" localSheetId="95">'450'!$T$49</definedName>
    <definedName name="OSRRefT22_2x_0" localSheetId="75">'491'!$T$56</definedName>
    <definedName name="OSRRefT22_2x_0" localSheetId="89">'492'!$T$51</definedName>
    <definedName name="OSRRefT22_2x_0" localSheetId="97">'501'!$T$42</definedName>
    <definedName name="OSRRefT22_2x_0" localSheetId="39">'Div 2'!$T$43</definedName>
    <definedName name="OSRRefT22_2x_0" localSheetId="47">'Div 3'!$T$183</definedName>
    <definedName name="OSRRefT22_2x_0" localSheetId="73">'Div 4'!$T$57</definedName>
    <definedName name="OSRRefT22_2x_0" localSheetId="96">'Div 5'!$T$42</definedName>
    <definedName name="OSRRefT22_2x_0" localSheetId="64">'Div 6'!$T$81</definedName>
    <definedName name="OSRRefT22_2x_0" localSheetId="2">Summary!$T$214</definedName>
    <definedName name="OSRRefT22_3x_0" localSheetId="40">'200'!$T$26:$T$27</definedName>
    <definedName name="OSRRefT22_3x_0" localSheetId="41">'201'!$T$43</definedName>
    <definedName name="OSRRefT22_3x_0" localSheetId="42">'202'!$T$43</definedName>
    <definedName name="OSRRefT22_3x_0" localSheetId="43">'203'!$T$44</definedName>
    <definedName name="OSRRefT22_3x_0" localSheetId="44">'204'!$T$44</definedName>
    <definedName name="OSRRefT22_3x_0" localSheetId="45">'205'!$T$43</definedName>
    <definedName name="OSRRefT22_3x_0" localSheetId="46">'206'!$T$43</definedName>
    <definedName name="OSRRefT22_3x_0" localSheetId="48">'300'!$T$179:$T$180</definedName>
    <definedName name="OSRRefT22_3x_0" localSheetId="49">'300 &amp; 317'!$T$203:$T$204</definedName>
    <definedName name="OSRRefT22_3x_0" localSheetId="50">'301'!$T$43</definedName>
    <definedName name="OSRRefT22_3x_0" localSheetId="51">'306'!$T$43</definedName>
    <definedName name="OSRRefT22_3x_0" localSheetId="53">'307'!$T$90</definedName>
    <definedName name="OSRRefT22_3x_0" localSheetId="55">'308'!$T$84:$T$85</definedName>
    <definedName name="OSRRefT22_3x_0" localSheetId="67">'309'!$T$49</definedName>
    <definedName name="OSRRefT22_3x_0" localSheetId="66">'310'!$T$56</definedName>
    <definedName name="OSRRefT22_3x_0" localSheetId="74">'310 &amp; 491'!$T$64</definedName>
    <definedName name="OSRRefT22_3x_0" localSheetId="56">'311'!$T$84:$T$85</definedName>
    <definedName name="OSRRefT22_3x_0" localSheetId="68">'313'!$T$52</definedName>
    <definedName name="OSRRefT22_3x_0" localSheetId="54">'314'!$T$78:$T$79</definedName>
    <definedName name="OSRRefT22_3x_0" localSheetId="59">'315'!$T$79:$T$80</definedName>
    <definedName name="OSRRefT22_3x_0" localSheetId="62">'316'!$T$56</definedName>
    <definedName name="OSRRefT22_3x_0" localSheetId="65">'317'!$T$83</definedName>
    <definedName name="OSRRefT22_3x_0" localSheetId="63">'320'!$T$50</definedName>
    <definedName name="OSRRefT22_3x_0" localSheetId="69">'321'!$T$48</definedName>
    <definedName name="OSRRefT22_3x_0" localSheetId="70">'322'!$T$49</definedName>
    <definedName name="OSRRefT22_3x_0" localSheetId="71">'325'!$T$49</definedName>
    <definedName name="OSRRefT22_3x_0" localSheetId="60">'326'!$T$75:$T$76</definedName>
    <definedName name="OSRRefT22_3x_0" localSheetId="52">'330'!$T$99</definedName>
    <definedName name="OSRRefT22_3x_0" localSheetId="58">'331'!$T$91:$T$92</definedName>
    <definedName name="OSRRefT22_3x_0" localSheetId="61">'332'!$T$64</definedName>
    <definedName name="OSRRefT22_3x_0" localSheetId="76">'405'!$T$49</definedName>
    <definedName name="OSRRefT22_3x_0" localSheetId="77">'406'!$T$50</definedName>
    <definedName name="OSRRefT22_3x_0" localSheetId="78">'411'!$T$44:$T$46</definedName>
    <definedName name="OSRRefT22_3x_0" localSheetId="79">'412'!$T$49</definedName>
    <definedName name="OSRRefT22_3x_0" localSheetId="80">'413'!$T$50</definedName>
    <definedName name="OSRRefT22_3x_0" localSheetId="81">'414'!$T$50</definedName>
    <definedName name="OSRRefT22_3x_0" localSheetId="82">'415'!$T$49</definedName>
    <definedName name="OSRRefT22_3x_0" localSheetId="83">'418'!$T$50</definedName>
    <definedName name="OSRRefT22_3x_0" localSheetId="85">'423'!$T$44</definedName>
    <definedName name="OSRRefT22_3x_0" localSheetId="86">'424'!$T$48</definedName>
    <definedName name="OSRRefT22_3x_0" localSheetId="87">'425'!$T$50</definedName>
    <definedName name="OSRRefT22_3x_0" localSheetId="90">'430'!$T$43</definedName>
    <definedName name="OSRRefT22_3x_0" localSheetId="91">'433'!$T$51</definedName>
    <definedName name="OSRRefT22_3x_0" localSheetId="92">'435'!$T$49</definedName>
    <definedName name="OSRRefT22_3x_0" localSheetId="93">'444'!$T$51</definedName>
    <definedName name="OSRRefT22_3x_0" localSheetId="95">'450'!$T$51:$T$52</definedName>
    <definedName name="OSRRefT22_3x_0" localSheetId="75">'491'!$T$58</definedName>
    <definedName name="OSRRefT22_3x_0" localSheetId="89">'492'!$T$53:$T$54</definedName>
    <definedName name="OSRRefT22_3x_0" localSheetId="97">'501'!$T$44</definedName>
    <definedName name="OSRRefT22_3x_0" localSheetId="39">'Div 2'!$T$45</definedName>
    <definedName name="OSRRefT22_3x_0" localSheetId="47">'Div 3'!$T$185:$T$186</definedName>
    <definedName name="OSRRefT22_3x_0" localSheetId="73">'Div 4'!$T$59:$T$60</definedName>
    <definedName name="OSRRefT22_3x_0" localSheetId="96">'Div 5'!$T$44</definedName>
    <definedName name="OSRRefT22_3x_0" localSheetId="64">'Div 6'!$T$83</definedName>
    <definedName name="OSRRefT22_3x_0" localSheetId="2">Summary!$T$216:$T$217</definedName>
    <definedName name="OSRRefT22_4x_0" localSheetId="41">'201'!$T$45:$T$46</definedName>
    <definedName name="OSRRefT22_4x_0" localSheetId="42">'202'!$T$45</definedName>
    <definedName name="OSRRefT22_4x_0" localSheetId="43">'203'!$T$46</definedName>
    <definedName name="OSRRefT22_4x_0" localSheetId="44">'204'!$T$46</definedName>
    <definedName name="OSRRefT22_4x_0" localSheetId="45">'205'!$T$45</definedName>
    <definedName name="OSRRefT22_4x_0" localSheetId="46">'206'!$T$45</definedName>
    <definedName name="OSRRefT22_4x_0" localSheetId="48">'300'!$T$182</definedName>
    <definedName name="OSRRefT22_4x_0" localSheetId="49">'300 &amp; 317'!$T$206</definedName>
    <definedName name="OSRRefT22_4x_0" localSheetId="50">'301'!$T$45</definedName>
    <definedName name="OSRRefT22_4x_0" localSheetId="51">'306'!$T$45</definedName>
    <definedName name="OSRRefT22_4x_0" localSheetId="53">'307'!$T$92:$T$93</definedName>
    <definedName name="OSRRefT22_4x_0" localSheetId="55">'308'!$T$87</definedName>
    <definedName name="OSRRefT22_4x_0" localSheetId="67">'309'!$T$51</definedName>
    <definedName name="OSRRefT22_4x_0" localSheetId="66">'310'!$T$58</definedName>
    <definedName name="OSRRefT22_4x_0" localSheetId="74">'310 &amp; 491'!$T$66</definedName>
    <definedName name="OSRRefT22_4x_0" localSheetId="56">'311'!$T$87</definedName>
    <definedName name="OSRRefT22_4x_0" localSheetId="68">'313'!$T$54</definedName>
    <definedName name="OSRRefT22_4x_0" localSheetId="54">'314'!$T$81</definedName>
    <definedName name="OSRRefT22_4x_0" localSheetId="59">'315'!$T$82</definedName>
    <definedName name="OSRRefT22_4x_0" localSheetId="62">'316'!$T$58</definedName>
    <definedName name="OSRRefT22_4x_0" localSheetId="65">'317'!$T$85</definedName>
    <definedName name="OSRRefT22_4x_0" localSheetId="63">'320'!$T$52:$T$53</definedName>
    <definedName name="OSRRefT22_4x_0" localSheetId="69">'321'!$T$50</definedName>
    <definedName name="OSRRefT22_4x_0" localSheetId="70">'322'!$T$51</definedName>
    <definedName name="OSRRefT22_4x_0" localSheetId="71">'325'!$T$51</definedName>
    <definedName name="OSRRefT22_4x_0" localSheetId="60">'326'!$T$78</definedName>
    <definedName name="OSRRefT22_4x_0" localSheetId="52">'330'!$T$101:$T$102</definedName>
    <definedName name="OSRRefT22_4x_0" localSheetId="58">'331'!$T$94</definedName>
    <definedName name="OSRRefT22_4x_0" localSheetId="61">'332'!$T$66</definedName>
    <definedName name="OSRRefT22_4x_0" localSheetId="76">'405'!$T$51</definedName>
    <definedName name="OSRRefT22_4x_0" localSheetId="77">'406'!$T$52</definedName>
    <definedName name="OSRRefT22_4x_0" localSheetId="78">'411'!$T$48</definedName>
    <definedName name="OSRRefT22_4x_0" localSheetId="79">'412'!$T$51</definedName>
    <definedName name="OSRRefT22_4x_0" localSheetId="80">'413'!$T$52</definedName>
    <definedName name="OSRRefT22_4x_0" localSheetId="81">'414'!$T$52</definedName>
    <definedName name="OSRRefT22_4x_0" localSheetId="82">'415'!$T$51</definedName>
    <definedName name="OSRRefT22_4x_0" localSheetId="83">'418'!$T$52</definedName>
    <definedName name="OSRRefT22_4x_0" localSheetId="85">'423'!$T$46</definedName>
    <definedName name="OSRRefT22_4x_0" localSheetId="86">'424'!$T$50</definedName>
    <definedName name="OSRRefT22_4x_0" localSheetId="87">'425'!$T$52</definedName>
    <definedName name="OSRRefT22_4x_0" localSheetId="90">'430'!$T$45</definedName>
    <definedName name="OSRRefT22_4x_0" localSheetId="91">'433'!$T$53</definedName>
    <definedName name="OSRRefT22_4x_0" localSheetId="92">'435'!$T$51</definedName>
    <definedName name="OSRRefT22_4x_0" localSheetId="93">'444'!$T$53</definedName>
    <definedName name="OSRRefT22_4x_0" localSheetId="95">'450'!$T$54</definedName>
    <definedName name="OSRRefT22_4x_0" localSheetId="75">'491'!$T$60</definedName>
    <definedName name="OSRRefT22_4x_0" localSheetId="89">'492'!$T$56</definedName>
    <definedName name="OSRRefT22_4x_0" localSheetId="97">'501'!$T$46</definedName>
    <definedName name="OSRRefT22_4x_0" localSheetId="39">'Div 2'!$T$47</definedName>
    <definedName name="OSRRefT22_4x_0" localSheetId="47">'Div 3'!$T$188</definedName>
    <definedName name="OSRRefT22_4x_0" localSheetId="73">'Div 4'!$T$62</definedName>
    <definedName name="OSRRefT22_4x_0" localSheetId="96">'Div 5'!$T$46</definedName>
    <definedName name="OSRRefT22_4x_0" localSheetId="64">'Div 6'!$T$85</definedName>
    <definedName name="OSRRefT22_4x_0" localSheetId="2">Summary!$T$219</definedName>
    <definedName name="OSRRefT22_5x_0" localSheetId="41">'201'!$T$48</definedName>
    <definedName name="OSRRefT22_5x_0" localSheetId="42">'202'!$T$47</definedName>
    <definedName name="OSRRefT22_5x_0" localSheetId="43">'203'!$T$48</definedName>
    <definedName name="OSRRefT22_5x_0" localSheetId="44">'204'!$T$48</definedName>
    <definedName name="OSRRefT22_5x_0" localSheetId="45">'205'!$T$47</definedName>
    <definedName name="OSRRefT22_5x_0" localSheetId="46">'206'!$T$47</definedName>
    <definedName name="OSRRefT22_5x_0" localSheetId="48">'300'!$T$184:$T$186</definedName>
    <definedName name="OSRRefT22_5x_0" localSheetId="49">'300 &amp; 317'!$T$208:$T$210</definedName>
    <definedName name="OSRRefT22_5x_0" localSheetId="50">'301'!$T$47:$T$49</definedName>
    <definedName name="OSRRefT22_5x_0" localSheetId="51">'306'!$T$47</definedName>
    <definedName name="OSRRefT22_5x_0" localSheetId="53">'307'!$T$95</definedName>
    <definedName name="OSRRefT22_5x_0" localSheetId="55">'308'!$T$89</definedName>
    <definedName name="OSRRefT22_5x_0" localSheetId="67">'309'!$T$53</definedName>
    <definedName name="OSRRefT22_5x_0" localSheetId="66">'310'!$T$60:$T$62</definedName>
    <definedName name="OSRRefT22_5x_0" localSheetId="74">'310 &amp; 491'!$T$68:$T$71</definedName>
    <definedName name="OSRRefT22_5x_0" localSheetId="56">'311'!$T$89</definedName>
    <definedName name="OSRRefT22_5x_0" localSheetId="68">'313'!$T$56</definedName>
    <definedName name="OSRRefT22_5x_0" localSheetId="54">'314'!$T$83</definedName>
    <definedName name="OSRRefT22_5x_0" localSheetId="59">'315'!$T$84</definedName>
    <definedName name="OSRRefT22_5x_0" localSheetId="62">'316'!$T$60</definedName>
    <definedName name="OSRRefT22_5x_0" localSheetId="65">'317'!$T$87</definedName>
    <definedName name="OSRRefT22_5x_0" localSheetId="63">'320'!$T$55</definedName>
    <definedName name="OSRRefT22_5x_0" localSheetId="69">'321'!$T$52</definedName>
    <definedName name="OSRRefT22_5x_0" localSheetId="70">'322'!$T$53</definedName>
    <definedName name="OSRRefT22_5x_0" localSheetId="71">'325'!$T$53:$T$55</definedName>
    <definedName name="OSRRefT22_5x_0" localSheetId="60">'326'!$T$80</definedName>
    <definedName name="OSRRefT22_5x_0" localSheetId="52">'330'!$T$104</definedName>
    <definedName name="OSRRefT22_5x_0" localSheetId="58">'331'!$T$96:$T$97</definedName>
    <definedName name="OSRRefT22_5x_0" localSheetId="61">'332'!$T$68</definedName>
    <definedName name="OSRRefT22_5x_0" localSheetId="76">'405'!$T$53:$T$55</definedName>
    <definedName name="OSRRefT22_5x_0" localSheetId="77">'406'!$T$54</definedName>
    <definedName name="OSRRefT22_5x_0" localSheetId="78">'411'!$T$50</definedName>
    <definedName name="OSRRefT22_5x_0" localSheetId="79">'412'!$T$53:$T$54</definedName>
    <definedName name="OSRRefT22_5x_0" localSheetId="80">'413'!$T$54</definedName>
    <definedName name="OSRRefT22_5x_0" localSheetId="81">'414'!$T$54:$T$55</definedName>
    <definedName name="OSRRefT22_5x_0" localSheetId="82">'415'!$T$53:$T$54</definedName>
    <definedName name="OSRRefT22_5x_0" localSheetId="83">'418'!$T$54:$T$56</definedName>
    <definedName name="OSRRefT22_5x_0" localSheetId="85">'423'!$T$48</definedName>
    <definedName name="OSRRefT22_5x_0" localSheetId="86">'424'!$T$52</definedName>
    <definedName name="OSRRefT22_5x_0" localSheetId="87">'425'!$T$54</definedName>
    <definedName name="OSRRefT22_5x_0" localSheetId="90">'430'!$T$47</definedName>
    <definedName name="OSRRefT22_5x_0" localSheetId="91">'433'!$T$55</definedName>
    <definedName name="OSRRefT22_5x_0" localSheetId="92">'435'!$T$53</definedName>
    <definedName name="OSRRefT22_5x_0" localSheetId="93">'444'!$T$55</definedName>
    <definedName name="OSRRefT22_5x_0" localSheetId="95">'450'!$T$56</definedName>
    <definedName name="OSRRefT22_5x_0" localSheetId="75">'491'!$T$62:$T$65</definedName>
    <definedName name="OSRRefT22_5x_0" localSheetId="89">'492'!$T$58:$T$59</definedName>
    <definedName name="OSRRefT22_5x_0" localSheetId="97">'501'!$T$48</definedName>
    <definedName name="OSRRefT22_5x_0" localSheetId="39">'Div 2'!$T$49</definedName>
    <definedName name="OSRRefT22_5x_0" localSheetId="47">'Div 3'!$T$190:$T$192</definedName>
    <definedName name="OSRRefT22_5x_0" localSheetId="73">'Div 4'!$T$64:$T$67</definedName>
    <definedName name="OSRRefT22_5x_0" localSheetId="96">'Div 5'!$T$48</definedName>
    <definedName name="OSRRefT22_5x_0" localSheetId="64">'Div 6'!$T$87</definedName>
    <definedName name="OSRRefT22_5x_0" localSheetId="2">Summary!$T$221:$T$224</definedName>
    <definedName name="OSRRefT22_6x_0" localSheetId="41">'201'!$T$50</definedName>
    <definedName name="OSRRefT22_6x_0" localSheetId="42">'202'!$T$49</definedName>
    <definedName name="OSRRefT22_6x_0" localSheetId="43">'203'!$T$50</definedName>
    <definedName name="OSRRefT22_6x_0" localSheetId="44">'204'!$T$50</definedName>
    <definedName name="OSRRefT22_6x_0" localSheetId="45">'205'!$T$49</definedName>
    <definedName name="OSRRefT22_6x_0" localSheetId="46">'206'!$T$49</definedName>
    <definedName name="OSRRefT22_6x_0" localSheetId="48">'300'!$T$188:$T$189</definedName>
    <definedName name="OSRRefT22_6x_0" localSheetId="49">'300 &amp; 317'!$T$212:$T$213</definedName>
    <definedName name="OSRRefT22_6x_0" localSheetId="50">'301'!$T$51:$T$52</definedName>
    <definedName name="OSRRefT22_6x_0" localSheetId="51">'306'!$T$49:$T$50</definedName>
    <definedName name="OSRRefT22_6x_0" localSheetId="53">'307'!$T$97</definedName>
    <definedName name="OSRRefT22_6x_0" localSheetId="55">'308'!$T$91:$T$92</definedName>
    <definedName name="OSRRefT22_6x_0" localSheetId="67">'309'!$T$55</definedName>
    <definedName name="OSRRefT22_6x_0" localSheetId="66">'310'!$T$64</definedName>
    <definedName name="OSRRefT22_6x_0" localSheetId="74">'310 &amp; 491'!$T$73</definedName>
    <definedName name="OSRRefT22_6x_0" localSheetId="56">'311'!$T$91:$T$92</definedName>
    <definedName name="OSRRefT22_6x_0" localSheetId="68">'313'!$T$58</definedName>
    <definedName name="OSRRefT22_6x_0" localSheetId="54">'314'!$T$85</definedName>
    <definedName name="OSRRefT22_6x_0" localSheetId="59">'315'!$T$86</definedName>
    <definedName name="OSRRefT22_6x_0" localSheetId="62">'316'!$T$62</definedName>
    <definedName name="OSRRefT22_6x_0" localSheetId="65">'317'!$T$89</definedName>
    <definedName name="OSRRefT22_6x_0" localSheetId="63">'320'!$T$57</definedName>
    <definedName name="OSRRefT22_6x_0" localSheetId="69">'321'!$T$54</definedName>
    <definedName name="OSRRefT22_6x_0" localSheetId="70">'322'!$T$55</definedName>
    <definedName name="OSRRefT22_6x_0" localSheetId="71">'325'!$T$57</definedName>
    <definedName name="OSRRefT22_6x_0" localSheetId="60">'326'!$T$82</definedName>
    <definedName name="OSRRefT22_6x_0" localSheetId="52">'330'!$T$106</definedName>
    <definedName name="OSRRefT22_6x_0" localSheetId="58">'331'!$T$99</definedName>
    <definedName name="OSRRefT22_6x_0" localSheetId="61">'332'!$T$70</definedName>
    <definedName name="OSRRefT22_6x_0" localSheetId="76">'405'!$T$57</definedName>
    <definedName name="OSRRefT22_6x_0" localSheetId="77">'406'!$T$56</definedName>
    <definedName name="OSRRefT22_6x_0" localSheetId="78">'411'!$T$52</definedName>
    <definedName name="OSRRefT22_6x_0" localSheetId="79">'412'!$T$56</definedName>
    <definedName name="OSRRefT22_6x_0" localSheetId="80">'413'!$T$56</definedName>
    <definedName name="OSRRefT22_6x_0" localSheetId="81">'414'!$T$57</definedName>
    <definedName name="OSRRefT22_6x_0" localSheetId="82">'415'!$T$56</definedName>
    <definedName name="OSRRefT22_6x_0" localSheetId="83">'418'!$T$58</definedName>
    <definedName name="OSRRefT22_6x_0" localSheetId="86">'424'!$T$54</definedName>
    <definedName name="OSRRefT22_6x_0" localSheetId="87">'425'!$T$56</definedName>
    <definedName name="OSRRefT22_6x_0" localSheetId="90">'430'!$T$49</definedName>
    <definedName name="OSRRefT22_6x_0" localSheetId="91">'433'!$T$57</definedName>
    <definedName name="OSRRefT22_6x_0" localSheetId="92">'435'!$T$55:$T$56</definedName>
    <definedName name="OSRRefT22_6x_0" localSheetId="93">'444'!$T$57</definedName>
    <definedName name="OSRRefT22_6x_0" localSheetId="95">'450'!$T$58</definedName>
    <definedName name="OSRRefT22_6x_0" localSheetId="75">'491'!$T$67</definedName>
    <definedName name="OSRRefT22_6x_0" localSheetId="89">'492'!$T$61</definedName>
    <definedName name="OSRRefT22_6x_0" localSheetId="97">'501'!$T$50</definedName>
    <definedName name="OSRRefT22_6x_0" localSheetId="39">'Div 2'!$T$51:$T$52</definedName>
    <definedName name="OSRRefT22_6x_0" localSheetId="47">'Div 3'!$T$194:$T$195</definedName>
    <definedName name="OSRRefT22_6x_0" localSheetId="73">'Div 4'!$T$69:$T$70</definedName>
    <definedName name="OSRRefT22_6x_0" localSheetId="96">'Div 5'!$T$50</definedName>
    <definedName name="OSRRefT22_6x_0" localSheetId="64">'Div 6'!$T$89</definedName>
    <definedName name="OSRRefT22_6x_0" localSheetId="2">Summary!$T$226:$T$227</definedName>
    <definedName name="OSRRefT22_7x_0" localSheetId="41">'201'!$T$52</definedName>
    <definedName name="OSRRefT22_7x_0" localSheetId="42">'202'!$T$51</definedName>
    <definedName name="OSRRefT22_7x_0" localSheetId="43">'203'!$T$52</definedName>
    <definedName name="OSRRefT22_7x_0" localSheetId="44">'204'!$T$52:$T$55</definedName>
    <definedName name="OSRRefT22_7x_0" localSheetId="45">'205'!$T$51:$T$52</definedName>
    <definedName name="OSRRefT22_7x_0" localSheetId="46">'206'!$T$51:$T$52</definedName>
    <definedName name="OSRRefT22_7x_0" localSheetId="48">'300'!$T$191:$T$192</definedName>
    <definedName name="OSRRefT22_7x_0" localSheetId="49">'300 &amp; 317'!$T$215:$T$216</definedName>
    <definedName name="OSRRefT22_7x_0" localSheetId="50">'301'!$T$54:$T$55</definedName>
    <definedName name="OSRRefT22_7x_0" localSheetId="51">'306'!$T$52:$T$54</definedName>
    <definedName name="OSRRefT22_7x_0" localSheetId="53">'307'!$T$99</definedName>
    <definedName name="OSRRefT22_7x_0" localSheetId="55">'308'!$T$94</definedName>
    <definedName name="OSRRefT22_7x_0" localSheetId="67">'309'!$T$57</definedName>
    <definedName name="OSRRefT22_7x_0" localSheetId="66">'310'!$T$66</definedName>
    <definedName name="OSRRefT22_7x_0" localSheetId="74">'310 &amp; 491'!$T$75</definedName>
    <definedName name="OSRRefT22_7x_0" localSheetId="56">'311'!$T$94</definedName>
    <definedName name="OSRRefT22_7x_0" localSheetId="68">'313'!$T$60</definedName>
    <definedName name="OSRRefT22_7x_0" localSheetId="54">'314'!$T$87</definedName>
    <definedName name="OSRRefT22_7x_0" localSheetId="59">'315'!$T$88</definedName>
    <definedName name="OSRRefT22_7x_0" localSheetId="62">'316'!$T$64</definedName>
    <definedName name="OSRRefT22_7x_0" localSheetId="65">'317'!$T$91</definedName>
    <definedName name="OSRRefT22_7x_0" localSheetId="63">'320'!$T$59:$T$60</definedName>
    <definedName name="OSRRefT22_7x_0" localSheetId="69">'321'!$T$56</definedName>
    <definedName name="OSRRefT22_7x_0" localSheetId="70">'322'!$T$57</definedName>
    <definedName name="OSRRefT22_7x_0" localSheetId="71">'325'!$T$59</definedName>
    <definedName name="OSRRefT22_7x_0" localSheetId="60">'326'!$T$84</definedName>
    <definedName name="OSRRefT22_7x_0" localSheetId="52">'330'!$T$108</definedName>
    <definedName name="OSRRefT22_7x_0" localSheetId="58">'331'!$T$101</definedName>
    <definedName name="OSRRefT22_7x_0" localSheetId="61">'332'!$T$72:$T$73</definedName>
    <definedName name="OSRRefT22_7x_0" localSheetId="76">'405'!$T$59</definedName>
    <definedName name="OSRRefT22_7x_0" localSheetId="77">'406'!$T$58</definedName>
    <definedName name="OSRRefT22_7x_0" localSheetId="78">'411'!$T$54</definedName>
    <definedName name="OSRRefT22_7x_0" localSheetId="79">'412'!$T$58</definedName>
    <definedName name="OSRRefT22_7x_0" localSheetId="80">'413'!$T$58:$T$59</definedName>
    <definedName name="OSRRefT22_7x_0" localSheetId="81">'414'!$T$59</definedName>
    <definedName name="OSRRefT22_7x_0" localSheetId="82">'415'!$T$58</definedName>
    <definedName name="OSRRefT22_7x_0" localSheetId="83">'418'!$T$60</definedName>
    <definedName name="OSRRefT22_7x_0" localSheetId="86">'424'!$T$56:$T$57</definedName>
    <definedName name="OSRRefT22_7x_0" localSheetId="87">'425'!$T$58</definedName>
    <definedName name="OSRRefT22_7x_0" localSheetId="90">'430'!$T$51:$T$53</definedName>
    <definedName name="OSRRefT22_7x_0" localSheetId="91">'433'!$T$59</definedName>
    <definedName name="OSRRefT22_7x_0" localSheetId="92">'435'!$T$58</definedName>
    <definedName name="OSRRefT22_7x_0" localSheetId="93">'444'!$T$59</definedName>
    <definedName name="OSRRefT22_7x_0" localSheetId="95">'450'!$T$60</definedName>
    <definedName name="OSRRefT22_7x_0" localSheetId="75">'491'!$T$69</definedName>
    <definedName name="OSRRefT22_7x_0" localSheetId="89">'492'!$T$63</definedName>
    <definedName name="OSRRefT22_7x_0" localSheetId="97">'501'!$T$52</definedName>
    <definedName name="OSRRefT22_7x_0" localSheetId="39">'Div 2'!$T$54</definedName>
    <definedName name="OSRRefT22_7x_0" localSheetId="47">'Div 3'!$T$197:$T$198</definedName>
    <definedName name="OSRRefT22_7x_0" localSheetId="73">'Div 4'!$T$72</definedName>
    <definedName name="OSRRefT22_7x_0" localSheetId="96">'Div 5'!$T$52</definedName>
    <definedName name="OSRRefT22_7x_0" localSheetId="64">'Div 6'!$T$91</definedName>
    <definedName name="OSRRefT22_7x_0" localSheetId="2">Summary!$T$229:$T$231</definedName>
    <definedName name="OSRRefT22_8x_0" localSheetId="41">'201'!$T$54</definedName>
    <definedName name="OSRRefT22_8x_0" localSheetId="42">'202'!$T$53</definedName>
    <definedName name="OSRRefT22_8x_0" localSheetId="43">'203'!$T$54</definedName>
    <definedName name="OSRRefT22_8x_0" localSheetId="44">'204'!$T$57</definedName>
    <definedName name="OSRRefT22_8x_0" localSheetId="45">'205'!$T$54</definedName>
    <definedName name="OSRRefT22_8x_0" localSheetId="46">'206'!$T$54</definedName>
    <definedName name="OSRRefT22_8x_0" localSheetId="48">'300'!$T$194</definedName>
    <definedName name="OSRRefT22_8x_0" localSheetId="49">'300 &amp; 317'!$T$218</definedName>
    <definedName name="OSRRefT22_8x_0" localSheetId="50">'301'!$T$57</definedName>
    <definedName name="OSRRefT22_8x_0" localSheetId="51">'306'!$T$56</definedName>
    <definedName name="OSRRefT22_8x_0" localSheetId="53">'307'!$T$101</definedName>
    <definedName name="OSRRefT22_8x_0" localSheetId="55">'308'!$T$96</definedName>
    <definedName name="OSRRefT22_8x_0" localSheetId="67">'309'!$T$59</definedName>
    <definedName name="OSRRefT22_8x_0" localSheetId="66">'310'!$T$68</definedName>
    <definedName name="OSRRefT22_8x_0" localSheetId="74">'310 &amp; 491'!$T$77</definedName>
    <definedName name="OSRRefT22_8x_0" localSheetId="56">'311'!$T$96</definedName>
    <definedName name="OSRRefT22_8x_0" localSheetId="68">'313'!$T$62</definedName>
    <definedName name="OSRRefT22_8x_0" localSheetId="59">'315'!$T$90</definedName>
    <definedName name="OSRRefT22_8x_0" localSheetId="62">'316'!$T$66</definedName>
    <definedName name="OSRRefT22_8x_0" localSheetId="65">'317'!$T$93:$T$94</definedName>
    <definedName name="OSRRefT22_8x_0" localSheetId="63">'320'!$T$62</definedName>
    <definedName name="OSRRefT22_8x_0" localSheetId="69">'321'!$T$58</definedName>
    <definedName name="OSRRefT22_8x_0" localSheetId="70">'322'!$T$59</definedName>
    <definedName name="OSRRefT22_8x_0" localSheetId="71">'325'!$T$61</definedName>
    <definedName name="OSRRefT22_8x_0" localSheetId="60">'326'!$T$86</definedName>
    <definedName name="OSRRefT22_8x_0" localSheetId="52">'330'!$T$110</definedName>
    <definedName name="OSRRefT22_8x_0" localSheetId="58">'331'!$T$103</definedName>
    <definedName name="OSRRefT22_8x_0" localSheetId="61">'332'!$T$75</definedName>
    <definedName name="OSRRefT22_8x_0" localSheetId="76">'405'!$T$61</definedName>
    <definedName name="OSRRefT22_8x_0" localSheetId="77">'406'!$T$60:$T$61</definedName>
    <definedName name="OSRRefT22_8x_0" localSheetId="78">'411'!$T$56</definedName>
    <definedName name="OSRRefT22_8x_0" localSheetId="79">'412'!$T$60:$T$61</definedName>
    <definedName name="OSRRefT22_8x_0" localSheetId="80">'413'!$T$61</definedName>
    <definedName name="OSRRefT22_8x_0" localSheetId="81">'414'!$T$61</definedName>
    <definedName name="OSRRefT22_8x_0" localSheetId="82">'415'!$T$60</definedName>
    <definedName name="OSRRefT22_8x_0" localSheetId="83">'418'!$T$62:$T$63</definedName>
    <definedName name="OSRRefT22_8x_0" localSheetId="86">'424'!$T$59:$T$60</definedName>
    <definedName name="OSRRefT22_8x_0" localSheetId="87">'425'!$T$60</definedName>
    <definedName name="OSRRefT22_8x_0" localSheetId="90">'430'!$T$55</definedName>
    <definedName name="OSRRefT22_8x_0" localSheetId="91">'433'!$T$61</definedName>
    <definedName name="OSRRefT22_8x_0" localSheetId="93">'444'!$T$61</definedName>
    <definedName name="OSRRefT22_8x_0" localSheetId="95">'450'!$T$62</definedName>
    <definedName name="OSRRefT22_8x_0" localSheetId="75">'491'!$T$71</definedName>
    <definedName name="OSRRefT22_8x_0" localSheetId="89">'492'!$T$65</definedName>
    <definedName name="OSRRefT22_8x_0" localSheetId="97">'501'!$T$54</definedName>
    <definedName name="OSRRefT22_8x_0" localSheetId="39">'Div 2'!$T$56</definedName>
    <definedName name="OSRRefT22_8x_0" localSheetId="47">'Div 3'!$T$200</definedName>
    <definedName name="OSRRefT22_8x_0" localSheetId="73">'Div 4'!$T$74</definedName>
    <definedName name="OSRRefT22_8x_0" localSheetId="96">'Div 5'!$T$54</definedName>
    <definedName name="OSRRefT22_8x_0" localSheetId="64">'Div 6'!$T$93:$T$94</definedName>
    <definedName name="OSRRefT22_8x_0" localSheetId="2">Summary!$T$233</definedName>
    <definedName name="OSRRefT22_9x_0" localSheetId="41">'201'!$T$56</definedName>
    <definedName name="OSRRefT22_9x_0" localSheetId="42">'202'!$T$55:$T$57</definedName>
    <definedName name="OSRRefT22_9x_0" localSheetId="43">'203'!$T$56:$T$57</definedName>
    <definedName name="OSRRefT22_9x_0" localSheetId="44">'204'!$T$59</definedName>
    <definedName name="OSRRefT22_9x_0" localSheetId="45">'205'!$T$56</definedName>
    <definedName name="OSRRefT22_9x_0" localSheetId="46">'206'!$T$56</definedName>
    <definedName name="OSRRefT22_9x_0" localSheetId="48">'300'!$T$196</definedName>
    <definedName name="OSRRefT22_9x_0" localSheetId="49">'300 &amp; 317'!$T$220</definedName>
    <definedName name="OSRRefT22_9x_0" localSheetId="50">'301'!$T$59</definedName>
    <definedName name="OSRRefT22_9x_0" localSheetId="53">'307'!$T$103:$T$104</definedName>
    <definedName name="OSRRefT22_9x_0" localSheetId="55">'308'!$T$98:$T$99</definedName>
    <definedName name="OSRRefT22_9x_0" localSheetId="67">'309'!$T$61:$T$62</definedName>
    <definedName name="OSRRefT22_9x_0" localSheetId="66">'310'!$T$70</definedName>
    <definedName name="OSRRefT22_9x_0" localSheetId="74">'310 &amp; 491'!$T$79</definedName>
    <definedName name="OSRRefT22_9x_0" localSheetId="56">'311'!$T$98:$T$99</definedName>
    <definedName name="OSRRefT22_9x_0" localSheetId="68">'313'!$T$64:$T$65</definedName>
    <definedName name="OSRRefT22_9x_0" localSheetId="59">'315'!$T$92</definedName>
    <definedName name="OSRRefT22_9x_0" localSheetId="62">'316'!$T$68</definedName>
    <definedName name="OSRRefT22_9x_0" localSheetId="65">'317'!$T$96:$T$97</definedName>
    <definedName name="OSRRefT22_9x_0" localSheetId="69">'321'!$T$60:$T$61</definedName>
    <definedName name="OSRRefT22_9x_0" localSheetId="70">'322'!$T$61:$T$62</definedName>
    <definedName name="OSRRefT22_9x_0" localSheetId="71">'325'!$T$63</definedName>
    <definedName name="OSRRefT22_9x_0" localSheetId="60">'326'!$T$88</definedName>
    <definedName name="OSRRefT22_9x_0" localSheetId="52">'330'!$T$112:$T$113</definedName>
    <definedName name="OSRRefT22_9x_0" localSheetId="58">'331'!$T$105</definedName>
    <definedName name="OSRRefT22_9x_0" localSheetId="61">'332'!$T$77</definedName>
    <definedName name="OSRRefT22_9x_0" localSheetId="76">'405'!$T$63</definedName>
    <definedName name="OSRRefT22_9x_0" localSheetId="77">'406'!$T$63:$T$65</definedName>
    <definedName name="OSRRefT22_9x_0" localSheetId="78">'411'!$T$58</definedName>
    <definedName name="OSRRefT22_9x_0" localSheetId="79">'412'!$T$63</definedName>
    <definedName name="OSRRefT22_9x_0" localSheetId="80">'413'!$T$63:$T$67</definedName>
    <definedName name="OSRRefT22_9x_0" localSheetId="81">'414'!$T$63</definedName>
    <definedName name="OSRRefT22_9x_0" localSheetId="82">'415'!$T$62</definedName>
    <definedName name="OSRRefT22_9x_0" localSheetId="83">'418'!$T$65:$T$67</definedName>
    <definedName name="OSRRefT22_9x_0" localSheetId="86">'424'!$T$62</definedName>
    <definedName name="OSRRefT22_9x_0" localSheetId="87">'425'!$T$62:$T$64</definedName>
    <definedName name="OSRRefT22_9x_0" localSheetId="90">'430'!$T$57</definedName>
    <definedName name="OSRRefT22_9x_0" localSheetId="91">'433'!$T$63</definedName>
    <definedName name="OSRRefT22_9x_0" localSheetId="93">'444'!$T$63</definedName>
    <definedName name="OSRRefT22_9x_0" localSheetId="95">'450'!$T$64</definedName>
    <definedName name="OSRRefT22_9x_0" localSheetId="75">'491'!$T$73:$T$74</definedName>
    <definedName name="OSRRefT22_9x_0" localSheetId="89">'492'!$T$67</definedName>
    <definedName name="OSRRefT22_9x_0" localSheetId="97">'501'!$T$56</definedName>
    <definedName name="OSRRefT22_9x_0" localSheetId="39">'Div 2'!$T$58</definedName>
    <definedName name="OSRRefT22_9x_0" localSheetId="47">'Div 3'!$T$202</definedName>
    <definedName name="OSRRefT22_9x_0" localSheetId="73">'Div 4'!$T$76</definedName>
    <definedName name="OSRRefT22_9x_0" localSheetId="96">'Div 5'!$T$56</definedName>
    <definedName name="OSRRefT22_9x_0" localSheetId="64">'Div 6'!$T$96:$T$97</definedName>
    <definedName name="OSRRefT22_9x_0" localSheetId="2">Summary!$T$235</definedName>
    <definedName name="OSRRefT22x_0" localSheetId="40">'200'!$T$20,'200'!$T$22,'200'!$T$24,'200'!$T$26:$T$27</definedName>
    <definedName name="OSRRefT22x_0" localSheetId="41">'201'!$T$20:$T$28,'201'!$T$30:$T$39,'201'!$T$41,'201'!$T$43,'201'!$T$45:$T$46,'201'!$T$48,'201'!$T$50,'201'!$T$52,'201'!$T$54,'201'!$T$56,'201'!$T$58:$T$60,'201'!$T$62:$T$64,'201'!$T$66,'201'!$T$68:$T$70,'201'!$T$72,'201'!$T$74,'201'!$T$76</definedName>
    <definedName name="OSRRefT22x_0" localSheetId="42">'202'!$T$20:$T$28,'202'!$T$30:$T$39,'202'!$T$41,'202'!$T$43,'202'!$T$45,'202'!$T$47,'202'!$T$49,'202'!$T$51,'202'!$T$53,'202'!$T$55:$T$57,'202'!$T$59,'202'!$T$61,'202'!$T$63,'202'!$T$65,'202'!$T$67:$T$68,'202'!$T$70,'202'!$T$72</definedName>
    <definedName name="OSRRefT22x_0" localSheetId="43">'203'!$T$20:$T$29,'203'!$T$31:$T$40,'203'!$T$42,'203'!$T$44,'203'!$T$46,'203'!$T$48,'203'!$T$50,'203'!$T$52,'203'!$T$54,'203'!$T$56:$T$57,'203'!$T$59:$T$60,'203'!$T$62,'203'!$T$64:$T$66,'203'!$T$68,'203'!$T$70,'203'!$T$72</definedName>
    <definedName name="OSRRefT22x_0" localSheetId="44">'204'!$T$20:$T$29,'204'!$T$31:$T$40,'204'!$T$42,'204'!$T$44,'204'!$T$46,'204'!$T$48,'204'!$T$50,'204'!$T$52:$T$55,'204'!$T$57,'204'!$T$59,'204'!$T$61:$T$62,'204'!$T$64,'204'!$T$66:$T$67</definedName>
    <definedName name="OSRRefT22x_0" localSheetId="45">'205'!$T$20:$T$28,'205'!$T$30:$T$39,'205'!$T$41,'205'!$T$43,'205'!$T$45,'205'!$T$47,'205'!$T$49,'205'!$T$51:$T$52,'205'!$T$54,'205'!$T$56</definedName>
    <definedName name="OSRRefT22x_0" localSheetId="46">'206'!$T$20:$T$28,'206'!$T$30:$T$39,'206'!$T$41,'206'!$T$43,'206'!$T$45,'206'!$T$47,'206'!$T$49,'206'!$T$51:$T$52,'206'!$T$54,'206'!$T$56,'206'!$T$58</definedName>
    <definedName name="OSRRefT22x_0" localSheetId="48">'300'!$T$155:$T$164,'300'!$T$166:$T$175,'300'!$T$177,'300'!$T$179:$T$180,'300'!$T$182,'300'!$T$184:$T$186,'300'!$T$188:$T$189,'300'!$T$191:$T$192,'300'!$T$194,'300'!$T$196,'300'!$T$198:$T$199,'300'!$T$201,'300'!$T$203,'300'!$T$205,'300'!$T$207,'300'!$T$209,'300'!$T$211:$T$213,'300'!$T$215:$T$218,'300'!$T$220:$T$223,'300'!$T$225:$T$226,'300'!$T$228:$T$234,'300'!$T$236:$T$237,'300'!$T$239,'300'!$T$241:$T$243,'300'!$T$245</definedName>
    <definedName name="OSRRefT22x_0" localSheetId="49">'300 &amp; 317'!$T$179:$T$188,'300 &amp; 317'!$T$190:$T$199,'300 &amp; 317'!$T$201,'300 &amp; 317'!$T$203:$T$204,'300 &amp; 317'!$T$206,'300 &amp; 317'!$T$208:$T$210,'300 &amp; 317'!$T$212:$T$213,'300 &amp; 317'!$T$215:$T$216,'300 &amp; 317'!$T$218,'300 &amp; 317'!$T$220,'300 &amp; 317'!$T$222:$T$223,'300 &amp; 317'!$T$225,'300 &amp; 317'!$T$227,'300 &amp; 317'!$T$229,'300 &amp; 317'!$T$231,'300 &amp; 317'!$T$233,'300 &amp; 317'!$T$235:$T$237,'300 &amp; 317'!$T$239:$T$242,'300 &amp; 317'!$T$244:$T$247,'300 &amp; 317'!$T$249:$T$250,'300 &amp; 317'!$T$252:$T$258,'300 &amp; 317'!$T$260:$T$261,'300 &amp; 317'!$T$263,'300 &amp; 317'!$T$265:$T$267,'300 &amp; 317'!$T$269</definedName>
    <definedName name="OSRRefT22x_0" localSheetId="50">'301'!$T$20:$T$28,'301'!$T$30:$T$39,'301'!$T$41,'301'!$T$43,'301'!$T$45,'301'!$T$47:$T$49,'301'!$T$51:$T$52,'301'!$T$54:$T$55,'301'!$T$57,'301'!$T$59,'301'!$T$61,'301'!$T$63,'301'!$T$65,'301'!$T$67,'301'!$T$69,'301'!$T$71:$T$73,'301'!$T$75:$T$77,'301'!$T$79:$T$80,'301'!$T$82:$T$87,'301'!$T$89,'301'!$T$91,'301'!$T$93:$T$94,'301'!$T$96</definedName>
    <definedName name="OSRRefT22x_0" localSheetId="51">'306'!$T$20:$T$28,'306'!$T$30:$T$39,'306'!$T$41,'306'!$T$43,'306'!$T$45,'306'!$T$47,'306'!$T$49:$T$50,'306'!$T$52:$T$54,'306'!$T$56</definedName>
    <definedName name="OSRRefT22x_0" localSheetId="53">'307'!$T$67:$T$75,'307'!$T$77:$T$86,'307'!$T$88,'307'!$T$90,'307'!$T$92:$T$93,'307'!$T$95,'307'!$T$97,'307'!$T$99,'307'!$T$101,'307'!$T$103:$T$104,'307'!$T$106,'307'!$T$108,'307'!$T$110</definedName>
    <definedName name="OSRRefT22x_0" localSheetId="55">'308'!$T$60:$T$69,'308'!$T$71:$T$80,'308'!$T$82,'308'!$T$84:$T$85,'308'!$T$87,'308'!$T$89,'308'!$T$91:$T$92,'308'!$T$94,'308'!$T$96,'308'!$T$98:$T$99,'308'!$T$101,'308'!$T$103:$T$105,'308'!$T$107:$T$108,'308'!$T$110,'308'!$T$112</definedName>
    <definedName name="OSRRefT22x_0" localSheetId="67">'309'!$T$26:$T$34,'309'!$T$36:$T$45,'309'!$T$47,'309'!$T$49,'309'!$T$51,'309'!$T$53,'309'!$T$55,'309'!$T$57,'309'!$T$59,'309'!$T$61:$T$62,'309'!$T$64:$T$66,'309'!$T$68,'309'!$T$70</definedName>
    <definedName name="OSRRefT22x_0" localSheetId="66">'310'!$T$33:$T$41,'310'!$T$43:$T$52,'310'!$T$54,'310'!$T$56,'310'!$T$58,'310'!$T$60:$T$62,'310'!$T$64,'310'!$T$66,'310'!$T$68,'310'!$T$70,'310'!$T$72,'310'!$T$74,'310'!$T$76,'310'!$T$78,'310'!$T$80,'310'!$T$82:$T$83,'310'!$T$85:$T$86,'310'!$T$88:$T$92,'310'!$T$94,'310'!$T$96:$T$103,'310'!$T$105,'310'!$T$107,'310'!$T$109</definedName>
    <definedName name="OSRRefT22x_0" localSheetId="74">'310 &amp; 491'!$T$40:$T$49,'310 &amp; 491'!$T$51:$T$60,'310 &amp; 491'!$T$62,'310 &amp; 491'!$T$64,'310 &amp; 491'!$T$66,'310 &amp; 491'!$T$68:$T$71,'310 &amp; 491'!$T$73,'310 &amp; 491'!$T$75,'310 &amp; 491'!$T$77,'310 &amp; 491'!$T$79,'310 &amp; 491'!$T$81,'310 &amp; 491'!$T$83:$T$84,'310 &amp; 491'!$T$86,'310 &amp; 491'!$T$88,'310 &amp; 491'!$T$90,'310 &amp; 491'!$T$92,'310 &amp; 491'!$T$94,'310 &amp; 491'!$T$96:$T$99,'310 &amp; 491'!$T$101:$T$103,'310 &amp; 491'!$T$105:$T$110,'310 &amp; 491'!$T$112,'310 &amp; 491'!$T$114:$T$123,'310 &amp; 491'!$T$125:$T$126,'310 &amp; 491'!$T$128,'310 &amp; 491'!$T$130:$T$132,'310 &amp; 491'!$T$134</definedName>
    <definedName name="OSRRefT22x_0" localSheetId="56">'311'!$T$60:$T$69,'311'!$T$71:$T$80,'311'!$T$82,'311'!$T$84:$T$85,'311'!$T$87,'311'!$T$89,'311'!$T$91:$T$92,'311'!$T$94,'311'!$T$96,'311'!$T$98:$T$99,'311'!$T$101,'311'!$T$103:$T$105,'311'!$T$107:$T$108,'311'!$T$110,'311'!$T$112</definedName>
    <definedName name="OSRRefT22x_0" localSheetId="68">'313'!$T$29:$T$37,'313'!$T$39:$T$48,'313'!$T$50,'313'!$T$52,'313'!$T$54,'313'!$T$56,'313'!$T$58,'313'!$T$60,'313'!$T$62,'313'!$T$64:$T$65,'313'!$T$67,'313'!$T$69:$T$73,'313'!$T$75,'313'!$T$77</definedName>
    <definedName name="OSRRefT22x_0" localSheetId="54">'314'!$T$56:$T$63,'314'!$T$65:$T$74,'314'!$T$76,'314'!$T$78:$T$79,'314'!$T$81,'314'!$T$83,'314'!$T$85,'314'!$T$87</definedName>
    <definedName name="OSRRefT22x_0" localSheetId="59">'315'!$T$56:$T$64,'315'!$T$66:$T$75,'315'!$T$77,'315'!$T$79:$T$80,'315'!$T$82,'315'!$T$84,'315'!$T$86,'315'!$T$88,'315'!$T$90,'315'!$T$92,'315'!$T$94:$T$96,'315'!$T$98:$T$99,'315'!$T$101:$T$104,'315'!$T$106,'315'!$T$108,'315'!$T$110</definedName>
    <definedName name="OSRRefT22x_0" localSheetId="62">'316'!$T$33:$T$41,'316'!$T$43:$T$52,'316'!$T$54,'316'!$T$56,'316'!$T$58,'316'!$T$60,'316'!$T$62,'316'!$T$64,'316'!$T$66,'316'!$T$68,'316'!$T$70:$T$71,'316'!$T$73:$T$76,'316'!$T$78:$T$79,'316'!$T$81</definedName>
    <definedName name="OSRRefT22x_0" localSheetId="65">'317'!$T$59:$T$68,'317'!$T$70:$T$79,'317'!$T$81,'317'!$T$83,'317'!$T$85,'317'!$T$87,'317'!$T$89,'317'!$T$91,'317'!$T$93:$T$94,'317'!$T$96:$T$97,'317'!$T$99</definedName>
    <definedName name="OSRRefT22x_0" localSheetId="63">'320'!$T$28:$T$35,'320'!$T$37:$T$46,'320'!$T$48,'320'!$T$50,'320'!$T$52:$T$53,'320'!$T$55,'320'!$T$57,'320'!$T$59:$T$60,'320'!$T$62</definedName>
    <definedName name="OSRRefT22x_0" localSheetId="69">'321'!$T$26:$T$33,'321'!$T$35:$T$44,'321'!$T$46,'321'!$T$48,'321'!$T$50,'321'!$T$52,'321'!$T$54,'321'!$T$56,'321'!$T$58,'321'!$T$60:$T$61,'321'!$T$63:$T$64,'321'!$T$66:$T$68,'321'!$T$70:$T$72,'321'!$T$74,'321'!$T$76</definedName>
    <definedName name="OSRRefT22x_0" localSheetId="70">'322'!$T$26:$T$34,'322'!$T$36:$T$45,'322'!$T$47,'322'!$T$49,'322'!$T$51,'322'!$T$53,'322'!$T$55,'322'!$T$57,'322'!$T$59,'322'!$T$61:$T$62,'322'!$T$64:$T$66,'322'!$T$68:$T$72,'322'!$T$74,'322'!$T$76</definedName>
    <definedName name="OSRRefT22x_0" localSheetId="71">'325'!$T$26:$T$34,'325'!$T$36:$T$45,'325'!$T$47,'325'!$T$49,'325'!$T$51,'325'!$T$53:$T$55,'325'!$T$57,'325'!$T$59,'325'!$T$61,'325'!$T$63,'325'!$T$65,'325'!$T$67:$T$68,'325'!$T$70:$T$73,'325'!$T$75,'325'!$T$77:$T$83,'325'!$T$85,'325'!$T$87,'325'!$T$89</definedName>
    <definedName name="OSRRefT22x_0" localSheetId="60">'326'!$T$52:$T$60,'326'!$T$62:$T$71,'326'!$T$73,'326'!$T$75:$T$76,'326'!$T$78,'326'!$T$80,'326'!$T$82,'326'!$T$84,'326'!$T$86,'326'!$T$88,'326'!$T$90,'326'!$T$92,'326'!$T$94,'326'!$T$96:$T$97,'326'!$T$99:$T$101,'326'!$T$103:$T$104,'326'!$T$106:$T$110,'326'!$T$112:$T$113,'326'!$T$115,'326'!$T$117,'326'!$T$119</definedName>
    <definedName name="OSRRefT22x_0" localSheetId="72">'327'!$T$24</definedName>
    <definedName name="OSRRefT22x_0" localSheetId="52">'330'!$T$76:$T$84,'330'!$T$86:$T$95,'330'!$T$97,'330'!$T$99,'330'!$T$101:$T$102,'330'!$T$104,'330'!$T$106,'330'!$T$108,'330'!$T$110,'330'!$T$112:$T$113,'330'!$T$115,'330'!$T$117,'330'!$T$119,'330'!$T$121</definedName>
    <definedName name="OSRRefT22x_0" localSheetId="58">'331'!$T$68:$T$76,'331'!$T$78:$T$87,'331'!$T$89,'331'!$T$91:$T$92,'331'!$T$94,'331'!$T$96:$T$97,'331'!$T$99,'331'!$T$101,'331'!$T$103,'331'!$T$105,'331'!$T$107,'331'!$T$109,'331'!$T$111,'331'!$T$113,'331'!$T$115:$T$116,'331'!$T$118:$T$120,'331'!$T$122:$T$124,'331'!$T$126:$T$127,'331'!$T$129:$T$133,'331'!$T$135:$T$136,'331'!$T$138,'331'!$T$140,'331'!$T$142</definedName>
    <definedName name="OSRRefT22x_0" localSheetId="61">'332'!$T$41:$T$49,'332'!$T$51:$T$60,'332'!$T$62,'332'!$T$64,'332'!$T$66,'332'!$T$68,'332'!$T$70,'332'!$T$72:$T$73,'332'!$T$75,'332'!$T$77,'332'!$T$79,'332'!$T$81:$T$82,'332'!$T$84:$T$88,'332'!$T$90:$T$91,'332'!$T$93</definedName>
    <definedName name="OSRRefT22x_0" localSheetId="76">'405'!$T$26:$T$34,'405'!$T$36:$T$45,'405'!$T$47,'405'!$T$49,'405'!$T$51,'405'!$T$53:$T$55,'405'!$T$57,'405'!$T$59,'405'!$T$61,'405'!$T$63,'405'!$T$65:$T$67,'405'!$T$69,'405'!$T$71:$T$73,'405'!$T$75,'405'!$T$77:$T$85,'405'!$T$87,'405'!$T$89,'405'!$T$91</definedName>
    <definedName name="OSRRefT22x_0" localSheetId="77">'406'!$T$27:$T$35,'406'!$T$37:$T$46,'406'!$T$48,'406'!$T$50,'406'!$T$52,'406'!$T$54,'406'!$T$56,'406'!$T$58,'406'!$T$60:$T$61,'406'!$T$63:$T$65,'406'!$T$67:$T$72,'406'!$T$74:$T$75,'406'!$T$77,'406'!$T$79</definedName>
    <definedName name="OSRRefT22x_0" localSheetId="78">'411'!$T$20:$T$29,'411'!$T$31:$T$40,'411'!$T$42,'411'!$T$44:$T$46,'411'!$T$48,'411'!$T$50,'411'!$T$52,'411'!$T$54,'411'!$T$56,'411'!$T$58,'411'!$T$60:$T$62,'411'!$T$64:$T$68,'411'!$T$70:$T$76,'411'!$T$78,'411'!$T$80,'411'!$T$82:$T$84,'411'!$T$86</definedName>
    <definedName name="OSRRefT22x_0" localSheetId="79">'412'!$T$26:$T$34,'412'!$T$36:$T$45,'412'!$T$47,'412'!$T$49,'412'!$T$51,'412'!$T$53:$T$54,'412'!$T$56,'412'!$T$58,'412'!$T$60:$T$61,'412'!$T$63,'412'!$T$65:$T$67,'412'!$T$69:$T$74,'412'!$T$76,'412'!$T$78</definedName>
    <definedName name="OSRRefT22x_0" localSheetId="80">'413'!$T$27:$T$35,'413'!$T$37:$T$46,'413'!$T$48,'413'!$T$50,'413'!$T$52,'413'!$T$54,'413'!$T$56,'413'!$T$58:$T$59,'413'!$T$61,'413'!$T$63:$T$67,'413'!$T$69:$T$70,'413'!$T$72</definedName>
    <definedName name="OSRRefT22x_0" localSheetId="81">'414'!$T$27:$T$35,'414'!$T$37:$T$46,'414'!$T$48,'414'!$T$50,'414'!$T$52,'414'!$T$54:$T$55,'414'!$T$57,'414'!$T$59,'414'!$T$61,'414'!$T$63,'414'!$T$65,'414'!$T$67,'414'!$T$69,'414'!$T$71:$T$77,'414'!$T$79,'414'!$T$81</definedName>
    <definedName name="OSRRefT22x_0" localSheetId="82">'415'!$T$26:$T$34,'415'!$T$36:$T$45,'415'!$T$47,'415'!$T$49,'415'!$T$51,'415'!$T$53:$T$54,'415'!$T$56,'415'!$T$58,'415'!$T$60,'415'!$T$62,'415'!$T$64,'415'!$T$66:$T$67,'415'!$T$69:$T$73,'415'!$T$75,'415'!$T$77:$T$84,'415'!$T$86,'415'!$T$88,'415'!$T$90:$T$91,'415'!$T$93</definedName>
    <definedName name="OSRRefT22x_0" localSheetId="83">'418'!$T$27:$T$35,'418'!$T$37:$T$46,'418'!$T$48,'418'!$T$50,'418'!$T$52,'418'!$T$54:$T$56,'418'!$T$58,'418'!$T$60,'418'!$T$62:$T$63,'418'!$T$65:$T$67,'418'!$T$69:$T$71,'418'!$T$73,'418'!$T$75:$T$81,'418'!$T$83,'418'!$T$85,'418'!$T$87</definedName>
    <definedName name="OSRRefT22x_0" localSheetId="84">'420'!$T$20:$T$21,'420'!$T$23</definedName>
    <definedName name="OSRRefT22x_0" localSheetId="85">'423'!$T$21:$T$29,'423'!$T$31:$T$40,'423'!$T$42,'423'!$T$44,'423'!$T$46,'423'!$T$48</definedName>
    <definedName name="OSRRefT22x_0" localSheetId="86">'424'!$T$26:$T$33,'424'!$T$35:$T$44,'424'!$T$46,'424'!$T$48,'424'!$T$50,'424'!$T$52,'424'!$T$54,'424'!$T$56:$T$57,'424'!$T$59:$T$60,'424'!$T$62,'424'!$T$64:$T$66,'424'!$T$68:$T$69</definedName>
    <definedName name="OSRRefT22x_0" localSheetId="87">'425'!$T$27:$T$35,'425'!$T$37:$T$46,'425'!$T$48,'425'!$T$50,'425'!$T$52,'425'!$T$54,'425'!$T$56,'425'!$T$58,'425'!$T$60,'425'!$T$62:$T$64,'425'!$T$66:$T$67,'425'!$T$69:$T$70,'425'!$T$72:$T$76,'425'!$T$78:$T$79,'425'!$T$81,'425'!$T$83</definedName>
    <definedName name="OSRRefT22x_0" localSheetId="90">'430'!$T$20:$T$28,'430'!$T$30:$T$39,'430'!$T$41,'430'!$T$43,'430'!$T$45,'430'!$T$47,'430'!$T$49,'430'!$T$51:$T$53,'430'!$T$55,'430'!$T$57,'430'!$T$59</definedName>
    <definedName name="OSRRefT22x_0" localSheetId="91">'433'!$T$27:$T$36,'433'!$T$38:$T$47,'433'!$T$49,'433'!$T$51,'433'!$T$53,'433'!$T$55,'433'!$T$57,'433'!$T$59,'433'!$T$61,'433'!$T$63,'433'!$T$65:$T$66,'433'!$T$68:$T$71,'433'!$T$73:$T$79,'433'!$T$81,'433'!$T$83,'433'!$T$85:$T$86</definedName>
    <definedName name="OSRRefT22x_0" localSheetId="92">'435'!$T$27:$T$34,'435'!$T$36:$T$45,'435'!$T$47,'435'!$T$49,'435'!$T$51,'435'!$T$53,'435'!$T$55:$T$56,'435'!$T$58</definedName>
    <definedName name="OSRRefT22x_0" localSheetId="93">'444'!$T$27:$T$36,'444'!$T$38:$T$47,'444'!$T$49,'444'!$T$51,'444'!$T$53,'444'!$T$55,'444'!$T$57,'444'!$T$59,'444'!$T$61,'444'!$T$63,'444'!$T$65,'444'!$T$67:$T$69,'444'!$T$71:$T$74,'444'!$T$76:$T$82,'444'!$T$84,'444'!$T$86,'444'!$T$88</definedName>
    <definedName name="OSRRefT22x_0" localSheetId="95">'450'!$T$27:$T$36,'450'!$T$38:$T$47,'450'!$T$49,'450'!$T$51:$T$52,'450'!$T$54,'450'!$T$56,'450'!$T$58,'450'!$T$60,'450'!$T$62,'450'!$T$64,'450'!$T$66,'450'!$T$68:$T$69,'450'!$T$71:$T$73,'450'!$T$75:$T$80,'450'!$T$82,'450'!$T$84,'450'!$T$86:$T$87</definedName>
    <definedName name="OSRRefT22x_0" localSheetId="88">'455'!$T$20:$T$27,'455'!$T$29:$T$38</definedName>
    <definedName name="OSRRefT22x_0" localSheetId="75">'491'!$T$34:$T$43,'491'!$T$45:$T$54,'491'!$T$56,'491'!$T$58,'491'!$T$60,'491'!$T$62:$T$65,'491'!$T$67,'491'!$T$69,'491'!$T$71,'491'!$T$73:$T$74,'491'!$T$76,'491'!$T$78,'491'!$T$80,'491'!$T$82,'491'!$T$84:$T$87,'491'!$T$89:$T$91,'491'!$T$93:$T$97,'491'!$T$99,'491'!$T$101:$T$110,'491'!$T$112:$T$113,'491'!$T$115,'491'!$T$117:$T$119,'491'!$T$121</definedName>
    <definedName name="OSRRefT22x_0" localSheetId="89">'492'!$T$29:$T$38,'492'!$T$40:$T$49,'492'!$T$51,'492'!$T$53:$T$54,'492'!$T$56,'492'!$T$58:$T$59,'492'!$T$61,'492'!$T$63,'492'!$T$65,'492'!$T$67,'492'!$T$69,'492'!$T$71,'492'!$T$73:$T$76,'492'!$T$78:$T$81,'492'!$T$83:$T$91,'492'!$T$93,'492'!$T$95,'492'!$T$97:$T$98</definedName>
    <definedName name="OSRRefT22x_0" localSheetId="97">'501'!$T$21:$T$29,'501'!$T$31:$T$40,'501'!$T$42,'501'!$T$44,'501'!$T$46,'501'!$T$48,'501'!$T$50,'501'!$T$52,'501'!$T$54,'501'!$T$56,'501'!$T$58:$T$59,'501'!$T$61:$T$63,'501'!$T$65</definedName>
    <definedName name="OSRRefT22x_0" localSheetId="39">'Div 2'!$T$20:$T$30,'Div 2'!$T$32:$T$41,'Div 2'!$T$43,'Div 2'!$T$45,'Div 2'!$T$47,'Div 2'!$T$49,'Div 2'!$T$51:$T$52,'Div 2'!$T$54,'Div 2'!$T$56,'Div 2'!$T$58,'Div 2'!$T$60,'Div 2'!$T$62,'Div 2'!$T$64:$T$66,'Div 2'!$T$68:$T$71,'Div 2'!$T$73:$T$76,'Div 2'!$T$78:$T$79,'Div 2'!$T$81:$T$82,'Div 2'!$T$84:$T$87,'Div 2'!$T$89:$T$90,'Div 2'!$T$92,'Div 2'!$T$94:$T$95</definedName>
    <definedName name="OSRRefT22x_0" localSheetId="47">'Div 3'!$T$161:$T$170,'Div 3'!$T$172:$T$181,'Div 3'!$T$183,'Div 3'!$T$185:$T$186,'Div 3'!$T$188,'Div 3'!$T$190:$T$192,'Div 3'!$T$194:$T$195,'Div 3'!$T$197:$T$198,'Div 3'!$T$200,'Div 3'!$T$202,'Div 3'!$T$204:$T$205,'Div 3'!$T$207,'Div 3'!$T$209,'Div 3'!$T$211,'Div 3'!$T$213,'Div 3'!$T$215,'Div 3'!$T$217,'Div 3'!$T$219,'Div 3'!$T$221:$T$223,'Div 3'!$T$225:$T$228,'Div 3'!$T$230:$T$235,'Div 3'!$T$237:$T$238,'Div 3'!$T$240:$T$247,'Div 3'!$T$249:$T$250,'Div 3'!$T$252,'Div 3'!$T$254:$T$256,'Div 3'!$T$258</definedName>
    <definedName name="OSRRefT22x_0" localSheetId="73">'Div 4'!$T$35:$T$44,'Div 4'!$T$46:$T$55,'Div 4'!$T$57,'Div 4'!$T$59:$T$60,'Div 4'!$T$62,'Div 4'!$T$64:$T$67,'Div 4'!$T$69:$T$70,'Div 4'!$T$72,'Div 4'!$T$74,'Div 4'!$T$76,'Div 4'!$T$78:$T$79,'Div 4'!$T$81,'Div 4'!$T$83,'Div 4'!$T$85,'Div 4'!$T$87,'Div 4'!$T$89,'Div 4'!$T$91:$T$94,'Div 4'!$T$96:$T$98,'Div 4'!$T$100:$T$104,'Div 4'!$T$106,'Div 4'!$T$108:$T$117,'Div 4'!$T$119:$T$120,'Div 4'!$T$122,'Div 4'!$T$124:$T$126,'Div 4'!$T$128</definedName>
    <definedName name="OSRRefT22x_0" localSheetId="96">'Div 5'!$T$21:$T$29,'Div 5'!$T$31:$T$40,'Div 5'!$T$42,'Div 5'!$T$44,'Div 5'!$T$46,'Div 5'!$T$48,'Div 5'!$T$50,'Div 5'!$T$52,'Div 5'!$T$54,'Div 5'!$T$56,'Div 5'!$T$58:$T$59,'Div 5'!$T$61:$T$63,'Div 5'!$T$65</definedName>
    <definedName name="OSRRefT22x_0" localSheetId="64">'Div 6'!$T$59:$T$68,'Div 6'!$T$70:$T$79,'Div 6'!$T$81,'Div 6'!$T$83,'Div 6'!$T$85,'Div 6'!$T$87,'Div 6'!$T$89,'Div 6'!$T$91,'Div 6'!$T$93:$T$94,'Div 6'!$T$96:$T$97,'Div 6'!$T$99</definedName>
    <definedName name="OSRRefT22x_0" localSheetId="2">Summary!$T$192:$T$201,Summary!$T$203:$T$212,Summary!$T$214,Summary!$T$216:$T$217,Summary!$T$219,Summary!$T$221:$T$224,Summary!$T$226:$T$227,Summary!$T$229:$T$231,Summary!$T$233,Summary!$T$235,Summary!$T$237:$T$238,Summary!$T$240:$T$241,Summary!$T$243,Summary!$T$245,Summary!$T$247,Summary!$T$249,Summary!$T$251,Summary!$T$253,Summary!$T$255:$T$258,Summary!$T$260:$T$263,Summary!$T$265:$T$270,Summary!$T$272:$T$273,Summary!$T$275:$T$284,Summary!$T$286:$T$287,Summary!$T$289,Summary!$T$291:$T$293,Summary!$T$295</definedName>
    <definedName name="OSRRefT25x_0" localSheetId="48">'300'!$T$248:$T$254</definedName>
    <definedName name="OSRRefT25x_0" localSheetId="49">'300 &amp; 317'!$T$272:$T$280</definedName>
    <definedName name="OSRRefT25x_0" localSheetId="50">'301'!$T$99:$T$101</definedName>
    <definedName name="OSRRefT25x_0" localSheetId="55">'308'!$T$115:$T$118</definedName>
    <definedName name="OSRRefT25x_0" localSheetId="74">'310 &amp; 491'!$T$137:$T$140</definedName>
    <definedName name="OSRRefT25x_0" localSheetId="56">'311'!$T$115:$T$118</definedName>
    <definedName name="OSRRefT25x_0" localSheetId="59">'315'!$T$113:$T$115</definedName>
    <definedName name="OSRRefT25x_0" localSheetId="62">'316'!$T$84:$T$85</definedName>
    <definedName name="OSRRefT25x_0" localSheetId="65">'317'!$T$102:$T$104</definedName>
    <definedName name="OSRRefT25x_0" localSheetId="63">'320'!$T$65:$T$68</definedName>
    <definedName name="OSRRefT25x_0" localSheetId="58">'331'!$T$145:$T$147</definedName>
    <definedName name="OSRRefT25x_0" localSheetId="61">'332'!$T$96:$T$101</definedName>
    <definedName name="OSRRefT25x_0" localSheetId="78">'411'!$T$89:$T$90</definedName>
    <definedName name="OSRRefT25x_0" localSheetId="80">'413'!$T$75</definedName>
    <definedName name="OSRRefT25x_0" localSheetId="85">'423'!$T$51</definedName>
    <definedName name="OSRRefT25x_0" localSheetId="86">'424'!$T$72</definedName>
    <definedName name="OSRRefT25x_0" localSheetId="87">'425'!$T$86</definedName>
    <definedName name="OSRRefT25x_0" localSheetId="88">'455'!$T$41:$T$44</definedName>
    <definedName name="OSRRefT25x_0" localSheetId="75">'491'!$T$124:$T$127</definedName>
    <definedName name="OSRRefT25x_0" localSheetId="97">'501'!$T$68</definedName>
    <definedName name="OSRRefT25x_0" localSheetId="47">'Div 3'!$T$261:$T$267</definedName>
    <definedName name="OSRRefT25x_0" localSheetId="73">'Div 4'!$T$131:$T$134</definedName>
    <definedName name="OSRRefT25x_0" localSheetId="96">'Div 5'!$T$68</definedName>
    <definedName name="OSRRefT25x_0" localSheetId="64">'Div 6'!$T$102:$T$104</definedName>
    <definedName name="OSRRefT25x_0" localSheetId="2">Summary!$T$298:$T$307</definedName>
    <definedName name="_xlnm.Print_Area" localSheetId="38">'100'!$A$1:$Z$34</definedName>
    <definedName name="_xlnm.Print_Area" localSheetId="40">'200'!$A$1:$Z$41</definedName>
    <definedName name="_xlnm.Print_Area" localSheetId="41">'201'!$A$1:$Z$90</definedName>
    <definedName name="_xlnm.Print_Area" localSheetId="42">'202'!$A$1:$Z$86</definedName>
    <definedName name="_xlnm.Print_Area" localSheetId="43">'203'!$A$1:$Z$86</definedName>
    <definedName name="_xlnm.Print_Area" localSheetId="44">'204'!$A$1:$Z$81</definedName>
    <definedName name="_xlnm.Print_Area" localSheetId="45">'205'!$A$1:$Z$70</definedName>
    <definedName name="_xlnm.Print_Area" localSheetId="46">'206'!$A$1:$Z$72</definedName>
    <definedName name="_xlnm.Print_Area" localSheetId="48">'300'!$A$1:$Z$266</definedName>
    <definedName name="_xlnm.Print_Area" localSheetId="49">'300 &amp; 317'!$A$1:$Z$292</definedName>
    <definedName name="_xlnm.Print_Area" localSheetId="50">'301'!$A$1:$Z$113</definedName>
    <definedName name="_xlnm.Print_Area" localSheetId="51">'306'!$A$1:$Z$70</definedName>
    <definedName name="_xlnm.Print_Area" localSheetId="53">'307'!$A$1:$Z$124</definedName>
    <definedName name="_xlnm.Print_Area" localSheetId="55">'308'!$A$1:$Z$130</definedName>
    <definedName name="_xlnm.Print_Area" localSheetId="67">'309'!$A$1:$Z$84</definedName>
    <definedName name="_xlnm.Print_Area" localSheetId="66">'310'!$A$1:$Z$123</definedName>
    <definedName name="_xlnm.Print_Area" localSheetId="74">'310 &amp; 491'!$A$1:$Z$152</definedName>
    <definedName name="_xlnm.Print_Area" localSheetId="56">'311'!$A$1:$Z$130</definedName>
    <definedName name="_xlnm.Print_Area" localSheetId="68">'313'!$A$1:$Z$91</definedName>
    <definedName name="_xlnm.Print_Area" localSheetId="54">'314'!$A$1:$Z$101</definedName>
    <definedName name="_xlnm.Print_Area" localSheetId="59">'315'!$A$1:$Z$127</definedName>
    <definedName name="_xlnm.Print_Area" localSheetId="62">'316'!$A$1:$Z$97</definedName>
    <definedName name="_xlnm.Print_Area" localSheetId="65">'317'!$A$1:$Z$116</definedName>
    <definedName name="_xlnm.Print_Area" localSheetId="63">'320'!$A$1:$Z$80</definedName>
    <definedName name="_xlnm.Print_Area" localSheetId="69">'321'!$A$1:$Z$90</definedName>
    <definedName name="_xlnm.Print_Area" localSheetId="70">'322'!$A$1:$Z$90</definedName>
    <definedName name="_xlnm.Print_Area" localSheetId="57">'324'!$A$1:$Z$38</definedName>
    <definedName name="_xlnm.Print_Area" localSheetId="71">'325'!$A$1:$Z$103</definedName>
    <definedName name="_xlnm.Print_Area" localSheetId="60">'326'!$A$1:$Z$133</definedName>
    <definedName name="_xlnm.Print_Area" localSheetId="72">'327'!$A$1:$Z$38</definedName>
    <definedName name="_xlnm.Print_Area" localSheetId="52">'330'!$A$1:$Z$135</definedName>
    <definedName name="_xlnm.Print_Area" localSheetId="58">'331'!$A$1:$Z$159</definedName>
    <definedName name="_xlnm.Print_Area" localSheetId="61">'332'!$A$1:$Z$113</definedName>
    <definedName name="_xlnm.Print_Area" localSheetId="76">'405'!$A$1:$Z$105</definedName>
    <definedName name="_xlnm.Print_Area" localSheetId="77">'406'!$A$1:$Z$93</definedName>
    <definedName name="_xlnm.Print_Area" localSheetId="78">'411'!$A$1:$Z$102</definedName>
    <definedName name="_xlnm.Print_Area" localSheetId="79">'412'!$A$1:$Z$92</definedName>
    <definedName name="_xlnm.Print_Area" localSheetId="80">'413'!$A$1:$Z$87</definedName>
    <definedName name="_xlnm.Print_Area" localSheetId="81">'414'!$A$1:$Z$95</definedName>
    <definedName name="_xlnm.Print_Area" localSheetId="82">'415'!$A$1:$Z$107</definedName>
    <definedName name="_xlnm.Print_Area" localSheetId="83">'418'!$A$1:$Z$101</definedName>
    <definedName name="_xlnm.Print_Area" localSheetId="84">'420'!$A$1:$Z$37</definedName>
    <definedName name="_xlnm.Print_Area" localSheetId="85">'423'!$A$1:$Z$63</definedName>
    <definedName name="_xlnm.Print_Area" localSheetId="86">'424'!$A$1:$Z$84</definedName>
    <definedName name="_xlnm.Print_Area" localSheetId="87">'425'!$A$1:$Z$98</definedName>
    <definedName name="_xlnm.Print_Area" localSheetId="90">'430'!$A$1:$Z$73</definedName>
    <definedName name="_xlnm.Print_Area" localSheetId="91">'433'!$A$1:$Z$100</definedName>
    <definedName name="_xlnm.Print_Area" localSheetId="92">'435'!$A$1:$Z$72</definedName>
    <definedName name="_xlnm.Print_Area" localSheetId="93">'444'!$A$1:$Z$102</definedName>
    <definedName name="_xlnm.Print_Area" localSheetId="94">'445'!$A$1:$Z$32</definedName>
    <definedName name="_xlnm.Print_Area" localSheetId="95">'450'!$A$1:$Z$101</definedName>
    <definedName name="_xlnm.Print_Area" localSheetId="88">'455'!$A$1:$Z$56</definedName>
    <definedName name="_xlnm.Print_Area" localSheetId="75">'491'!$A$1:$Z$139</definedName>
    <definedName name="_xlnm.Print_Area" localSheetId="89">'492'!$A$1:$Z$112</definedName>
    <definedName name="_xlnm.Print_Area" localSheetId="97">'501'!$A$1:$Z$80</definedName>
    <definedName name="_xlnm.Print_Area" localSheetId="98">Dept!$A$1:$Z$39</definedName>
    <definedName name="_xlnm.Print_Area" localSheetId="37">'Div 1'!$A$1:$Z$34</definedName>
    <definedName name="_xlnm.Print_Area" localSheetId="39">'Div 2'!$A$1:$Z$109</definedName>
    <definedName name="_xlnm.Print_Area" localSheetId="47">'Div 3'!$A$1:$Z$279</definedName>
    <definedName name="_xlnm.Print_Area" localSheetId="73">'Div 4'!$A$1:$Z$146</definedName>
    <definedName name="_xlnm.Print_Area" localSheetId="96">'Div 5'!$A$1:$Z$80</definedName>
    <definedName name="_xlnm.Print_Area" localSheetId="64">'Div 6'!$A$1:$Z$116</definedName>
    <definedName name="_xlnm.Print_Area" localSheetId="13">'OSR_300 &amp; 317_1C00ID4'!$A$1:$Z$39</definedName>
    <definedName name="_xlnm.Print_Area" localSheetId="14">'OSR_300 (2)_...6aa5a22d_14M6XO4'!$A$1:$Z$39</definedName>
    <definedName name="_xlnm.Print_Area" localSheetId="10">'OSR_300 (2)_7...54cb56fc_UFX0O2'!$A$1:$Z$39</definedName>
    <definedName name="_xlnm.Print_Area" localSheetId="16">'OSR_300 (2)_e...5d0da5bf_6BPGAO'!$A$1:$Z$39</definedName>
    <definedName name="_xlnm.Print_Area" localSheetId="11">OSR_300_IYZXI6!$A$1:$Z$39</definedName>
    <definedName name="_xlnm.Print_Area" localSheetId="22">'OSR_308 (2)_...47685838_1YQW4QY'!$A$1:$Z$39</definedName>
    <definedName name="_xlnm.Print_Area" localSheetId="19">OSR_308_UAWDAG!$A$1:$Z$39</definedName>
    <definedName name="_xlnm.Print_Area" localSheetId="27">'OSR_310 &amp; 491_1NGRCS9'!$A$1:$Z$39</definedName>
    <definedName name="_xlnm.Print_Area" localSheetId="18">'OSR_310 (2)_...6e684f08_1FLCNJG'!$A$1:$Z$39</definedName>
    <definedName name="_xlnm.Print_Area" localSheetId="26">'OSR_310 (2)_...8cac1423_1JTU33X'!$A$1:$Z$39</definedName>
    <definedName name="_xlnm.Print_Area" localSheetId="12">'OSR_310 (2)_5...3d931dee_QNK8R2'!$A$1:$Z$39</definedName>
    <definedName name="_xlnm.Print_Area" localSheetId="15">OSR_310_1CMTOSB!$A$1:$Z$39</definedName>
    <definedName name="_xlnm.Print_Area" localSheetId="20">'OSR_330 (2)_...8a14c83e_1NSH7XI'!$A$1:$Z$39</definedName>
    <definedName name="_xlnm.Print_Area" localSheetId="17">OSR_330_10VFP5Y!$A$1:$Z$39</definedName>
    <definedName name="_xlnm.Print_Area" localSheetId="24">'OSR_331 (2)_...7280af70_1P5SPLT'!$A$1:$Z$39</definedName>
    <definedName name="_xlnm.Print_Area" localSheetId="21">OSR_331_10VKQAJ!$A$1:$Z$39</definedName>
    <definedName name="_xlnm.Print_Area" localSheetId="23">OSR_332_6NDVBW!$A$1:$Z$39</definedName>
    <definedName name="_xlnm.Print_Area" localSheetId="28">'OSR_491 (2)_...853a34aa_1UNC34K'!$A$1:$Z$39</definedName>
    <definedName name="_xlnm.Print_Area" localSheetId="29">OSR_491_9Z9JH5!$A$1:$Z$39</definedName>
    <definedName name="_xlnm.Print_Area" localSheetId="34">'OSR_492 (2)_...cd97c6a6_13HYXEV'!$A$1:$Z$39</definedName>
    <definedName name="_xlnm.Print_Area" localSheetId="31">OSR_492_943FP1!$A$1:$Z$39</definedName>
    <definedName name="_xlnm.Print_Area" localSheetId="4">'OSR_Current ...69b7dd8c_1IEQKFK'!$A$1:$Z$39</definedName>
    <definedName name="_xlnm.Print_Area" localSheetId="99">OSR_Dept_Y0WUKY!$A$1:$Z$39</definedName>
    <definedName name="_xlnm.Print_Area" localSheetId="8">'OSR_Div 1 (2)...789fe994_2NV3KA'!$A$1:$Z$39</definedName>
    <definedName name="_xlnm.Print_Area" localSheetId="5">'OSR_Div 1_7H47HR'!$A$1:$Z$39</definedName>
    <definedName name="_xlnm.Print_Area" localSheetId="7">'OSR_Div 2_1PQ800A'!$A$1:$Z$39</definedName>
    <definedName name="_xlnm.Print_Area" localSheetId="6">'OSR_Div 3 (2)...4cb81c06_PBSMLS'!$A$1:$Z$39</definedName>
    <definedName name="_xlnm.Print_Area" localSheetId="9">'OSR_Div 3_18723PH'!$A$1:$Z$39</definedName>
    <definedName name="_xlnm.Print_Area" localSheetId="32">'OSR_Div 4 (2)...1a9a4454_CQFRNE'!$A$1:$Z$39</definedName>
    <definedName name="_xlnm.Print_Area" localSheetId="30">'OSR_Div 4 (2...2533da42_174R6QX'!$A$1:$Z$39</definedName>
    <definedName name="_xlnm.Print_Area" localSheetId="25">'OSR_Div 4_1740TMT'!$A$1:$Z$39</definedName>
    <definedName name="_xlnm.Print_Area" localSheetId="36">'OSR_Div 5 (2)...32d16c57_IVJ1QO'!$A$1:$Z$39</definedName>
    <definedName name="_xlnm.Print_Area" localSheetId="33">'OSR_Div 5_16NAZO2'!$A$1:$Z$39</definedName>
    <definedName name="_xlnm.Print_Area" localSheetId="35">'OSR_Div 6_P37YY7'!$A$1:$Z$39</definedName>
    <definedName name="_xlnm.Print_Area" localSheetId="100">'OSR_Summary (...56e5d78f_5JEYZH'!$A$1:$Z$39</definedName>
    <definedName name="_xlnm.Print_Area" localSheetId="3">OSR_Summary_18VAVWG!$A$1:$Z$39</definedName>
    <definedName name="_xlnm.Print_Area" localSheetId="2">Summary!$A$1:$Z$321</definedName>
    <definedName name="_xlnm.Print_Titles" localSheetId="38">'100'!$A:$C,'100'!$1:$10</definedName>
    <definedName name="_xlnm.Print_Titles" localSheetId="40">'200'!$A:$C,'200'!$1:$10</definedName>
    <definedName name="_xlnm.Print_Titles" localSheetId="41">'201'!$A:$C,'201'!$1:$10</definedName>
    <definedName name="_xlnm.Print_Titles" localSheetId="42">'202'!$A:$C,'202'!$1:$10</definedName>
    <definedName name="_xlnm.Print_Titles" localSheetId="43">'203'!$A:$C,'203'!$1:$10</definedName>
    <definedName name="_xlnm.Print_Titles" localSheetId="44">'204'!$A:$C,'204'!$1:$10</definedName>
    <definedName name="_xlnm.Print_Titles" localSheetId="45">'205'!$A:$C,'205'!$1:$10</definedName>
    <definedName name="_xlnm.Print_Titles" localSheetId="46">'206'!$A:$C,'206'!$1:$10</definedName>
    <definedName name="_xlnm.Print_Titles" localSheetId="48">'300'!$A:$C,'300'!$1:$10</definedName>
    <definedName name="_xlnm.Print_Titles" localSheetId="49">'300 &amp; 317'!$A:$C,'300 &amp; 317'!$1:$10</definedName>
    <definedName name="_xlnm.Print_Titles" localSheetId="50">'301'!$A:$C,'301'!$1:$10</definedName>
    <definedName name="_xlnm.Print_Titles" localSheetId="51">'306'!$A:$C,'306'!$1:$10</definedName>
    <definedName name="_xlnm.Print_Titles" localSheetId="53">'307'!$A:$C,'307'!$1:$10</definedName>
    <definedName name="_xlnm.Print_Titles" localSheetId="55">'308'!$A:$C,'308'!$1:$10</definedName>
    <definedName name="_xlnm.Print_Titles" localSheetId="67">'309'!$A:$C,'309'!$1:$10</definedName>
    <definedName name="_xlnm.Print_Titles" localSheetId="66">'310'!$A:$C,'310'!$1:$10</definedName>
    <definedName name="_xlnm.Print_Titles" localSheetId="74">'310 &amp; 491'!$A:$C,'310 &amp; 491'!$1:$10</definedName>
    <definedName name="_xlnm.Print_Titles" localSheetId="56">'311'!$A:$C,'311'!$1:$10</definedName>
    <definedName name="_xlnm.Print_Titles" localSheetId="68">'313'!$A:$C,'313'!$1:$10</definedName>
    <definedName name="_xlnm.Print_Titles" localSheetId="54">'314'!$A:$C,'314'!$1:$10</definedName>
    <definedName name="_xlnm.Print_Titles" localSheetId="59">'315'!$A:$C,'315'!$1:$10</definedName>
    <definedName name="_xlnm.Print_Titles" localSheetId="62">'316'!$A:$C,'316'!$1:$10</definedName>
    <definedName name="_xlnm.Print_Titles" localSheetId="65">'317'!$A:$C,'317'!$1:$10</definedName>
    <definedName name="_xlnm.Print_Titles" localSheetId="63">'320'!$A:$C,'320'!$1:$10</definedName>
    <definedName name="_xlnm.Print_Titles" localSheetId="69">'321'!$A:$C,'321'!$1:$10</definedName>
    <definedName name="_xlnm.Print_Titles" localSheetId="70">'322'!$A:$C,'322'!$1:$10</definedName>
    <definedName name="_xlnm.Print_Titles" localSheetId="57">'324'!$A:$C,'324'!$1:$10</definedName>
    <definedName name="_xlnm.Print_Titles" localSheetId="71">'325'!$A:$C,'325'!$1:$10</definedName>
    <definedName name="_xlnm.Print_Titles" localSheetId="60">'326'!$A:$C,'326'!$1:$10</definedName>
    <definedName name="_xlnm.Print_Titles" localSheetId="72">'327'!$A:$C,'327'!$1:$10</definedName>
    <definedName name="_xlnm.Print_Titles" localSheetId="52">'330'!$A:$C,'330'!$1:$10</definedName>
    <definedName name="_xlnm.Print_Titles" localSheetId="58">'331'!$A:$C,'331'!$1:$10</definedName>
    <definedName name="_xlnm.Print_Titles" localSheetId="61">'332'!$A:$C,'332'!$1:$10</definedName>
    <definedName name="_xlnm.Print_Titles" localSheetId="76">'405'!$A:$C,'405'!$1:$10</definedName>
    <definedName name="_xlnm.Print_Titles" localSheetId="77">'406'!$A:$C,'406'!$1:$10</definedName>
    <definedName name="_xlnm.Print_Titles" localSheetId="78">'411'!$A:$C,'411'!$1:$10</definedName>
    <definedName name="_xlnm.Print_Titles" localSheetId="79">'412'!$A:$C,'412'!$1:$10</definedName>
    <definedName name="_xlnm.Print_Titles" localSheetId="80">'413'!$A:$C,'413'!$1:$10</definedName>
    <definedName name="_xlnm.Print_Titles" localSheetId="81">'414'!$A:$C,'414'!$1:$10</definedName>
    <definedName name="_xlnm.Print_Titles" localSheetId="82">'415'!$A:$C,'415'!$1:$10</definedName>
    <definedName name="_xlnm.Print_Titles" localSheetId="83">'418'!$A:$C,'418'!$1:$10</definedName>
    <definedName name="_xlnm.Print_Titles" localSheetId="84">'420'!$A:$C,'420'!$1:$10</definedName>
    <definedName name="_xlnm.Print_Titles" localSheetId="85">'423'!$A:$C,'423'!$1:$10</definedName>
    <definedName name="_xlnm.Print_Titles" localSheetId="86">'424'!$A:$C,'424'!$1:$10</definedName>
    <definedName name="_xlnm.Print_Titles" localSheetId="87">'425'!$A:$C,'425'!$1:$10</definedName>
    <definedName name="_xlnm.Print_Titles" localSheetId="90">'430'!$A:$C,'430'!$1:$10</definedName>
    <definedName name="_xlnm.Print_Titles" localSheetId="91">'433'!$A:$C,'433'!$1:$10</definedName>
    <definedName name="_xlnm.Print_Titles" localSheetId="92">'435'!$A:$C,'435'!$1:$10</definedName>
    <definedName name="_xlnm.Print_Titles" localSheetId="93">'444'!$A:$C,'444'!$1:$10</definedName>
    <definedName name="_xlnm.Print_Titles" localSheetId="94">'445'!$A:$C,'445'!$1:$10</definedName>
    <definedName name="_xlnm.Print_Titles" localSheetId="95">'450'!$A:$C,'450'!$1:$10</definedName>
    <definedName name="_xlnm.Print_Titles" localSheetId="88">'455'!$A:$C,'455'!$1:$10</definedName>
    <definedName name="_xlnm.Print_Titles" localSheetId="75">'491'!$A:$C,'491'!$1:$10</definedName>
    <definedName name="_xlnm.Print_Titles" localSheetId="89">'492'!$A:$C,'492'!$1:$10</definedName>
    <definedName name="_xlnm.Print_Titles" localSheetId="97">'501'!$A:$C,'501'!$1:$10</definedName>
    <definedName name="_xlnm.Print_Titles" localSheetId="98">Dept!$A:$C,Dept!$1:$10</definedName>
    <definedName name="_xlnm.Print_Titles" localSheetId="37">'Div 1'!$A:$C,'Div 1'!$1:$10</definedName>
    <definedName name="_xlnm.Print_Titles" localSheetId="39">'Div 2'!$A:$C,'Div 2'!$1:$10</definedName>
    <definedName name="_xlnm.Print_Titles" localSheetId="47">'Div 3'!$A:$C,'Div 3'!$1:$10</definedName>
    <definedName name="_xlnm.Print_Titles" localSheetId="73">'Div 4'!$A:$C,'Div 4'!$1:$10</definedName>
    <definedName name="_xlnm.Print_Titles" localSheetId="96">'Div 5'!$A:$C,'Div 5'!$1:$10</definedName>
    <definedName name="_xlnm.Print_Titles" localSheetId="64">'Div 6'!$A:$C,'Div 6'!$1:$10</definedName>
    <definedName name="_xlnm.Print_Titles" localSheetId="13">'OSR_300 &amp; 317_1C00ID4'!$A:$C,'OSR_300 &amp; 317_1C00ID4'!$1:$10</definedName>
    <definedName name="_xlnm.Print_Titles" localSheetId="14">'OSR_300 (2)_...6aa5a22d_14M6XO4'!$A:$C,'OSR_300 (2)_...6aa5a22d_14M6XO4'!$1:$10</definedName>
    <definedName name="_xlnm.Print_Titles" localSheetId="10">'OSR_300 (2)_7...54cb56fc_UFX0O2'!$A:$C,'OSR_300 (2)_7...54cb56fc_UFX0O2'!$1:$10</definedName>
    <definedName name="_xlnm.Print_Titles" localSheetId="16">'OSR_300 (2)_e...5d0da5bf_6BPGAO'!$A:$C,'OSR_300 (2)_e...5d0da5bf_6BPGAO'!$1:$10</definedName>
    <definedName name="_xlnm.Print_Titles" localSheetId="11">OSR_300_IYZXI6!$A:$C,OSR_300_IYZXI6!$1:$10</definedName>
    <definedName name="_xlnm.Print_Titles" localSheetId="22">'OSR_308 (2)_...47685838_1YQW4QY'!$A:$C,'OSR_308 (2)_...47685838_1YQW4QY'!$1:$10</definedName>
    <definedName name="_xlnm.Print_Titles" localSheetId="19">OSR_308_UAWDAG!$A:$C,OSR_308_UAWDAG!$1:$10</definedName>
    <definedName name="_xlnm.Print_Titles" localSheetId="27">'OSR_310 &amp; 491_1NGRCS9'!$A:$C,'OSR_310 &amp; 491_1NGRCS9'!$1:$10</definedName>
    <definedName name="_xlnm.Print_Titles" localSheetId="18">'OSR_310 (2)_...6e684f08_1FLCNJG'!$A:$C,'OSR_310 (2)_...6e684f08_1FLCNJG'!$1:$10</definedName>
    <definedName name="_xlnm.Print_Titles" localSheetId="26">'OSR_310 (2)_...8cac1423_1JTU33X'!$A:$C,'OSR_310 (2)_...8cac1423_1JTU33X'!$1:$10</definedName>
    <definedName name="_xlnm.Print_Titles" localSheetId="12">'OSR_310 (2)_5...3d931dee_QNK8R2'!$A:$C,'OSR_310 (2)_5...3d931dee_QNK8R2'!$1:$10</definedName>
    <definedName name="_xlnm.Print_Titles" localSheetId="15">OSR_310_1CMTOSB!$A:$C,OSR_310_1CMTOSB!$1:$10</definedName>
    <definedName name="_xlnm.Print_Titles" localSheetId="20">'OSR_330 (2)_...8a14c83e_1NSH7XI'!$A:$C,'OSR_330 (2)_...8a14c83e_1NSH7XI'!$1:$10</definedName>
    <definedName name="_xlnm.Print_Titles" localSheetId="17">OSR_330_10VFP5Y!$A:$C,OSR_330_10VFP5Y!$1:$10</definedName>
    <definedName name="_xlnm.Print_Titles" localSheetId="24">'OSR_331 (2)_...7280af70_1P5SPLT'!$A:$C,'OSR_331 (2)_...7280af70_1P5SPLT'!$1:$10</definedName>
    <definedName name="_xlnm.Print_Titles" localSheetId="21">OSR_331_10VKQAJ!$A:$C,OSR_331_10VKQAJ!$1:$10</definedName>
    <definedName name="_xlnm.Print_Titles" localSheetId="23">OSR_332_6NDVBW!$A:$C,OSR_332_6NDVBW!$1:$10</definedName>
    <definedName name="_xlnm.Print_Titles" localSheetId="28">'OSR_491 (2)_...853a34aa_1UNC34K'!$A:$C,'OSR_491 (2)_...853a34aa_1UNC34K'!$1:$10</definedName>
    <definedName name="_xlnm.Print_Titles" localSheetId="29">OSR_491_9Z9JH5!$A:$C,OSR_491_9Z9JH5!$1:$10</definedName>
    <definedName name="_xlnm.Print_Titles" localSheetId="34">'OSR_492 (2)_...cd97c6a6_13HYXEV'!$A:$C,'OSR_492 (2)_...cd97c6a6_13HYXEV'!$1:$10</definedName>
    <definedName name="_xlnm.Print_Titles" localSheetId="31">OSR_492_943FP1!$A:$C,OSR_492_943FP1!$1:$10</definedName>
    <definedName name="_xlnm.Print_Titles" localSheetId="4">'OSR_Current ...69b7dd8c_1IEQKFK'!$A:$C,'OSR_Current ...69b7dd8c_1IEQKFK'!$1:$10</definedName>
    <definedName name="_xlnm.Print_Titles" localSheetId="99">OSR_Dept_Y0WUKY!$A:$C,OSR_Dept_Y0WUKY!$1:$10</definedName>
    <definedName name="_xlnm.Print_Titles" localSheetId="8">'OSR_Div 1 (2)...789fe994_2NV3KA'!$A:$C,'OSR_Div 1 (2)...789fe994_2NV3KA'!$1:$10</definedName>
    <definedName name="_xlnm.Print_Titles" localSheetId="5">'OSR_Div 1_7H47HR'!$A:$C,'OSR_Div 1_7H47HR'!$1:$10</definedName>
    <definedName name="_xlnm.Print_Titles" localSheetId="7">'OSR_Div 2_1PQ800A'!$A:$C,'OSR_Div 2_1PQ800A'!$1:$10</definedName>
    <definedName name="_xlnm.Print_Titles" localSheetId="6">'OSR_Div 3 (2)...4cb81c06_PBSMLS'!$A:$C,'OSR_Div 3 (2)...4cb81c06_PBSMLS'!$1:$10</definedName>
    <definedName name="_xlnm.Print_Titles" localSheetId="9">'OSR_Div 3_18723PH'!$A:$C,'OSR_Div 3_18723PH'!$1:$10</definedName>
    <definedName name="_xlnm.Print_Titles" localSheetId="32">'OSR_Div 4 (2)...1a9a4454_CQFRNE'!$A:$C,'OSR_Div 4 (2)...1a9a4454_CQFRNE'!$1:$10</definedName>
    <definedName name="_xlnm.Print_Titles" localSheetId="30">'OSR_Div 4 (2...2533da42_174R6QX'!$A:$C,'OSR_Div 4 (2...2533da42_174R6QX'!$1:$10</definedName>
    <definedName name="_xlnm.Print_Titles" localSheetId="25">'OSR_Div 4_1740TMT'!$A:$C,'OSR_Div 4_1740TMT'!$1:$10</definedName>
    <definedName name="_xlnm.Print_Titles" localSheetId="36">'OSR_Div 5 (2)...32d16c57_IVJ1QO'!$A:$C,'OSR_Div 5 (2)...32d16c57_IVJ1QO'!$1:$10</definedName>
    <definedName name="_xlnm.Print_Titles" localSheetId="33">'OSR_Div 5_16NAZO2'!$A:$C,'OSR_Div 5_16NAZO2'!$1:$10</definedName>
    <definedName name="_xlnm.Print_Titles" localSheetId="35">'OSR_Div 6_P37YY7'!$A:$C,'OSR_Div 6_P37YY7'!$1:$10</definedName>
    <definedName name="_xlnm.Print_Titles" localSheetId="100">'OSR_Summary (...56e5d78f_5JEYZH'!$A:$C,'OSR_Summary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62913"/>
</workbook>
</file>

<file path=xl/calcChain.xml><?xml version="1.0" encoding="utf-8"?>
<calcChain xmlns="http://schemas.openxmlformats.org/spreadsheetml/2006/main">
  <c r="X72" i="110" l="1"/>
  <c r="Z72" i="110" s="1"/>
  <c r="L72" i="110"/>
  <c r="N72" i="110" s="1"/>
  <c r="J72" i="110"/>
  <c r="X68" i="110"/>
  <c r="Z68" i="110" s="1"/>
  <c r="P68" i="110"/>
  <c r="D68" i="110"/>
  <c r="L68" i="110" s="1"/>
  <c r="N68" i="110" s="1"/>
  <c r="B68" i="110"/>
  <c r="T67" i="110"/>
  <c r="P67" i="110"/>
  <c r="H67" i="110"/>
  <c r="D67" i="110"/>
  <c r="L67" i="110" s="1"/>
  <c r="N67" i="110" s="1"/>
  <c r="X65" i="110"/>
  <c r="Z65" i="110" s="1"/>
  <c r="V65" i="110"/>
  <c r="N65" i="110"/>
  <c r="L65" i="110"/>
  <c r="B65" i="110"/>
  <c r="T64" i="110"/>
  <c r="P64" i="110"/>
  <c r="H64" i="110"/>
  <c r="L64" i="110" s="1"/>
  <c r="N64" i="110" s="1"/>
  <c r="D64" i="110"/>
  <c r="B64" i="110"/>
  <c r="Z63" i="110"/>
  <c r="X63" i="110"/>
  <c r="R63" i="110"/>
  <c r="N63" i="110"/>
  <c r="L63" i="110"/>
  <c r="B63" i="110"/>
  <c r="Z62" i="110"/>
  <c r="X62" i="110"/>
  <c r="N62" i="110"/>
  <c r="L62" i="110"/>
  <c r="B62" i="110"/>
  <c r="Z61" i="110"/>
  <c r="X61" i="110"/>
  <c r="N61" i="110"/>
  <c r="L61" i="110"/>
  <c r="J61" i="110"/>
  <c r="B61" i="110"/>
  <c r="Z60" i="110"/>
  <c r="X60" i="110"/>
  <c r="T60" i="110"/>
  <c r="P60" i="110"/>
  <c r="H60" i="110"/>
  <c r="D60" i="110"/>
  <c r="L60" i="110" s="1"/>
  <c r="B60" i="110"/>
  <c r="Z59" i="110"/>
  <c r="X59" i="110"/>
  <c r="N59" i="110"/>
  <c r="L59" i="110"/>
  <c r="B59" i="110"/>
  <c r="Z58" i="110"/>
  <c r="X58" i="110"/>
  <c r="R58" i="110"/>
  <c r="N58" i="110"/>
  <c r="L58" i="110"/>
  <c r="B58" i="110"/>
  <c r="V57" i="110"/>
  <c r="T57" i="110"/>
  <c r="P57" i="110"/>
  <c r="X57" i="110" s="1"/>
  <c r="N57" i="110"/>
  <c r="L57" i="110"/>
  <c r="H57" i="110"/>
  <c r="D57" i="110"/>
  <c r="B57" i="110"/>
  <c r="X56" i="110"/>
  <c r="Z56" i="110" s="1"/>
  <c r="V56" i="110"/>
  <c r="N56" i="110"/>
  <c r="L56" i="110"/>
  <c r="J56" i="110"/>
  <c r="B56" i="110"/>
  <c r="T55" i="110"/>
  <c r="P55" i="110"/>
  <c r="X55" i="110" s="1"/>
  <c r="Z55" i="110" s="1"/>
  <c r="H55" i="110"/>
  <c r="D55" i="110"/>
  <c r="B55" i="110"/>
  <c r="Z54" i="110"/>
  <c r="X54" i="110"/>
  <c r="N54" i="110"/>
  <c r="L54" i="110"/>
  <c r="B54" i="110"/>
  <c r="X53" i="110"/>
  <c r="Z53" i="110" s="1"/>
  <c r="T53" i="110"/>
  <c r="P53" i="110"/>
  <c r="H53" i="110"/>
  <c r="D53" i="110"/>
  <c r="L53" i="110" s="1"/>
  <c r="B53" i="110"/>
  <c r="Z52" i="110"/>
  <c r="X52" i="110"/>
  <c r="L52" i="110"/>
  <c r="N52" i="110" s="1"/>
  <c r="J52" i="110"/>
  <c r="B52" i="110"/>
  <c r="T51" i="110"/>
  <c r="P51" i="110"/>
  <c r="H51" i="110"/>
  <c r="D51" i="110"/>
  <c r="L51" i="110" s="1"/>
  <c r="B51" i="110"/>
  <c r="Z50" i="110"/>
  <c r="X50" i="110"/>
  <c r="V50" i="110"/>
  <c r="N50" i="110"/>
  <c r="L50" i="110"/>
  <c r="B50" i="110"/>
  <c r="V49" i="110"/>
  <c r="T49" i="110"/>
  <c r="Z49" i="110" s="1"/>
  <c r="P49" i="110"/>
  <c r="X49" i="110" s="1"/>
  <c r="H49" i="110"/>
  <c r="D49" i="110"/>
  <c r="L49" i="110" s="1"/>
  <c r="N49" i="110" s="1"/>
  <c r="B49" i="110"/>
  <c r="Z48" i="110"/>
  <c r="X48" i="110"/>
  <c r="L48" i="110"/>
  <c r="N48" i="110" s="1"/>
  <c r="B48" i="110"/>
  <c r="V47" i="110"/>
  <c r="T47" i="110"/>
  <c r="P47" i="110"/>
  <c r="X47" i="110" s="1"/>
  <c r="Z47" i="110" s="1"/>
  <c r="L47" i="110"/>
  <c r="N47" i="110" s="1"/>
  <c r="H47" i="110"/>
  <c r="D47" i="110"/>
  <c r="B47" i="110"/>
  <c r="X46" i="110"/>
  <c r="Z46" i="110" s="1"/>
  <c r="V46" i="110"/>
  <c r="R46" i="110"/>
  <c r="N46" i="110"/>
  <c r="L46" i="110"/>
  <c r="J46" i="110"/>
  <c r="B46" i="110"/>
  <c r="T45" i="110"/>
  <c r="R45" i="110"/>
  <c r="P45" i="110"/>
  <c r="X45" i="110" s="1"/>
  <c r="H45" i="110"/>
  <c r="L45" i="110" s="1"/>
  <c r="D45" i="110"/>
  <c r="B45" i="110"/>
  <c r="X44" i="110"/>
  <c r="Z44" i="110" s="1"/>
  <c r="L44" i="110"/>
  <c r="N44" i="110" s="1"/>
  <c r="B44" i="110"/>
  <c r="T43" i="110"/>
  <c r="P43" i="110"/>
  <c r="X43" i="110" s="1"/>
  <c r="Z43" i="110" s="1"/>
  <c r="N43" i="110"/>
  <c r="L43" i="110"/>
  <c r="H43" i="110"/>
  <c r="D43" i="110"/>
  <c r="B43" i="110"/>
  <c r="Z42" i="110"/>
  <c r="X42" i="110"/>
  <c r="N42" i="110"/>
  <c r="L42" i="110"/>
  <c r="J42" i="110"/>
  <c r="F42" i="110"/>
  <c r="B42" i="110"/>
  <c r="X41" i="110"/>
  <c r="Z41" i="110" s="1"/>
  <c r="T41" i="110"/>
  <c r="P41" i="110"/>
  <c r="H41" i="110"/>
  <c r="D41" i="110"/>
  <c r="B41" i="110"/>
  <c r="Z40" i="110"/>
  <c r="X40" i="110"/>
  <c r="N40" i="110"/>
  <c r="L40" i="110"/>
  <c r="J40" i="110"/>
  <c r="B40" i="110"/>
  <c r="Z39" i="110"/>
  <c r="X39" i="110"/>
  <c r="N39" i="110"/>
  <c r="L39" i="110"/>
  <c r="B39" i="110"/>
  <c r="Z38" i="110"/>
  <c r="X38" i="110"/>
  <c r="R38" i="110"/>
  <c r="N38" i="110"/>
  <c r="L38" i="110"/>
  <c r="J38" i="110"/>
  <c r="F38" i="110"/>
  <c r="B38" i="110"/>
  <c r="X37" i="110"/>
  <c r="Z37" i="110" s="1"/>
  <c r="V37" i="110"/>
  <c r="N37" i="110"/>
  <c r="L37" i="110"/>
  <c r="B37" i="110"/>
  <c r="Z36" i="110"/>
  <c r="X36" i="110"/>
  <c r="N36" i="110"/>
  <c r="L36" i="110"/>
  <c r="J36" i="110"/>
  <c r="B36" i="110"/>
  <c r="Z35" i="110"/>
  <c r="X35" i="110"/>
  <c r="N35" i="110"/>
  <c r="L35" i="110"/>
  <c r="B35" i="110"/>
  <c r="X34" i="110"/>
  <c r="Z34" i="110" s="1"/>
  <c r="N34" i="110"/>
  <c r="L34" i="110"/>
  <c r="B34" i="110"/>
  <c r="Z33" i="110"/>
  <c r="X33" i="110"/>
  <c r="V33" i="110"/>
  <c r="N33" i="110"/>
  <c r="L33" i="110"/>
  <c r="J33" i="110"/>
  <c r="B33" i="110"/>
  <c r="Z32" i="110"/>
  <c r="X32" i="110"/>
  <c r="L32" i="110"/>
  <c r="N32" i="110" s="1"/>
  <c r="J32" i="110"/>
  <c r="B32" i="110"/>
  <c r="Z31" i="110"/>
  <c r="X31" i="110"/>
  <c r="N31" i="110"/>
  <c r="L31" i="110"/>
  <c r="B31" i="110"/>
  <c r="T30" i="110"/>
  <c r="P30" i="110"/>
  <c r="L30" i="110"/>
  <c r="N30" i="110" s="1"/>
  <c r="H30" i="110"/>
  <c r="D30" i="110"/>
  <c r="B30" i="110"/>
  <c r="Z29" i="110"/>
  <c r="X29" i="110"/>
  <c r="L29" i="110"/>
  <c r="N29" i="110" s="1"/>
  <c r="B29" i="110"/>
  <c r="X28" i="110"/>
  <c r="Z28" i="110" s="1"/>
  <c r="V28" i="110"/>
  <c r="L28" i="110"/>
  <c r="N28" i="110" s="1"/>
  <c r="J28" i="110"/>
  <c r="B28" i="110"/>
  <c r="Z27" i="110"/>
  <c r="X27" i="110"/>
  <c r="L27" i="110"/>
  <c r="N27" i="110" s="1"/>
  <c r="J27" i="110"/>
  <c r="B27" i="110"/>
  <c r="Z26" i="110"/>
  <c r="X26" i="110"/>
  <c r="V26" i="110"/>
  <c r="N26" i="110"/>
  <c r="L26" i="110"/>
  <c r="F26" i="110"/>
  <c r="B26" i="110"/>
  <c r="Z25" i="110"/>
  <c r="X25" i="110"/>
  <c r="V25" i="110"/>
  <c r="L25" i="110"/>
  <c r="N25" i="110" s="1"/>
  <c r="J25" i="110"/>
  <c r="B25" i="110"/>
  <c r="X24" i="110"/>
  <c r="Z24" i="110" s="1"/>
  <c r="R24" i="110"/>
  <c r="L24" i="110"/>
  <c r="N24" i="110" s="1"/>
  <c r="J24" i="110"/>
  <c r="F24" i="110"/>
  <c r="B24" i="110"/>
  <c r="Z23" i="110"/>
  <c r="X23" i="110"/>
  <c r="N23" i="110"/>
  <c r="L23" i="110"/>
  <c r="B23" i="110"/>
  <c r="X22" i="110"/>
  <c r="Z22" i="110" s="1"/>
  <c r="V22" i="110"/>
  <c r="R22" i="110"/>
  <c r="N22" i="110"/>
  <c r="L22" i="110"/>
  <c r="F22" i="110"/>
  <c r="B22" i="110"/>
  <c r="Z21" i="110"/>
  <c r="X21" i="110"/>
  <c r="R21" i="110"/>
  <c r="L21" i="110"/>
  <c r="N21" i="110" s="1"/>
  <c r="J21" i="110"/>
  <c r="B21" i="110"/>
  <c r="T20" i="110"/>
  <c r="P20" i="110"/>
  <c r="X20" i="110" s="1"/>
  <c r="J20" i="110"/>
  <c r="H20" i="110"/>
  <c r="D20" i="110"/>
  <c r="B20" i="110"/>
  <c r="T19" i="110"/>
  <c r="V19" i="110" s="1"/>
  <c r="P19" i="110"/>
  <c r="J19" i="110"/>
  <c r="H19" i="110"/>
  <c r="N19" i="110" s="1"/>
  <c r="D19" i="110"/>
  <c r="L19" i="110" s="1"/>
  <c r="T17" i="110"/>
  <c r="H17" i="110"/>
  <c r="Z15" i="110"/>
  <c r="V15" i="110"/>
  <c r="T15" i="110"/>
  <c r="P15" i="110"/>
  <c r="N15" i="110"/>
  <c r="H15" i="110"/>
  <c r="D15" i="110"/>
  <c r="L15" i="110" s="1"/>
  <c r="X13" i="110"/>
  <c r="Z13" i="110" s="1"/>
  <c r="P13" i="110"/>
  <c r="P12" i="110" s="1"/>
  <c r="R50" i="110" s="1"/>
  <c r="D13" i="110"/>
  <c r="L13" i="110" s="1"/>
  <c r="N13" i="110" s="1"/>
  <c r="B13" i="110"/>
  <c r="T12" i="110"/>
  <c r="L12" i="110"/>
  <c r="H12" i="110"/>
  <c r="D12" i="110"/>
  <c r="F37" i="110" s="1"/>
  <c r="D6" i="110"/>
  <c r="D4" i="110"/>
  <c r="R53" i="109"/>
  <c r="J53" i="109"/>
  <c r="R50" i="109"/>
  <c r="Z48" i="109"/>
  <c r="X48" i="109"/>
  <c r="R48" i="109"/>
  <c r="N48" i="109"/>
  <c r="L48" i="109"/>
  <c r="J48" i="109"/>
  <c r="R46" i="109"/>
  <c r="J46" i="109"/>
  <c r="Z44" i="109"/>
  <c r="P44" i="109"/>
  <c r="X44" i="109" s="1"/>
  <c r="N44" i="109"/>
  <c r="L44" i="109"/>
  <c r="D44" i="109"/>
  <c r="B44" i="109"/>
  <c r="Z43" i="109"/>
  <c r="R43" i="109"/>
  <c r="P43" i="109"/>
  <c r="X43" i="109" s="1"/>
  <c r="N43" i="109"/>
  <c r="L43" i="109"/>
  <c r="J43" i="109"/>
  <c r="D43" i="109"/>
  <c r="B43" i="109"/>
  <c r="P42" i="109"/>
  <c r="L42" i="109"/>
  <c r="N42" i="109" s="1"/>
  <c r="J42" i="109"/>
  <c r="D42" i="109"/>
  <c r="B42" i="109"/>
  <c r="X41" i="109"/>
  <c r="Z41" i="109" s="1"/>
  <c r="R41" i="109"/>
  <c r="P41" i="109"/>
  <c r="N41" i="109"/>
  <c r="D41" i="109"/>
  <c r="L41" i="109" s="1"/>
  <c r="B41" i="109"/>
  <c r="T40" i="109"/>
  <c r="R40" i="109"/>
  <c r="J40" i="109"/>
  <c r="H40" i="109"/>
  <c r="D40" i="109"/>
  <c r="L40" i="109" s="1"/>
  <c r="Z38" i="109"/>
  <c r="X38" i="109"/>
  <c r="R38" i="109"/>
  <c r="N38" i="109"/>
  <c r="L38" i="109"/>
  <c r="B38" i="109"/>
  <c r="Z37" i="109"/>
  <c r="X37" i="109"/>
  <c r="R37" i="109"/>
  <c r="N37" i="109"/>
  <c r="L37" i="109"/>
  <c r="J37" i="109"/>
  <c r="B37" i="109"/>
  <c r="Z36" i="109"/>
  <c r="X36" i="109"/>
  <c r="N36" i="109"/>
  <c r="L36" i="109"/>
  <c r="J36" i="109"/>
  <c r="B36" i="109"/>
  <c r="Z35" i="109"/>
  <c r="X35" i="109"/>
  <c r="R35" i="109"/>
  <c r="N35" i="109"/>
  <c r="L35" i="109"/>
  <c r="J35" i="109"/>
  <c r="B35" i="109"/>
  <c r="Z34" i="109"/>
  <c r="X34" i="109"/>
  <c r="R34" i="109"/>
  <c r="N34" i="109"/>
  <c r="L34" i="109"/>
  <c r="J34" i="109"/>
  <c r="B34" i="109"/>
  <c r="Z33" i="109"/>
  <c r="X33" i="109"/>
  <c r="R33" i="109"/>
  <c r="N33" i="109"/>
  <c r="L33" i="109"/>
  <c r="J33" i="109"/>
  <c r="B33" i="109"/>
  <c r="Z32" i="109"/>
  <c r="X32" i="109"/>
  <c r="R32" i="109"/>
  <c r="N32" i="109"/>
  <c r="L32" i="109"/>
  <c r="J32" i="109"/>
  <c r="B32" i="109"/>
  <c r="Z31" i="109"/>
  <c r="X31" i="109"/>
  <c r="R31" i="109"/>
  <c r="N31" i="109"/>
  <c r="L31" i="109"/>
  <c r="B31" i="109"/>
  <c r="Z30" i="109"/>
  <c r="X30" i="109"/>
  <c r="N30" i="109"/>
  <c r="L30" i="109"/>
  <c r="J30" i="109"/>
  <c r="B30" i="109"/>
  <c r="X29" i="109"/>
  <c r="Z29" i="109" s="1"/>
  <c r="R29" i="109"/>
  <c r="L29" i="109"/>
  <c r="N29" i="109" s="1"/>
  <c r="J29" i="109"/>
  <c r="B29" i="109"/>
  <c r="T28" i="109"/>
  <c r="P28" i="109"/>
  <c r="X28" i="109" s="1"/>
  <c r="Z28" i="109" s="1"/>
  <c r="J28" i="109"/>
  <c r="H28" i="109"/>
  <c r="D28" i="109"/>
  <c r="B28" i="109"/>
  <c r="Z27" i="109"/>
  <c r="X27" i="109"/>
  <c r="N27" i="109"/>
  <c r="L27" i="109"/>
  <c r="B27" i="109"/>
  <c r="X26" i="109"/>
  <c r="Z26" i="109" s="1"/>
  <c r="R26" i="109"/>
  <c r="L26" i="109"/>
  <c r="N26" i="109" s="1"/>
  <c r="J26" i="109"/>
  <c r="B26" i="109"/>
  <c r="Z25" i="109"/>
  <c r="X25" i="109"/>
  <c r="R25" i="109"/>
  <c r="N25" i="109"/>
  <c r="L25" i="109"/>
  <c r="J25" i="109"/>
  <c r="B25" i="109"/>
  <c r="Z24" i="109"/>
  <c r="X24" i="109"/>
  <c r="R24" i="109"/>
  <c r="L24" i="109"/>
  <c r="N24" i="109" s="1"/>
  <c r="J24" i="109"/>
  <c r="B24" i="109"/>
  <c r="Z23" i="109"/>
  <c r="X23" i="109"/>
  <c r="R23" i="109"/>
  <c r="L23" i="109"/>
  <c r="N23" i="109" s="1"/>
  <c r="J23" i="109"/>
  <c r="B23" i="109"/>
  <c r="Z22" i="109"/>
  <c r="X22" i="109"/>
  <c r="R22" i="109"/>
  <c r="N22" i="109"/>
  <c r="L22" i="109"/>
  <c r="J22" i="109"/>
  <c r="B22" i="109"/>
  <c r="Z21" i="109"/>
  <c r="X21" i="109"/>
  <c r="R21" i="109"/>
  <c r="N21" i="109"/>
  <c r="L21" i="109"/>
  <c r="J21" i="109"/>
  <c r="F21" i="109"/>
  <c r="B21" i="109"/>
  <c r="Z20" i="109"/>
  <c r="X20" i="109"/>
  <c r="R20" i="109"/>
  <c r="L20" i="109"/>
  <c r="N20" i="109" s="1"/>
  <c r="J20" i="109"/>
  <c r="B20" i="109"/>
  <c r="T19" i="109"/>
  <c r="P19" i="109"/>
  <c r="J19" i="109"/>
  <c r="H19" i="109"/>
  <c r="D19" i="109"/>
  <c r="B19" i="109"/>
  <c r="T18" i="109"/>
  <c r="P18" i="109"/>
  <c r="J18" i="109"/>
  <c r="H18" i="109"/>
  <c r="D18" i="109"/>
  <c r="J16" i="109"/>
  <c r="H16" i="109"/>
  <c r="D16" i="109"/>
  <c r="Z14" i="109"/>
  <c r="X14" i="109"/>
  <c r="T14" i="109"/>
  <c r="P14" i="109"/>
  <c r="P16" i="109" s="1"/>
  <c r="J14" i="109"/>
  <c r="H14" i="109"/>
  <c r="N14" i="109" s="1"/>
  <c r="D14" i="109"/>
  <c r="L14" i="109" s="1"/>
  <c r="T12" i="109"/>
  <c r="V27" i="109" s="1"/>
  <c r="P12" i="109"/>
  <c r="R30" i="109" s="1"/>
  <c r="N12" i="109"/>
  <c r="H12" i="109"/>
  <c r="J27" i="109" s="1"/>
  <c r="D12" i="109"/>
  <c r="F42" i="109" s="1"/>
  <c r="D6" i="109"/>
  <c r="D4" i="109"/>
  <c r="X93" i="108"/>
  <c r="Z93" i="108" s="1"/>
  <c r="N93" i="108"/>
  <c r="L93" i="108"/>
  <c r="T89" i="108"/>
  <c r="Z89" i="108" s="1"/>
  <c r="P89" i="108"/>
  <c r="X89" i="108" s="1"/>
  <c r="N89" i="108"/>
  <c r="L89" i="108"/>
  <c r="H89" i="108"/>
  <c r="D89" i="108"/>
  <c r="X87" i="108"/>
  <c r="Z87" i="108" s="1"/>
  <c r="L87" i="108"/>
  <c r="N87" i="108" s="1"/>
  <c r="B87" i="108"/>
  <c r="Z86" i="108"/>
  <c r="X86" i="108"/>
  <c r="N86" i="108"/>
  <c r="L86" i="108"/>
  <c r="B86" i="108"/>
  <c r="T85" i="108"/>
  <c r="P85" i="108"/>
  <c r="X85" i="108" s="1"/>
  <c r="Z85" i="108" s="1"/>
  <c r="H85" i="108"/>
  <c r="D85" i="108"/>
  <c r="L85" i="108" s="1"/>
  <c r="B85" i="108"/>
  <c r="X84" i="108"/>
  <c r="Z84" i="108" s="1"/>
  <c r="N84" i="108"/>
  <c r="L84" i="108"/>
  <c r="B84" i="108"/>
  <c r="T83" i="108"/>
  <c r="P83" i="108"/>
  <c r="H83" i="108"/>
  <c r="D83" i="108"/>
  <c r="B83" i="108"/>
  <c r="X82" i="108"/>
  <c r="Z82" i="108" s="1"/>
  <c r="N82" i="108"/>
  <c r="L82" i="108"/>
  <c r="B82" i="108"/>
  <c r="T81" i="108"/>
  <c r="P81" i="108"/>
  <c r="X81" i="108" s="1"/>
  <c r="Z81" i="108" s="1"/>
  <c r="N81" i="108"/>
  <c r="H81" i="108"/>
  <c r="D81" i="108"/>
  <c r="L81" i="108" s="1"/>
  <c r="B81" i="108"/>
  <c r="Z80" i="108"/>
  <c r="X80" i="108"/>
  <c r="N80" i="108"/>
  <c r="L80" i="108"/>
  <c r="B80" i="108"/>
  <c r="Z79" i="108"/>
  <c r="X79" i="108"/>
  <c r="N79" i="108"/>
  <c r="L79" i="108"/>
  <c r="B79" i="108"/>
  <c r="Z78" i="108"/>
  <c r="X78" i="108"/>
  <c r="L78" i="108"/>
  <c r="N78" i="108" s="1"/>
  <c r="B78" i="108"/>
  <c r="Z77" i="108"/>
  <c r="X77" i="108"/>
  <c r="L77" i="108"/>
  <c r="N77" i="108" s="1"/>
  <c r="B77" i="108"/>
  <c r="Z76" i="108"/>
  <c r="X76" i="108"/>
  <c r="L76" i="108"/>
  <c r="N76" i="108" s="1"/>
  <c r="B76" i="108"/>
  <c r="X75" i="108"/>
  <c r="Z75" i="108" s="1"/>
  <c r="L75" i="108"/>
  <c r="N75" i="108" s="1"/>
  <c r="B75" i="108"/>
  <c r="T74" i="108"/>
  <c r="Z74" i="108" s="1"/>
  <c r="P74" i="108"/>
  <c r="X74" i="108" s="1"/>
  <c r="H74" i="108"/>
  <c r="D74" i="108"/>
  <c r="L74" i="108" s="1"/>
  <c r="N74" i="108" s="1"/>
  <c r="B74" i="108"/>
  <c r="X73" i="108"/>
  <c r="Z73" i="108" s="1"/>
  <c r="L73" i="108"/>
  <c r="N73" i="108" s="1"/>
  <c r="B73" i="108"/>
  <c r="Z72" i="108"/>
  <c r="X72" i="108"/>
  <c r="N72" i="108"/>
  <c r="L72" i="108"/>
  <c r="J72" i="108"/>
  <c r="B72" i="108"/>
  <c r="X71" i="108"/>
  <c r="Z71" i="108" s="1"/>
  <c r="N71" i="108"/>
  <c r="L71" i="108"/>
  <c r="B71" i="108"/>
  <c r="X70" i="108"/>
  <c r="Z70" i="108" s="1"/>
  <c r="T70" i="108"/>
  <c r="P70" i="108"/>
  <c r="L70" i="108"/>
  <c r="N70" i="108" s="1"/>
  <c r="H70" i="108"/>
  <c r="D70" i="108"/>
  <c r="B70" i="108"/>
  <c r="X69" i="108"/>
  <c r="Z69" i="108" s="1"/>
  <c r="L69" i="108"/>
  <c r="N69" i="108" s="1"/>
  <c r="B69" i="108"/>
  <c r="Z68" i="108"/>
  <c r="X68" i="108"/>
  <c r="N68" i="108"/>
  <c r="L68" i="108"/>
  <c r="B68" i="108"/>
  <c r="T67" i="108"/>
  <c r="P67" i="108"/>
  <c r="H67" i="108"/>
  <c r="D67" i="108"/>
  <c r="L67" i="108" s="1"/>
  <c r="N67" i="108" s="1"/>
  <c r="B67" i="108"/>
  <c r="Z66" i="108"/>
  <c r="X66" i="108"/>
  <c r="N66" i="108"/>
  <c r="L66" i="108"/>
  <c r="B66" i="108"/>
  <c r="X65" i="108"/>
  <c r="Z65" i="108" s="1"/>
  <c r="T65" i="108"/>
  <c r="P65" i="108"/>
  <c r="J65" i="108"/>
  <c r="H65" i="108"/>
  <c r="D65" i="108"/>
  <c r="L65" i="108" s="1"/>
  <c r="B65" i="108"/>
  <c r="X64" i="108"/>
  <c r="Z64" i="108" s="1"/>
  <c r="N64" i="108"/>
  <c r="L64" i="108"/>
  <c r="B64" i="108"/>
  <c r="X63" i="108"/>
  <c r="T63" i="108"/>
  <c r="P63" i="108"/>
  <c r="H63" i="108"/>
  <c r="D63" i="108"/>
  <c r="L63" i="108" s="1"/>
  <c r="B63" i="108"/>
  <c r="X62" i="108"/>
  <c r="Z62" i="108" s="1"/>
  <c r="N62" i="108"/>
  <c r="L62" i="108"/>
  <c r="B62" i="108"/>
  <c r="T61" i="108"/>
  <c r="P61" i="108"/>
  <c r="X61" i="108" s="1"/>
  <c r="Z61" i="108" s="1"/>
  <c r="H61" i="108"/>
  <c r="N61" i="108" s="1"/>
  <c r="D61" i="108"/>
  <c r="L61" i="108" s="1"/>
  <c r="B61" i="108"/>
  <c r="Z60" i="108"/>
  <c r="X60" i="108"/>
  <c r="N60" i="108"/>
  <c r="L60" i="108"/>
  <c r="B60" i="108"/>
  <c r="T59" i="108"/>
  <c r="Z59" i="108" s="1"/>
  <c r="R59" i="108"/>
  <c r="P59" i="108"/>
  <c r="N59" i="108"/>
  <c r="L59" i="108"/>
  <c r="H59" i="108"/>
  <c r="D59" i="108"/>
  <c r="B59" i="108"/>
  <c r="Z58" i="108"/>
  <c r="X58" i="108"/>
  <c r="N58" i="108"/>
  <c r="L58" i="108"/>
  <c r="B58" i="108"/>
  <c r="X57" i="108"/>
  <c r="T57" i="108"/>
  <c r="Z57" i="108" s="1"/>
  <c r="P57" i="108"/>
  <c r="N57" i="108"/>
  <c r="L57" i="108"/>
  <c r="J57" i="108"/>
  <c r="H57" i="108"/>
  <c r="D57" i="108"/>
  <c r="B57" i="108"/>
  <c r="Z56" i="108"/>
  <c r="X56" i="108"/>
  <c r="N56" i="108"/>
  <c r="L56" i="108"/>
  <c r="B56" i="108"/>
  <c r="T55" i="108"/>
  <c r="Z55" i="108" s="1"/>
  <c r="P55" i="108"/>
  <c r="X55" i="108" s="1"/>
  <c r="H55" i="108"/>
  <c r="D55" i="108"/>
  <c r="B55" i="108"/>
  <c r="Z54" i="108"/>
  <c r="X54" i="108"/>
  <c r="N54" i="108"/>
  <c r="L54" i="108"/>
  <c r="B54" i="108"/>
  <c r="Z53" i="108"/>
  <c r="T53" i="108"/>
  <c r="P53" i="108"/>
  <c r="X53" i="108" s="1"/>
  <c r="L53" i="108"/>
  <c r="H53" i="108"/>
  <c r="N53" i="108" s="1"/>
  <c r="D53" i="108"/>
  <c r="B53" i="108"/>
  <c r="X52" i="108"/>
  <c r="Z52" i="108" s="1"/>
  <c r="N52" i="108"/>
  <c r="L52" i="108"/>
  <c r="B52" i="108"/>
  <c r="X51" i="108"/>
  <c r="Z51" i="108" s="1"/>
  <c r="V51" i="108"/>
  <c r="N51" i="108"/>
  <c r="L51" i="108"/>
  <c r="B51" i="108"/>
  <c r="T50" i="108"/>
  <c r="P50" i="108"/>
  <c r="X50" i="108" s="1"/>
  <c r="Z50" i="108" s="1"/>
  <c r="L50" i="108"/>
  <c r="H50" i="108"/>
  <c r="N50" i="108" s="1"/>
  <c r="D50" i="108"/>
  <c r="B50" i="108"/>
  <c r="X49" i="108"/>
  <c r="Z49" i="108" s="1"/>
  <c r="N49" i="108"/>
  <c r="L49" i="108"/>
  <c r="B49" i="108"/>
  <c r="T48" i="108"/>
  <c r="P48" i="108"/>
  <c r="X48" i="108" s="1"/>
  <c r="Z48" i="108" s="1"/>
  <c r="L48" i="108"/>
  <c r="N48" i="108" s="1"/>
  <c r="H48" i="108"/>
  <c r="D48" i="108"/>
  <c r="B48" i="108"/>
  <c r="Z47" i="108"/>
  <c r="X47" i="108"/>
  <c r="N47" i="108"/>
  <c r="L47" i="108"/>
  <c r="J47" i="108"/>
  <c r="B47" i="108"/>
  <c r="Z46" i="108"/>
  <c r="X46" i="108"/>
  <c r="N46" i="108"/>
  <c r="L46" i="108"/>
  <c r="B46" i="108"/>
  <c r="Z45" i="108"/>
  <c r="X45" i="108"/>
  <c r="N45" i="108"/>
  <c r="L45" i="108"/>
  <c r="B45" i="108"/>
  <c r="Z44" i="108"/>
  <c r="X44" i="108"/>
  <c r="L44" i="108"/>
  <c r="N44" i="108" s="1"/>
  <c r="B44" i="108"/>
  <c r="Z43" i="108"/>
  <c r="X43" i="108"/>
  <c r="N43" i="108"/>
  <c r="L43" i="108"/>
  <c r="J43" i="108"/>
  <c r="B43" i="108"/>
  <c r="Z42" i="108"/>
  <c r="X42" i="108"/>
  <c r="N42" i="108"/>
  <c r="L42" i="108"/>
  <c r="B42" i="108"/>
  <c r="Z41" i="108"/>
  <c r="X41" i="108"/>
  <c r="L41" i="108"/>
  <c r="N41" i="108" s="1"/>
  <c r="B41" i="108"/>
  <c r="Z40" i="108"/>
  <c r="X40" i="108"/>
  <c r="R40" i="108"/>
  <c r="N40" i="108"/>
  <c r="L40" i="108"/>
  <c r="B40" i="108"/>
  <c r="X39" i="108"/>
  <c r="Z39" i="108" s="1"/>
  <c r="L39" i="108"/>
  <c r="N39" i="108" s="1"/>
  <c r="J39" i="108"/>
  <c r="B39" i="108"/>
  <c r="Z38" i="108"/>
  <c r="X38" i="108"/>
  <c r="N38" i="108"/>
  <c r="L38" i="108"/>
  <c r="B38" i="108"/>
  <c r="T37" i="108"/>
  <c r="P37" i="108"/>
  <c r="X37" i="108" s="1"/>
  <c r="Z37" i="108" s="1"/>
  <c r="L37" i="108"/>
  <c r="H37" i="108"/>
  <c r="N37" i="108" s="1"/>
  <c r="D37" i="108"/>
  <c r="B37" i="108"/>
  <c r="Z36" i="108"/>
  <c r="X36" i="108"/>
  <c r="N36" i="108"/>
  <c r="L36" i="108"/>
  <c r="J36" i="108"/>
  <c r="B36" i="108"/>
  <c r="X35" i="108"/>
  <c r="Z35" i="108" s="1"/>
  <c r="N35" i="108"/>
  <c r="L35" i="108"/>
  <c r="B35" i="108"/>
  <c r="Z34" i="108"/>
  <c r="X34" i="108"/>
  <c r="L34" i="108"/>
  <c r="N34" i="108" s="1"/>
  <c r="B34" i="108"/>
  <c r="Z33" i="108"/>
  <c r="X33" i="108"/>
  <c r="N33" i="108"/>
  <c r="L33" i="108"/>
  <c r="B33" i="108"/>
  <c r="Z32" i="108"/>
  <c r="X32" i="108"/>
  <c r="N32" i="108"/>
  <c r="L32" i="108"/>
  <c r="J32" i="108"/>
  <c r="B32" i="108"/>
  <c r="X31" i="108"/>
  <c r="Z31" i="108" s="1"/>
  <c r="N31" i="108"/>
  <c r="L31" i="108"/>
  <c r="B31" i="108"/>
  <c r="Z30" i="108"/>
  <c r="X30" i="108"/>
  <c r="L30" i="108"/>
  <c r="N30" i="108" s="1"/>
  <c r="B30" i="108"/>
  <c r="X29" i="108"/>
  <c r="Z29" i="108" s="1"/>
  <c r="L29" i="108"/>
  <c r="N29" i="108" s="1"/>
  <c r="B29" i="108"/>
  <c r="X28" i="108"/>
  <c r="Z28" i="108" s="1"/>
  <c r="N28" i="108"/>
  <c r="L28" i="108"/>
  <c r="J28" i="108"/>
  <c r="B28" i="108"/>
  <c r="X27" i="108"/>
  <c r="Z27" i="108" s="1"/>
  <c r="N27" i="108"/>
  <c r="L27" i="108"/>
  <c r="B27" i="108"/>
  <c r="T26" i="108"/>
  <c r="P26" i="108"/>
  <c r="X26" i="108" s="1"/>
  <c r="Z26" i="108" s="1"/>
  <c r="L26" i="108"/>
  <c r="H26" i="108"/>
  <c r="N26" i="108" s="1"/>
  <c r="D26" i="108"/>
  <c r="B26" i="108"/>
  <c r="T25" i="108"/>
  <c r="P25" i="108"/>
  <c r="H25" i="108"/>
  <c r="D25" i="108"/>
  <c r="H23" i="108"/>
  <c r="Z21" i="108"/>
  <c r="X21" i="108"/>
  <c r="N21" i="108"/>
  <c r="L21" i="108"/>
  <c r="J21" i="108"/>
  <c r="B21" i="108"/>
  <c r="Z20" i="108"/>
  <c r="X20" i="108"/>
  <c r="N20" i="108"/>
  <c r="L20" i="108"/>
  <c r="J20" i="108"/>
  <c r="B20" i="108"/>
  <c r="Z19" i="108"/>
  <c r="X19" i="108"/>
  <c r="R19" i="108"/>
  <c r="L19" i="108"/>
  <c r="N19" i="108" s="1"/>
  <c r="B19" i="108"/>
  <c r="X18" i="108"/>
  <c r="Z18" i="108" s="1"/>
  <c r="T18" i="108"/>
  <c r="P18" i="108"/>
  <c r="N18" i="108"/>
  <c r="J18" i="108"/>
  <c r="H18" i="108"/>
  <c r="D18" i="108"/>
  <c r="L18" i="108" s="1"/>
  <c r="Z16" i="108"/>
  <c r="X16" i="108"/>
  <c r="P16" i="108"/>
  <c r="N16" i="108"/>
  <c r="L16" i="108"/>
  <c r="D16" i="108"/>
  <c r="B16" i="108"/>
  <c r="Z15" i="108"/>
  <c r="X15" i="108"/>
  <c r="P15" i="108"/>
  <c r="N15" i="108"/>
  <c r="D15" i="108"/>
  <c r="L15" i="108" s="1"/>
  <c r="B15" i="108"/>
  <c r="X14" i="108"/>
  <c r="Z14" i="108" s="1"/>
  <c r="P14" i="108"/>
  <c r="L14" i="108"/>
  <c r="N14" i="108" s="1"/>
  <c r="D14" i="108"/>
  <c r="B14" i="108"/>
  <c r="Z13" i="108"/>
  <c r="X13" i="108"/>
  <c r="P13" i="108"/>
  <c r="P12" i="108" s="1"/>
  <c r="R62" i="108" s="1"/>
  <c r="N13" i="108"/>
  <c r="L13" i="108"/>
  <c r="D13" i="108"/>
  <c r="B13" i="108"/>
  <c r="T12" i="108"/>
  <c r="V63" i="108" s="1"/>
  <c r="H12" i="108"/>
  <c r="J82" i="108" s="1"/>
  <c r="D6" i="108"/>
  <c r="D4" i="108"/>
  <c r="F29" i="107"/>
  <c r="F26" i="107"/>
  <c r="Z24" i="107"/>
  <c r="X24" i="107"/>
  <c r="N24" i="107"/>
  <c r="L24" i="107"/>
  <c r="J24" i="107"/>
  <c r="J22" i="107"/>
  <c r="F22" i="107"/>
  <c r="T20" i="107"/>
  <c r="Z20" i="107" s="1"/>
  <c r="P20" i="107"/>
  <c r="X20" i="107" s="1"/>
  <c r="N20" i="107"/>
  <c r="J20" i="107"/>
  <c r="H20" i="107"/>
  <c r="F20" i="107"/>
  <c r="D20" i="107"/>
  <c r="L20" i="107" s="1"/>
  <c r="V18" i="107"/>
  <c r="T18" i="107"/>
  <c r="Z18" i="107" s="1"/>
  <c r="P18" i="107"/>
  <c r="X18" i="107" s="1"/>
  <c r="N18" i="107"/>
  <c r="J18" i="107"/>
  <c r="H18" i="107"/>
  <c r="F18" i="107"/>
  <c r="D18" i="107"/>
  <c r="L18" i="107" s="1"/>
  <c r="T16" i="107"/>
  <c r="Z16" i="107" s="1"/>
  <c r="J16" i="107"/>
  <c r="F16" i="107"/>
  <c r="V14" i="107"/>
  <c r="T14" i="107"/>
  <c r="Z14" i="107" s="1"/>
  <c r="P14" i="107"/>
  <c r="X14" i="107" s="1"/>
  <c r="N14" i="107"/>
  <c r="J14" i="107"/>
  <c r="H14" i="107"/>
  <c r="F14" i="107"/>
  <c r="D14" i="107"/>
  <c r="L14" i="107" s="1"/>
  <c r="T12" i="107"/>
  <c r="P12" i="107"/>
  <c r="R29" i="107" s="1"/>
  <c r="L12" i="107"/>
  <c r="H12" i="107"/>
  <c r="N12" i="107" s="1"/>
  <c r="D12" i="107"/>
  <c r="F24" i="107" s="1"/>
  <c r="D6" i="107"/>
  <c r="D4" i="107"/>
  <c r="Z94" i="106"/>
  <c r="X94" i="106"/>
  <c r="L94" i="106"/>
  <c r="N94" i="106" s="1"/>
  <c r="Z90" i="106"/>
  <c r="T90" i="106"/>
  <c r="P90" i="106"/>
  <c r="X90" i="106" s="1"/>
  <c r="H90" i="106"/>
  <c r="N90" i="106" s="1"/>
  <c r="D90" i="106"/>
  <c r="L90" i="106" s="1"/>
  <c r="Z88" i="106"/>
  <c r="X88" i="106"/>
  <c r="N88" i="106"/>
  <c r="L88" i="106"/>
  <c r="B88" i="106"/>
  <c r="Z87" i="106"/>
  <c r="T87" i="106"/>
  <c r="P87" i="106"/>
  <c r="X87" i="106" s="1"/>
  <c r="L87" i="106"/>
  <c r="H87" i="106"/>
  <c r="N87" i="106" s="1"/>
  <c r="D87" i="106"/>
  <c r="B87" i="106"/>
  <c r="X86" i="106"/>
  <c r="Z86" i="106" s="1"/>
  <c r="N86" i="106"/>
  <c r="L86" i="106"/>
  <c r="J86" i="106"/>
  <c r="B86" i="106"/>
  <c r="X85" i="106"/>
  <c r="T85" i="106"/>
  <c r="P85" i="106"/>
  <c r="H85" i="106"/>
  <c r="D85" i="106"/>
  <c r="B85" i="106"/>
  <c r="X84" i="106"/>
  <c r="Z84" i="106" s="1"/>
  <c r="N84" i="106"/>
  <c r="L84" i="106"/>
  <c r="B84" i="106"/>
  <c r="T83" i="106"/>
  <c r="P83" i="106"/>
  <c r="H83" i="106"/>
  <c r="D83" i="106"/>
  <c r="L83" i="106" s="1"/>
  <c r="B83" i="106"/>
  <c r="Z82" i="106"/>
  <c r="X82" i="106"/>
  <c r="V82" i="106"/>
  <c r="L82" i="106"/>
  <c r="N82" i="106" s="1"/>
  <c r="B82" i="106"/>
  <c r="Z81" i="106"/>
  <c r="X81" i="106"/>
  <c r="N81" i="106"/>
  <c r="L81" i="106"/>
  <c r="B81" i="106"/>
  <c r="Z80" i="106"/>
  <c r="X80" i="106"/>
  <c r="V80" i="106"/>
  <c r="N80" i="106"/>
  <c r="L80" i="106"/>
  <c r="B80" i="106"/>
  <c r="Z79" i="106"/>
  <c r="X79" i="106"/>
  <c r="L79" i="106"/>
  <c r="N79" i="106" s="1"/>
  <c r="B79" i="106"/>
  <c r="Z78" i="106"/>
  <c r="X78" i="106"/>
  <c r="L78" i="106"/>
  <c r="N78" i="106" s="1"/>
  <c r="B78" i="106"/>
  <c r="X77" i="106"/>
  <c r="Z77" i="106" s="1"/>
  <c r="L77" i="106"/>
  <c r="N77" i="106" s="1"/>
  <c r="B77" i="106"/>
  <c r="Z76" i="106"/>
  <c r="X76" i="106"/>
  <c r="N76" i="106"/>
  <c r="L76" i="106"/>
  <c r="B76" i="106"/>
  <c r="T75" i="106"/>
  <c r="P75" i="106"/>
  <c r="X75" i="106" s="1"/>
  <c r="Z75" i="106" s="1"/>
  <c r="H75" i="106"/>
  <c r="D75" i="106"/>
  <c r="L75" i="106" s="1"/>
  <c r="B75" i="106"/>
  <c r="X74" i="106"/>
  <c r="Z74" i="106" s="1"/>
  <c r="N74" i="106"/>
  <c r="L74" i="106"/>
  <c r="B74" i="106"/>
  <c r="X73" i="106"/>
  <c r="Z73" i="106" s="1"/>
  <c r="N73" i="106"/>
  <c r="L73" i="106"/>
  <c r="B73" i="106"/>
  <c r="Z72" i="106"/>
  <c r="X72" i="106"/>
  <c r="N72" i="106"/>
  <c r="L72" i="106"/>
  <c r="B72" i="106"/>
  <c r="X71" i="106"/>
  <c r="Z71" i="106" s="1"/>
  <c r="L71" i="106"/>
  <c r="N71" i="106" s="1"/>
  <c r="B71" i="106"/>
  <c r="X70" i="106"/>
  <c r="T70" i="106"/>
  <c r="Z70" i="106" s="1"/>
  <c r="P70" i="106"/>
  <c r="H70" i="106"/>
  <c r="D70" i="106"/>
  <c r="L70" i="106" s="1"/>
  <c r="N70" i="106" s="1"/>
  <c r="B70" i="106"/>
  <c r="Z69" i="106"/>
  <c r="X69" i="106"/>
  <c r="L69" i="106"/>
  <c r="N69" i="106" s="1"/>
  <c r="B69" i="106"/>
  <c r="X68" i="106"/>
  <c r="Z68" i="106" s="1"/>
  <c r="N68" i="106"/>
  <c r="L68" i="106"/>
  <c r="B68" i="106"/>
  <c r="X67" i="106"/>
  <c r="Z67" i="106" s="1"/>
  <c r="N67" i="106"/>
  <c r="L67" i="106"/>
  <c r="B67" i="106"/>
  <c r="T66" i="106"/>
  <c r="P66" i="106"/>
  <c r="X66" i="106" s="1"/>
  <c r="Z66" i="106" s="1"/>
  <c r="H66" i="106"/>
  <c r="D66" i="106"/>
  <c r="B66" i="106"/>
  <c r="X65" i="106"/>
  <c r="Z65" i="106" s="1"/>
  <c r="L65" i="106"/>
  <c r="N65" i="106" s="1"/>
  <c r="B65" i="106"/>
  <c r="T64" i="106"/>
  <c r="P64" i="106"/>
  <c r="X64" i="106" s="1"/>
  <c r="Z64" i="106" s="1"/>
  <c r="H64" i="106"/>
  <c r="D64" i="106"/>
  <c r="B64" i="106"/>
  <c r="X63" i="106"/>
  <c r="Z63" i="106" s="1"/>
  <c r="L63" i="106"/>
  <c r="N63" i="106" s="1"/>
  <c r="B63" i="106"/>
  <c r="X62" i="106"/>
  <c r="T62" i="106"/>
  <c r="Z62" i="106" s="1"/>
  <c r="P62" i="106"/>
  <c r="N62" i="106"/>
  <c r="H62" i="106"/>
  <c r="D62" i="106"/>
  <c r="L62" i="106" s="1"/>
  <c r="B62" i="106"/>
  <c r="Z61" i="106"/>
  <c r="X61" i="106"/>
  <c r="L61" i="106"/>
  <c r="N61" i="106" s="1"/>
  <c r="B61" i="106"/>
  <c r="T60" i="106"/>
  <c r="P60" i="106"/>
  <c r="H60" i="106"/>
  <c r="D60" i="106"/>
  <c r="L60" i="106" s="1"/>
  <c r="N60" i="106" s="1"/>
  <c r="B60" i="106"/>
  <c r="Z59" i="106"/>
  <c r="X59" i="106"/>
  <c r="L59" i="106"/>
  <c r="N59" i="106" s="1"/>
  <c r="B59" i="106"/>
  <c r="T58" i="106"/>
  <c r="P58" i="106"/>
  <c r="X58" i="106" s="1"/>
  <c r="H58" i="106"/>
  <c r="D58" i="106"/>
  <c r="L58" i="106" s="1"/>
  <c r="N58" i="106" s="1"/>
  <c r="B58" i="106"/>
  <c r="X57" i="106"/>
  <c r="Z57" i="106" s="1"/>
  <c r="N57" i="106"/>
  <c r="L57" i="106"/>
  <c r="B57" i="106"/>
  <c r="Z56" i="106"/>
  <c r="T56" i="106"/>
  <c r="P56" i="106"/>
  <c r="X56" i="106" s="1"/>
  <c r="L56" i="106"/>
  <c r="H56" i="106"/>
  <c r="N56" i="106" s="1"/>
  <c r="D56" i="106"/>
  <c r="B56" i="106"/>
  <c r="X55" i="106"/>
  <c r="Z55" i="106" s="1"/>
  <c r="N55" i="106"/>
  <c r="L55" i="106"/>
  <c r="B55" i="106"/>
  <c r="T54" i="106"/>
  <c r="P54" i="106"/>
  <c r="H54" i="106"/>
  <c r="D54" i="106"/>
  <c r="L54" i="106" s="1"/>
  <c r="N54" i="106" s="1"/>
  <c r="B54" i="106"/>
  <c r="Z53" i="106"/>
  <c r="X53" i="106"/>
  <c r="N53" i="106"/>
  <c r="L53" i="106"/>
  <c r="B53" i="106"/>
  <c r="T52" i="106"/>
  <c r="P52" i="106"/>
  <c r="X52" i="106" s="1"/>
  <c r="H52" i="106"/>
  <c r="D52" i="106"/>
  <c r="B52" i="106"/>
  <c r="Z51" i="106"/>
  <c r="X51" i="106"/>
  <c r="L51" i="106"/>
  <c r="N51" i="106" s="1"/>
  <c r="B51" i="106"/>
  <c r="X50" i="106"/>
  <c r="T50" i="106"/>
  <c r="P50" i="106"/>
  <c r="H50" i="106"/>
  <c r="D50" i="106"/>
  <c r="B50" i="106"/>
  <c r="Z49" i="106"/>
  <c r="X49" i="106"/>
  <c r="L49" i="106"/>
  <c r="N49" i="106" s="1"/>
  <c r="B49" i="106"/>
  <c r="T48" i="106"/>
  <c r="P48" i="106"/>
  <c r="L48" i="106"/>
  <c r="H48" i="106"/>
  <c r="N48" i="106" s="1"/>
  <c r="D48" i="106"/>
  <c r="B48" i="106"/>
  <c r="Z47" i="106"/>
  <c r="X47" i="106"/>
  <c r="N47" i="106"/>
  <c r="L47" i="106"/>
  <c r="J47" i="106"/>
  <c r="B47" i="106"/>
  <c r="Z46" i="106"/>
  <c r="X46" i="106"/>
  <c r="V46" i="106"/>
  <c r="N46" i="106"/>
  <c r="L46" i="106"/>
  <c r="B46" i="106"/>
  <c r="Z45" i="106"/>
  <c r="X45" i="106"/>
  <c r="L45" i="106"/>
  <c r="N45" i="106" s="1"/>
  <c r="B45" i="106"/>
  <c r="X44" i="106"/>
  <c r="Z44" i="106" s="1"/>
  <c r="N44" i="106"/>
  <c r="L44" i="106"/>
  <c r="B44" i="106"/>
  <c r="Z43" i="106"/>
  <c r="X43" i="106"/>
  <c r="N43" i="106"/>
  <c r="L43" i="106"/>
  <c r="B43" i="106"/>
  <c r="X42" i="106"/>
  <c r="Z42" i="106" s="1"/>
  <c r="L42" i="106"/>
  <c r="N42" i="106" s="1"/>
  <c r="B42" i="106"/>
  <c r="X41" i="106"/>
  <c r="Z41" i="106" s="1"/>
  <c r="N41" i="106"/>
  <c r="L41" i="106"/>
  <c r="B41" i="106"/>
  <c r="Z40" i="106"/>
  <c r="X40" i="106"/>
  <c r="N40" i="106"/>
  <c r="L40" i="106"/>
  <c r="B40" i="106"/>
  <c r="Z39" i="106"/>
  <c r="X39" i="106"/>
  <c r="N39" i="106"/>
  <c r="L39" i="106"/>
  <c r="B39" i="106"/>
  <c r="Z38" i="106"/>
  <c r="X38" i="106"/>
  <c r="N38" i="106"/>
  <c r="L38" i="106"/>
  <c r="B38" i="106"/>
  <c r="X37" i="106"/>
  <c r="T37" i="106"/>
  <c r="Z37" i="106" s="1"/>
  <c r="P37" i="106"/>
  <c r="H37" i="106"/>
  <c r="L37" i="106" s="1"/>
  <c r="N37" i="106" s="1"/>
  <c r="D37" i="106"/>
  <c r="B37" i="106"/>
  <c r="Z36" i="106"/>
  <c r="X36" i="106"/>
  <c r="V36" i="106"/>
  <c r="L36" i="106"/>
  <c r="N36" i="106" s="1"/>
  <c r="B36" i="106"/>
  <c r="Z35" i="106"/>
  <c r="X35" i="106"/>
  <c r="L35" i="106"/>
  <c r="N35" i="106" s="1"/>
  <c r="B35" i="106"/>
  <c r="X34" i="106"/>
  <c r="Z34" i="106" s="1"/>
  <c r="L34" i="106"/>
  <c r="N34" i="106" s="1"/>
  <c r="J34" i="106"/>
  <c r="B34" i="106"/>
  <c r="Z33" i="106"/>
  <c r="X33" i="106"/>
  <c r="V33" i="106"/>
  <c r="N33" i="106"/>
  <c r="L33" i="106"/>
  <c r="B33" i="106"/>
  <c r="Z32" i="106"/>
  <c r="X32" i="106"/>
  <c r="V32" i="106"/>
  <c r="N32" i="106"/>
  <c r="L32" i="106"/>
  <c r="B32" i="106"/>
  <c r="Z31" i="106"/>
  <c r="X31" i="106"/>
  <c r="L31" i="106"/>
  <c r="N31" i="106" s="1"/>
  <c r="B31" i="106"/>
  <c r="X30" i="106"/>
  <c r="Z30" i="106" s="1"/>
  <c r="L30" i="106"/>
  <c r="N30" i="106" s="1"/>
  <c r="J30" i="106"/>
  <c r="B30" i="106"/>
  <c r="Z29" i="106"/>
  <c r="X29" i="106"/>
  <c r="V29" i="106"/>
  <c r="L29" i="106"/>
  <c r="N29" i="106" s="1"/>
  <c r="J29" i="106"/>
  <c r="B29" i="106"/>
  <c r="Z28" i="106"/>
  <c r="X28" i="106"/>
  <c r="V28" i="106"/>
  <c r="L28" i="106"/>
  <c r="N28" i="106" s="1"/>
  <c r="B28" i="106"/>
  <c r="Z27" i="106"/>
  <c r="X27" i="106"/>
  <c r="L27" i="106"/>
  <c r="N27" i="106" s="1"/>
  <c r="B27" i="106"/>
  <c r="T26" i="106"/>
  <c r="P26" i="106"/>
  <c r="N26" i="106"/>
  <c r="J26" i="106"/>
  <c r="H26" i="106"/>
  <c r="D26" i="106"/>
  <c r="L26" i="106" s="1"/>
  <c r="B26" i="106"/>
  <c r="T25" i="106"/>
  <c r="V25" i="106" s="1"/>
  <c r="P25" i="106"/>
  <c r="X25" i="106" s="1"/>
  <c r="Z25" i="106" s="1"/>
  <c r="H25" i="106"/>
  <c r="D25" i="106"/>
  <c r="L25" i="106" s="1"/>
  <c r="N25" i="106" s="1"/>
  <c r="Z21" i="106"/>
  <c r="X21" i="106"/>
  <c r="V21" i="106"/>
  <c r="N21" i="106"/>
  <c r="L21" i="106"/>
  <c r="B21" i="106"/>
  <c r="Z20" i="106"/>
  <c r="X20" i="106"/>
  <c r="N20" i="106"/>
  <c r="L20" i="106"/>
  <c r="B20" i="106"/>
  <c r="X19" i="106"/>
  <c r="Z19" i="106" s="1"/>
  <c r="V19" i="106"/>
  <c r="N19" i="106"/>
  <c r="L19" i="106"/>
  <c r="B19" i="106"/>
  <c r="V18" i="106"/>
  <c r="T18" i="106"/>
  <c r="Z18" i="106" s="1"/>
  <c r="P18" i="106"/>
  <c r="X18" i="106" s="1"/>
  <c r="L18" i="106"/>
  <c r="H18" i="106"/>
  <c r="N18" i="106" s="1"/>
  <c r="D18" i="106"/>
  <c r="Z16" i="106"/>
  <c r="P16" i="106"/>
  <c r="N16" i="106"/>
  <c r="L16" i="106"/>
  <c r="D16" i="106"/>
  <c r="B16" i="106"/>
  <c r="Z15" i="106"/>
  <c r="P15" i="106"/>
  <c r="X15" i="106" s="1"/>
  <c r="N15" i="106"/>
  <c r="L15" i="106"/>
  <c r="D15" i="106"/>
  <c r="B15" i="106"/>
  <c r="P14" i="106"/>
  <c r="X14" i="106" s="1"/>
  <c r="Z14" i="106" s="1"/>
  <c r="D14" i="106"/>
  <c r="L14" i="106" s="1"/>
  <c r="N14" i="106" s="1"/>
  <c r="B14" i="106"/>
  <c r="Z13" i="106"/>
  <c r="P13" i="106"/>
  <c r="X13" i="106" s="1"/>
  <c r="N13" i="106"/>
  <c r="D13" i="106"/>
  <c r="B13" i="106"/>
  <c r="T12" i="106"/>
  <c r="V20" i="106" s="1"/>
  <c r="H12" i="106"/>
  <c r="J46" i="106" s="1"/>
  <c r="D6" i="106"/>
  <c r="D4" i="106"/>
  <c r="Z64" i="105"/>
  <c r="X64" i="105"/>
  <c r="L64" i="105"/>
  <c r="N64" i="105" s="1"/>
  <c r="Z60" i="105"/>
  <c r="X60" i="105"/>
  <c r="T60" i="105"/>
  <c r="P60" i="105"/>
  <c r="H60" i="105"/>
  <c r="N60" i="105" s="1"/>
  <c r="D60" i="105"/>
  <c r="Z58" i="105"/>
  <c r="X58" i="105"/>
  <c r="N58" i="105"/>
  <c r="L58" i="105"/>
  <c r="B58" i="105"/>
  <c r="Z57" i="105"/>
  <c r="T57" i="105"/>
  <c r="P57" i="105"/>
  <c r="X57" i="105" s="1"/>
  <c r="L57" i="105"/>
  <c r="H57" i="105"/>
  <c r="N57" i="105" s="1"/>
  <c r="D57" i="105"/>
  <c r="B57" i="105"/>
  <c r="Z56" i="105"/>
  <c r="X56" i="105"/>
  <c r="N56" i="105"/>
  <c r="L56" i="105"/>
  <c r="J56" i="105"/>
  <c r="B56" i="105"/>
  <c r="Z55" i="105"/>
  <c r="X55" i="105"/>
  <c r="L55" i="105"/>
  <c r="N55" i="105" s="1"/>
  <c r="B55" i="105"/>
  <c r="T54" i="105"/>
  <c r="P54" i="105"/>
  <c r="X54" i="105" s="1"/>
  <c r="Z54" i="105" s="1"/>
  <c r="H54" i="105"/>
  <c r="D54" i="105"/>
  <c r="B54" i="105"/>
  <c r="X53" i="105"/>
  <c r="Z53" i="105" s="1"/>
  <c r="N53" i="105"/>
  <c r="L53" i="105"/>
  <c r="B53" i="105"/>
  <c r="V52" i="105"/>
  <c r="T52" i="105"/>
  <c r="P52" i="105"/>
  <c r="X52" i="105" s="1"/>
  <c r="L52" i="105"/>
  <c r="H52" i="105"/>
  <c r="N52" i="105" s="1"/>
  <c r="D52" i="105"/>
  <c r="B52" i="105"/>
  <c r="X51" i="105"/>
  <c r="Z51" i="105" s="1"/>
  <c r="N51" i="105"/>
  <c r="L51" i="105"/>
  <c r="B51" i="105"/>
  <c r="X50" i="105"/>
  <c r="Z50" i="105" s="1"/>
  <c r="T50" i="105"/>
  <c r="P50" i="105"/>
  <c r="H50" i="105"/>
  <c r="D50" i="105"/>
  <c r="B50" i="105"/>
  <c r="Z49" i="105"/>
  <c r="X49" i="105"/>
  <c r="L49" i="105"/>
  <c r="N49" i="105" s="1"/>
  <c r="B49" i="105"/>
  <c r="T48" i="105"/>
  <c r="P48" i="105"/>
  <c r="H48" i="105"/>
  <c r="D48" i="105"/>
  <c r="L48" i="105" s="1"/>
  <c r="N48" i="105" s="1"/>
  <c r="B48" i="105"/>
  <c r="Z47" i="105"/>
  <c r="X47" i="105"/>
  <c r="L47" i="105"/>
  <c r="N47" i="105" s="1"/>
  <c r="B47" i="105"/>
  <c r="X46" i="105"/>
  <c r="T46" i="105"/>
  <c r="Z46" i="105" s="1"/>
  <c r="P46" i="105"/>
  <c r="J46" i="105"/>
  <c r="H46" i="105"/>
  <c r="D46" i="105"/>
  <c r="L46" i="105" s="1"/>
  <c r="B46" i="105"/>
  <c r="Z45" i="105"/>
  <c r="X45" i="105"/>
  <c r="N45" i="105"/>
  <c r="L45" i="105"/>
  <c r="B45" i="105"/>
  <c r="Z44" i="105"/>
  <c r="X44" i="105"/>
  <c r="N44" i="105"/>
  <c r="L44" i="105"/>
  <c r="B44" i="105"/>
  <c r="X43" i="105"/>
  <c r="Z43" i="105" s="1"/>
  <c r="N43" i="105"/>
  <c r="L43" i="105"/>
  <c r="B43" i="105"/>
  <c r="Z42" i="105"/>
  <c r="X42" i="105"/>
  <c r="N42" i="105"/>
  <c r="L42" i="105"/>
  <c r="B42" i="105"/>
  <c r="Z41" i="105"/>
  <c r="X41" i="105"/>
  <c r="N41" i="105"/>
  <c r="L41" i="105"/>
  <c r="F41" i="105"/>
  <c r="B41" i="105"/>
  <c r="Z40" i="105"/>
  <c r="X40" i="105"/>
  <c r="N40" i="105"/>
  <c r="L40" i="105"/>
  <c r="B40" i="105"/>
  <c r="Z39" i="105"/>
  <c r="X39" i="105"/>
  <c r="N39" i="105"/>
  <c r="L39" i="105"/>
  <c r="B39" i="105"/>
  <c r="Z38" i="105"/>
  <c r="X38" i="105"/>
  <c r="N38" i="105"/>
  <c r="L38" i="105"/>
  <c r="B38" i="105"/>
  <c r="Z37" i="105"/>
  <c r="X37" i="105"/>
  <c r="N37" i="105"/>
  <c r="L37" i="105"/>
  <c r="B37" i="105"/>
  <c r="Z36" i="105"/>
  <c r="X36" i="105"/>
  <c r="N36" i="105"/>
  <c r="L36" i="105"/>
  <c r="B36" i="105"/>
  <c r="X35" i="105"/>
  <c r="T35" i="105"/>
  <c r="P35" i="105"/>
  <c r="H35" i="105"/>
  <c r="D35" i="105"/>
  <c r="L35" i="105" s="1"/>
  <c r="N35" i="105" s="1"/>
  <c r="B35" i="105"/>
  <c r="Z34" i="105"/>
  <c r="X34" i="105"/>
  <c r="L34" i="105"/>
  <c r="N34" i="105" s="1"/>
  <c r="B34" i="105"/>
  <c r="Z33" i="105"/>
  <c r="X33" i="105"/>
  <c r="N33" i="105"/>
  <c r="L33" i="105"/>
  <c r="B33" i="105"/>
  <c r="Z32" i="105"/>
  <c r="X32" i="105"/>
  <c r="N32" i="105"/>
  <c r="L32" i="105"/>
  <c r="J32" i="105"/>
  <c r="B32" i="105"/>
  <c r="Z31" i="105"/>
  <c r="X31" i="105"/>
  <c r="V31" i="105"/>
  <c r="N31" i="105"/>
  <c r="L31" i="105"/>
  <c r="B31" i="105"/>
  <c r="Z30" i="105"/>
  <c r="X30" i="105"/>
  <c r="L30" i="105"/>
  <c r="N30" i="105" s="1"/>
  <c r="B30" i="105"/>
  <c r="Z29" i="105"/>
  <c r="X29" i="105"/>
  <c r="N29" i="105"/>
  <c r="L29" i="105"/>
  <c r="B29" i="105"/>
  <c r="X28" i="105"/>
  <c r="Z28" i="105" s="1"/>
  <c r="N28" i="105"/>
  <c r="L28" i="105"/>
  <c r="J28" i="105"/>
  <c r="B28" i="105"/>
  <c r="Z27" i="105"/>
  <c r="X27" i="105"/>
  <c r="V27" i="105"/>
  <c r="N27" i="105"/>
  <c r="L27" i="105"/>
  <c r="B27" i="105"/>
  <c r="T26" i="105"/>
  <c r="P26" i="105"/>
  <c r="X26" i="105" s="1"/>
  <c r="Z26" i="105" s="1"/>
  <c r="H26" i="105"/>
  <c r="D26" i="105"/>
  <c r="B26" i="105"/>
  <c r="T25" i="105"/>
  <c r="P25" i="105"/>
  <c r="X25" i="105" s="1"/>
  <c r="H25" i="105"/>
  <c r="D25" i="105"/>
  <c r="Z21" i="105"/>
  <c r="X21" i="105"/>
  <c r="N21" i="105"/>
  <c r="L21" i="105"/>
  <c r="B21" i="105"/>
  <c r="Z20" i="105"/>
  <c r="X20" i="105"/>
  <c r="V20" i="105"/>
  <c r="N20" i="105"/>
  <c r="L20" i="105"/>
  <c r="B20" i="105"/>
  <c r="Z19" i="105"/>
  <c r="X19" i="105"/>
  <c r="V19" i="105"/>
  <c r="L19" i="105"/>
  <c r="N19" i="105" s="1"/>
  <c r="B19" i="105"/>
  <c r="X18" i="105"/>
  <c r="T18" i="105"/>
  <c r="Z18" i="105" s="1"/>
  <c r="P18" i="105"/>
  <c r="J18" i="105"/>
  <c r="H18" i="105"/>
  <c r="D18" i="105"/>
  <c r="L18" i="105" s="1"/>
  <c r="N18" i="105" s="1"/>
  <c r="Z16" i="105"/>
  <c r="X16" i="105"/>
  <c r="P16" i="105"/>
  <c r="N16" i="105"/>
  <c r="D16" i="105"/>
  <c r="D12" i="105" s="1"/>
  <c r="F37" i="105" s="1"/>
  <c r="B16" i="105"/>
  <c r="Z15" i="105"/>
  <c r="X15" i="105"/>
  <c r="P15" i="105"/>
  <c r="N15" i="105"/>
  <c r="L15" i="105"/>
  <c r="D15" i="105"/>
  <c r="B15" i="105"/>
  <c r="X14" i="105"/>
  <c r="Z14" i="105" s="1"/>
  <c r="P14" i="105"/>
  <c r="N14" i="105"/>
  <c r="L14" i="105"/>
  <c r="D14" i="105"/>
  <c r="B14" i="105"/>
  <c r="Z13" i="105"/>
  <c r="P13" i="105"/>
  <c r="X13" i="105" s="1"/>
  <c r="N13" i="105"/>
  <c r="L13" i="105"/>
  <c r="D13" i="105"/>
  <c r="B13" i="105"/>
  <c r="T12" i="105"/>
  <c r="V51" i="105" s="1"/>
  <c r="H12" i="105"/>
  <c r="J57" i="105" s="1"/>
  <c r="D6" i="105"/>
  <c r="D4" i="105"/>
  <c r="X92" i="104"/>
  <c r="Z92" i="104" s="1"/>
  <c r="N92" i="104"/>
  <c r="L92" i="104"/>
  <c r="J92" i="104"/>
  <c r="T88" i="104"/>
  <c r="Z88" i="104" s="1"/>
  <c r="P88" i="104"/>
  <c r="X88" i="104" s="1"/>
  <c r="L88" i="104"/>
  <c r="H88" i="104"/>
  <c r="N88" i="104" s="1"/>
  <c r="D88" i="104"/>
  <c r="X86" i="104"/>
  <c r="Z86" i="104" s="1"/>
  <c r="L86" i="104"/>
  <c r="N86" i="104" s="1"/>
  <c r="B86" i="104"/>
  <c r="Z85" i="104"/>
  <c r="X85" i="104"/>
  <c r="N85" i="104"/>
  <c r="L85" i="104"/>
  <c r="B85" i="104"/>
  <c r="X84" i="104"/>
  <c r="T84" i="104"/>
  <c r="Z84" i="104" s="1"/>
  <c r="P84" i="104"/>
  <c r="H84" i="104"/>
  <c r="D84" i="104"/>
  <c r="B84" i="104"/>
  <c r="Z83" i="104"/>
  <c r="X83" i="104"/>
  <c r="N83" i="104"/>
  <c r="L83" i="104"/>
  <c r="B83" i="104"/>
  <c r="X82" i="104"/>
  <c r="T82" i="104"/>
  <c r="Z82" i="104" s="1"/>
  <c r="P82" i="104"/>
  <c r="N82" i="104"/>
  <c r="H82" i="104"/>
  <c r="D82" i="104"/>
  <c r="L82" i="104" s="1"/>
  <c r="B82" i="104"/>
  <c r="Z81" i="104"/>
  <c r="X81" i="104"/>
  <c r="L81" i="104"/>
  <c r="N81" i="104" s="1"/>
  <c r="B81" i="104"/>
  <c r="X80" i="104"/>
  <c r="T80" i="104"/>
  <c r="P80" i="104"/>
  <c r="H80" i="104"/>
  <c r="D80" i="104"/>
  <c r="L80" i="104" s="1"/>
  <c r="N80" i="104" s="1"/>
  <c r="B80" i="104"/>
  <c r="Z79" i="104"/>
  <c r="X79" i="104"/>
  <c r="N79" i="104"/>
  <c r="L79" i="104"/>
  <c r="B79" i="104"/>
  <c r="X78" i="104"/>
  <c r="Z78" i="104" s="1"/>
  <c r="L78" i="104"/>
  <c r="N78" i="104" s="1"/>
  <c r="B78" i="104"/>
  <c r="X77" i="104"/>
  <c r="Z77" i="104" s="1"/>
  <c r="N77" i="104"/>
  <c r="L77" i="104"/>
  <c r="B77" i="104"/>
  <c r="X76" i="104"/>
  <c r="Z76" i="104" s="1"/>
  <c r="N76" i="104"/>
  <c r="L76" i="104"/>
  <c r="B76" i="104"/>
  <c r="Z75" i="104"/>
  <c r="X75" i="104"/>
  <c r="V75" i="104"/>
  <c r="N75" i="104"/>
  <c r="L75" i="104"/>
  <c r="B75" i="104"/>
  <c r="X74" i="104"/>
  <c r="Z74" i="104" s="1"/>
  <c r="L74" i="104"/>
  <c r="N74" i="104" s="1"/>
  <c r="B74" i="104"/>
  <c r="X73" i="104"/>
  <c r="Z73" i="104" s="1"/>
  <c r="N73" i="104"/>
  <c r="L73" i="104"/>
  <c r="J73" i="104"/>
  <c r="B73" i="104"/>
  <c r="X72" i="104"/>
  <c r="T72" i="104"/>
  <c r="Z72" i="104" s="1"/>
  <c r="P72" i="104"/>
  <c r="H72" i="104"/>
  <c r="D72" i="104"/>
  <c r="L72" i="104" s="1"/>
  <c r="B72" i="104"/>
  <c r="Z71" i="104"/>
  <c r="X71" i="104"/>
  <c r="N71" i="104"/>
  <c r="L71" i="104"/>
  <c r="B71" i="104"/>
  <c r="X70" i="104"/>
  <c r="Z70" i="104" s="1"/>
  <c r="N70" i="104"/>
  <c r="L70" i="104"/>
  <c r="B70" i="104"/>
  <c r="Z69" i="104"/>
  <c r="X69" i="104"/>
  <c r="V69" i="104"/>
  <c r="N69" i="104"/>
  <c r="L69" i="104"/>
  <c r="B69" i="104"/>
  <c r="Z68" i="104"/>
  <c r="X68" i="104"/>
  <c r="L68" i="104"/>
  <c r="N68" i="104" s="1"/>
  <c r="B68" i="104"/>
  <c r="T67" i="104"/>
  <c r="P67" i="104"/>
  <c r="J67" i="104"/>
  <c r="H67" i="104"/>
  <c r="D67" i="104"/>
  <c r="L67" i="104" s="1"/>
  <c r="N67" i="104" s="1"/>
  <c r="B67" i="104"/>
  <c r="Z66" i="104"/>
  <c r="X66" i="104"/>
  <c r="L66" i="104"/>
  <c r="N66" i="104" s="1"/>
  <c r="B66" i="104"/>
  <c r="Z65" i="104"/>
  <c r="X65" i="104"/>
  <c r="N65" i="104"/>
  <c r="L65" i="104"/>
  <c r="B65" i="104"/>
  <c r="T64" i="104"/>
  <c r="P64" i="104"/>
  <c r="H64" i="104"/>
  <c r="D64" i="104"/>
  <c r="L64" i="104" s="1"/>
  <c r="N64" i="104" s="1"/>
  <c r="B64" i="104"/>
  <c r="Z63" i="104"/>
  <c r="X63" i="104"/>
  <c r="V63" i="104"/>
  <c r="N63" i="104"/>
  <c r="L63" i="104"/>
  <c r="B63" i="104"/>
  <c r="T62" i="104"/>
  <c r="P62" i="104"/>
  <c r="X62" i="104" s="1"/>
  <c r="L62" i="104"/>
  <c r="H62" i="104"/>
  <c r="D62" i="104"/>
  <c r="B62" i="104"/>
  <c r="Z61" i="104"/>
  <c r="X61" i="104"/>
  <c r="N61" i="104"/>
  <c r="L61" i="104"/>
  <c r="B61" i="104"/>
  <c r="T60" i="104"/>
  <c r="Z60" i="104" s="1"/>
  <c r="P60" i="104"/>
  <c r="X60" i="104" s="1"/>
  <c r="H60" i="104"/>
  <c r="D60" i="104"/>
  <c r="B60" i="104"/>
  <c r="Z59" i="104"/>
  <c r="X59" i="104"/>
  <c r="N59" i="104"/>
  <c r="L59" i="104"/>
  <c r="B59" i="104"/>
  <c r="T58" i="104"/>
  <c r="P58" i="104"/>
  <c r="X58" i="104" s="1"/>
  <c r="H58" i="104"/>
  <c r="D58" i="104"/>
  <c r="B58" i="104"/>
  <c r="X57" i="104"/>
  <c r="Z57" i="104" s="1"/>
  <c r="N57" i="104"/>
  <c r="L57" i="104"/>
  <c r="B57" i="104"/>
  <c r="X56" i="104"/>
  <c r="T56" i="104"/>
  <c r="P56" i="104"/>
  <c r="L56" i="104"/>
  <c r="H56" i="104"/>
  <c r="D56" i="104"/>
  <c r="B56" i="104"/>
  <c r="Z55" i="104"/>
  <c r="X55" i="104"/>
  <c r="N55" i="104"/>
  <c r="L55" i="104"/>
  <c r="J55" i="104"/>
  <c r="B55" i="104"/>
  <c r="T54" i="104"/>
  <c r="P54" i="104"/>
  <c r="H54" i="104"/>
  <c r="D54" i="104"/>
  <c r="L54" i="104" s="1"/>
  <c r="N54" i="104" s="1"/>
  <c r="B54" i="104"/>
  <c r="Z53" i="104"/>
  <c r="X53" i="104"/>
  <c r="L53" i="104"/>
  <c r="N53" i="104" s="1"/>
  <c r="B53" i="104"/>
  <c r="X52" i="104"/>
  <c r="T52" i="104"/>
  <c r="P52" i="104"/>
  <c r="H52" i="104"/>
  <c r="J52" i="104" s="1"/>
  <c r="D52" i="104"/>
  <c r="L52" i="104" s="1"/>
  <c r="N52" i="104" s="1"/>
  <c r="B52" i="104"/>
  <c r="Z51" i="104"/>
  <c r="X51" i="104"/>
  <c r="N51" i="104"/>
  <c r="L51" i="104"/>
  <c r="B51" i="104"/>
  <c r="T50" i="104"/>
  <c r="P50" i="104"/>
  <c r="X50" i="104" s="1"/>
  <c r="H50" i="104"/>
  <c r="D50" i="104"/>
  <c r="B50" i="104"/>
  <c r="Z49" i="104"/>
  <c r="X49" i="104"/>
  <c r="N49" i="104"/>
  <c r="L49" i="104"/>
  <c r="J49" i="104"/>
  <c r="B49" i="104"/>
  <c r="Z48" i="104"/>
  <c r="X48" i="104"/>
  <c r="V48" i="104"/>
  <c r="T48" i="104"/>
  <c r="P48" i="104"/>
  <c r="H48" i="104"/>
  <c r="D48" i="104"/>
  <c r="L48" i="104" s="1"/>
  <c r="N48" i="104" s="1"/>
  <c r="B48" i="104"/>
  <c r="Z47" i="104"/>
  <c r="X47" i="104"/>
  <c r="N47" i="104"/>
  <c r="L47" i="104"/>
  <c r="B47" i="104"/>
  <c r="Z46" i="104"/>
  <c r="X46" i="104"/>
  <c r="N46" i="104"/>
  <c r="L46" i="104"/>
  <c r="B46" i="104"/>
  <c r="Z45" i="104"/>
  <c r="X45" i="104"/>
  <c r="L45" i="104"/>
  <c r="N45" i="104" s="1"/>
  <c r="J45" i="104"/>
  <c r="B45" i="104"/>
  <c r="X44" i="104"/>
  <c r="Z44" i="104" s="1"/>
  <c r="N44" i="104"/>
  <c r="L44" i="104"/>
  <c r="J44" i="104"/>
  <c r="B44" i="104"/>
  <c r="Z43" i="104"/>
  <c r="X43" i="104"/>
  <c r="V43" i="104"/>
  <c r="N43" i="104"/>
  <c r="L43" i="104"/>
  <c r="J43" i="104"/>
  <c r="B43" i="104"/>
  <c r="Z42" i="104"/>
  <c r="X42" i="104"/>
  <c r="N42" i="104"/>
  <c r="L42" i="104"/>
  <c r="B42" i="104"/>
  <c r="Z41" i="104"/>
  <c r="X41" i="104"/>
  <c r="L41" i="104"/>
  <c r="N41" i="104" s="1"/>
  <c r="J41" i="104"/>
  <c r="B41" i="104"/>
  <c r="Z40" i="104"/>
  <c r="X40" i="104"/>
  <c r="N40" i="104"/>
  <c r="L40" i="104"/>
  <c r="J40" i="104"/>
  <c r="B40" i="104"/>
  <c r="Z39" i="104"/>
  <c r="X39" i="104"/>
  <c r="V39" i="104"/>
  <c r="N39" i="104"/>
  <c r="L39" i="104"/>
  <c r="J39" i="104"/>
  <c r="B39" i="104"/>
  <c r="Z38" i="104"/>
  <c r="X38" i="104"/>
  <c r="N38" i="104"/>
  <c r="L38" i="104"/>
  <c r="B38" i="104"/>
  <c r="T37" i="104"/>
  <c r="P37" i="104"/>
  <c r="J37" i="104"/>
  <c r="H37" i="104"/>
  <c r="D37" i="104"/>
  <c r="L37" i="104" s="1"/>
  <c r="N37" i="104" s="1"/>
  <c r="B37" i="104"/>
  <c r="Z36" i="104"/>
  <c r="X36" i="104"/>
  <c r="V36" i="104"/>
  <c r="N36" i="104"/>
  <c r="L36" i="104"/>
  <c r="J36" i="104"/>
  <c r="B36" i="104"/>
  <c r="Z35" i="104"/>
  <c r="X35" i="104"/>
  <c r="V35" i="104"/>
  <c r="L35" i="104"/>
  <c r="N35" i="104" s="1"/>
  <c r="J35" i="104"/>
  <c r="B35" i="104"/>
  <c r="X34" i="104"/>
  <c r="Z34" i="104" s="1"/>
  <c r="L34" i="104"/>
  <c r="N34" i="104" s="1"/>
  <c r="J34" i="104"/>
  <c r="B34" i="104"/>
  <c r="Z33" i="104"/>
  <c r="X33" i="104"/>
  <c r="V33" i="104"/>
  <c r="N33" i="104"/>
  <c r="L33" i="104"/>
  <c r="J33" i="104"/>
  <c r="B33" i="104"/>
  <c r="Z32" i="104"/>
  <c r="X32" i="104"/>
  <c r="V32" i="104"/>
  <c r="N32" i="104"/>
  <c r="L32" i="104"/>
  <c r="J32" i="104"/>
  <c r="B32" i="104"/>
  <c r="Z31" i="104"/>
  <c r="X31" i="104"/>
  <c r="V31" i="104"/>
  <c r="L31" i="104"/>
  <c r="N31" i="104" s="1"/>
  <c r="J31" i="104"/>
  <c r="B31" i="104"/>
  <c r="X30" i="104"/>
  <c r="Z30" i="104" s="1"/>
  <c r="L30" i="104"/>
  <c r="N30" i="104" s="1"/>
  <c r="J30" i="104"/>
  <c r="B30" i="104"/>
  <c r="X29" i="104"/>
  <c r="Z29" i="104" s="1"/>
  <c r="V29" i="104"/>
  <c r="N29" i="104"/>
  <c r="L29" i="104"/>
  <c r="J29" i="104"/>
  <c r="B29" i="104"/>
  <c r="Z28" i="104"/>
  <c r="X28" i="104"/>
  <c r="V28" i="104"/>
  <c r="L28" i="104"/>
  <c r="N28" i="104" s="1"/>
  <c r="J28" i="104"/>
  <c r="B28" i="104"/>
  <c r="Z27" i="104"/>
  <c r="X27" i="104"/>
  <c r="V27" i="104"/>
  <c r="L27" i="104"/>
  <c r="N27" i="104" s="1"/>
  <c r="J27" i="104"/>
  <c r="B27" i="104"/>
  <c r="X26" i="104"/>
  <c r="T26" i="104"/>
  <c r="P26" i="104"/>
  <c r="J26" i="104"/>
  <c r="H26" i="104"/>
  <c r="D26" i="104"/>
  <c r="L26" i="104" s="1"/>
  <c r="N26" i="104" s="1"/>
  <c r="B26" i="104"/>
  <c r="T25" i="104"/>
  <c r="Z25" i="104" s="1"/>
  <c r="P25" i="104"/>
  <c r="X25" i="104" s="1"/>
  <c r="H25" i="104"/>
  <c r="D25" i="104"/>
  <c r="L25" i="104" s="1"/>
  <c r="V23" i="104"/>
  <c r="T23" i="104"/>
  <c r="T90" i="104" s="1"/>
  <c r="Z21" i="104"/>
  <c r="X21" i="104"/>
  <c r="V21" i="104"/>
  <c r="N21" i="104"/>
  <c r="L21" i="104"/>
  <c r="B21" i="104"/>
  <c r="Z20" i="104"/>
  <c r="X20" i="104"/>
  <c r="V20" i="104"/>
  <c r="N20" i="104"/>
  <c r="L20" i="104"/>
  <c r="J20" i="104"/>
  <c r="B20" i="104"/>
  <c r="X19" i="104"/>
  <c r="Z19" i="104" s="1"/>
  <c r="L19" i="104"/>
  <c r="N19" i="104" s="1"/>
  <c r="J19" i="104"/>
  <c r="B19" i="104"/>
  <c r="Z18" i="104"/>
  <c r="X18" i="104"/>
  <c r="V18" i="104"/>
  <c r="T18" i="104"/>
  <c r="P18" i="104"/>
  <c r="H18" i="104"/>
  <c r="D18" i="104"/>
  <c r="Z16" i="104"/>
  <c r="P16" i="104"/>
  <c r="X16" i="104" s="1"/>
  <c r="N16" i="104"/>
  <c r="L16" i="104"/>
  <c r="D16" i="104"/>
  <c r="B16" i="104"/>
  <c r="Z15" i="104"/>
  <c r="P15" i="104"/>
  <c r="X15" i="104" s="1"/>
  <c r="N15" i="104"/>
  <c r="L15" i="104"/>
  <c r="D15" i="104"/>
  <c r="B15" i="104"/>
  <c r="P14" i="104"/>
  <c r="X14" i="104" s="1"/>
  <c r="Z14" i="104" s="1"/>
  <c r="D14" i="104"/>
  <c r="L14" i="104" s="1"/>
  <c r="N14" i="104" s="1"/>
  <c r="B14" i="104"/>
  <c r="Z13" i="104"/>
  <c r="P13" i="104"/>
  <c r="N13" i="104"/>
  <c r="L13" i="104"/>
  <c r="D13" i="104"/>
  <c r="B13" i="104"/>
  <c r="T12" i="104"/>
  <c r="V58" i="104" s="1"/>
  <c r="H12" i="104"/>
  <c r="D12" i="104"/>
  <c r="D6" i="104"/>
  <c r="D4" i="104"/>
  <c r="V70" i="103"/>
  <c r="F70" i="103"/>
  <c r="V67" i="103"/>
  <c r="F67" i="103"/>
  <c r="Z65" i="103"/>
  <c r="X65" i="103"/>
  <c r="V65" i="103"/>
  <c r="N65" i="103"/>
  <c r="L65" i="103"/>
  <c r="F65" i="103"/>
  <c r="V63" i="103"/>
  <c r="F63" i="103"/>
  <c r="X61" i="103"/>
  <c r="V61" i="103"/>
  <c r="T61" i="103"/>
  <c r="Z61" i="103" s="1"/>
  <c r="P61" i="103"/>
  <c r="N61" i="103"/>
  <c r="H61" i="103"/>
  <c r="F61" i="103"/>
  <c r="D61" i="103"/>
  <c r="L61" i="103" s="1"/>
  <c r="X59" i="103"/>
  <c r="Z59" i="103" s="1"/>
  <c r="V59" i="103"/>
  <c r="R59" i="103"/>
  <c r="N59" i="103"/>
  <c r="L59" i="103"/>
  <c r="B59" i="103"/>
  <c r="V58" i="103"/>
  <c r="T58" i="103"/>
  <c r="P58" i="103"/>
  <c r="X58" i="103" s="1"/>
  <c r="Z58" i="103" s="1"/>
  <c r="N58" i="103"/>
  <c r="H58" i="103"/>
  <c r="L58" i="103" s="1"/>
  <c r="F58" i="103"/>
  <c r="D58" i="103"/>
  <c r="B58" i="103"/>
  <c r="X57" i="103"/>
  <c r="Z57" i="103" s="1"/>
  <c r="N57" i="103"/>
  <c r="L57" i="103"/>
  <c r="B57" i="103"/>
  <c r="V56" i="103"/>
  <c r="T56" i="103"/>
  <c r="P56" i="103"/>
  <c r="H56" i="103"/>
  <c r="D56" i="103"/>
  <c r="L56" i="103" s="1"/>
  <c r="N56" i="103" s="1"/>
  <c r="B56" i="103"/>
  <c r="X55" i="103"/>
  <c r="Z55" i="103" s="1"/>
  <c r="V55" i="103"/>
  <c r="L55" i="103"/>
  <c r="N55" i="103" s="1"/>
  <c r="F55" i="103"/>
  <c r="B55" i="103"/>
  <c r="T54" i="103"/>
  <c r="P54" i="103"/>
  <c r="X54" i="103" s="1"/>
  <c r="H54" i="103"/>
  <c r="F54" i="103"/>
  <c r="D54" i="103"/>
  <c r="B54" i="103"/>
  <c r="Z53" i="103"/>
  <c r="X53" i="103"/>
  <c r="N53" i="103"/>
  <c r="L53" i="103"/>
  <c r="F53" i="103"/>
  <c r="B53" i="103"/>
  <c r="Z52" i="103"/>
  <c r="X52" i="103"/>
  <c r="R52" i="103"/>
  <c r="L52" i="103"/>
  <c r="N52" i="103" s="1"/>
  <c r="F52" i="103"/>
  <c r="B52" i="103"/>
  <c r="X51" i="103"/>
  <c r="Z51" i="103" s="1"/>
  <c r="V51" i="103"/>
  <c r="N51" i="103"/>
  <c r="L51" i="103"/>
  <c r="F51" i="103"/>
  <c r="B51" i="103"/>
  <c r="X50" i="103"/>
  <c r="Z50" i="103" s="1"/>
  <c r="V50" i="103"/>
  <c r="T50" i="103"/>
  <c r="R50" i="103"/>
  <c r="P50" i="103"/>
  <c r="L50" i="103"/>
  <c r="N50" i="103" s="1"/>
  <c r="H50" i="103"/>
  <c r="F50" i="103"/>
  <c r="D50" i="103"/>
  <c r="B50" i="103"/>
  <c r="Z49" i="103"/>
  <c r="X49" i="103"/>
  <c r="R49" i="103"/>
  <c r="N49" i="103"/>
  <c r="L49" i="103"/>
  <c r="B49" i="103"/>
  <c r="V48" i="103"/>
  <c r="T48" i="103"/>
  <c r="R48" i="103"/>
  <c r="P48" i="103"/>
  <c r="H48" i="103"/>
  <c r="N48" i="103" s="1"/>
  <c r="D48" i="103"/>
  <c r="B48" i="103"/>
  <c r="X47" i="103"/>
  <c r="Z47" i="103" s="1"/>
  <c r="V47" i="103"/>
  <c r="L47" i="103"/>
  <c r="N47" i="103" s="1"/>
  <c r="F47" i="103"/>
  <c r="B47" i="103"/>
  <c r="T46" i="103"/>
  <c r="Z46" i="103" s="1"/>
  <c r="P46" i="103"/>
  <c r="X46" i="103" s="1"/>
  <c r="H46" i="103"/>
  <c r="F46" i="103"/>
  <c r="D46" i="103"/>
  <c r="L46" i="103" s="1"/>
  <c r="N46" i="103" s="1"/>
  <c r="B46" i="103"/>
  <c r="Z45" i="103"/>
  <c r="X45" i="103"/>
  <c r="V45" i="103"/>
  <c r="L45" i="103"/>
  <c r="N45" i="103" s="1"/>
  <c r="F45" i="103"/>
  <c r="B45" i="103"/>
  <c r="T44" i="103"/>
  <c r="X44" i="103" s="1"/>
  <c r="Z44" i="103" s="1"/>
  <c r="P44" i="103"/>
  <c r="H44" i="103"/>
  <c r="F44" i="103"/>
  <c r="D44" i="103"/>
  <c r="L44" i="103" s="1"/>
  <c r="N44" i="103" s="1"/>
  <c r="B44" i="103"/>
  <c r="Z43" i="103"/>
  <c r="X43" i="103"/>
  <c r="V43" i="103"/>
  <c r="L43" i="103"/>
  <c r="N43" i="103" s="1"/>
  <c r="F43" i="103"/>
  <c r="B43" i="103"/>
  <c r="V42" i="103"/>
  <c r="T42" i="103"/>
  <c r="P42" i="103"/>
  <c r="X42" i="103" s="1"/>
  <c r="H42" i="103"/>
  <c r="F42" i="103"/>
  <c r="D42" i="103"/>
  <c r="B42" i="103"/>
  <c r="X41" i="103"/>
  <c r="Z41" i="103" s="1"/>
  <c r="V41" i="103"/>
  <c r="N41" i="103"/>
  <c r="L41" i="103"/>
  <c r="F41" i="103"/>
  <c r="B41" i="103"/>
  <c r="V40" i="103"/>
  <c r="T40" i="103"/>
  <c r="P40" i="103"/>
  <c r="X40" i="103" s="1"/>
  <c r="Z40" i="103" s="1"/>
  <c r="H40" i="103"/>
  <c r="F40" i="103"/>
  <c r="D40" i="103"/>
  <c r="L40" i="103" s="1"/>
  <c r="B40" i="103"/>
  <c r="Z39" i="103"/>
  <c r="X39" i="103"/>
  <c r="V39" i="103"/>
  <c r="R39" i="103"/>
  <c r="N39" i="103"/>
  <c r="L39" i="103"/>
  <c r="F39" i="103"/>
  <c r="B39" i="103"/>
  <c r="Z38" i="103"/>
  <c r="X38" i="103"/>
  <c r="V38" i="103"/>
  <c r="N38" i="103"/>
  <c r="L38" i="103"/>
  <c r="F38" i="103"/>
  <c r="B38" i="103"/>
  <c r="Z37" i="103"/>
  <c r="X37" i="103"/>
  <c r="V37" i="103"/>
  <c r="R37" i="103"/>
  <c r="N37" i="103"/>
  <c r="L37" i="103"/>
  <c r="F37" i="103"/>
  <c r="B37" i="103"/>
  <c r="Z36" i="103"/>
  <c r="X36" i="103"/>
  <c r="R36" i="103"/>
  <c r="N36" i="103"/>
  <c r="L36" i="103"/>
  <c r="F36" i="103"/>
  <c r="B36" i="103"/>
  <c r="Z35" i="103"/>
  <c r="X35" i="103"/>
  <c r="V35" i="103"/>
  <c r="R35" i="103"/>
  <c r="N35" i="103"/>
  <c r="L35" i="103"/>
  <c r="F35" i="103"/>
  <c r="B35" i="103"/>
  <c r="Z34" i="103"/>
  <c r="X34" i="103"/>
  <c r="V34" i="103"/>
  <c r="N34" i="103"/>
  <c r="L34" i="103"/>
  <c r="F34" i="103"/>
  <c r="B34" i="103"/>
  <c r="Z33" i="103"/>
  <c r="X33" i="103"/>
  <c r="V33" i="103"/>
  <c r="N33" i="103"/>
  <c r="L33" i="103"/>
  <c r="F33" i="103"/>
  <c r="B33" i="103"/>
  <c r="Z32" i="103"/>
  <c r="X32" i="103"/>
  <c r="R32" i="103"/>
  <c r="N32" i="103"/>
  <c r="L32" i="103"/>
  <c r="F32" i="103"/>
  <c r="B32" i="103"/>
  <c r="X31" i="103"/>
  <c r="Z31" i="103" s="1"/>
  <c r="V31" i="103"/>
  <c r="R31" i="103"/>
  <c r="N31" i="103"/>
  <c r="L31" i="103"/>
  <c r="F31" i="103"/>
  <c r="B31" i="103"/>
  <c r="Z30" i="103"/>
  <c r="X30" i="103"/>
  <c r="V30" i="103"/>
  <c r="N30" i="103"/>
  <c r="L30" i="103"/>
  <c r="F30" i="103"/>
  <c r="B30" i="103"/>
  <c r="V29" i="103"/>
  <c r="T29" i="103"/>
  <c r="R29" i="103"/>
  <c r="P29" i="103"/>
  <c r="L29" i="103"/>
  <c r="H29" i="103"/>
  <c r="F29" i="103"/>
  <c r="D29" i="103"/>
  <c r="B29" i="103"/>
  <c r="Z28" i="103"/>
  <c r="X28" i="103"/>
  <c r="V28" i="103"/>
  <c r="R28" i="103"/>
  <c r="N28" i="103"/>
  <c r="L28" i="103"/>
  <c r="F28" i="103"/>
  <c r="B28" i="103"/>
  <c r="Z27" i="103"/>
  <c r="X27" i="103"/>
  <c r="V27" i="103"/>
  <c r="L27" i="103"/>
  <c r="N27" i="103" s="1"/>
  <c r="F27" i="103"/>
  <c r="B27" i="103"/>
  <c r="X26" i="103"/>
  <c r="Z26" i="103" s="1"/>
  <c r="V26" i="103"/>
  <c r="L26" i="103"/>
  <c r="N26" i="103" s="1"/>
  <c r="F26" i="103"/>
  <c r="B26" i="103"/>
  <c r="Z25" i="103"/>
  <c r="X25" i="103"/>
  <c r="N25" i="103"/>
  <c r="L25" i="103"/>
  <c r="B25" i="103"/>
  <c r="X24" i="103"/>
  <c r="Z24" i="103" s="1"/>
  <c r="V24" i="103"/>
  <c r="R24" i="103"/>
  <c r="N24" i="103"/>
  <c r="L24" i="103"/>
  <c r="F24" i="103"/>
  <c r="B24" i="103"/>
  <c r="Z23" i="103"/>
  <c r="X23" i="103"/>
  <c r="V23" i="103"/>
  <c r="N23" i="103"/>
  <c r="L23" i="103"/>
  <c r="F23" i="103"/>
  <c r="B23" i="103"/>
  <c r="Z22" i="103"/>
  <c r="X22" i="103"/>
  <c r="V22" i="103"/>
  <c r="L22" i="103"/>
  <c r="N22" i="103" s="1"/>
  <c r="F22" i="103"/>
  <c r="B22" i="103"/>
  <c r="Z21" i="103"/>
  <c r="X21" i="103"/>
  <c r="N21" i="103"/>
  <c r="L21" i="103"/>
  <c r="B21" i="103"/>
  <c r="X20" i="103"/>
  <c r="Z20" i="103" s="1"/>
  <c r="V20" i="103"/>
  <c r="R20" i="103"/>
  <c r="N20" i="103"/>
  <c r="L20" i="103"/>
  <c r="J20" i="103"/>
  <c r="F20" i="103"/>
  <c r="B20" i="103"/>
  <c r="Z19" i="103"/>
  <c r="V19" i="103"/>
  <c r="T19" i="103"/>
  <c r="P19" i="103"/>
  <c r="X19" i="103" s="1"/>
  <c r="H19" i="103"/>
  <c r="F19" i="103"/>
  <c r="D19" i="103"/>
  <c r="L19" i="103" s="1"/>
  <c r="B19" i="103"/>
  <c r="T18" i="103"/>
  <c r="P18" i="103"/>
  <c r="X18" i="103" s="1"/>
  <c r="H18" i="103"/>
  <c r="F18" i="103"/>
  <c r="D18" i="103"/>
  <c r="L18" i="103" s="1"/>
  <c r="N18" i="103" s="1"/>
  <c r="T16" i="103"/>
  <c r="Z16" i="103" s="1"/>
  <c r="F16" i="103"/>
  <c r="D16" i="103"/>
  <c r="T14" i="103"/>
  <c r="Z14" i="103" s="1"/>
  <c r="R14" i="103"/>
  <c r="P14" i="103"/>
  <c r="X14" i="103" s="1"/>
  <c r="N14" i="103"/>
  <c r="H14" i="103"/>
  <c r="F14" i="103"/>
  <c r="D14" i="103"/>
  <c r="X12" i="103"/>
  <c r="T12" i="103"/>
  <c r="V52" i="103" s="1"/>
  <c r="P12" i="103"/>
  <c r="R58" i="103" s="1"/>
  <c r="H12" i="103"/>
  <c r="D12" i="103"/>
  <c r="F57" i="103" s="1"/>
  <c r="D6" i="103"/>
  <c r="D4" i="103"/>
  <c r="X90" i="102"/>
  <c r="Z90" i="102" s="1"/>
  <c r="L90" i="102"/>
  <c r="N90" i="102" s="1"/>
  <c r="J90" i="102"/>
  <c r="Z86" i="102"/>
  <c r="V86" i="102"/>
  <c r="P86" i="102"/>
  <c r="X86" i="102" s="1"/>
  <c r="N86" i="102"/>
  <c r="D86" i="102"/>
  <c r="L86" i="102" s="1"/>
  <c r="B86" i="102"/>
  <c r="T85" i="102"/>
  <c r="P85" i="102"/>
  <c r="N85" i="102"/>
  <c r="H85" i="102"/>
  <c r="Z83" i="102"/>
  <c r="X83" i="102"/>
  <c r="L83" i="102"/>
  <c r="N83" i="102" s="1"/>
  <c r="J83" i="102"/>
  <c r="B83" i="102"/>
  <c r="X82" i="102"/>
  <c r="T82" i="102"/>
  <c r="P82" i="102"/>
  <c r="J82" i="102"/>
  <c r="H82" i="102"/>
  <c r="D82" i="102"/>
  <c r="L82" i="102" s="1"/>
  <c r="N82" i="102" s="1"/>
  <c r="B82" i="102"/>
  <c r="X81" i="102"/>
  <c r="Z81" i="102" s="1"/>
  <c r="N81" i="102"/>
  <c r="L81" i="102"/>
  <c r="J81" i="102"/>
  <c r="B81" i="102"/>
  <c r="T80" i="102"/>
  <c r="P80" i="102"/>
  <c r="N80" i="102"/>
  <c r="H80" i="102"/>
  <c r="D80" i="102"/>
  <c r="B80" i="102"/>
  <c r="Z79" i="102"/>
  <c r="X79" i="102"/>
  <c r="N79" i="102"/>
  <c r="L79" i="102"/>
  <c r="F79" i="102"/>
  <c r="B79" i="102"/>
  <c r="X78" i="102"/>
  <c r="Z78" i="102" s="1"/>
  <c r="L78" i="102"/>
  <c r="N78" i="102" s="1"/>
  <c r="J78" i="102"/>
  <c r="B78" i="102"/>
  <c r="X77" i="102"/>
  <c r="T77" i="102"/>
  <c r="P77" i="102"/>
  <c r="H77" i="102"/>
  <c r="D77" i="102"/>
  <c r="B77" i="102"/>
  <c r="Z76" i="102"/>
  <c r="X76" i="102"/>
  <c r="N76" i="102"/>
  <c r="L76" i="102"/>
  <c r="J76" i="102"/>
  <c r="B76" i="102"/>
  <c r="X75" i="102"/>
  <c r="Z75" i="102" s="1"/>
  <c r="N75" i="102"/>
  <c r="L75" i="102"/>
  <c r="J75" i="102"/>
  <c r="B75" i="102"/>
  <c r="Z74" i="102"/>
  <c r="X74" i="102"/>
  <c r="N74" i="102"/>
  <c r="L74" i="102"/>
  <c r="J74" i="102"/>
  <c r="B74" i="102"/>
  <c r="Z73" i="102"/>
  <c r="X73" i="102"/>
  <c r="V73" i="102"/>
  <c r="N73" i="102"/>
  <c r="L73" i="102"/>
  <c r="B73" i="102"/>
  <c r="Z72" i="102"/>
  <c r="X72" i="102"/>
  <c r="L72" i="102"/>
  <c r="N72" i="102" s="1"/>
  <c r="J72" i="102"/>
  <c r="B72" i="102"/>
  <c r="T71" i="102"/>
  <c r="P71" i="102"/>
  <c r="X71" i="102" s="1"/>
  <c r="H71" i="102"/>
  <c r="D71" i="102"/>
  <c r="B71" i="102"/>
  <c r="Z70" i="102"/>
  <c r="X70" i="102"/>
  <c r="L70" i="102"/>
  <c r="N70" i="102" s="1"/>
  <c r="B70" i="102"/>
  <c r="Z69" i="102"/>
  <c r="X69" i="102"/>
  <c r="V69" i="102"/>
  <c r="L69" i="102"/>
  <c r="N69" i="102" s="1"/>
  <c r="J69" i="102"/>
  <c r="B69" i="102"/>
  <c r="T68" i="102"/>
  <c r="P68" i="102"/>
  <c r="X68" i="102" s="1"/>
  <c r="J68" i="102"/>
  <c r="H68" i="102"/>
  <c r="D68" i="102"/>
  <c r="L68" i="102" s="1"/>
  <c r="N68" i="102" s="1"/>
  <c r="B68" i="102"/>
  <c r="Z67" i="102"/>
  <c r="X67" i="102"/>
  <c r="N67" i="102"/>
  <c r="L67" i="102"/>
  <c r="B67" i="102"/>
  <c r="X66" i="102"/>
  <c r="Z66" i="102" s="1"/>
  <c r="L66" i="102"/>
  <c r="N66" i="102" s="1"/>
  <c r="J66" i="102"/>
  <c r="B66" i="102"/>
  <c r="X65" i="102"/>
  <c r="T65" i="102"/>
  <c r="P65" i="102"/>
  <c r="H65" i="102"/>
  <c r="D65" i="102"/>
  <c r="B65" i="102"/>
  <c r="X64" i="102"/>
  <c r="Z64" i="102" s="1"/>
  <c r="L64" i="102"/>
  <c r="N64" i="102" s="1"/>
  <c r="B64" i="102"/>
  <c r="Z63" i="102"/>
  <c r="X63" i="102"/>
  <c r="L63" i="102"/>
  <c r="N63" i="102" s="1"/>
  <c r="J63" i="102"/>
  <c r="B63" i="102"/>
  <c r="Z62" i="102"/>
  <c r="X62" i="102"/>
  <c r="N62" i="102"/>
  <c r="L62" i="102"/>
  <c r="J62" i="102"/>
  <c r="B62" i="102"/>
  <c r="T61" i="102"/>
  <c r="P61" i="102"/>
  <c r="L61" i="102"/>
  <c r="N61" i="102" s="1"/>
  <c r="H61" i="102"/>
  <c r="D61" i="102"/>
  <c r="B61" i="102"/>
  <c r="X60" i="102"/>
  <c r="Z60" i="102" s="1"/>
  <c r="L60" i="102"/>
  <c r="N60" i="102" s="1"/>
  <c r="B60" i="102"/>
  <c r="T59" i="102"/>
  <c r="P59" i="102"/>
  <c r="X59" i="102" s="1"/>
  <c r="Z59" i="102" s="1"/>
  <c r="L59" i="102"/>
  <c r="N59" i="102" s="1"/>
  <c r="H59" i="102"/>
  <c r="J59" i="102" s="1"/>
  <c r="D59" i="102"/>
  <c r="B59" i="102"/>
  <c r="Z58" i="102"/>
  <c r="X58" i="102"/>
  <c r="N58" i="102"/>
  <c r="L58" i="102"/>
  <c r="J58" i="102"/>
  <c r="B58" i="102"/>
  <c r="X57" i="102"/>
  <c r="V57" i="102"/>
  <c r="T57" i="102"/>
  <c r="Z57" i="102" s="1"/>
  <c r="P57" i="102"/>
  <c r="H57" i="102"/>
  <c r="N57" i="102" s="1"/>
  <c r="D57" i="102"/>
  <c r="L57" i="102" s="1"/>
  <c r="B57" i="102"/>
  <c r="Z56" i="102"/>
  <c r="X56" i="102"/>
  <c r="N56" i="102"/>
  <c r="L56" i="102"/>
  <c r="J56" i="102"/>
  <c r="B56" i="102"/>
  <c r="X55" i="102"/>
  <c r="T55" i="102"/>
  <c r="Z55" i="102" s="1"/>
  <c r="P55" i="102"/>
  <c r="H55" i="102"/>
  <c r="N55" i="102" s="1"/>
  <c r="D55" i="102"/>
  <c r="L55" i="102" s="1"/>
  <c r="B55" i="102"/>
  <c r="Z54" i="102"/>
  <c r="X54" i="102"/>
  <c r="L54" i="102"/>
  <c r="N54" i="102" s="1"/>
  <c r="B54" i="102"/>
  <c r="T53" i="102"/>
  <c r="P53" i="102"/>
  <c r="X53" i="102" s="1"/>
  <c r="Z53" i="102" s="1"/>
  <c r="L53" i="102"/>
  <c r="N53" i="102" s="1"/>
  <c r="J53" i="102"/>
  <c r="H53" i="102"/>
  <c r="D53" i="102"/>
  <c r="B53" i="102"/>
  <c r="Z52" i="102"/>
  <c r="X52" i="102"/>
  <c r="L52" i="102"/>
  <c r="N52" i="102" s="1"/>
  <c r="J52" i="102"/>
  <c r="F52" i="102"/>
  <c r="B52" i="102"/>
  <c r="X51" i="102"/>
  <c r="Z51" i="102" s="1"/>
  <c r="T51" i="102"/>
  <c r="P51" i="102"/>
  <c r="L51" i="102"/>
  <c r="H51" i="102"/>
  <c r="D51" i="102"/>
  <c r="B51" i="102"/>
  <c r="X50" i="102"/>
  <c r="Z50" i="102" s="1"/>
  <c r="N50" i="102"/>
  <c r="L50" i="102"/>
  <c r="J50" i="102"/>
  <c r="B50" i="102"/>
  <c r="V49" i="102"/>
  <c r="T49" i="102"/>
  <c r="P49" i="102"/>
  <c r="X49" i="102" s="1"/>
  <c r="H49" i="102"/>
  <c r="D49" i="102"/>
  <c r="L49" i="102" s="1"/>
  <c r="B49" i="102"/>
  <c r="X48" i="102"/>
  <c r="Z48" i="102" s="1"/>
  <c r="N48" i="102"/>
  <c r="L48" i="102"/>
  <c r="J48" i="102"/>
  <c r="B48" i="102"/>
  <c r="X47" i="102"/>
  <c r="Z47" i="102" s="1"/>
  <c r="T47" i="102"/>
  <c r="P47" i="102"/>
  <c r="J47" i="102"/>
  <c r="H47" i="102"/>
  <c r="D47" i="102"/>
  <c r="L47" i="102" s="1"/>
  <c r="B47" i="102"/>
  <c r="Z46" i="102"/>
  <c r="X46" i="102"/>
  <c r="N46" i="102"/>
  <c r="L46" i="102"/>
  <c r="J46" i="102"/>
  <c r="B46" i="102"/>
  <c r="Z45" i="102"/>
  <c r="X45" i="102"/>
  <c r="V45" i="102"/>
  <c r="N45" i="102"/>
  <c r="L45" i="102"/>
  <c r="B45" i="102"/>
  <c r="Z44" i="102"/>
  <c r="X44" i="102"/>
  <c r="N44" i="102"/>
  <c r="L44" i="102"/>
  <c r="J44" i="102"/>
  <c r="B44" i="102"/>
  <c r="Z43" i="102"/>
  <c r="X43" i="102"/>
  <c r="N43" i="102"/>
  <c r="L43" i="102"/>
  <c r="F43" i="102"/>
  <c r="B43" i="102"/>
  <c r="Z42" i="102"/>
  <c r="X42" i="102"/>
  <c r="N42" i="102"/>
  <c r="L42" i="102"/>
  <c r="B42" i="102"/>
  <c r="Z41" i="102"/>
  <c r="X41" i="102"/>
  <c r="N41" i="102"/>
  <c r="L41" i="102"/>
  <c r="B41" i="102"/>
  <c r="X40" i="102"/>
  <c r="Z40" i="102" s="1"/>
  <c r="N40" i="102"/>
  <c r="L40" i="102"/>
  <c r="J40" i="102"/>
  <c r="B40" i="102"/>
  <c r="Z39" i="102"/>
  <c r="X39" i="102"/>
  <c r="N39" i="102"/>
  <c r="L39" i="102"/>
  <c r="B39" i="102"/>
  <c r="X38" i="102"/>
  <c r="Z38" i="102" s="1"/>
  <c r="L38" i="102"/>
  <c r="N38" i="102" s="1"/>
  <c r="B38" i="102"/>
  <c r="Z37" i="102"/>
  <c r="X37" i="102"/>
  <c r="N37" i="102"/>
  <c r="L37" i="102"/>
  <c r="J37" i="102"/>
  <c r="B37" i="102"/>
  <c r="T36" i="102"/>
  <c r="P36" i="102"/>
  <c r="X36" i="102" s="1"/>
  <c r="Z36" i="102" s="1"/>
  <c r="H36" i="102"/>
  <c r="F36" i="102"/>
  <c r="D36" i="102"/>
  <c r="B36" i="102"/>
  <c r="X35" i="102"/>
  <c r="Z35" i="102" s="1"/>
  <c r="L35" i="102"/>
  <c r="N35" i="102" s="1"/>
  <c r="J35" i="102"/>
  <c r="B35" i="102"/>
  <c r="X34" i="102"/>
  <c r="Z34" i="102" s="1"/>
  <c r="V34" i="102"/>
  <c r="N34" i="102"/>
  <c r="L34" i="102"/>
  <c r="J34" i="102"/>
  <c r="F34" i="102"/>
  <c r="B34" i="102"/>
  <c r="Z33" i="102"/>
  <c r="X33" i="102"/>
  <c r="N33" i="102"/>
  <c r="L33" i="102"/>
  <c r="J33" i="102"/>
  <c r="B33" i="102"/>
  <c r="Z32" i="102"/>
  <c r="X32" i="102"/>
  <c r="N32" i="102"/>
  <c r="L32" i="102"/>
  <c r="J32" i="102"/>
  <c r="F32" i="102"/>
  <c r="B32" i="102"/>
  <c r="X31" i="102"/>
  <c r="Z31" i="102" s="1"/>
  <c r="L31" i="102"/>
  <c r="N31" i="102" s="1"/>
  <c r="B31" i="102"/>
  <c r="Z30" i="102"/>
  <c r="X30" i="102"/>
  <c r="N30" i="102"/>
  <c r="L30" i="102"/>
  <c r="J30" i="102"/>
  <c r="B30" i="102"/>
  <c r="Z29" i="102"/>
  <c r="X29" i="102"/>
  <c r="N29" i="102"/>
  <c r="L29" i="102"/>
  <c r="J29" i="102"/>
  <c r="F29" i="102"/>
  <c r="B29" i="102"/>
  <c r="Z28" i="102"/>
  <c r="X28" i="102"/>
  <c r="L28" i="102"/>
  <c r="N28" i="102" s="1"/>
  <c r="J28" i="102"/>
  <c r="B28" i="102"/>
  <c r="X27" i="102"/>
  <c r="Z27" i="102" s="1"/>
  <c r="L27" i="102"/>
  <c r="N27" i="102" s="1"/>
  <c r="B27" i="102"/>
  <c r="Z26" i="102"/>
  <c r="V26" i="102"/>
  <c r="T26" i="102"/>
  <c r="P26" i="102"/>
  <c r="X26" i="102" s="1"/>
  <c r="H26" i="102"/>
  <c r="J26" i="102" s="1"/>
  <c r="D26" i="102"/>
  <c r="B26" i="102"/>
  <c r="V25" i="102"/>
  <c r="T25" i="102"/>
  <c r="P25" i="102"/>
  <c r="X25" i="102" s="1"/>
  <c r="Z25" i="102" s="1"/>
  <c r="H25" i="102"/>
  <c r="J25" i="102" s="1"/>
  <c r="D25" i="102"/>
  <c r="L25" i="102" s="1"/>
  <c r="Z21" i="102"/>
  <c r="X21" i="102"/>
  <c r="V21" i="102"/>
  <c r="N21" i="102"/>
  <c r="L21" i="102"/>
  <c r="J21" i="102"/>
  <c r="F21" i="102"/>
  <c r="B21" i="102"/>
  <c r="Z20" i="102"/>
  <c r="X20" i="102"/>
  <c r="N20" i="102"/>
  <c r="L20" i="102"/>
  <c r="J20" i="102"/>
  <c r="B20" i="102"/>
  <c r="X19" i="102"/>
  <c r="Z19" i="102" s="1"/>
  <c r="L19" i="102"/>
  <c r="N19" i="102" s="1"/>
  <c r="J19" i="102"/>
  <c r="B19" i="102"/>
  <c r="Z18" i="102"/>
  <c r="T18" i="102"/>
  <c r="X18" i="102" s="1"/>
  <c r="P18" i="102"/>
  <c r="H18" i="102"/>
  <c r="D18" i="102"/>
  <c r="Z16" i="102"/>
  <c r="X16" i="102"/>
  <c r="P16" i="102"/>
  <c r="L16" i="102"/>
  <c r="N16" i="102" s="1"/>
  <c r="D16" i="102"/>
  <c r="B16" i="102"/>
  <c r="Z15" i="102"/>
  <c r="P15" i="102"/>
  <c r="X15" i="102" s="1"/>
  <c r="N15" i="102"/>
  <c r="L15" i="102"/>
  <c r="D15" i="102"/>
  <c r="B15" i="102"/>
  <c r="Z14" i="102"/>
  <c r="X14" i="102"/>
  <c r="P14" i="102"/>
  <c r="N14" i="102"/>
  <c r="L14" i="102"/>
  <c r="D14" i="102"/>
  <c r="B14" i="102"/>
  <c r="P13" i="102"/>
  <c r="N13" i="102"/>
  <c r="L13" i="102"/>
  <c r="D13" i="102"/>
  <c r="B13" i="102"/>
  <c r="T12" i="102"/>
  <c r="V72" i="102" s="1"/>
  <c r="L12" i="102"/>
  <c r="N12" i="102" s="1"/>
  <c r="H12" i="102"/>
  <c r="D12" i="102"/>
  <c r="F58" i="102" s="1"/>
  <c r="D6" i="102"/>
  <c r="D4" i="102"/>
  <c r="X76" i="101"/>
  <c r="Z76" i="101" s="1"/>
  <c r="V76" i="101"/>
  <c r="N76" i="101"/>
  <c r="L76" i="101"/>
  <c r="Z72" i="101"/>
  <c r="X72" i="101"/>
  <c r="P72" i="101"/>
  <c r="N72" i="101"/>
  <c r="L72" i="101"/>
  <c r="D72" i="101"/>
  <c r="B72" i="101"/>
  <c r="Z71" i="101"/>
  <c r="T71" i="101"/>
  <c r="P71" i="101"/>
  <c r="X71" i="101" s="1"/>
  <c r="N71" i="101"/>
  <c r="L71" i="101"/>
  <c r="H71" i="101"/>
  <c r="D71" i="101"/>
  <c r="Z69" i="101"/>
  <c r="X69" i="101"/>
  <c r="N69" i="101"/>
  <c r="L69" i="101"/>
  <c r="B69" i="101"/>
  <c r="Z68" i="101"/>
  <c r="X68" i="101"/>
  <c r="L68" i="101"/>
  <c r="N68" i="101" s="1"/>
  <c r="B68" i="101"/>
  <c r="X67" i="101"/>
  <c r="Z67" i="101" s="1"/>
  <c r="T67" i="101"/>
  <c r="P67" i="101"/>
  <c r="H67" i="101"/>
  <c r="D67" i="101"/>
  <c r="B67" i="101"/>
  <c r="Z66" i="101"/>
  <c r="X66" i="101"/>
  <c r="N66" i="101"/>
  <c r="L66" i="101"/>
  <c r="B66" i="101"/>
  <c r="Z65" i="101"/>
  <c r="X65" i="101"/>
  <c r="V65" i="101"/>
  <c r="N65" i="101"/>
  <c r="L65" i="101"/>
  <c r="B65" i="101"/>
  <c r="Z64" i="101"/>
  <c r="X64" i="101"/>
  <c r="N64" i="101"/>
  <c r="L64" i="101"/>
  <c r="B64" i="101"/>
  <c r="T63" i="101"/>
  <c r="P63" i="101"/>
  <c r="X63" i="101" s="1"/>
  <c r="H63" i="101"/>
  <c r="N63" i="101" s="1"/>
  <c r="D63" i="101"/>
  <c r="L63" i="101" s="1"/>
  <c r="B63" i="101"/>
  <c r="X62" i="101"/>
  <c r="Z62" i="101" s="1"/>
  <c r="N62" i="101"/>
  <c r="L62" i="101"/>
  <c r="F62" i="101"/>
  <c r="B62" i="101"/>
  <c r="X61" i="101"/>
  <c r="Z61" i="101" s="1"/>
  <c r="T61" i="101"/>
  <c r="P61" i="101"/>
  <c r="N61" i="101"/>
  <c r="H61" i="101"/>
  <c r="D61" i="101"/>
  <c r="L61" i="101" s="1"/>
  <c r="B61" i="101"/>
  <c r="Z60" i="101"/>
  <c r="X60" i="101"/>
  <c r="N60" i="101"/>
  <c r="L60" i="101"/>
  <c r="B60" i="101"/>
  <c r="X59" i="101"/>
  <c r="Z59" i="101" s="1"/>
  <c r="N59" i="101"/>
  <c r="L59" i="101"/>
  <c r="B59" i="101"/>
  <c r="T58" i="101"/>
  <c r="X58" i="101" s="1"/>
  <c r="Z58" i="101" s="1"/>
  <c r="P58" i="101"/>
  <c r="H58" i="101"/>
  <c r="N58" i="101" s="1"/>
  <c r="D58" i="101"/>
  <c r="L58" i="101" s="1"/>
  <c r="B58" i="101"/>
  <c r="Z57" i="101"/>
  <c r="X57" i="101"/>
  <c r="N57" i="101"/>
  <c r="L57" i="101"/>
  <c r="B57" i="101"/>
  <c r="Z56" i="101"/>
  <c r="X56" i="101"/>
  <c r="R56" i="101"/>
  <c r="N56" i="101"/>
  <c r="L56" i="101"/>
  <c r="B56" i="101"/>
  <c r="T55" i="101"/>
  <c r="P55" i="101"/>
  <c r="X55" i="101" s="1"/>
  <c r="H55" i="101"/>
  <c r="N55" i="101" s="1"/>
  <c r="D55" i="101"/>
  <c r="L55" i="101" s="1"/>
  <c r="B55" i="101"/>
  <c r="Z54" i="101"/>
  <c r="X54" i="101"/>
  <c r="N54" i="101"/>
  <c r="L54" i="101"/>
  <c r="B54" i="101"/>
  <c r="Z53" i="101"/>
  <c r="X53" i="101"/>
  <c r="T53" i="101"/>
  <c r="R53" i="101"/>
  <c r="P53" i="101"/>
  <c r="N53" i="101"/>
  <c r="L53" i="101"/>
  <c r="H53" i="101"/>
  <c r="D53" i="101"/>
  <c r="B53" i="101"/>
  <c r="Z52" i="101"/>
  <c r="X52" i="101"/>
  <c r="N52" i="101"/>
  <c r="L52" i="101"/>
  <c r="F52" i="101"/>
  <c r="B52" i="101"/>
  <c r="T51" i="101"/>
  <c r="X51" i="101" s="1"/>
  <c r="Z51" i="101" s="1"/>
  <c r="P51" i="101"/>
  <c r="H51" i="101"/>
  <c r="N51" i="101" s="1"/>
  <c r="F51" i="101"/>
  <c r="D51" i="101"/>
  <c r="L51" i="101" s="1"/>
  <c r="B51" i="101"/>
  <c r="Z50" i="101"/>
  <c r="X50" i="101"/>
  <c r="N50" i="101"/>
  <c r="L50" i="101"/>
  <c r="B50" i="101"/>
  <c r="T49" i="101"/>
  <c r="P49" i="101"/>
  <c r="H49" i="101"/>
  <c r="N49" i="101" s="1"/>
  <c r="D49" i="101"/>
  <c r="L49" i="101" s="1"/>
  <c r="B49" i="101"/>
  <c r="X48" i="101"/>
  <c r="Z48" i="101" s="1"/>
  <c r="N48" i="101"/>
  <c r="L48" i="101"/>
  <c r="B48" i="101"/>
  <c r="Z47" i="101"/>
  <c r="X47" i="101"/>
  <c r="T47" i="101"/>
  <c r="P47" i="101"/>
  <c r="N47" i="101"/>
  <c r="L47" i="101"/>
  <c r="H47" i="101"/>
  <c r="D47" i="101"/>
  <c r="B47" i="101"/>
  <c r="Z46" i="101"/>
  <c r="X46" i="101"/>
  <c r="R46" i="101"/>
  <c r="N46" i="101"/>
  <c r="L46" i="101"/>
  <c r="B46" i="101"/>
  <c r="T45" i="101"/>
  <c r="P45" i="101"/>
  <c r="X45" i="101" s="1"/>
  <c r="Z45" i="101" s="1"/>
  <c r="N45" i="101"/>
  <c r="H45" i="101"/>
  <c r="L45" i="101" s="1"/>
  <c r="D45" i="101"/>
  <c r="B45" i="101"/>
  <c r="Z44" i="101"/>
  <c r="X44" i="101"/>
  <c r="N44" i="101"/>
  <c r="L44" i="101"/>
  <c r="B44" i="101"/>
  <c r="Z43" i="101"/>
  <c r="X43" i="101"/>
  <c r="N43" i="101"/>
  <c r="L43" i="101"/>
  <c r="B43" i="101"/>
  <c r="Z42" i="101"/>
  <c r="X42" i="101"/>
  <c r="N42" i="101"/>
  <c r="L42" i="101"/>
  <c r="B42" i="101"/>
  <c r="Z41" i="101"/>
  <c r="X41" i="101"/>
  <c r="N41" i="101"/>
  <c r="L41" i="101"/>
  <c r="B41" i="101"/>
  <c r="Z40" i="101"/>
  <c r="X40" i="101"/>
  <c r="V40" i="101"/>
  <c r="N40" i="101"/>
  <c r="L40" i="101"/>
  <c r="B40" i="101"/>
  <c r="X39" i="101"/>
  <c r="Z39" i="101" s="1"/>
  <c r="L39" i="101"/>
  <c r="N39" i="101" s="1"/>
  <c r="B39" i="101"/>
  <c r="Z38" i="101"/>
  <c r="X38" i="101"/>
  <c r="N38" i="101"/>
  <c r="L38" i="101"/>
  <c r="B38" i="101"/>
  <c r="Z37" i="101"/>
  <c r="X37" i="101"/>
  <c r="R37" i="101"/>
  <c r="N37" i="101"/>
  <c r="L37" i="101"/>
  <c r="B37" i="101"/>
  <c r="Z36" i="101"/>
  <c r="X36" i="101"/>
  <c r="N36" i="101"/>
  <c r="L36" i="101"/>
  <c r="B36" i="101"/>
  <c r="Z35" i="101"/>
  <c r="X35" i="101"/>
  <c r="N35" i="101"/>
  <c r="L35" i="101"/>
  <c r="B35" i="101"/>
  <c r="T34" i="101"/>
  <c r="P34" i="101"/>
  <c r="X34" i="101" s="1"/>
  <c r="Z34" i="101" s="1"/>
  <c r="H34" i="101"/>
  <c r="L34" i="101" s="1"/>
  <c r="D34" i="101"/>
  <c r="B34" i="101"/>
  <c r="X33" i="101"/>
  <c r="Z33" i="101" s="1"/>
  <c r="N33" i="101"/>
  <c r="L33" i="101"/>
  <c r="B33" i="101"/>
  <c r="Z32" i="101"/>
  <c r="X32" i="101"/>
  <c r="V32" i="101"/>
  <c r="N32" i="101"/>
  <c r="L32" i="101"/>
  <c r="B32" i="101"/>
  <c r="Z31" i="101"/>
  <c r="X31" i="101"/>
  <c r="N31" i="101"/>
  <c r="L31" i="101"/>
  <c r="F31" i="101"/>
  <c r="B31" i="101"/>
  <c r="Z30" i="101"/>
  <c r="X30" i="101"/>
  <c r="N30" i="101"/>
  <c r="L30" i="101"/>
  <c r="B30" i="101"/>
  <c r="Z29" i="101"/>
  <c r="X29" i="101"/>
  <c r="N29" i="101"/>
  <c r="L29" i="101"/>
  <c r="F29" i="101"/>
  <c r="B29" i="101"/>
  <c r="Z28" i="101"/>
  <c r="X28" i="101"/>
  <c r="N28" i="101"/>
  <c r="L28" i="101"/>
  <c r="F28" i="101"/>
  <c r="B28" i="101"/>
  <c r="Z27" i="101"/>
  <c r="X27" i="101"/>
  <c r="N27" i="101"/>
  <c r="L27" i="101"/>
  <c r="B27" i="101"/>
  <c r="Z26" i="101"/>
  <c r="X26" i="101"/>
  <c r="N26" i="101"/>
  <c r="L26" i="101"/>
  <c r="B26" i="101"/>
  <c r="T25" i="101"/>
  <c r="X25" i="101" s="1"/>
  <c r="Z25" i="101" s="1"/>
  <c r="P25" i="101"/>
  <c r="H25" i="101"/>
  <c r="F25" i="101"/>
  <c r="D25" i="101"/>
  <c r="L25" i="101" s="1"/>
  <c r="N25" i="101" s="1"/>
  <c r="B25" i="101"/>
  <c r="T24" i="101"/>
  <c r="Z24" i="101" s="1"/>
  <c r="P24" i="101"/>
  <c r="X24" i="101" s="1"/>
  <c r="N24" i="101"/>
  <c r="H24" i="101"/>
  <c r="L24" i="101" s="1"/>
  <c r="D24" i="101"/>
  <c r="D22" i="101"/>
  <c r="Z20" i="101"/>
  <c r="X20" i="101"/>
  <c r="N20" i="101"/>
  <c r="L20" i="101"/>
  <c r="B20" i="101"/>
  <c r="Z19" i="101"/>
  <c r="X19" i="101"/>
  <c r="N19" i="101"/>
  <c r="L19" i="101"/>
  <c r="B19" i="101"/>
  <c r="X18" i="101"/>
  <c r="Z18" i="101" s="1"/>
  <c r="R18" i="101"/>
  <c r="N18" i="101"/>
  <c r="L18" i="101"/>
  <c r="B18" i="101"/>
  <c r="T17" i="101"/>
  <c r="P17" i="101"/>
  <c r="H17" i="101"/>
  <c r="D17" i="101"/>
  <c r="Z15" i="101"/>
  <c r="P15" i="101"/>
  <c r="X15" i="101" s="1"/>
  <c r="N15" i="101"/>
  <c r="D15" i="101"/>
  <c r="L15" i="101" s="1"/>
  <c r="B15" i="101"/>
  <c r="Z14" i="101"/>
  <c r="P14" i="101"/>
  <c r="X14" i="101" s="1"/>
  <c r="N14" i="101"/>
  <c r="L14" i="101"/>
  <c r="D14" i="101"/>
  <c r="B14" i="101"/>
  <c r="X13" i="101"/>
  <c r="Z13" i="101" s="1"/>
  <c r="P13" i="101"/>
  <c r="N13" i="101"/>
  <c r="L13" i="101"/>
  <c r="D13" i="101"/>
  <c r="B13" i="101"/>
  <c r="T12" i="101"/>
  <c r="V47" i="101" s="1"/>
  <c r="P12" i="101"/>
  <c r="H12" i="101"/>
  <c r="D12" i="101"/>
  <c r="F81" i="101" s="1"/>
  <c r="D6" i="101"/>
  <c r="D4" i="101"/>
  <c r="F60" i="100"/>
  <c r="F57" i="100"/>
  <c r="Z55" i="100"/>
  <c r="X55" i="100"/>
  <c r="V55" i="100"/>
  <c r="N55" i="100"/>
  <c r="L55" i="100"/>
  <c r="R53" i="100"/>
  <c r="X51" i="100"/>
  <c r="Z51" i="100" s="1"/>
  <c r="P51" i="100"/>
  <c r="P50" i="100" s="1"/>
  <c r="X50" i="100" s="1"/>
  <c r="Z50" i="100" s="1"/>
  <c r="D51" i="100"/>
  <c r="D50" i="100" s="1"/>
  <c r="B51" i="100"/>
  <c r="T50" i="100"/>
  <c r="L50" i="100"/>
  <c r="H50" i="100"/>
  <c r="Z48" i="100"/>
  <c r="X48" i="100"/>
  <c r="V48" i="100"/>
  <c r="L48" i="100"/>
  <c r="N48" i="100" s="1"/>
  <c r="B48" i="100"/>
  <c r="Z47" i="100"/>
  <c r="X47" i="100"/>
  <c r="T47" i="100"/>
  <c r="R47" i="100"/>
  <c r="P47" i="100"/>
  <c r="H47" i="100"/>
  <c r="L47" i="100" s="1"/>
  <c r="N47" i="100" s="1"/>
  <c r="D47" i="100"/>
  <c r="B47" i="100"/>
  <c r="Z46" i="100"/>
  <c r="X46" i="100"/>
  <c r="R46" i="100"/>
  <c r="N46" i="100"/>
  <c r="L46" i="100"/>
  <c r="B46" i="100"/>
  <c r="T45" i="100"/>
  <c r="Z45" i="100" s="1"/>
  <c r="P45" i="100"/>
  <c r="X45" i="100" s="1"/>
  <c r="N45" i="100"/>
  <c r="J45" i="100"/>
  <c r="H45" i="100"/>
  <c r="F45" i="100"/>
  <c r="D45" i="100"/>
  <c r="L45" i="100" s="1"/>
  <c r="B45" i="100"/>
  <c r="X44" i="100"/>
  <c r="Z44" i="100" s="1"/>
  <c r="N44" i="100"/>
  <c r="L44" i="100"/>
  <c r="F44" i="100"/>
  <c r="B44" i="100"/>
  <c r="V43" i="100"/>
  <c r="T43" i="100"/>
  <c r="P43" i="100"/>
  <c r="X43" i="100" s="1"/>
  <c r="Z43" i="100" s="1"/>
  <c r="H43" i="100"/>
  <c r="N43" i="100" s="1"/>
  <c r="F43" i="100"/>
  <c r="D43" i="100"/>
  <c r="L43" i="100" s="1"/>
  <c r="B43" i="100"/>
  <c r="Z42" i="100"/>
  <c r="X42" i="100"/>
  <c r="N42" i="100"/>
  <c r="L42" i="100"/>
  <c r="B42" i="100"/>
  <c r="X41" i="100"/>
  <c r="Z41" i="100" s="1"/>
  <c r="V41" i="100"/>
  <c r="T41" i="100"/>
  <c r="R41" i="100"/>
  <c r="P41" i="100"/>
  <c r="N41" i="100"/>
  <c r="H41" i="100"/>
  <c r="L41" i="100" s="1"/>
  <c r="D41" i="100"/>
  <c r="B41" i="100"/>
  <c r="Z40" i="100"/>
  <c r="X40" i="100"/>
  <c r="V40" i="100"/>
  <c r="N40" i="100"/>
  <c r="L40" i="100"/>
  <c r="B40" i="100"/>
  <c r="Z39" i="100"/>
  <c r="X39" i="100"/>
  <c r="N39" i="100"/>
  <c r="L39" i="100"/>
  <c r="B39" i="100"/>
  <c r="Z38" i="100"/>
  <c r="X38" i="100"/>
  <c r="V38" i="100"/>
  <c r="N38" i="100"/>
  <c r="L38" i="100"/>
  <c r="B38" i="100"/>
  <c r="Z37" i="100"/>
  <c r="X37" i="100"/>
  <c r="R37" i="100"/>
  <c r="N37" i="100"/>
  <c r="L37" i="100"/>
  <c r="B37" i="100"/>
  <c r="Z36" i="100"/>
  <c r="X36" i="100"/>
  <c r="N36" i="100"/>
  <c r="L36" i="100"/>
  <c r="B36" i="100"/>
  <c r="Z35" i="100"/>
  <c r="X35" i="100"/>
  <c r="N35" i="100"/>
  <c r="L35" i="100"/>
  <c r="B35" i="100"/>
  <c r="Z34" i="100"/>
  <c r="X34" i="100"/>
  <c r="V34" i="100"/>
  <c r="N34" i="100"/>
  <c r="L34" i="100"/>
  <c r="B34" i="100"/>
  <c r="Z33" i="100"/>
  <c r="X33" i="100"/>
  <c r="V33" i="100"/>
  <c r="R33" i="100"/>
  <c r="N33" i="100"/>
  <c r="L33" i="100"/>
  <c r="F33" i="100"/>
  <c r="B33" i="100"/>
  <c r="Z32" i="100"/>
  <c r="X32" i="100"/>
  <c r="N32" i="100"/>
  <c r="L32" i="100"/>
  <c r="B32" i="100"/>
  <c r="X31" i="100"/>
  <c r="Z31" i="100" s="1"/>
  <c r="N31" i="100"/>
  <c r="L31" i="100"/>
  <c r="B31" i="100"/>
  <c r="V30" i="100"/>
  <c r="T30" i="100"/>
  <c r="P30" i="100"/>
  <c r="X30" i="100" s="1"/>
  <c r="Z30" i="100" s="1"/>
  <c r="H30" i="100"/>
  <c r="D30" i="100"/>
  <c r="L30" i="100" s="1"/>
  <c r="N30" i="100" s="1"/>
  <c r="B30" i="100"/>
  <c r="X29" i="100"/>
  <c r="Z29" i="100" s="1"/>
  <c r="N29" i="100"/>
  <c r="L29" i="100"/>
  <c r="B29" i="100"/>
  <c r="Z28" i="100"/>
  <c r="X28" i="100"/>
  <c r="V28" i="100"/>
  <c r="N28" i="100"/>
  <c r="L28" i="100"/>
  <c r="B28" i="100"/>
  <c r="Z27" i="100"/>
  <c r="X27" i="100"/>
  <c r="L27" i="100"/>
  <c r="N27" i="100" s="1"/>
  <c r="F27" i="100"/>
  <c r="B27" i="100"/>
  <c r="Z26" i="100"/>
  <c r="X26" i="100"/>
  <c r="N26" i="100"/>
  <c r="L26" i="100"/>
  <c r="F26" i="100"/>
  <c r="B26" i="100"/>
  <c r="X25" i="100"/>
  <c r="Z25" i="100" s="1"/>
  <c r="V25" i="100"/>
  <c r="N25" i="100"/>
  <c r="L25" i="100"/>
  <c r="B25" i="100"/>
  <c r="X24" i="100"/>
  <c r="Z24" i="100" s="1"/>
  <c r="V24" i="100"/>
  <c r="N24" i="100"/>
  <c r="L24" i="100"/>
  <c r="B24" i="100"/>
  <c r="Z23" i="100"/>
  <c r="X23" i="100"/>
  <c r="L23" i="100"/>
  <c r="N23" i="100" s="1"/>
  <c r="F23" i="100"/>
  <c r="B23" i="100"/>
  <c r="Z22" i="100"/>
  <c r="X22" i="100"/>
  <c r="V22" i="100"/>
  <c r="L22" i="100"/>
  <c r="N22" i="100" s="1"/>
  <c r="F22" i="100"/>
  <c r="B22" i="100"/>
  <c r="X21" i="100"/>
  <c r="Z21" i="100" s="1"/>
  <c r="V21" i="100"/>
  <c r="L21" i="100"/>
  <c r="N21" i="100" s="1"/>
  <c r="B21" i="100"/>
  <c r="X20" i="100"/>
  <c r="Z20" i="100" s="1"/>
  <c r="V20" i="100"/>
  <c r="T20" i="100"/>
  <c r="R20" i="100"/>
  <c r="P20" i="100"/>
  <c r="H20" i="100"/>
  <c r="L20" i="100" s="1"/>
  <c r="N20" i="100" s="1"/>
  <c r="D20" i="100"/>
  <c r="B20" i="100"/>
  <c r="T19" i="100"/>
  <c r="X19" i="100" s="1"/>
  <c r="P19" i="100"/>
  <c r="H19" i="100"/>
  <c r="D19" i="100"/>
  <c r="L19" i="100" s="1"/>
  <c r="Z15" i="100"/>
  <c r="X15" i="100"/>
  <c r="N15" i="100"/>
  <c r="L15" i="100"/>
  <c r="B15" i="100"/>
  <c r="T14" i="100"/>
  <c r="T17" i="100" s="1"/>
  <c r="R14" i="100"/>
  <c r="P14" i="100"/>
  <c r="N14" i="100"/>
  <c r="H14" i="100"/>
  <c r="D14" i="100"/>
  <c r="L14" i="100" s="1"/>
  <c r="T12" i="100"/>
  <c r="V46" i="100" s="1"/>
  <c r="P12" i="100"/>
  <c r="H12" i="100"/>
  <c r="J60" i="100" s="1"/>
  <c r="D12" i="100"/>
  <c r="F28" i="100" s="1"/>
  <c r="D6" i="100"/>
  <c r="D4" i="100"/>
  <c r="J34" i="99"/>
  <c r="F34" i="99"/>
  <c r="J31" i="99"/>
  <c r="F31" i="99"/>
  <c r="Z29" i="99"/>
  <c r="X29" i="99"/>
  <c r="N29" i="99"/>
  <c r="L29" i="99"/>
  <c r="J29" i="99"/>
  <c r="V27" i="99"/>
  <c r="J27" i="99"/>
  <c r="F27" i="99"/>
  <c r="Z25" i="99"/>
  <c r="V25" i="99"/>
  <c r="T25" i="99"/>
  <c r="P25" i="99"/>
  <c r="X25" i="99" s="1"/>
  <c r="J25" i="99"/>
  <c r="H25" i="99"/>
  <c r="F25" i="99"/>
  <c r="D25" i="99"/>
  <c r="Z23" i="99"/>
  <c r="X23" i="99"/>
  <c r="V23" i="99"/>
  <c r="R23" i="99"/>
  <c r="N23" i="99"/>
  <c r="L23" i="99"/>
  <c r="B23" i="99"/>
  <c r="X22" i="99"/>
  <c r="T22" i="99"/>
  <c r="Z22" i="99" s="1"/>
  <c r="R22" i="99"/>
  <c r="P22" i="99"/>
  <c r="N22" i="99"/>
  <c r="L22" i="99"/>
  <c r="J22" i="99"/>
  <c r="H22" i="99"/>
  <c r="D22" i="99"/>
  <c r="B22" i="99"/>
  <c r="Z21" i="99"/>
  <c r="X21" i="99"/>
  <c r="V21" i="99"/>
  <c r="R21" i="99"/>
  <c r="N21" i="99"/>
  <c r="L21" i="99"/>
  <c r="J21" i="99"/>
  <c r="B21" i="99"/>
  <c r="Z20" i="99"/>
  <c r="X20" i="99"/>
  <c r="V20" i="99"/>
  <c r="R20" i="99"/>
  <c r="N20" i="99"/>
  <c r="L20" i="99"/>
  <c r="J20" i="99"/>
  <c r="F20" i="99"/>
  <c r="B20" i="99"/>
  <c r="Z19" i="99"/>
  <c r="T19" i="99"/>
  <c r="P19" i="99"/>
  <c r="X19" i="99" s="1"/>
  <c r="N19" i="99"/>
  <c r="J19" i="99"/>
  <c r="H19" i="99"/>
  <c r="F19" i="99"/>
  <c r="D19" i="99"/>
  <c r="L19" i="99" s="1"/>
  <c r="B19" i="99"/>
  <c r="T18" i="99"/>
  <c r="Z18" i="99" s="1"/>
  <c r="R18" i="99"/>
  <c r="P18" i="99"/>
  <c r="X18" i="99" s="1"/>
  <c r="J18" i="99"/>
  <c r="H18" i="99"/>
  <c r="N18" i="99" s="1"/>
  <c r="D18" i="99"/>
  <c r="L18" i="99" s="1"/>
  <c r="R16" i="99"/>
  <c r="P16" i="99"/>
  <c r="J16" i="99"/>
  <c r="Z14" i="99"/>
  <c r="T14" i="99"/>
  <c r="T16" i="99" s="1"/>
  <c r="R14" i="99"/>
  <c r="P14" i="99"/>
  <c r="X14" i="99" s="1"/>
  <c r="J14" i="99"/>
  <c r="H14" i="99"/>
  <c r="D14" i="99"/>
  <c r="Z12" i="99"/>
  <c r="T12" i="99"/>
  <c r="V34" i="99" s="1"/>
  <c r="P12" i="99"/>
  <c r="R27" i="99" s="1"/>
  <c r="N12" i="99"/>
  <c r="L12" i="99"/>
  <c r="H12" i="99"/>
  <c r="J23" i="99" s="1"/>
  <c r="D12" i="99"/>
  <c r="D6" i="99"/>
  <c r="D4" i="99"/>
  <c r="Z93" i="98"/>
  <c r="X93" i="98"/>
  <c r="L93" i="98"/>
  <c r="N93" i="98" s="1"/>
  <c r="T89" i="98"/>
  <c r="Z89" i="98" s="1"/>
  <c r="P89" i="98"/>
  <c r="N89" i="98"/>
  <c r="H89" i="98"/>
  <c r="D89" i="98"/>
  <c r="L89" i="98" s="1"/>
  <c r="X87" i="98"/>
  <c r="Z87" i="98" s="1"/>
  <c r="N87" i="98"/>
  <c r="L87" i="98"/>
  <c r="B87" i="98"/>
  <c r="X86" i="98"/>
  <c r="Z86" i="98" s="1"/>
  <c r="T86" i="98"/>
  <c r="P86" i="98"/>
  <c r="N86" i="98"/>
  <c r="L86" i="98"/>
  <c r="H86" i="98"/>
  <c r="D86" i="98"/>
  <c r="B86" i="98"/>
  <c r="X85" i="98"/>
  <c r="Z85" i="98" s="1"/>
  <c r="L85" i="98"/>
  <c r="N85" i="98" s="1"/>
  <c r="B85" i="98"/>
  <c r="T84" i="98"/>
  <c r="P84" i="98"/>
  <c r="J84" i="98"/>
  <c r="H84" i="98"/>
  <c r="N84" i="98" s="1"/>
  <c r="D84" i="98"/>
  <c r="L84" i="98" s="1"/>
  <c r="B84" i="98"/>
  <c r="X83" i="98"/>
  <c r="Z83" i="98" s="1"/>
  <c r="L83" i="98"/>
  <c r="N83" i="98" s="1"/>
  <c r="B83" i="98"/>
  <c r="T82" i="98"/>
  <c r="P82" i="98"/>
  <c r="X82" i="98" s="1"/>
  <c r="Z82" i="98" s="1"/>
  <c r="N82" i="98"/>
  <c r="H82" i="98"/>
  <c r="D82" i="98"/>
  <c r="L82" i="98" s="1"/>
  <c r="B82" i="98"/>
  <c r="Z81" i="98"/>
  <c r="X81" i="98"/>
  <c r="N81" i="98"/>
  <c r="L81" i="98"/>
  <c r="B81" i="98"/>
  <c r="Z80" i="98"/>
  <c r="X80" i="98"/>
  <c r="N80" i="98"/>
  <c r="L80" i="98"/>
  <c r="B80" i="98"/>
  <c r="Z79" i="98"/>
  <c r="X79" i="98"/>
  <c r="N79" i="98"/>
  <c r="L79" i="98"/>
  <c r="B79" i="98"/>
  <c r="X78" i="98"/>
  <c r="Z78" i="98" s="1"/>
  <c r="N78" i="98"/>
  <c r="L78" i="98"/>
  <c r="B78" i="98"/>
  <c r="Z77" i="98"/>
  <c r="X77" i="98"/>
  <c r="L77" i="98"/>
  <c r="N77" i="98" s="1"/>
  <c r="B77" i="98"/>
  <c r="X76" i="98"/>
  <c r="Z76" i="98" s="1"/>
  <c r="L76" i="98"/>
  <c r="N76" i="98" s="1"/>
  <c r="B76" i="98"/>
  <c r="X75" i="98"/>
  <c r="Z75" i="98" s="1"/>
  <c r="N75" i="98"/>
  <c r="L75" i="98"/>
  <c r="B75" i="98"/>
  <c r="X74" i="98"/>
  <c r="Z74" i="98" s="1"/>
  <c r="V74" i="98"/>
  <c r="T74" i="98"/>
  <c r="P74" i="98"/>
  <c r="L74" i="98"/>
  <c r="H74" i="98"/>
  <c r="N74" i="98" s="1"/>
  <c r="D74" i="98"/>
  <c r="B74" i="98"/>
  <c r="X73" i="98"/>
  <c r="Z73" i="98" s="1"/>
  <c r="L73" i="98"/>
  <c r="N73" i="98" s="1"/>
  <c r="B73" i="98"/>
  <c r="T72" i="98"/>
  <c r="P72" i="98"/>
  <c r="N72" i="98"/>
  <c r="H72" i="98"/>
  <c r="D72" i="98"/>
  <c r="L72" i="98" s="1"/>
  <c r="B72" i="98"/>
  <c r="X71" i="98"/>
  <c r="Z71" i="98" s="1"/>
  <c r="V71" i="98"/>
  <c r="L71" i="98"/>
  <c r="N71" i="98" s="1"/>
  <c r="B71" i="98"/>
  <c r="Z70" i="98"/>
  <c r="X70" i="98"/>
  <c r="L70" i="98"/>
  <c r="N70" i="98" s="1"/>
  <c r="B70" i="98"/>
  <c r="X69" i="98"/>
  <c r="Z69" i="98" s="1"/>
  <c r="R69" i="98"/>
  <c r="N69" i="98"/>
  <c r="L69" i="98"/>
  <c r="B69" i="98"/>
  <c r="Z68" i="98"/>
  <c r="T68" i="98"/>
  <c r="P68" i="98"/>
  <c r="X68" i="98" s="1"/>
  <c r="H68" i="98"/>
  <c r="D68" i="98"/>
  <c r="L68" i="98" s="1"/>
  <c r="N68" i="98" s="1"/>
  <c r="B68" i="98"/>
  <c r="X67" i="98"/>
  <c r="Z67" i="98" s="1"/>
  <c r="L67" i="98"/>
  <c r="N67" i="98" s="1"/>
  <c r="B67" i="98"/>
  <c r="X66" i="98"/>
  <c r="Z66" i="98" s="1"/>
  <c r="N66" i="98"/>
  <c r="L66" i="98"/>
  <c r="J66" i="98"/>
  <c r="B66" i="98"/>
  <c r="Z65" i="98"/>
  <c r="X65" i="98"/>
  <c r="N65" i="98"/>
  <c r="L65" i="98"/>
  <c r="B65" i="98"/>
  <c r="T64" i="98"/>
  <c r="P64" i="98"/>
  <c r="H64" i="98"/>
  <c r="D64" i="98"/>
  <c r="L64" i="98" s="1"/>
  <c r="N64" i="98" s="1"/>
  <c r="B64" i="98"/>
  <c r="Z63" i="98"/>
  <c r="X63" i="98"/>
  <c r="N63" i="98"/>
  <c r="L63" i="98"/>
  <c r="B63" i="98"/>
  <c r="X62" i="98"/>
  <c r="Z62" i="98" s="1"/>
  <c r="L62" i="98"/>
  <c r="N62" i="98" s="1"/>
  <c r="B62" i="98"/>
  <c r="X61" i="98"/>
  <c r="T61" i="98"/>
  <c r="P61" i="98"/>
  <c r="L61" i="98"/>
  <c r="N61" i="98" s="1"/>
  <c r="H61" i="98"/>
  <c r="D61" i="98"/>
  <c r="B61" i="98"/>
  <c r="Z60" i="98"/>
  <c r="X60" i="98"/>
  <c r="V60" i="98"/>
  <c r="L60" i="98"/>
  <c r="N60" i="98" s="1"/>
  <c r="B60" i="98"/>
  <c r="T59" i="98"/>
  <c r="P59" i="98"/>
  <c r="X59" i="98" s="1"/>
  <c r="J59" i="98"/>
  <c r="H59" i="98"/>
  <c r="L59" i="98" s="1"/>
  <c r="N59" i="98" s="1"/>
  <c r="D59" i="98"/>
  <c r="B59" i="98"/>
  <c r="X58" i="98"/>
  <c r="Z58" i="98" s="1"/>
  <c r="N58" i="98"/>
  <c r="L58" i="98"/>
  <c r="B58" i="98"/>
  <c r="Z57" i="98"/>
  <c r="T57" i="98"/>
  <c r="P57" i="98"/>
  <c r="X57" i="98" s="1"/>
  <c r="H57" i="98"/>
  <c r="D57" i="98"/>
  <c r="B57" i="98"/>
  <c r="X56" i="98"/>
  <c r="Z56" i="98" s="1"/>
  <c r="N56" i="98"/>
  <c r="L56" i="98"/>
  <c r="B56" i="98"/>
  <c r="Z55" i="98"/>
  <c r="X55" i="98"/>
  <c r="L55" i="98"/>
  <c r="N55" i="98" s="1"/>
  <c r="B55" i="98"/>
  <c r="Z54" i="98"/>
  <c r="X54" i="98"/>
  <c r="L54" i="98"/>
  <c r="N54" i="98" s="1"/>
  <c r="B54" i="98"/>
  <c r="T53" i="98"/>
  <c r="X53" i="98" s="1"/>
  <c r="Z53" i="98" s="1"/>
  <c r="P53" i="98"/>
  <c r="H53" i="98"/>
  <c r="D53" i="98"/>
  <c r="L53" i="98" s="1"/>
  <c r="N53" i="98" s="1"/>
  <c r="B53" i="98"/>
  <c r="Z52" i="98"/>
  <c r="X52" i="98"/>
  <c r="N52" i="98"/>
  <c r="L52" i="98"/>
  <c r="J52" i="98"/>
  <c r="B52" i="98"/>
  <c r="T51" i="98"/>
  <c r="P51" i="98"/>
  <c r="X51" i="98" s="1"/>
  <c r="H51" i="98"/>
  <c r="L51" i="98" s="1"/>
  <c r="N51" i="98" s="1"/>
  <c r="D51" i="98"/>
  <c r="B51" i="98"/>
  <c r="X50" i="98"/>
  <c r="Z50" i="98" s="1"/>
  <c r="N50" i="98"/>
  <c r="L50" i="98"/>
  <c r="B50" i="98"/>
  <c r="Z49" i="98"/>
  <c r="T49" i="98"/>
  <c r="R49" i="98"/>
  <c r="P49" i="98"/>
  <c r="X49" i="98" s="1"/>
  <c r="H49" i="98"/>
  <c r="D49" i="98"/>
  <c r="L49" i="98" s="1"/>
  <c r="B49" i="98"/>
  <c r="X48" i="98"/>
  <c r="Z48" i="98" s="1"/>
  <c r="N48" i="98"/>
  <c r="L48" i="98"/>
  <c r="B48" i="98"/>
  <c r="X47" i="98"/>
  <c r="Z47" i="98" s="1"/>
  <c r="T47" i="98"/>
  <c r="P47" i="98"/>
  <c r="N47" i="98"/>
  <c r="L47" i="98"/>
  <c r="H47" i="98"/>
  <c r="D47" i="98"/>
  <c r="B47" i="98"/>
  <c r="Z46" i="98"/>
  <c r="X46" i="98"/>
  <c r="N46" i="98"/>
  <c r="L46" i="98"/>
  <c r="B46" i="98"/>
  <c r="Z45" i="98"/>
  <c r="X45" i="98"/>
  <c r="V45" i="98"/>
  <c r="N45" i="98"/>
  <c r="L45" i="98"/>
  <c r="B45" i="98"/>
  <c r="Z44" i="98"/>
  <c r="X44" i="98"/>
  <c r="L44" i="98"/>
  <c r="N44" i="98" s="1"/>
  <c r="B44" i="98"/>
  <c r="X43" i="98"/>
  <c r="Z43" i="98" s="1"/>
  <c r="N43" i="98"/>
  <c r="L43" i="98"/>
  <c r="B43" i="98"/>
  <c r="Z42" i="98"/>
  <c r="X42" i="98"/>
  <c r="N42" i="98"/>
  <c r="L42" i="98"/>
  <c r="B42" i="98"/>
  <c r="Z41" i="98"/>
  <c r="X41" i="98"/>
  <c r="V41" i="98"/>
  <c r="L41" i="98"/>
  <c r="N41" i="98" s="1"/>
  <c r="B41" i="98"/>
  <c r="Z40" i="98"/>
  <c r="X40" i="98"/>
  <c r="L40" i="98"/>
  <c r="N40" i="98" s="1"/>
  <c r="B40" i="98"/>
  <c r="Z39" i="98"/>
  <c r="X39" i="98"/>
  <c r="N39" i="98"/>
  <c r="L39" i="98"/>
  <c r="B39" i="98"/>
  <c r="X38" i="98"/>
  <c r="Z38" i="98" s="1"/>
  <c r="N38" i="98"/>
  <c r="L38" i="98"/>
  <c r="B38" i="98"/>
  <c r="Z37" i="98"/>
  <c r="X37" i="98"/>
  <c r="V37" i="98"/>
  <c r="N37" i="98"/>
  <c r="L37" i="98"/>
  <c r="B37" i="98"/>
  <c r="T36" i="98"/>
  <c r="P36" i="98"/>
  <c r="X36" i="98" s="1"/>
  <c r="Z36" i="98" s="1"/>
  <c r="H36" i="98"/>
  <c r="D36" i="98"/>
  <c r="L36" i="98" s="1"/>
  <c r="B36" i="98"/>
  <c r="X35" i="98"/>
  <c r="Z35" i="98" s="1"/>
  <c r="N35" i="98"/>
  <c r="L35" i="98"/>
  <c r="B35" i="98"/>
  <c r="Z34" i="98"/>
  <c r="X34" i="98"/>
  <c r="N34" i="98"/>
  <c r="L34" i="98"/>
  <c r="B34" i="98"/>
  <c r="X33" i="98"/>
  <c r="Z33" i="98" s="1"/>
  <c r="L33" i="98"/>
  <c r="N33" i="98" s="1"/>
  <c r="B33" i="98"/>
  <c r="Z32" i="98"/>
  <c r="X32" i="98"/>
  <c r="N32" i="98"/>
  <c r="L32" i="98"/>
  <c r="B32" i="98"/>
  <c r="X31" i="98"/>
  <c r="Z31" i="98" s="1"/>
  <c r="N31" i="98"/>
  <c r="L31" i="98"/>
  <c r="B31" i="98"/>
  <c r="Z30" i="98"/>
  <c r="X30" i="98"/>
  <c r="N30" i="98"/>
  <c r="L30" i="98"/>
  <c r="F30" i="98"/>
  <c r="B30" i="98"/>
  <c r="X29" i="98"/>
  <c r="Z29" i="98" s="1"/>
  <c r="L29" i="98"/>
  <c r="N29" i="98" s="1"/>
  <c r="B29" i="98"/>
  <c r="X28" i="98"/>
  <c r="Z28" i="98" s="1"/>
  <c r="N28" i="98"/>
  <c r="L28" i="98"/>
  <c r="B28" i="98"/>
  <c r="X27" i="98"/>
  <c r="Z27" i="98" s="1"/>
  <c r="N27" i="98"/>
  <c r="L27" i="98"/>
  <c r="B27" i="98"/>
  <c r="Z26" i="98"/>
  <c r="X26" i="98"/>
  <c r="T26" i="98"/>
  <c r="P26" i="98"/>
  <c r="L26" i="98"/>
  <c r="H26" i="98"/>
  <c r="N26" i="98" s="1"/>
  <c r="D26" i="98"/>
  <c r="B26" i="98"/>
  <c r="T25" i="98"/>
  <c r="P25" i="98"/>
  <c r="H25" i="98"/>
  <c r="D25" i="98"/>
  <c r="L25" i="98" s="1"/>
  <c r="N25" i="98" s="1"/>
  <c r="D23" i="98"/>
  <c r="Z21" i="98"/>
  <c r="X21" i="98"/>
  <c r="N21" i="98"/>
  <c r="L21" i="98"/>
  <c r="J21" i="98"/>
  <c r="B21" i="98"/>
  <c r="Z20" i="98"/>
  <c r="X20" i="98"/>
  <c r="V20" i="98"/>
  <c r="N20" i="98"/>
  <c r="L20" i="98"/>
  <c r="J20" i="98"/>
  <c r="B20" i="98"/>
  <c r="Z19" i="98"/>
  <c r="X19" i="98"/>
  <c r="L19" i="98"/>
  <c r="N19" i="98" s="1"/>
  <c r="B19" i="98"/>
  <c r="T18" i="98"/>
  <c r="P18" i="98"/>
  <c r="J18" i="98"/>
  <c r="H18" i="98"/>
  <c r="L18" i="98" s="1"/>
  <c r="N18" i="98" s="1"/>
  <c r="D18" i="98"/>
  <c r="Z16" i="98"/>
  <c r="X16" i="98"/>
  <c r="P16" i="98"/>
  <c r="N16" i="98"/>
  <c r="D16" i="98"/>
  <c r="L16" i="98" s="1"/>
  <c r="B16" i="98"/>
  <c r="X15" i="98"/>
  <c r="Z15" i="98" s="1"/>
  <c r="P15" i="98"/>
  <c r="P12" i="98" s="1"/>
  <c r="D15" i="98"/>
  <c r="L15" i="98" s="1"/>
  <c r="N15" i="98" s="1"/>
  <c r="B15" i="98"/>
  <c r="Z14" i="98"/>
  <c r="X14" i="98"/>
  <c r="P14" i="98"/>
  <c r="N14" i="98"/>
  <c r="L14" i="98"/>
  <c r="D14" i="98"/>
  <c r="B14" i="98"/>
  <c r="X13" i="98"/>
  <c r="Z13" i="98" s="1"/>
  <c r="P13" i="98"/>
  <c r="N13" i="98"/>
  <c r="L13" i="98"/>
  <c r="D13" i="98"/>
  <c r="D12" i="98" s="1"/>
  <c r="F47" i="98" s="1"/>
  <c r="B13" i="98"/>
  <c r="T12" i="98"/>
  <c r="V51" i="98" s="1"/>
  <c r="H12" i="98"/>
  <c r="J70" i="98" s="1"/>
  <c r="D6" i="98"/>
  <c r="D4" i="98"/>
  <c r="Z99" i="96"/>
  <c r="X99" i="96"/>
  <c r="N99" i="96"/>
  <c r="L99" i="96"/>
  <c r="T95" i="96"/>
  <c r="Z95" i="96" s="1"/>
  <c r="P95" i="96"/>
  <c r="X95" i="96" s="1"/>
  <c r="N95" i="96"/>
  <c r="H95" i="96"/>
  <c r="D95" i="96"/>
  <c r="L95" i="96" s="1"/>
  <c r="X93" i="96"/>
  <c r="Z93" i="96" s="1"/>
  <c r="V93" i="96"/>
  <c r="N93" i="96"/>
  <c r="L93" i="96"/>
  <c r="B93" i="96"/>
  <c r="T92" i="96"/>
  <c r="P92" i="96"/>
  <c r="X92" i="96" s="1"/>
  <c r="Z92" i="96" s="1"/>
  <c r="L92" i="96"/>
  <c r="H92" i="96"/>
  <c r="D92" i="96"/>
  <c r="B92" i="96"/>
  <c r="Z91" i="96"/>
  <c r="X91" i="96"/>
  <c r="N91" i="96"/>
  <c r="L91" i="96"/>
  <c r="B91" i="96"/>
  <c r="X90" i="96"/>
  <c r="Z90" i="96" s="1"/>
  <c r="N90" i="96"/>
  <c r="L90" i="96"/>
  <c r="B90" i="96"/>
  <c r="Z89" i="96"/>
  <c r="X89" i="96"/>
  <c r="T89" i="96"/>
  <c r="P89" i="96"/>
  <c r="L89" i="96"/>
  <c r="H89" i="96"/>
  <c r="N89" i="96" s="1"/>
  <c r="D89" i="96"/>
  <c r="B89" i="96"/>
  <c r="Z88" i="96"/>
  <c r="X88" i="96"/>
  <c r="N88" i="96"/>
  <c r="L88" i="96"/>
  <c r="B88" i="96"/>
  <c r="Z87" i="96"/>
  <c r="T87" i="96"/>
  <c r="X87" i="96" s="1"/>
  <c r="P87" i="96"/>
  <c r="N87" i="96"/>
  <c r="H87" i="96"/>
  <c r="L87" i="96" s="1"/>
  <c r="D87" i="96"/>
  <c r="B87" i="96"/>
  <c r="X86" i="96"/>
  <c r="Z86" i="96" s="1"/>
  <c r="L86" i="96"/>
  <c r="N86" i="96" s="1"/>
  <c r="B86" i="96"/>
  <c r="T85" i="96"/>
  <c r="Z85" i="96" s="1"/>
  <c r="P85" i="96"/>
  <c r="X85" i="96" s="1"/>
  <c r="N85" i="96"/>
  <c r="H85" i="96"/>
  <c r="D85" i="96"/>
  <c r="L85" i="96" s="1"/>
  <c r="B85" i="96"/>
  <c r="X84" i="96"/>
  <c r="Z84" i="96" s="1"/>
  <c r="N84" i="96"/>
  <c r="L84" i="96"/>
  <c r="B84" i="96"/>
  <c r="X83" i="96"/>
  <c r="Z83" i="96" s="1"/>
  <c r="N83" i="96"/>
  <c r="L83" i="96"/>
  <c r="B83" i="96"/>
  <c r="X82" i="96"/>
  <c r="Z82" i="96" s="1"/>
  <c r="N82" i="96"/>
  <c r="L82" i="96"/>
  <c r="B82" i="96"/>
  <c r="Z81" i="96"/>
  <c r="X81" i="96"/>
  <c r="N81" i="96"/>
  <c r="L81" i="96"/>
  <c r="B81" i="96"/>
  <c r="X80" i="96"/>
  <c r="Z80" i="96" s="1"/>
  <c r="L80" i="96"/>
  <c r="N80" i="96" s="1"/>
  <c r="B80" i="96"/>
  <c r="X79" i="96"/>
  <c r="Z79" i="96" s="1"/>
  <c r="N79" i="96"/>
  <c r="L79" i="96"/>
  <c r="J79" i="96"/>
  <c r="B79" i="96"/>
  <c r="X78" i="96"/>
  <c r="Z78" i="96" s="1"/>
  <c r="N78" i="96"/>
  <c r="L78" i="96"/>
  <c r="B78" i="96"/>
  <c r="Z77" i="96"/>
  <c r="X77" i="96"/>
  <c r="N77" i="96"/>
  <c r="L77" i="96"/>
  <c r="B77" i="96"/>
  <c r="T76" i="96"/>
  <c r="P76" i="96"/>
  <c r="L76" i="96"/>
  <c r="H76" i="96"/>
  <c r="N76" i="96" s="1"/>
  <c r="D76" i="96"/>
  <c r="B76" i="96"/>
  <c r="Z75" i="96"/>
  <c r="X75" i="96"/>
  <c r="V75" i="96"/>
  <c r="N75" i="96"/>
  <c r="L75" i="96"/>
  <c r="B75" i="96"/>
  <c r="T74" i="96"/>
  <c r="P74" i="96"/>
  <c r="L74" i="96"/>
  <c r="H74" i="96"/>
  <c r="D74" i="96"/>
  <c r="B74" i="96"/>
  <c r="X73" i="96"/>
  <c r="Z73" i="96" s="1"/>
  <c r="N73" i="96"/>
  <c r="L73" i="96"/>
  <c r="B73" i="96"/>
  <c r="Z72" i="96"/>
  <c r="X72" i="96"/>
  <c r="L72" i="96"/>
  <c r="N72" i="96" s="1"/>
  <c r="B72" i="96"/>
  <c r="Z71" i="96"/>
  <c r="X71" i="96"/>
  <c r="V71" i="96"/>
  <c r="L71" i="96"/>
  <c r="N71" i="96" s="1"/>
  <c r="B71" i="96"/>
  <c r="X70" i="96"/>
  <c r="Z70" i="96" s="1"/>
  <c r="V70" i="96"/>
  <c r="L70" i="96"/>
  <c r="N70" i="96" s="1"/>
  <c r="B70" i="96"/>
  <c r="X69" i="96"/>
  <c r="Z69" i="96" s="1"/>
  <c r="N69" i="96"/>
  <c r="L69" i="96"/>
  <c r="B69" i="96"/>
  <c r="T68" i="96"/>
  <c r="P68" i="96"/>
  <c r="X68" i="96" s="1"/>
  <c r="Z68" i="96" s="1"/>
  <c r="H68" i="96"/>
  <c r="D68" i="96"/>
  <c r="L68" i="96" s="1"/>
  <c r="B68" i="96"/>
  <c r="X67" i="96"/>
  <c r="Z67" i="96" s="1"/>
  <c r="N67" i="96"/>
  <c r="L67" i="96"/>
  <c r="B67" i="96"/>
  <c r="Z66" i="96"/>
  <c r="X66" i="96"/>
  <c r="N66" i="96"/>
  <c r="L66" i="96"/>
  <c r="B66" i="96"/>
  <c r="Z65" i="96"/>
  <c r="X65" i="96"/>
  <c r="V65" i="96"/>
  <c r="T65" i="96"/>
  <c r="P65" i="96"/>
  <c r="L65" i="96"/>
  <c r="H65" i="96"/>
  <c r="D65" i="96"/>
  <c r="B65" i="96"/>
  <c r="X64" i="96"/>
  <c r="Z64" i="96" s="1"/>
  <c r="N64" i="96"/>
  <c r="L64" i="96"/>
  <c r="B64" i="96"/>
  <c r="V63" i="96"/>
  <c r="T63" i="96"/>
  <c r="X63" i="96" s="1"/>
  <c r="Z63" i="96" s="1"/>
  <c r="P63" i="96"/>
  <c r="H63" i="96"/>
  <c r="L63" i="96" s="1"/>
  <c r="N63" i="96" s="1"/>
  <c r="D63" i="96"/>
  <c r="B63" i="96"/>
  <c r="X62" i="96"/>
  <c r="Z62" i="96" s="1"/>
  <c r="L62" i="96"/>
  <c r="N62" i="96" s="1"/>
  <c r="J62" i="96"/>
  <c r="B62" i="96"/>
  <c r="V61" i="96"/>
  <c r="T61" i="96"/>
  <c r="P61" i="96"/>
  <c r="X61" i="96" s="1"/>
  <c r="H61" i="96"/>
  <c r="D61" i="96"/>
  <c r="B61" i="96"/>
  <c r="X60" i="96"/>
  <c r="Z60" i="96" s="1"/>
  <c r="V60" i="96"/>
  <c r="N60" i="96"/>
  <c r="L60" i="96"/>
  <c r="B60" i="96"/>
  <c r="T59" i="96"/>
  <c r="P59" i="96"/>
  <c r="X59" i="96" s="1"/>
  <c r="N59" i="96"/>
  <c r="J59" i="96"/>
  <c r="H59" i="96"/>
  <c r="D59" i="96"/>
  <c r="L59" i="96" s="1"/>
  <c r="B59" i="96"/>
  <c r="Z58" i="96"/>
  <c r="X58" i="96"/>
  <c r="N58" i="96"/>
  <c r="L58" i="96"/>
  <c r="B58" i="96"/>
  <c r="X57" i="96"/>
  <c r="T57" i="96"/>
  <c r="P57" i="96"/>
  <c r="H57" i="96"/>
  <c r="L57" i="96" s="1"/>
  <c r="N57" i="96" s="1"/>
  <c r="D57" i="96"/>
  <c r="B57" i="96"/>
  <c r="Z56" i="96"/>
  <c r="X56" i="96"/>
  <c r="V56" i="96"/>
  <c r="L56" i="96"/>
  <c r="N56" i="96" s="1"/>
  <c r="B56" i="96"/>
  <c r="Z55" i="96"/>
  <c r="V55" i="96"/>
  <c r="T55" i="96"/>
  <c r="P55" i="96"/>
  <c r="X55" i="96" s="1"/>
  <c r="H55" i="96"/>
  <c r="D55" i="96"/>
  <c r="B55" i="96"/>
  <c r="X54" i="96"/>
  <c r="Z54" i="96" s="1"/>
  <c r="V54" i="96"/>
  <c r="N54" i="96"/>
  <c r="L54" i="96"/>
  <c r="B54" i="96"/>
  <c r="Z53" i="96"/>
  <c r="X53" i="96"/>
  <c r="V53" i="96"/>
  <c r="L53" i="96"/>
  <c r="N53" i="96" s="1"/>
  <c r="B53" i="96"/>
  <c r="X52" i="96"/>
  <c r="T52" i="96"/>
  <c r="P52" i="96"/>
  <c r="L52" i="96"/>
  <c r="H52" i="96"/>
  <c r="N52" i="96" s="1"/>
  <c r="D52" i="96"/>
  <c r="B52" i="96"/>
  <c r="X51" i="96"/>
  <c r="Z51" i="96" s="1"/>
  <c r="N51" i="96"/>
  <c r="L51" i="96"/>
  <c r="B51" i="96"/>
  <c r="T50" i="96"/>
  <c r="P50" i="96"/>
  <c r="N50" i="96"/>
  <c r="H50" i="96"/>
  <c r="L50" i="96" s="1"/>
  <c r="D50" i="96"/>
  <c r="B50" i="96"/>
  <c r="X49" i="96"/>
  <c r="Z49" i="96" s="1"/>
  <c r="V49" i="96"/>
  <c r="N49" i="96"/>
  <c r="L49" i="96"/>
  <c r="B49" i="96"/>
  <c r="V48" i="96"/>
  <c r="T48" i="96"/>
  <c r="P48" i="96"/>
  <c r="X48" i="96" s="1"/>
  <c r="Z48" i="96" s="1"/>
  <c r="J48" i="96"/>
  <c r="H48" i="96"/>
  <c r="D48" i="96"/>
  <c r="L48" i="96" s="1"/>
  <c r="N48" i="96" s="1"/>
  <c r="B48" i="96"/>
  <c r="X47" i="96"/>
  <c r="Z47" i="96" s="1"/>
  <c r="N47" i="96"/>
  <c r="L47" i="96"/>
  <c r="B47" i="96"/>
  <c r="X46" i="96"/>
  <c r="V46" i="96"/>
  <c r="T46" i="96"/>
  <c r="Z46" i="96" s="1"/>
  <c r="P46" i="96"/>
  <c r="H46" i="96"/>
  <c r="D46" i="96"/>
  <c r="L46" i="96" s="1"/>
  <c r="B46" i="96"/>
  <c r="Z45" i="96"/>
  <c r="X45" i="96"/>
  <c r="N45" i="96"/>
  <c r="L45" i="96"/>
  <c r="J45" i="96"/>
  <c r="B45" i="96"/>
  <c r="Z44" i="96"/>
  <c r="X44" i="96"/>
  <c r="N44" i="96"/>
  <c r="L44" i="96"/>
  <c r="B44" i="96"/>
  <c r="Z43" i="96"/>
  <c r="X43" i="96"/>
  <c r="V43" i="96"/>
  <c r="N43" i="96"/>
  <c r="L43" i="96"/>
  <c r="B43" i="96"/>
  <c r="Z42" i="96"/>
  <c r="X42" i="96"/>
  <c r="N42" i="96"/>
  <c r="L42" i="96"/>
  <c r="J42" i="96"/>
  <c r="B42" i="96"/>
  <c r="Z41" i="96"/>
  <c r="X41" i="96"/>
  <c r="N41" i="96"/>
  <c r="L41" i="96"/>
  <c r="B41" i="96"/>
  <c r="X40" i="96"/>
  <c r="Z40" i="96" s="1"/>
  <c r="N40" i="96"/>
  <c r="L40" i="96"/>
  <c r="B40" i="96"/>
  <c r="Z39" i="96"/>
  <c r="X39" i="96"/>
  <c r="V39" i="96"/>
  <c r="N39" i="96"/>
  <c r="L39" i="96"/>
  <c r="J39" i="96"/>
  <c r="B39" i="96"/>
  <c r="Z38" i="96"/>
  <c r="X38" i="96"/>
  <c r="N38" i="96"/>
  <c r="L38" i="96"/>
  <c r="B38" i="96"/>
  <c r="X37" i="96"/>
  <c r="Z37" i="96" s="1"/>
  <c r="L37" i="96"/>
  <c r="N37" i="96" s="1"/>
  <c r="J37" i="96"/>
  <c r="B37" i="96"/>
  <c r="Z36" i="96"/>
  <c r="X36" i="96"/>
  <c r="N36" i="96"/>
  <c r="L36" i="96"/>
  <c r="B36" i="96"/>
  <c r="X35" i="96"/>
  <c r="Z35" i="96" s="1"/>
  <c r="V35" i="96"/>
  <c r="T35" i="96"/>
  <c r="P35" i="96"/>
  <c r="H35" i="96"/>
  <c r="D35" i="96"/>
  <c r="L35" i="96" s="1"/>
  <c r="N35" i="96" s="1"/>
  <c r="B35" i="96"/>
  <c r="Z34" i="96"/>
  <c r="X34" i="96"/>
  <c r="V34" i="96"/>
  <c r="L34" i="96"/>
  <c r="N34" i="96" s="1"/>
  <c r="J34" i="96"/>
  <c r="B34" i="96"/>
  <c r="X33" i="96"/>
  <c r="Z33" i="96" s="1"/>
  <c r="V33" i="96"/>
  <c r="N33" i="96"/>
  <c r="L33" i="96"/>
  <c r="J33" i="96"/>
  <c r="B33" i="96"/>
  <c r="Z32" i="96"/>
  <c r="X32" i="96"/>
  <c r="N32" i="96"/>
  <c r="L32" i="96"/>
  <c r="B32" i="96"/>
  <c r="Z31" i="96"/>
  <c r="X31" i="96"/>
  <c r="V31" i="96"/>
  <c r="N31" i="96"/>
  <c r="L31" i="96"/>
  <c r="B31" i="96"/>
  <c r="Z30" i="96"/>
  <c r="X30" i="96"/>
  <c r="V30" i="96"/>
  <c r="L30" i="96"/>
  <c r="N30" i="96" s="1"/>
  <c r="B30" i="96"/>
  <c r="X29" i="96"/>
  <c r="Z29" i="96" s="1"/>
  <c r="V29" i="96"/>
  <c r="L29" i="96"/>
  <c r="N29" i="96" s="1"/>
  <c r="J29" i="96"/>
  <c r="B29" i="96"/>
  <c r="Z28" i="96"/>
  <c r="X28" i="96"/>
  <c r="V28" i="96"/>
  <c r="L28" i="96"/>
  <c r="N28" i="96" s="1"/>
  <c r="B28" i="96"/>
  <c r="Z27" i="96"/>
  <c r="X27" i="96"/>
  <c r="V27" i="96"/>
  <c r="L27" i="96"/>
  <c r="N27" i="96" s="1"/>
  <c r="B27" i="96"/>
  <c r="X26" i="96"/>
  <c r="Z26" i="96" s="1"/>
  <c r="V26" i="96"/>
  <c r="L26" i="96"/>
  <c r="N26" i="96" s="1"/>
  <c r="B26" i="96"/>
  <c r="T25" i="96"/>
  <c r="P25" i="96"/>
  <c r="X25" i="96" s="1"/>
  <c r="J25" i="96"/>
  <c r="H25" i="96"/>
  <c r="N25" i="96" s="1"/>
  <c r="D25" i="96"/>
  <c r="L25" i="96" s="1"/>
  <c r="B25" i="96"/>
  <c r="T24" i="96"/>
  <c r="P24" i="96"/>
  <c r="L24" i="96"/>
  <c r="H24" i="96"/>
  <c r="D24" i="96"/>
  <c r="T22" i="96"/>
  <c r="V22" i="96" s="1"/>
  <c r="Z20" i="96"/>
  <c r="X20" i="96"/>
  <c r="N20" i="96"/>
  <c r="L20" i="96"/>
  <c r="B20" i="96"/>
  <c r="Z19" i="96"/>
  <c r="X19" i="96"/>
  <c r="V19" i="96"/>
  <c r="N19" i="96"/>
  <c r="L19" i="96"/>
  <c r="J19" i="96"/>
  <c r="B19" i="96"/>
  <c r="X18" i="96"/>
  <c r="Z18" i="96" s="1"/>
  <c r="V18" i="96"/>
  <c r="N18" i="96"/>
  <c r="L18" i="96"/>
  <c r="J18" i="96"/>
  <c r="B18" i="96"/>
  <c r="T17" i="96"/>
  <c r="V17" i="96" s="1"/>
  <c r="P17" i="96"/>
  <c r="X17" i="96" s="1"/>
  <c r="Z17" i="96" s="1"/>
  <c r="H17" i="96"/>
  <c r="D17" i="96"/>
  <c r="L17" i="96" s="1"/>
  <c r="Z15" i="96"/>
  <c r="P15" i="96"/>
  <c r="X15" i="96" s="1"/>
  <c r="N15" i="96"/>
  <c r="D15" i="96"/>
  <c r="L15" i="96" s="1"/>
  <c r="B15" i="96"/>
  <c r="Z14" i="96"/>
  <c r="P14" i="96"/>
  <c r="X14" i="96" s="1"/>
  <c r="D14" i="96"/>
  <c r="L14" i="96" s="1"/>
  <c r="N14" i="96" s="1"/>
  <c r="B14" i="96"/>
  <c r="Z13" i="96"/>
  <c r="P13" i="96"/>
  <c r="X13" i="96" s="1"/>
  <c r="N13" i="96"/>
  <c r="D13" i="96"/>
  <c r="B13" i="96"/>
  <c r="T12" i="96"/>
  <c r="V62" i="96" s="1"/>
  <c r="H12" i="96"/>
  <c r="D6" i="96"/>
  <c r="D4" i="96"/>
  <c r="Z87" i="95"/>
  <c r="X87" i="95"/>
  <c r="L87" i="95"/>
  <c r="N87" i="95" s="1"/>
  <c r="Z83" i="95"/>
  <c r="X83" i="95"/>
  <c r="V83" i="95"/>
  <c r="T83" i="95"/>
  <c r="R83" i="95"/>
  <c r="P83" i="95"/>
  <c r="N83" i="95"/>
  <c r="H83" i="95"/>
  <c r="D83" i="95"/>
  <c r="L83" i="95" s="1"/>
  <c r="X81" i="95"/>
  <c r="Z81" i="95" s="1"/>
  <c r="V81" i="95"/>
  <c r="N81" i="95"/>
  <c r="L81" i="95"/>
  <c r="B81" i="95"/>
  <c r="T80" i="95"/>
  <c r="P80" i="95"/>
  <c r="X80" i="95" s="1"/>
  <c r="Z80" i="95" s="1"/>
  <c r="L80" i="95"/>
  <c r="H80" i="95"/>
  <c r="D80" i="95"/>
  <c r="B80" i="95"/>
  <c r="X79" i="95"/>
  <c r="Z79" i="95" s="1"/>
  <c r="N79" i="95"/>
  <c r="L79" i="95"/>
  <c r="J79" i="95"/>
  <c r="B79" i="95"/>
  <c r="T78" i="95"/>
  <c r="P78" i="95"/>
  <c r="X78" i="95" s="1"/>
  <c r="Z78" i="95" s="1"/>
  <c r="H78" i="95"/>
  <c r="D78" i="95"/>
  <c r="B78" i="95"/>
  <c r="Z77" i="95"/>
  <c r="X77" i="95"/>
  <c r="N77" i="95"/>
  <c r="L77" i="95"/>
  <c r="J77" i="95"/>
  <c r="B77" i="95"/>
  <c r="Z76" i="95"/>
  <c r="X76" i="95"/>
  <c r="N76" i="95"/>
  <c r="L76" i="95"/>
  <c r="J76" i="95"/>
  <c r="B76" i="95"/>
  <c r="Z75" i="95"/>
  <c r="X75" i="95"/>
  <c r="V75" i="95"/>
  <c r="N75" i="95"/>
  <c r="L75" i="95"/>
  <c r="B75" i="95"/>
  <c r="Z74" i="95"/>
  <c r="X74" i="95"/>
  <c r="L74" i="95"/>
  <c r="N74" i="95" s="1"/>
  <c r="B74" i="95"/>
  <c r="X73" i="95"/>
  <c r="Z73" i="95" s="1"/>
  <c r="L73" i="95"/>
  <c r="N73" i="95" s="1"/>
  <c r="J73" i="95"/>
  <c r="B73" i="95"/>
  <c r="X72" i="95"/>
  <c r="Z72" i="95" s="1"/>
  <c r="N72" i="95"/>
  <c r="L72" i="95"/>
  <c r="J72" i="95"/>
  <c r="B72" i="95"/>
  <c r="Z71" i="95"/>
  <c r="X71" i="95"/>
  <c r="V71" i="95"/>
  <c r="N71" i="95"/>
  <c r="L71" i="95"/>
  <c r="B71" i="95"/>
  <c r="T70" i="95"/>
  <c r="P70" i="95"/>
  <c r="L70" i="95"/>
  <c r="N70" i="95" s="1"/>
  <c r="J70" i="95"/>
  <c r="H70" i="95"/>
  <c r="D70" i="95"/>
  <c r="B70" i="95"/>
  <c r="Z69" i="95"/>
  <c r="X69" i="95"/>
  <c r="V69" i="95"/>
  <c r="N69" i="95"/>
  <c r="L69" i="95"/>
  <c r="J69" i="95"/>
  <c r="B69" i="95"/>
  <c r="Z68" i="95"/>
  <c r="T68" i="95"/>
  <c r="P68" i="95"/>
  <c r="X68" i="95" s="1"/>
  <c r="L68" i="95"/>
  <c r="H68" i="95"/>
  <c r="N68" i="95" s="1"/>
  <c r="D68" i="95"/>
  <c r="B68" i="95"/>
  <c r="X67" i="95"/>
  <c r="Z67" i="95" s="1"/>
  <c r="N67" i="95"/>
  <c r="L67" i="95"/>
  <c r="J67" i="95"/>
  <c r="B67" i="95"/>
  <c r="T66" i="95"/>
  <c r="P66" i="95"/>
  <c r="X66" i="95" s="1"/>
  <c r="Z66" i="95" s="1"/>
  <c r="L66" i="95"/>
  <c r="H66" i="95"/>
  <c r="D66" i="95"/>
  <c r="B66" i="95"/>
  <c r="X65" i="95"/>
  <c r="Z65" i="95" s="1"/>
  <c r="L65" i="95"/>
  <c r="N65" i="95" s="1"/>
  <c r="J65" i="95"/>
  <c r="B65" i="95"/>
  <c r="X64" i="95"/>
  <c r="Z64" i="95" s="1"/>
  <c r="T64" i="95"/>
  <c r="P64" i="95"/>
  <c r="H64" i="95"/>
  <c r="D64" i="95"/>
  <c r="L64" i="95" s="1"/>
  <c r="B64" i="95"/>
  <c r="Z63" i="95"/>
  <c r="X63" i="95"/>
  <c r="L63" i="95"/>
  <c r="N63" i="95" s="1"/>
  <c r="B63" i="95"/>
  <c r="X62" i="95"/>
  <c r="T62" i="95"/>
  <c r="Z62" i="95" s="1"/>
  <c r="P62" i="95"/>
  <c r="J62" i="95"/>
  <c r="H62" i="95"/>
  <c r="D62" i="95"/>
  <c r="L62" i="95" s="1"/>
  <c r="N62" i="95" s="1"/>
  <c r="B62" i="95"/>
  <c r="Z61" i="95"/>
  <c r="X61" i="95"/>
  <c r="L61" i="95"/>
  <c r="N61" i="95" s="1"/>
  <c r="J61" i="95"/>
  <c r="B61" i="95"/>
  <c r="T60" i="95"/>
  <c r="P60" i="95"/>
  <c r="H60" i="95"/>
  <c r="J60" i="95" s="1"/>
  <c r="D60" i="95"/>
  <c r="L60" i="95" s="1"/>
  <c r="N60" i="95" s="1"/>
  <c r="B60" i="95"/>
  <c r="Z59" i="95"/>
  <c r="X59" i="95"/>
  <c r="V59" i="95"/>
  <c r="N59" i="95"/>
  <c r="L59" i="95"/>
  <c r="B59" i="95"/>
  <c r="T58" i="95"/>
  <c r="Z58" i="95" s="1"/>
  <c r="P58" i="95"/>
  <c r="X58" i="95" s="1"/>
  <c r="N58" i="95"/>
  <c r="L58" i="95"/>
  <c r="J58" i="95"/>
  <c r="H58" i="95"/>
  <c r="D58" i="95"/>
  <c r="B58" i="95"/>
  <c r="Z57" i="95"/>
  <c r="X57" i="95"/>
  <c r="V57" i="95"/>
  <c r="N57" i="95"/>
  <c r="L57" i="95"/>
  <c r="J57" i="95"/>
  <c r="B57" i="95"/>
  <c r="T56" i="95"/>
  <c r="P56" i="95"/>
  <c r="X56" i="95" s="1"/>
  <c r="Z56" i="95" s="1"/>
  <c r="L56" i="95"/>
  <c r="H56" i="95"/>
  <c r="N56" i="95" s="1"/>
  <c r="D56" i="95"/>
  <c r="B56" i="95"/>
  <c r="X55" i="95"/>
  <c r="Z55" i="95" s="1"/>
  <c r="N55" i="95"/>
  <c r="L55" i="95"/>
  <c r="J55" i="95"/>
  <c r="B55" i="95"/>
  <c r="Z54" i="95"/>
  <c r="X54" i="95"/>
  <c r="N54" i="95"/>
  <c r="L54" i="95"/>
  <c r="B54" i="95"/>
  <c r="T53" i="95"/>
  <c r="P53" i="95"/>
  <c r="X53" i="95" s="1"/>
  <c r="Z53" i="95" s="1"/>
  <c r="L53" i="95"/>
  <c r="N53" i="95" s="1"/>
  <c r="H53" i="95"/>
  <c r="D53" i="95"/>
  <c r="B53" i="95"/>
  <c r="X52" i="95"/>
  <c r="Z52" i="95" s="1"/>
  <c r="L52" i="95"/>
  <c r="N52" i="95" s="1"/>
  <c r="J52" i="95"/>
  <c r="B52" i="95"/>
  <c r="V51" i="95"/>
  <c r="T51" i="95"/>
  <c r="P51" i="95"/>
  <c r="X51" i="95" s="1"/>
  <c r="Z51" i="95" s="1"/>
  <c r="H51" i="95"/>
  <c r="D51" i="95"/>
  <c r="B51" i="95"/>
  <c r="X50" i="95"/>
  <c r="Z50" i="95" s="1"/>
  <c r="N50" i="95"/>
  <c r="L50" i="95"/>
  <c r="J50" i="95"/>
  <c r="B50" i="95"/>
  <c r="Z49" i="95"/>
  <c r="X49" i="95"/>
  <c r="V49" i="95"/>
  <c r="T49" i="95"/>
  <c r="P49" i="95"/>
  <c r="H49" i="95"/>
  <c r="D49" i="95"/>
  <c r="L49" i="95" s="1"/>
  <c r="N49" i="95" s="1"/>
  <c r="B49" i="95"/>
  <c r="X48" i="95"/>
  <c r="Z48" i="95" s="1"/>
  <c r="R48" i="95"/>
  <c r="N48" i="95"/>
  <c r="L48" i="95"/>
  <c r="J48" i="95"/>
  <c r="B48" i="95"/>
  <c r="X47" i="95"/>
  <c r="Z47" i="95" s="1"/>
  <c r="T47" i="95"/>
  <c r="P47" i="95"/>
  <c r="N47" i="95"/>
  <c r="J47" i="95"/>
  <c r="H47" i="95"/>
  <c r="D47" i="95"/>
  <c r="L47" i="95" s="1"/>
  <c r="B47" i="95"/>
  <c r="Z46" i="95"/>
  <c r="X46" i="95"/>
  <c r="N46" i="95"/>
  <c r="L46" i="95"/>
  <c r="B46" i="95"/>
  <c r="Z45" i="95"/>
  <c r="X45" i="95"/>
  <c r="N45" i="95"/>
  <c r="L45" i="95"/>
  <c r="J45" i="95"/>
  <c r="B45" i="95"/>
  <c r="X44" i="95"/>
  <c r="Z44" i="95" s="1"/>
  <c r="L44" i="95"/>
  <c r="N44" i="95" s="1"/>
  <c r="J44" i="95"/>
  <c r="B44" i="95"/>
  <c r="Z43" i="95"/>
  <c r="X43" i="95"/>
  <c r="V43" i="95"/>
  <c r="N43" i="95"/>
  <c r="L43" i="95"/>
  <c r="B43" i="95"/>
  <c r="Z42" i="95"/>
  <c r="X42" i="95"/>
  <c r="N42" i="95"/>
  <c r="L42" i="95"/>
  <c r="B42" i="95"/>
  <c r="Z41" i="95"/>
  <c r="X41" i="95"/>
  <c r="N41" i="95"/>
  <c r="L41" i="95"/>
  <c r="J41" i="95"/>
  <c r="B41" i="95"/>
  <c r="X40" i="95"/>
  <c r="Z40" i="95" s="1"/>
  <c r="L40" i="95"/>
  <c r="N40" i="95" s="1"/>
  <c r="J40" i="95"/>
  <c r="B40" i="95"/>
  <c r="Z39" i="95"/>
  <c r="X39" i="95"/>
  <c r="V39" i="95"/>
  <c r="N39" i="95"/>
  <c r="L39" i="95"/>
  <c r="B39" i="95"/>
  <c r="Z38" i="95"/>
  <c r="X38" i="95"/>
  <c r="R38" i="95"/>
  <c r="L38" i="95"/>
  <c r="N38" i="95" s="1"/>
  <c r="B38" i="95"/>
  <c r="Z37" i="95"/>
  <c r="X37" i="95"/>
  <c r="N37" i="95"/>
  <c r="L37" i="95"/>
  <c r="J37" i="95"/>
  <c r="B37" i="95"/>
  <c r="T36" i="95"/>
  <c r="P36" i="95"/>
  <c r="X36" i="95" s="1"/>
  <c r="Z36" i="95" s="1"/>
  <c r="H36" i="95"/>
  <c r="D36" i="95"/>
  <c r="L36" i="95" s="1"/>
  <c r="B36" i="95"/>
  <c r="Z35" i="95"/>
  <c r="X35" i="95"/>
  <c r="N35" i="95"/>
  <c r="L35" i="95"/>
  <c r="J35" i="95"/>
  <c r="B35" i="95"/>
  <c r="X34" i="95"/>
  <c r="Z34" i="95" s="1"/>
  <c r="N34" i="95"/>
  <c r="L34" i="95"/>
  <c r="J34" i="95"/>
  <c r="B34" i="95"/>
  <c r="Z33" i="95"/>
  <c r="X33" i="95"/>
  <c r="V33" i="95"/>
  <c r="N33" i="95"/>
  <c r="L33" i="95"/>
  <c r="J33" i="95"/>
  <c r="B33" i="95"/>
  <c r="Z32" i="95"/>
  <c r="X32" i="95"/>
  <c r="V32" i="95"/>
  <c r="N32" i="95"/>
  <c r="L32" i="95"/>
  <c r="B32" i="95"/>
  <c r="Z31" i="95"/>
  <c r="X31" i="95"/>
  <c r="L31" i="95"/>
  <c r="N31" i="95" s="1"/>
  <c r="J31" i="95"/>
  <c r="B31" i="95"/>
  <c r="X30" i="95"/>
  <c r="Z30" i="95" s="1"/>
  <c r="N30" i="95"/>
  <c r="L30" i="95"/>
  <c r="J30" i="95"/>
  <c r="B30" i="95"/>
  <c r="Z29" i="95"/>
  <c r="X29" i="95"/>
  <c r="V29" i="95"/>
  <c r="N29" i="95"/>
  <c r="L29" i="95"/>
  <c r="J29" i="95"/>
  <c r="B29" i="95"/>
  <c r="X28" i="95"/>
  <c r="Z28" i="95" s="1"/>
  <c r="V28" i="95"/>
  <c r="L28" i="95"/>
  <c r="N28" i="95" s="1"/>
  <c r="B28" i="95"/>
  <c r="Z27" i="95"/>
  <c r="X27" i="95"/>
  <c r="L27" i="95"/>
  <c r="N27" i="95" s="1"/>
  <c r="J27" i="95"/>
  <c r="B27" i="95"/>
  <c r="X26" i="95"/>
  <c r="T26" i="95"/>
  <c r="Z26" i="95" s="1"/>
  <c r="P26" i="95"/>
  <c r="J26" i="95"/>
  <c r="H26" i="95"/>
  <c r="D26" i="95"/>
  <c r="L26" i="95" s="1"/>
  <c r="N26" i="95" s="1"/>
  <c r="B26" i="95"/>
  <c r="T25" i="95"/>
  <c r="P25" i="95"/>
  <c r="X25" i="95" s="1"/>
  <c r="Z25" i="95" s="1"/>
  <c r="H25" i="95"/>
  <c r="J25" i="95" s="1"/>
  <c r="D25" i="95"/>
  <c r="L25" i="95" s="1"/>
  <c r="N25" i="95" s="1"/>
  <c r="T23" i="95"/>
  <c r="Z21" i="95"/>
  <c r="X21" i="95"/>
  <c r="N21" i="95"/>
  <c r="L21" i="95"/>
  <c r="J21" i="95"/>
  <c r="B21" i="95"/>
  <c r="Z20" i="95"/>
  <c r="X20" i="95"/>
  <c r="N20" i="95"/>
  <c r="L20" i="95"/>
  <c r="J20" i="95"/>
  <c r="B20" i="95"/>
  <c r="X19" i="95"/>
  <c r="Z19" i="95" s="1"/>
  <c r="N19" i="95"/>
  <c r="L19" i="95"/>
  <c r="J19" i="95"/>
  <c r="B19" i="95"/>
  <c r="V18" i="95"/>
  <c r="T18" i="95"/>
  <c r="P18" i="95"/>
  <c r="X18" i="95" s="1"/>
  <c r="Z18" i="95" s="1"/>
  <c r="L18" i="95"/>
  <c r="H18" i="95"/>
  <c r="D18" i="95"/>
  <c r="Z16" i="95"/>
  <c r="P16" i="95"/>
  <c r="X16" i="95" s="1"/>
  <c r="N16" i="95"/>
  <c r="L16" i="95"/>
  <c r="D16" i="95"/>
  <c r="B16" i="95"/>
  <c r="Z15" i="95"/>
  <c r="P15" i="95"/>
  <c r="X15" i="95" s="1"/>
  <c r="D15" i="95"/>
  <c r="L15" i="95" s="1"/>
  <c r="N15" i="95" s="1"/>
  <c r="B15" i="95"/>
  <c r="Z14" i="95"/>
  <c r="P14" i="95"/>
  <c r="X14" i="95" s="1"/>
  <c r="N14" i="95"/>
  <c r="D14" i="95"/>
  <c r="L14" i="95" s="1"/>
  <c r="B14" i="95"/>
  <c r="P13" i="95"/>
  <c r="X13" i="95" s="1"/>
  <c r="Z13" i="95" s="1"/>
  <c r="D13" i="95"/>
  <c r="B13" i="95"/>
  <c r="T12" i="95"/>
  <c r="V62" i="95" s="1"/>
  <c r="P12" i="95"/>
  <c r="H12" i="95"/>
  <c r="J80" i="95" s="1"/>
  <c r="D6" i="95"/>
  <c r="D4" i="95"/>
  <c r="Z79" i="94"/>
  <c r="X79" i="94"/>
  <c r="L79" i="94"/>
  <c r="N79" i="94" s="1"/>
  <c r="Z75" i="94"/>
  <c r="P75" i="94"/>
  <c r="X75" i="94" s="1"/>
  <c r="N75" i="94"/>
  <c r="J75" i="94"/>
  <c r="D75" i="94"/>
  <c r="B75" i="94"/>
  <c r="Z74" i="94"/>
  <c r="T74" i="94"/>
  <c r="P74" i="94"/>
  <c r="X74" i="94" s="1"/>
  <c r="N74" i="94"/>
  <c r="H74" i="94"/>
  <c r="J74" i="94" s="1"/>
  <c r="Z72" i="94"/>
  <c r="X72" i="94"/>
  <c r="N72" i="94"/>
  <c r="L72" i="94"/>
  <c r="J72" i="94"/>
  <c r="B72" i="94"/>
  <c r="T71" i="94"/>
  <c r="P71" i="94"/>
  <c r="N71" i="94"/>
  <c r="J71" i="94"/>
  <c r="H71" i="94"/>
  <c r="D71" i="94"/>
  <c r="L71" i="94" s="1"/>
  <c r="B71" i="94"/>
  <c r="Z70" i="94"/>
  <c r="X70" i="94"/>
  <c r="L70" i="94"/>
  <c r="N70" i="94" s="1"/>
  <c r="B70" i="94"/>
  <c r="Z69" i="94"/>
  <c r="X69" i="94"/>
  <c r="L69" i="94"/>
  <c r="N69" i="94" s="1"/>
  <c r="B69" i="94"/>
  <c r="T68" i="94"/>
  <c r="P68" i="94"/>
  <c r="J68" i="94"/>
  <c r="H68" i="94"/>
  <c r="D68" i="94"/>
  <c r="L68" i="94" s="1"/>
  <c r="N68" i="94" s="1"/>
  <c r="B68" i="94"/>
  <c r="Z67" i="94"/>
  <c r="X67" i="94"/>
  <c r="N67" i="94"/>
  <c r="L67" i="94"/>
  <c r="B67" i="94"/>
  <c r="X66" i="94"/>
  <c r="Z66" i="94" s="1"/>
  <c r="N66" i="94"/>
  <c r="L66" i="94"/>
  <c r="J66" i="94"/>
  <c r="B66" i="94"/>
  <c r="X65" i="94"/>
  <c r="Z65" i="94" s="1"/>
  <c r="N65" i="94"/>
  <c r="L65" i="94"/>
  <c r="J65" i="94"/>
  <c r="B65" i="94"/>
  <c r="Z64" i="94"/>
  <c r="X64" i="94"/>
  <c r="N64" i="94"/>
  <c r="L64" i="94"/>
  <c r="J64" i="94"/>
  <c r="B64" i="94"/>
  <c r="Z63" i="94"/>
  <c r="X63" i="94"/>
  <c r="L63" i="94"/>
  <c r="N63" i="94" s="1"/>
  <c r="B63" i="94"/>
  <c r="T62" i="94"/>
  <c r="Z62" i="94" s="1"/>
  <c r="P62" i="94"/>
  <c r="X62" i="94" s="1"/>
  <c r="N62" i="94"/>
  <c r="L62" i="94"/>
  <c r="J62" i="94"/>
  <c r="H62" i="94"/>
  <c r="F62" i="94"/>
  <c r="D62" i="94"/>
  <c r="B62" i="94"/>
  <c r="Z61" i="94"/>
  <c r="X61" i="94"/>
  <c r="N61" i="94"/>
  <c r="L61" i="94"/>
  <c r="J61" i="94"/>
  <c r="B61" i="94"/>
  <c r="T60" i="94"/>
  <c r="P60" i="94"/>
  <c r="X60" i="94" s="1"/>
  <c r="Z60" i="94" s="1"/>
  <c r="N60" i="94"/>
  <c r="L60" i="94"/>
  <c r="J60" i="94"/>
  <c r="H60" i="94"/>
  <c r="F60" i="94"/>
  <c r="D60" i="94"/>
  <c r="B60" i="94"/>
  <c r="Z59" i="94"/>
  <c r="X59" i="94"/>
  <c r="N59" i="94"/>
  <c r="L59" i="94"/>
  <c r="J59" i="94"/>
  <c r="B59" i="94"/>
  <c r="Z58" i="94"/>
  <c r="X58" i="94"/>
  <c r="N58" i="94"/>
  <c r="L58" i="94"/>
  <c r="B58" i="94"/>
  <c r="T57" i="94"/>
  <c r="Z57" i="94" s="1"/>
  <c r="P57" i="94"/>
  <c r="X57" i="94" s="1"/>
  <c r="N57" i="94"/>
  <c r="J57" i="94"/>
  <c r="H57" i="94"/>
  <c r="D57" i="94"/>
  <c r="L57" i="94" s="1"/>
  <c r="B57" i="94"/>
  <c r="Z56" i="94"/>
  <c r="X56" i="94"/>
  <c r="N56" i="94"/>
  <c r="L56" i="94"/>
  <c r="J56" i="94"/>
  <c r="B56" i="94"/>
  <c r="Z55" i="94"/>
  <c r="T55" i="94"/>
  <c r="P55" i="94"/>
  <c r="X55" i="94" s="1"/>
  <c r="L55" i="94"/>
  <c r="H55" i="94"/>
  <c r="N55" i="94" s="1"/>
  <c r="D55" i="94"/>
  <c r="B55" i="94"/>
  <c r="X54" i="94"/>
  <c r="Z54" i="94" s="1"/>
  <c r="N54" i="94"/>
  <c r="L54" i="94"/>
  <c r="J54" i="94"/>
  <c r="B54" i="94"/>
  <c r="T53" i="94"/>
  <c r="P53" i="94"/>
  <c r="X53" i="94" s="1"/>
  <c r="Z53" i="94" s="1"/>
  <c r="L53" i="94"/>
  <c r="H53" i="94"/>
  <c r="D53" i="94"/>
  <c r="B53" i="94"/>
  <c r="X52" i="94"/>
  <c r="Z52" i="94" s="1"/>
  <c r="N52" i="94"/>
  <c r="L52" i="94"/>
  <c r="J52" i="94"/>
  <c r="B52" i="94"/>
  <c r="T51" i="94"/>
  <c r="P51" i="94"/>
  <c r="X51" i="94" s="1"/>
  <c r="Z51" i="94" s="1"/>
  <c r="H51" i="94"/>
  <c r="D51" i="94"/>
  <c r="L51" i="94" s="1"/>
  <c r="B51" i="94"/>
  <c r="X50" i="94"/>
  <c r="Z50" i="94" s="1"/>
  <c r="L50" i="94"/>
  <c r="N50" i="94" s="1"/>
  <c r="J50" i="94"/>
  <c r="B50" i="94"/>
  <c r="X49" i="94"/>
  <c r="T49" i="94"/>
  <c r="P49" i="94"/>
  <c r="J49" i="94"/>
  <c r="H49" i="94"/>
  <c r="N49" i="94" s="1"/>
  <c r="D49" i="94"/>
  <c r="L49" i="94" s="1"/>
  <c r="B49" i="94"/>
  <c r="Z48" i="94"/>
  <c r="X48" i="94"/>
  <c r="L48" i="94"/>
  <c r="N48" i="94" s="1"/>
  <c r="J48" i="94"/>
  <c r="B48" i="94"/>
  <c r="X47" i="94"/>
  <c r="T47" i="94"/>
  <c r="P47" i="94"/>
  <c r="J47" i="94"/>
  <c r="H47" i="94"/>
  <c r="D47" i="94"/>
  <c r="L47" i="94" s="1"/>
  <c r="N47" i="94" s="1"/>
  <c r="B47" i="94"/>
  <c r="Z46" i="94"/>
  <c r="X46" i="94"/>
  <c r="N46" i="94"/>
  <c r="L46" i="94"/>
  <c r="B46" i="94"/>
  <c r="Z45" i="94"/>
  <c r="X45" i="94"/>
  <c r="N45" i="94"/>
  <c r="L45" i="94"/>
  <c r="B45" i="94"/>
  <c r="X44" i="94"/>
  <c r="Z44" i="94" s="1"/>
  <c r="N44" i="94"/>
  <c r="L44" i="94"/>
  <c r="J44" i="94"/>
  <c r="B44" i="94"/>
  <c r="X43" i="94"/>
  <c r="Z43" i="94" s="1"/>
  <c r="N43" i="94"/>
  <c r="L43" i="94"/>
  <c r="J43" i="94"/>
  <c r="B43" i="94"/>
  <c r="Z42" i="94"/>
  <c r="X42" i="94"/>
  <c r="N42" i="94"/>
  <c r="L42" i="94"/>
  <c r="B42" i="94"/>
  <c r="Z41" i="94"/>
  <c r="X41" i="94"/>
  <c r="L41" i="94"/>
  <c r="N41" i="94" s="1"/>
  <c r="B41" i="94"/>
  <c r="X40" i="94"/>
  <c r="Z40" i="94" s="1"/>
  <c r="N40" i="94"/>
  <c r="L40" i="94"/>
  <c r="J40" i="94"/>
  <c r="B40" i="94"/>
  <c r="Z39" i="94"/>
  <c r="X39" i="94"/>
  <c r="N39" i="94"/>
  <c r="L39" i="94"/>
  <c r="J39" i="94"/>
  <c r="B39" i="94"/>
  <c r="Z38" i="94"/>
  <c r="X38" i="94"/>
  <c r="V38" i="94"/>
  <c r="L38" i="94"/>
  <c r="N38" i="94" s="1"/>
  <c r="B38" i="94"/>
  <c r="Z37" i="94"/>
  <c r="X37" i="94"/>
  <c r="N37" i="94"/>
  <c r="L37" i="94"/>
  <c r="B37" i="94"/>
  <c r="T36" i="94"/>
  <c r="P36" i="94"/>
  <c r="J36" i="94"/>
  <c r="H36" i="94"/>
  <c r="D36" i="94"/>
  <c r="L36" i="94" s="1"/>
  <c r="N36" i="94" s="1"/>
  <c r="B36" i="94"/>
  <c r="Z35" i="94"/>
  <c r="X35" i="94"/>
  <c r="N35" i="94"/>
  <c r="L35" i="94"/>
  <c r="F35" i="94"/>
  <c r="B35" i="94"/>
  <c r="X34" i="94"/>
  <c r="Z34" i="94" s="1"/>
  <c r="L34" i="94"/>
  <c r="N34" i="94" s="1"/>
  <c r="J34" i="94"/>
  <c r="B34" i="94"/>
  <c r="X33" i="94"/>
  <c r="Z33" i="94" s="1"/>
  <c r="N33" i="94"/>
  <c r="L33" i="94"/>
  <c r="J33" i="94"/>
  <c r="B33" i="94"/>
  <c r="Z32" i="94"/>
  <c r="X32" i="94"/>
  <c r="V32" i="94"/>
  <c r="N32" i="94"/>
  <c r="L32" i="94"/>
  <c r="J32" i="94"/>
  <c r="B32" i="94"/>
  <c r="X31" i="94"/>
  <c r="Z31" i="94" s="1"/>
  <c r="L31" i="94"/>
  <c r="N31" i="94" s="1"/>
  <c r="B31" i="94"/>
  <c r="X30" i="94"/>
  <c r="Z30" i="94" s="1"/>
  <c r="L30" i="94"/>
  <c r="N30" i="94" s="1"/>
  <c r="J30" i="94"/>
  <c r="B30" i="94"/>
  <c r="X29" i="94"/>
  <c r="Z29" i="94" s="1"/>
  <c r="N29" i="94"/>
  <c r="L29" i="94"/>
  <c r="J29" i="94"/>
  <c r="B29" i="94"/>
  <c r="Z28" i="94"/>
  <c r="X28" i="94"/>
  <c r="N28" i="94"/>
  <c r="L28" i="94"/>
  <c r="J28" i="94"/>
  <c r="B28" i="94"/>
  <c r="X27" i="94"/>
  <c r="Z27" i="94" s="1"/>
  <c r="L27" i="94"/>
  <c r="N27" i="94" s="1"/>
  <c r="B27" i="94"/>
  <c r="T26" i="94"/>
  <c r="Z26" i="94" s="1"/>
  <c r="P26" i="94"/>
  <c r="X26" i="94" s="1"/>
  <c r="N26" i="94"/>
  <c r="L26" i="94"/>
  <c r="J26" i="94"/>
  <c r="H26" i="94"/>
  <c r="D26" i="94"/>
  <c r="B26" i="94"/>
  <c r="T25" i="94"/>
  <c r="Z25" i="94" s="1"/>
  <c r="P25" i="94"/>
  <c r="X25" i="94" s="1"/>
  <c r="H25" i="94"/>
  <c r="D25" i="94"/>
  <c r="L25" i="94" s="1"/>
  <c r="H23" i="94"/>
  <c r="Z21" i="94"/>
  <c r="X21" i="94"/>
  <c r="N21" i="94"/>
  <c r="L21" i="94"/>
  <c r="J21" i="94"/>
  <c r="B21" i="94"/>
  <c r="Z20" i="94"/>
  <c r="X20" i="94"/>
  <c r="N20" i="94"/>
  <c r="L20" i="94"/>
  <c r="J20" i="94"/>
  <c r="B20" i="94"/>
  <c r="X19" i="94"/>
  <c r="Z19" i="94" s="1"/>
  <c r="L19" i="94"/>
  <c r="N19" i="94" s="1"/>
  <c r="J19" i="94"/>
  <c r="B19" i="94"/>
  <c r="Z18" i="94"/>
  <c r="X18" i="94"/>
  <c r="T18" i="94"/>
  <c r="P18" i="94"/>
  <c r="H18" i="94"/>
  <c r="J18" i="94" s="1"/>
  <c r="D18" i="94"/>
  <c r="L18" i="94" s="1"/>
  <c r="Z16" i="94"/>
  <c r="P16" i="94"/>
  <c r="X16" i="94" s="1"/>
  <c r="N16" i="94"/>
  <c r="L16" i="94"/>
  <c r="D16" i="94"/>
  <c r="B16" i="94"/>
  <c r="P15" i="94"/>
  <c r="X15" i="94" s="1"/>
  <c r="Z15" i="94" s="1"/>
  <c r="D15" i="94"/>
  <c r="L15" i="94" s="1"/>
  <c r="N15" i="94" s="1"/>
  <c r="B15" i="94"/>
  <c r="Z14" i="94"/>
  <c r="P14" i="94"/>
  <c r="X14" i="94" s="1"/>
  <c r="N14" i="94"/>
  <c r="L14" i="94"/>
  <c r="D14" i="94"/>
  <c r="B14" i="94"/>
  <c r="P13" i="94"/>
  <c r="D13" i="94"/>
  <c r="D12" i="94" s="1"/>
  <c r="F27" i="94" s="1"/>
  <c r="B13" i="94"/>
  <c r="T12" i="94"/>
  <c r="V35" i="94" s="1"/>
  <c r="H12" i="94"/>
  <c r="D6" i="94"/>
  <c r="D4" i="94"/>
  <c r="Z84" i="93"/>
  <c r="X84" i="93"/>
  <c r="N84" i="93"/>
  <c r="L84" i="93"/>
  <c r="T80" i="93"/>
  <c r="Z80" i="93" s="1"/>
  <c r="P80" i="93"/>
  <c r="N80" i="93"/>
  <c r="J80" i="93"/>
  <c r="H80" i="93"/>
  <c r="D80" i="93"/>
  <c r="L80" i="93" s="1"/>
  <c r="X78" i="93"/>
  <c r="Z78" i="93" s="1"/>
  <c r="L78" i="93"/>
  <c r="N78" i="93" s="1"/>
  <c r="B78" i="93"/>
  <c r="X77" i="93"/>
  <c r="Z77" i="93" s="1"/>
  <c r="T77" i="93"/>
  <c r="P77" i="93"/>
  <c r="N77" i="93"/>
  <c r="H77" i="93"/>
  <c r="D77" i="93"/>
  <c r="L77" i="93" s="1"/>
  <c r="B77" i="93"/>
  <c r="Z76" i="93"/>
  <c r="X76" i="93"/>
  <c r="N76" i="93"/>
  <c r="L76" i="93"/>
  <c r="B76" i="93"/>
  <c r="X75" i="93"/>
  <c r="T75" i="93"/>
  <c r="P75" i="93"/>
  <c r="H75" i="93"/>
  <c r="D75" i="93"/>
  <c r="B75" i="93"/>
  <c r="Z74" i="93"/>
  <c r="X74" i="93"/>
  <c r="L74" i="93"/>
  <c r="N74" i="93" s="1"/>
  <c r="J74" i="93"/>
  <c r="B74" i="93"/>
  <c r="X73" i="93"/>
  <c r="Z73" i="93" s="1"/>
  <c r="L73" i="93"/>
  <c r="N73" i="93" s="1"/>
  <c r="B73" i="93"/>
  <c r="X72" i="93"/>
  <c r="Z72" i="93" s="1"/>
  <c r="N72" i="93"/>
  <c r="L72" i="93"/>
  <c r="J72" i="93"/>
  <c r="B72" i="93"/>
  <c r="Z71" i="93"/>
  <c r="X71" i="93"/>
  <c r="L71" i="93"/>
  <c r="N71" i="93" s="1"/>
  <c r="J71" i="93"/>
  <c r="B71" i="93"/>
  <c r="Z70" i="93"/>
  <c r="X70" i="93"/>
  <c r="L70" i="93"/>
  <c r="N70" i="93" s="1"/>
  <c r="B70" i="93"/>
  <c r="X69" i="93"/>
  <c r="Z69" i="93" s="1"/>
  <c r="L69" i="93"/>
  <c r="N69" i="93" s="1"/>
  <c r="B69" i="93"/>
  <c r="Z68" i="93"/>
  <c r="T68" i="93"/>
  <c r="X68" i="93" s="1"/>
  <c r="P68" i="93"/>
  <c r="J68" i="93"/>
  <c r="H68" i="93"/>
  <c r="D68" i="93"/>
  <c r="B68" i="93"/>
  <c r="Z67" i="93"/>
  <c r="X67" i="93"/>
  <c r="L67" i="93"/>
  <c r="N67" i="93" s="1"/>
  <c r="B67" i="93"/>
  <c r="X66" i="93"/>
  <c r="Z66" i="93" s="1"/>
  <c r="N66" i="93"/>
  <c r="L66" i="93"/>
  <c r="J66" i="93"/>
  <c r="B66" i="93"/>
  <c r="X65" i="93"/>
  <c r="Z65" i="93" s="1"/>
  <c r="L65" i="93"/>
  <c r="N65" i="93" s="1"/>
  <c r="B65" i="93"/>
  <c r="T64" i="93"/>
  <c r="P64" i="93"/>
  <c r="X64" i="93" s="1"/>
  <c r="Z64" i="93" s="1"/>
  <c r="J64" i="93"/>
  <c r="H64" i="93"/>
  <c r="D64" i="93"/>
  <c r="L64" i="93" s="1"/>
  <c r="B64" i="93"/>
  <c r="X63" i="93"/>
  <c r="Z63" i="93" s="1"/>
  <c r="N63" i="93"/>
  <c r="L63" i="93"/>
  <c r="J63" i="93"/>
  <c r="B63" i="93"/>
  <c r="Z62" i="93"/>
  <c r="X62" i="93"/>
  <c r="T62" i="93"/>
  <c r="P62" i="93"/>
  <c r="N62" i="93"/>
  <c r="H62" i="93"/>
  <c r="D62" i="93"/>
  <c r="L62" i="93" s="1"/>
  <c r="B62" i="93"/>
  <c r="Z61" i="93"/>
  <c r="X61" i="93"/>
  <c r="L61" i="93"/>
  <c r="N61" i="93" s="1"/>
  <c r="B61" i="93"/>
  <c r="Z60" i="93"/>
  <c r="X60" i="93"/>
  <c r="N60" i="93"/>
  <c r="L60" i="93"/>
  <c r="J60" i="93"/>
  <c r="B60" i="93"/>
  <c r="T59" i="93"/>
  <c r="P59" i="93"/>
  <c r="X59" i="93" s="1"/>
  <c r="Z59" i="93" s="1"/>
  <c r="H59" i="93"/>
  <c r="D59" i="93"/>
  <c r="L59" i="93" s="1"/>
  <c r="B59" i="93"/>
  <c r="X58" i="93"/>
  <c r="Z58" i="93" s="1"/>
  <c r="L58" i="93"/>
  <c r="N58" i="93" s="1"/>
  <c r="J58" i="93"/>
  <c r="B58" i="93"/>
  <c r="X57" i="93"/>
  <c r="Z57" i="93" s="1"/>
  <c r="T57" i="93"/>
  <c r="P57" i="93"/>
  <c r="N57" i="93"/>
  <c r="L57" i="93"/>
  <c r="J57" i="93"/>
  <c r="H57" i="93"/>
  <c r="D57" i="93"/>
  <c r="B57" i="93"/>
  <c r="Z56" i="93"/>
  <c r="X56" i="93"/>
  <c r="N56" i="93"/>
  <c r="L56" i="93"/>
  <c r="B56" i="93"/>
  <c r="X55" i="93"/>
  <c r="T55" i="93"/>
  <c r="P55" i="93"/>
  <c r="H55" i="93"/>
  <c r="D55" i="93"/>
  <c r="B55" i="93"/>
  <c r="Z54" i="93"/>
  <c r="X54" i="93"/>
  <c r="L54" i="93"/>
  <c r="N54" i="93" s="1"/>
  <c r="J54" i="93"/>
  <c r="B54" i="93"/>
  <c r="Z53" i="93"/>
  <c r="X53" i="93"/>
  <c r="L53" i="93"/>
  <c r="N53" i="93" s="1"/>
  <c r="B53" i="93"/>
  <c r="T52" i="93"/>
  <c r="P52" i="93"/>
  <c r="J52" i="93"/>
  <c r="H52" i="93"/>
  <c r="D52" i="93"/>
  <c r="L52" i="93" s="1"/>
  <c r="N52" i="93" s="1"/>
  <c r="B52" i="93"/>
  <c r="Z51" i="93"/>
  <c r="X51" i="93"/>
  <c r="L51" i="93"/>
  <c r="N51" i="93" s="1"/>
  <c r="B51" i="93"/>
  <c r="X50" i="93"/>
  <c r="T50" i="93"/>
  <c r="P50" i="93"/>
  <c r="H50" i="93"/>
  <c r="D50" i="93"/>
  <c r="L50" i="93" s="1"/>
  <c r="N50" i="93" s="1"/>
  <c r="B50" i="93"/>
  <c r="X49" i="93"/>
  <c r="Z49" i="93" s="1"/>
  <c r="N49" i="93"/>
  <c r="L49" i="93"/>
  <c r="B49" i="93"/>
  <c r="X48" i="93"/>
  <c r="T48" i="93"/>
  <c r="Z48" i="93" s="1"/>
  <c r="P48" i="93"/>
  <c r="L48" i="93"/>
  <c r="N48" i="93" s="1"/>
  <c r="H48" i="93"/>
  <c r="D48" i="93"/>
  <c r="B48" i="93"/>
  <c r="Z47" i="93"/>
  <c r="X47" i="93"/>
  <c r="L47" i="93"/>
  <c r="N47" i="93" s="1"/>
  <c r="J47" i="93"/>
  <c r="B47" i="93"/>
  <c r="Z46" i="93"/>
  <c r="T46" i="93"/>
  <c r="P46" i="93"/>
  <c r="X46" i="93" s="1"/>
  <c r="N46" i="93"/>
  <c r="L46" i="93"/>
  <c r="H46" i="93"/>
  <c r="J46" i="93" s="1"/>
  <c r="D46" i="93"/>
  <c r="B46" i="93"/>
  <c r="Z45" i="93"/>
  <c r="X45" i="93"/>
  <c r="N45" i="93"/>
  <c r="L45" i="93"/>
  <c r="J45" i="93"/>
  <c r="B45" i="93"/>
  <c r="Z44" i="93"/>
  <c r="X44" i="93"/>
  <c r="N44" i="93"/>
  <c r="L44" i="93"/>
  <c r="B44" i="93"/>
  <c r="Z43" i="93"/>
  <c r="X43" i="93"/>
  <c r="N43" i="93"/>
  <c r="L43" i="93"/>
  <c r="B43" i="93"/>
  <c r="Z42" i="93"/>
  <c r="X42" i="93"/>
  <c r="N42" i="93"/>
  <c r="L42" i="93"/>
  <c r="J42" i="93"/>
  <c r="B42" i="93"/>
  <c r="Z41" i="93"/>
  <c r="X41" i="93"/>
  <c r="N41" i="93"/>
  <c r="L41" i="93"/>
  <c r="J41" i="93"/>
  <c r="B41" i="93"/>
  <c r="Z40" i="93"/>
  <c r="X40" i="93"/>
  <c r="N40" i="93"/>
  <c r="L40" i="93"/>
  <c r="B40" i="93"/>
  <c r="Z39" i="93"/>
  <c r="X39" i="93"/>
  <c r="L39" i="93"/>
  <c r="N39" i="93" s="1"/>
  <c r="B39" i="93"/>
  <c r="Z38" i="93"/>
  <c r="X38" i="93"/>
  <c r="N38" i="93"/>
  <c r="L38" i="93"/>
  <c r="B38" i="93"/>
  <c r="X37" i="93"/>
  <c r="Z37" i="93" s="1"/>
  <c r="L37" i="93"/>
  <c r="N37" i="93" s="1"/>
  <c r="J37" i="93"/>
  <c r="B37" i="93"/>
  <c r="Z36" i="93"/>
  <c r="X36" i="93"/>
  <c r="N36" i="93"/>
  <c r="L36" i="93"/>
  <c r="B36" i="93"/>
  <c r="T35" i="93"/>
  <c r="P35" i="93"/>
  <c r="X35" i="93" s="1"/>
  <c r="J35" i="93"/>
  <c r="H35" i="93"/>
  <c r="D35" i="93"/>
  <c r="L35" i="93" s="1"/>
  <c r="N35" i="93" s="1"/>
  <c r="B35" i="93"/>
  <c r="Z34" i="93"/>
  <c r="X34" i="93"/>
  <c r="N34" i="93"/>
  <c r="L34" i="93"/>
  <c r="J34" i="93"/>
  <c r="B34" i="93"/>
  <c r="Z33" i="93"/>
  <c r="X33" i="93"/>
  <c r="N33" i="93"/>
  <c r="L33" i="93"/>
  <c r="B33" i="93"/>
  <c r="Z32" i="93"/>
  <c r="X32" i="93"/>
  <c r="L32" i="93"/>
  <c r="N32" i="93" s="1"/>
  <c r="B32" i="93"/>
  <c r="Z31" i="93"/>
  <c r="X31" i="93"/>
  <c r="N31" i="93"/>
  <c r="L31" i="93"/>
  <c r="J31" i="93"/>
  <c r="B31" i="93"/>
  <c r="Z30" i="93"/>
  <c r="X30" i="93"/>
  <c r="N30" i="93"/>
  <c r="L30" i="93"/>
  <c r="B30" i="93"/>
  <c r="Z29" i="93"/>
  <c r="X29" i="93"/>
  <c r="N29" i="93"/>
  <c r="L29" i="93"/>
  <c r="B29" i="93"/>
  <c r="Z28" i="93"/>
  <c r="X28" i="93"/>
  <c r="N28" i="93"/>
  <c r="L28" i="93"/>
  <c r="J28" i="93"/>
  <c r="B28" i="93"/>
  <c r="X27" i="93"/>
  <c r="Z27" i="93" s="1"/>
  <c r="N27" i="93"/>
  <c r="L27" i="93"/>
  <c r="J27" i="93"/>
  <c r="B27" i="93"/>
  <c r="Z26" i="93"/>
  <c r="X26" i="93"/>
  <c r="N26" i="93"/>
  <c r="L26" i="93"/>
  <c r="J26" i="93"/>
  <c r="B26" i="93"/>
  <c r="T25" i="93"/>
  <c r="P25" i="93"/>
  <c r="X25" i="93" s="1"/>
  <c r="L25" i="93"/>
  <c r="H25" i="93"/>
  <c r="D25" i="93"/>
  <c r="B25" i="93"/>
  <c r="X24" i="93"/>
  <c r="T24" i="93"/>
  <c r="P24" i="93"/>
  <c r="H24" i="93"/>
  <c r="D24" i="93"/>
  <c r="L24" i="93" s="1"/>
  <c r="H22" i="93"/>
  <c r="Z20" i="93"/>
  <c r="X20" i="93"/>
  <c r="N20" i="93"/>
  <c r="L20" i="93"/>
  <c r="B20" i="93"/>
  <c r="Z19" i="93"/>
  <c r="X19" i="93"/>
  <c r="L19" i="93"/>
  <c r="N19" i="93" s="1"/>
  <c r="J19" i="93"/>
  <c r="B19" i="93"/>
  <c r="T18" i="93"/>
  <c r="P18" i="93"/>
  <c r="L18" i="93"/>
  <c r="H18" i="93"/>
  <c r="N18" i="93" s="1"/>
  <c r="D18" i="93"/>
  <c r="Z16" i="93"/>
  <c r="P16" i="93"/>
  <c r="X16" i="93" s="1"/>
  <c r="N16" i="93"/>
  <c r="D16" i="93"/>
  <c r="L16" i="93" s="1"/>
  <c r="B16" i="93"/>
  <c r="P15" i="93"/>
  <c r="P12" i="93" s="1"/>
  <c r="R64" i="93" s="1"/>
  <c r="D15" i="93"/>
  <c r="L15" i="93" s="1"/>
  <c r="N15" i="93" s="1"/>
  <c r="B15" i="93"/>
  <c r="Z14" i="93"/>
  <c r="X14" i="93"/>
  <c r="P14" i="93"/>
  <c r="N14" i="93"/>
  <c r="D14" i="93"/>
  <c r="L14" i="93" s="1"/>
  <c r="B14" i="93"/>
  <c r="X13" i="93"/>
  <c r="Z13" i="93" s="1"/>
  <c r="P13" i="93"/>
  <c r="D13" i="93"/>
  <c r="B13" i="93"/>
  <c r="T12" i="93"/>
  <c r="V50" i="93" s="1"/>
  <c r="H12" i="93"/>
  <c r="J84" i="93" s="1"/>
  <c r="D6" i="93"/>
  <c r="D4" i="93"/>
  <c r="R99" i="92"/>
  <c r="J96" i="92"/>
  <c r="Z94" i="92"/>
  <c r="X94" i="92"/>
  <c r="N94" i="92"/>
  <c r="L94" i="92"/>
  <c r="Z90" i="92"/>
  <c r="V90" i="92"/>
  <c r="R90" i="92"/>
  <c r="P90" i="92"/>
  <c r="X90" i="92" s="1"/>
  <c r="N90" i="92"/>
  <c r="D90" i="92"/>
  <c r="L90" i="92" s="1"/>
  <c r="B90" i="92"/>
  <c r="P89" i="92"/>
  <c r="X89" i="92" s="1"/>
  <c r="Z89" i="92" s="1"/>
  <c r="N89" i="92"/>
  <c r="L89" i="92"/>
  <c r="D89" i="92"/>
  <c r="B89" i="92"/>
  <c r="T88" i="92"/>
  <c r="L88" i="92"/>
  <c r="H88" i="92"/>
  <c r="D88" i="92"/>
  <c r="X86" i="92"/>
  <c r="Z86" i="92" s="1"/>
  <c r="L86" i="92"/>
  <c r="N86" i="92" s="1"/>
  <c r="J86" i="92"/>
  <c r="B86" i="92"/>
  <c r="Z85" i="92"/>
  <c r="X85" i="92"/>
  <c r="T85" i="92"/>
  <c r="P85" i="92"/>
  <c r="H85" i="92"/>
  <c r="D85" i="92"/>
  <c r="B85" i="92"/>
  <c r="Z84" i="92"/>
  <c r="X84" i="92"/>
  <c r="R84" i="92"/>
  <c r="N84" i="92"/>
  <c r="L84" i="92"/>
  <c r="B84" i="92"/>
  <c r="Z83" i="92"/>
  <c r="X83" i="92"/>
  <c r="R83" i="92"/>
  <c r="N83" i="92"/>
  <c r="L83" i="92"/>
  <c r="J83" i="92"/>
  <c r="B83" i="92"/>
  <c r="Z82" i="92"/>
  <c r="X82" i="92"/>
  <c r="V82" i="92"/>
  <c r="N82" i="92"/>
  <c r="L82" i="92"/>
  <c r="J82" i="92"/>
  <c r="B82" i="92"/>
  <c r="Z81" i="92"/>
  <c r="T81" i="92"/>
  <c r="P81" i="92"/>
  <c r="X81" i="92" s="1"/>
  <c r="H81" i="92"/>
  <c r="N81" i="92" s="1"/>
  <c r="D81" i="92"/>
  <c r="L81" i="92" s="1"/>
  <c r="B81" i="92"/>
  <c r="Z80" i="92"/>
  <c r="X80" i="92"/>
  <c r="N80" i="92"/>
  <c r="L80" i="92"/>
  <c r="B80" i="92"/>
  <c r="X79" i="92"/>
  <c r="Z79" i="92" s="1"/>
  <c r="V79" i="92"/>
  <c r="T79" i="92"/>
  <c r="R79" i="92"/>
  <c r="P79" i="92"/>
  <c r="N79" i="92"/>
  <c r="H79" i="92"/>
  <c r="D79" i="92"/>
  <c r="L79" i="92" s="1"/>
  <c r="B79" i="92"/>
  <c r="Z78" i="92"/>
  <c r="X78" i="92"/>
  <c r="R78" i="92"/>
  <c r="L78" i="92"/>
  <c r="N78" i="92" s="1"/>
  <c r="B78" i="92"/>
  <c r="T77" i="92"/>
  <c r="R77" i="92"/>
  <c r="P77" i="92"/>
  <c r="H77" i="92"/>
  <c r="D77" i="92"/>
  <c r="L77" i="92" s="1"/>
  <c r="N77" i="92" s="1"/>
  <c r="B77" i="92"/>
  <c r="X76" i="92"/>
  <c r="Z76" i="92" s="1"/>
  <c r="V76" i="92"/>
  <c r="R76" i="92"/>
  <c r="N76" i="92"/>
  <c r="L76" i="92"/>
  <c r="B76" i="92"/>
  <c r="X75" i="92"/>
  <c r="Z75" i="92" s="1"/>
  <c r="N75" i="92"/>
  <c r="L75" i="92"/>
  <c r="J75" i="92"/>
  <c r="B75" i="92"/>
  <c r="X74" i="92"/>
  <c r="Z74" i="92" s="1"/>
  <c r="N74" i="92"/>
  <c r="L74" i="92"/>
  <c r="J74" i="92"/>
  <c r="B74" i="92"/>
  <c r="Z73" i="92"/>
  <c r="X73" i="92"/>
  <c r="V73" i="92"/>
  <c r="N73" i="92"/>
  <c r="L73" i="92"/>
  <c r="B73" i="92"/>
  <c r="X72" i="92"/>
  <c r="Z72" i="92" s="1"/>
  <c r="V72" i="92"/>
  <c r="R72" i="92"/>
  <c r="L72" i="92"/>
  <c r="N72" i="92" s="1"/>
  <c r="B72" i="92"/>
  <c r="X71" i="92"/>
  <c r="Z71" i="92" s="1"/>
  <c r="L71" i="92"/>
  <c r="N71" i="92" s="1"/>
  <c r="J71" i="92"/>
  <c r="B71" i="92"/>
  <c r="Z70" i="92"/>
  <c r="X70" i="92"/>
  <c r="N70" i="92"/>
  <c r="L70" i="92"/>
  <c r="J70" i="92"/>
  <c r="B70" i="92"/>
  <c r="V69" i="92"/>
  <c r="T69" i="92"/>
  <c r="P69" i="92"/>
  <c r="X69" i="92" s="1"/>
  <c r="Z69" i="92" s="1"/>
  <c r="J69" i="92"/>
  <c r="H69" i="92"/>
  <c r="D69" i="92"/>
  <c r="L69" i="92" s="1"/>
  <c r="B69" i="92"/>
  <c r="X68" i="92"/>
  <c r="Z68" i="92" s="1"/>
  <c r="N68" i="92"/>
  <c r="L68" i="92"/>
  <c r="J68" i="92"/>
  <c r="B68" i="92"/>
  <c r="X67" i="92"/>
  <c r="Z67" i="92" s="1"/>
  <c r="V67" i="92"/>
  <c r="N67" i="92"/>
  <c r="L67" i="92"/>
  <c r="J67" i="92"/>
  <c r="B67" i="92"/>
  <c r="Z66" i="92"/>
  <c r="X66" i="92"/>
  <c r="N66" i="92"/>
  <c r="L66" i="92"/>
  <c r="B66" i="92"/>
  <c r="Z65" i="92"/>
  <c r="X65" i="92"/>
  <c r="R65" i="92"/>
  <c r="L65" i="92"/>
  <c r="N65" i="92" s="1"/>
  <c r="J65" i="92"/>
  <c r="B65" i="92"/>
  <c r="X64" i="92"/>
  <c r="Z64" i="92" s="1"/>
  <c r="N64" i="92"/>
  <c r="L64" i="92"/>
  <c r="J64" i="92"/>
  <c r="B64" i="92"/>
  <c r="X63" i="92"/>
  <c r="Z63" i="92" s="1"/>
  <c r="V63" i="92"/>
  <c r="T63" i="92"/>
  <c r="R63" i="92"/>
  <c r="P63" i="92"/>
  <c r="H63" i="92"/>
  <c r="N63" i="92" s="1"/>
  <c r="D63" i="92"/>
  <c r="L63" i="92" s="1"/>
  <c r="B63" i="92"/>
  <c r="Z62" i="92"/>
  <c r="X62" i="92"/>
  <c r="R62" i="92"/>
  <c r="L62" i="92"/>
  <c r="N62" i="92" s="1"/>
  <c r="B62" i="92"/>
  <c r="X61" i="92"/>
  <c r="Z61" i="92" s="1"/>
  <c r="R61" i="92"/>
  <c r="N61" i="92"/>
  <c r="L61" i="92"/>
  <c r="J61" i="92"/>
  <c r="B61" i="92"/>
  <c r="Z60" i="92"/>
  <c r="X60" i="92"/>
  <c r="V60" i="92"/>
  <c r="N60" i="92"/>
  <c r="L60" i="92"/>
  <c r="J60" i="92"/>
  <c r="B60" i="92"/>
  <c r="T59" i="92"/>
  <c r="P59" i="92"/>
  <c r="X59" i="92" s="1"/>
  <c r="Z59" i="92" s="1"/>
  <c r="J59" i="92"/>
  <c r="H59" i="92"/>
  <c r="D59" i="92"/>
  <c r="B59" i="92"/>
  <c r="Z58" i="92"/>
  <c r="X58" i="92"/>
  <c r="N58" i="92"/>
  <c r="L58" i="92"/>
  <c r="J58" i="92"/>
  <c r="B58" i="92"/>
  <c r="Z57" i="92"/>
  <c r="V57" i="92"/>
  <c r="T57" i="92"/>
  <c r="P57" i="92"/>
  <c r="X57" i="92" s="1"/>
  <c r="L57" i="92"/>
  <c r="J57" i="92"/>
  <c r="H57" i="92"/>
  <c r="N57" i="92" s="1"/>
  <c r="D57" i="92"/>
  <c r="B57" i="92"/>
  <c r="X56" i="92"/>
  <c r="Z56" i="92" s="1"/>
  <c r="N56" i="92"/>
  <c r="L56" i="92"/>
  <c r="J56" i="92"/>
  <c r="B56" i="92"/>
  <c r="X55" i="92"/>
  <c r="Z55" i="92" s="1"/>
  <c r="V55" i="92"/>
  <c r="T55" i="92"/>
  <c r="R55" i="92"/>
  <c r="P55" i="92"/>
  <c r="H55" i="92"/>
  <c r="D55" i="92"/>
  <c r="L55" i="92" s="1"/>
  <c r="B55" i="92"/>
  <c r="X54" i="92"/>
  <c r="Z54" i="92" s="1"/>
  <c r="R54" i="92"/>
  <c r="N54" i="92"/>
  <c r="L54" i="92"/>
  <c r="B54" i="92"/>
  <c r="T53" i="92"/>
  <c r="R53" i="92"/>
  <c r="P53" i="92"/>
  <c r="N53" i="92"/>
  <c r="J53" i="92"/>
  <c r="H53" i="92"/>
  <c r="D53" i="92"/>
  <c r="L53" i="92" s="1"/>
  <c r="B53" i="92"/>
  <c r="Z52" i="92"/>
  <c r="X52" i="92"/>
  <c r="V52" i="92"/>
  <c r="R52" i="92"/>
  <c r="L52" i="92"/>
  <c r="N52" i="92" s="1"/>
  <c r="B52" i="92"/>
  <c r="T51" i="92"/>
  <c r="P51" i="92"/>
  <c r="X51" i="92" s="1"/>
  <c r="N51" i="92"/>
  <c r="J51" i="92"/>
  <c r="H51" i="92"/>
  <c r="D51" i="92"/>
  <c r="L51" i="92" s="1"/>
  <c r="B51" i="92"/>
  <c r="Z50" i="92"/>
  <c r="X50" i="92"/>
  <c r="N50" i="92"/>
  <c r="L50" i="92"/>
  <c r="B50" i="92"/>
  <c r="T49" i="92"/>
  <c r="P49" i="92"/>
  <c r="L49" i="92"/>
  <c r="N49" i="92" s="1"/>
  <c r="J49" i="92"/>
  <c r="H49" i="92"/>
  <c r="D49" i="92"/>
  <c r="B49" i="92"/>
  <c r="Z48" i="92"/>
  <c r="X48" i="92"/>
  <c r="V48" i="92"/>
  <c r="N48" i="92"/>
  <c r="L48" i="92"/>
  <c r="J48" i="92"/>
  <c r="B48" i="92"/>
  <c r="T47" i="92"/>
  <c r="P47" i="92"/>
  <c r="X47" i="92" s="1"/>
  <c r="Z47" i="92" s="1"/>
  <c r="J47" i="92"/>
  <c r="H47" i="92"/>
  <c r="D47" i="92"/>
  <c r="B47" i="92"/>
  <c r="X46" i="92"/>
  <c r="Z46" i="92" s="1"/>
  <c r="N46" i="92"/>
  <c r="L46" i="92"/>
  <c r="J46" i="92"/>
  <c r="B46" i="92"/>
  <c r="Z45" i="92"/>
  <c r="X45" i="92"/>
  <c r="V45" i="92"/>
  <c r="N45" i="92"/>
  <c r="L45" i="92"/>
  <c r="B45" i="92"/>
  <c r="Z44" i="92"/>
  <c r="X44" i="92"/>
  <c r="V44" i="92"/>
  <c r="R44" i="92"/>
  <c r="L44" i="92"/>
  <c r="N44" i="92" s="1"/>
  <c r="B44" i="92"/>
  <c r="X43" i="92"/>
  <c r="T43" i="92"/>
  <c r="Z43" i="92" s="1"/>
  <c r="P43" i="92"/>
  <c r="J43" i="92"/>
  <c r="H43" i="92"/>
  <c r="D43" i="92"/>
  <c r="L43" i="92" s="1"/>
  <c r="N43" i="92" s="1"/>
  <c r="B43" i="92"/>
  <c r="Z42" i="92"/>
  <c r="X42" i="92"/>
  <c r="N42" i="92"/>
  <c r="L42" i="92"/>
  <c r="B42" i="92"/>
  <c r="T41" i="92"/>
  <c r="P41" i="92"/>
  <c r="L41" i="92"/>
  <c r="N41" i="92" s="1"/>
  <c r="J41" i="92"/>
  <c r="H41" i="92"/>
  <c r="F41" i="92"/>
  <c r="D41" i="92"/>
  <c r="B41" i="92"/>
  <c r="Z40" i="92"/>
  <c r="X40" i="92"/>
  <c r="V40" i="92"/>
  <c r="N40" i="92"/>
  <c r="L40" i="92"/>
  <c r="J40" i="92"/>
  <c r="B40" i="92"/>
  <c r="Z39" i="92"/>
  <c r="X39" i="92"/>
  <c r="N39" i="92"/>
  <c r="L39" i="92"/>
  <c r="J39" i="92"/>
  <c r="B39" i="92"/>
  <c r="X38" i="92"/>
  <c r="Z38" i="92" s="1"/>
  <c r="R38" i="92"/>
  <c r="L38" i="92"/>
  <c r="N38" i="92" s="1"/>
  <c r="B38" i="92"/>
  <c r="X37" i="92"/>
  <c r="Z37" i="92" s="1"/>
  <c r="R37" i="92"/>
  <c r="N37" i="92"/>
  <c r="L37" i="92"/>
  <c r="J37" i="92"/>
  <c r="B37" i="92"/>
  <c r="Z36" i="92"/>
  <c r="X36" i="92"/>
  <c r="V36" i="92"/>
  <c r="N36" i="92"/>
  <c r="L36" i="92"/>
  <c r="J36" i="92"/>
  <c r="B36" i="92"/>
  <c r="Z35" i="92"/>
  <c r="X35" i="92"/>
  <c r="L35" i="92"/>
  <c r="N35" i="92" s="1"/>
  <c r="J35" i="92"/>
  <c r="B35" i="92"/>
  <c r="X34" i="92"/>
  <c r="Z34" i="92" s="1"/>
  <c r="R34" i="92"/>
  <c r="L34" i="92"/>
  <c r="N34" i="92" s="1"/>
  <c r="B34" i="92"/>
  <c r="Z33" i="92"/>
  <c r="X33" i="92"/>
  <c r="R33" i="92"/>
  <c r="N33" i="92"/>
  <c r="L33" i="92"/>
  <c r="J33" i="92"/>
  <c r="B33" i="92"/>
  <c r="Z32" i="92"/>
  <c r="X32" i="92"/>
  <c r="V32" i="92"/>
  <c r="N32" i="92"/>
  <c r="L32" i="92"/>
  <c r="J32" i="92"/>
  <c r="F32" i="92"/>
  <c r="B32" i="92"/>
  <c r="Z31" i="92"/>
  <c r="X31" i="92"/>
  <c r="L31" i="92"/>
  <c r="N31" i="92" s="1"/>
  <c r="J31" i="92"/>
  <c r="B31" i="92"/>
  <c r="Z30" i="92"/>
  <c r="X30" i="92"/>
  <c r="T30" i="92"/>
  <c r="P30" i="92"/>
  <c r="J30" i="92"/>
  <c r="H30" i="92"/>
  <c r="N30" i="92" s="1"/>
  <c r="D30" i="92"/>
  <c r="L30" i="92" s="1"/>
  <c r="B30" i="92"/>
  <c r="Z29" i="92"/>
  <c r="X29" i="92"/>
  <c r="V29" i="92"/>
  <c r="N29" i="92"/>
  <c r="L29" i="92"/>
  <c r="B29" i="92"/>
  <c r="Z28" i="92"/>
  <c r="X28" i="92"/>
  <c r="V28" i="92"/>
  <c r="R28" i="92"/>
  <c r="L28" i="92"/>
  <c r="N28" i="92" s="1"/>
  <c r="B28" i="92"/>
  <c r="X27" i="92"/>
  <c r="Z27" i="92" s="1"/>
  <c r="L27" i="92"/>
  <c r="N27" i="92" s="1"/>
  <c r="J27" i="92"/>
  <c r="B27" i="92"/>
  <c r="Z26" i="92"/>
  <c r="X26" i="92"/>
  <c r="N26" i="92"/>
  <c r="L26" i="92"/>
  <c r="J26" i="92"/>
  <c r="B26" i="92"/>
  <c r="Z25" i="92"/>
  <c r="X25" i="92"/>
  <c r="V25" i="92"/>
  <c r="N25" i="92"/>
  <c r="L25" i="92"/>
  <c r="B25" i="92"/>
  <c r="Z24" i="92"/>
  <c r="X24" i="92"/>
  <c r="V24" i="92"/>
  <c r="R24" i="92"/>
  <c r="L24" i="92"/>
  <c r="N24" i="92" s="1"/>
  <c r="B24" i="92"/>
  <c r="X23" i="92"/>
  <c r="Z23" i="92" s="1"/>
  <c r="L23" i="92"/>
  <c r="N23" i="92" s="1"/>
  <c r="J23" i="92"/>
  <c r="B23" i="92"/>
  <c r="X22" i="92"/>
  <c r="Z22" i="92" s="1"/>
  <c r="N22" i="92"/>
  <c r="L22" i="92"/>
  <c r="J22" i="92"/>
  <c r="B22" i="92"/>
  <c r="Z21" i="92"/>
  <c r="X21" i="92"/>
  <c r="V21" i="92"/>
  <c r="N21" i="92"/>
  <c r="L21" i="92"/>
  <c r="B21" i="92"/>
  <c r="Z20" i="92"/>
  <c r="X20" i="92"/>
  <c r="V20" i="92"/>
  <c r="R20" i="92"/>
  <c r="L20" i="92"/>
  <c r="N20" i="92" s="1"/>
  <c r="J20" i="92"/>
  <c r="B20" i="92"/>
  <c r="T19" i="92"/>
  <c r="P19" i="92"/>
  <c r="X19" i="92" s="1"/>
  <c r="J19" i="92"/>
  <c r="H19" i="92"/>
  <c r="D19" i="92"/>
  <c r="L19" i="92" s="1"/>
  <c r="N19" i="92" s="1"/>
  <c r="B19" i="92"/>
  <c r="T18" i="92"/>
  <c r="R18" i="92"/>
  <c r="P18" i="92"/>
  <c r="X18" i="92" s="1"/>
  <c r="Z18" i="92" s="1"/>
  <c r="J18" i="92"/>
  <c r="H18" i="92"/>
  <c r="D18" i="92"/>
  <c r="L18" i="92" s="1"/>
  <c r="R16" i="92"/>
  <c r="P16" i="92"/>
  <c r="J16" i="92"/>
  <c r="Z14" i="92"/>
  <c r="T14" i="92"/>
  <c r="T16" i="92" s="1"/>
  <c r="R14" i="92"/>
  <c r="P14" i="92"/>
  <c r="X14" i="92" s="1"/>
  <c r="L14" i="92"/>
  <c r="J14" i="92"/>
  <c r="H14" i="92"/>
  <c r="H16" i="92" s="1"/>
  <c r="D14" i="92"/>
  <c r="Z12" i="92"/>
  <c r="T12" i="92"/>
  <c r="V83" i="92" s="1"/>
  <c r="P12" i="92"/>
  <c r="R86" i="92" s="1"/>
  <c r="N12" i="92"/>
  <c r="H12" i="92"/>
  <c r="D12" i="92"/>
  <c r="D6" i="92"/>
  <c r="D4" i="92"/>
  <c r="X85" i="89"/>
  <c r="Z85" i="89" s="1"/>
  <c r="L85" i="89"/>
  <c r="N85" i="89" s="1"/>
  <c r="X81" i="89"/>
  <c r="T81" i="89"/>
  <c r="Z81" i="89" s="1"/>
  <c r="P81" i="89"/>
  <c r="N81" i="89"/>
  <c r="H81" i="89"/>
  <c r="D81" i="89"/>
  <c r="X79" i="89"/>
  <c r="Z79" i="89" s="1"/>
  <c r="N79" i="89"/>
  <c r="L79" i="89"/>
  <c r="B79" i="89"/>
  <c r="X78" i="89"/>
  <c r="Z78" i="89" s="1"/>
  <c r="V78" i="89"/>
  <c r="T78" i="89"/>
  <c r="P78" i="89"/>
  <c r="H78" i="89"/>
  <c r="N78" i="89" s="1"/>
  <c r="D78" i="89"/>
  <c r="L78" i="89" s="1"/>
  <c r="B78" i="89"/>
  <c r="Z77" i="89"/>
  <c r="X77" i="89"/>
  <c r="N77" i="89"/>
  <c r="L77" i="89"/>
  <c r="B77" i="89"/>
  <c r="T76" i="89"/>
  <c r="P76" i="89"/>
  <c r="N76" i="89"/>
  <c r="H76" i="89"/>
  <c r="D76" i="89"/>
  <c r="L76" i="89" s="1"/>
  <c r="B76" i="89"/>
  <c r="X75" i="89"/>
  <c r="Z75" i="89" s="1"/>
  <c r="V75" i="89"/>
  <c r="L75" i="89"/>
  <c r="N75" i="89" s="1"/>
  <c r="B75" i="89"/>
  <c r="X74" i="89"/>
  <c r="Z74" i="89" s="1"/>
  <c r="N74" i="89"/>
  <c r="L74" i="89"/>
  <c r="B74" i="89"/>
  <c r="X73" i="89"/>
  <c r="T73" i="89"/>
  <c r="Z73" i="89" s="1"/>
  <c r="R73" i="89"/>
  <c r="P73" i="89"/>
  <c r="H73" i="89"/>
  <c r="D73" i="89"/>
  <c r="L73" i="89" s="1"/>
  <c r="B73" i="89"/>
  <c r="Z72" i="89"/>
  <c r="X72" i="89"/>
  <c r="N72" i="89"/>
  <c r="L72" i="89"/>
  <c r="B72" i="89"/>
  <c r="Z71" i="89"/>
  <c r="X71" i="89"/>
  <c r="N71" i="89"/>
  <c r="L71" i="89"/>
  <c r="B71" i="89"/>
  <c r="X70" i="89"/>
  <c r="Z70" i="89" s="1"/>
  <c r="V70" i="89"/>
  <c r="N70" i="89"/>
  <c r="L70" i="89"/>
  <c r="B70" i="89"/>
  <c r="Z69" i="89"/>
  <c r="X69" i="89"/>
  <c r="N69" i="89"/>
  <c r="L69" i="89"/>
  <c r="B69" i="89"/>
  <c r="Z68" i="89"/>
  <c r="X68" i="89"/>
  <c r="N68" i="89"/>
  <c r="L68" i="89"/>
  <c r="F68" i="89"/>
  <c r="B68" i="89"/>
  <c r="X67" i="89"/>
  <c r="Z67" i="89" s="1"/>
  <c r="L67" i="89"/>
  <c r="N67" i="89" s="1"/>
  <c r="B67" i="89"/>
  <c r="Z66" i="89"/>
  <c r="X66" i="89"/>
  <c r="T66" i="89"/>
  <c r="P66" i="89"/>
  <c r="H66" i="89"/>
  <c r="D66" i="89"/>
  <c r="B66" i="89"/>
  <c r="X65" i="89"/>
  <c r="Z65" i="89" s="1"/>
  <c r="R65" i="89"/>
  <c r="L65" i="89"/>
  <c r="N65" i="89" s="1"/>
  <c r="B65" i="89"/>
  <c r="X64" i="89"/>
  <c r="Z64" i="89" s="1"/>
  <c r="N64" i="89"/>
  <c r="L64" i="89"/>
  <c r="J64" i="89"/>
  <c r="B64" i="89"/>
  <c r="X63" i="89"/>
  <c r="Z63" i="89" s="1"/>
  <c r="L63" i="89"/>
  <c r="N63" i="89" s="1"/>
  <c r="B63" i="89"/>
  <c r="T62" i="89"/>
  <c r="P62" i="89"/>
  <c r="X62" i="89" s="1"/>
  <c r="Z62" i="89" s="1"/>
  <c r="L62" i="89"/>
  <c r="H62" i="89"/>
  <c r="D62" i="89"/>
  <c r="B62" i="89"/>
  <c r="X61" i="89"/>
  <c r="Z61" i="89" s="1"/>
  <c r="N61" i="89"/>
  <c r="L61" i="89"/>
  <c r="B61" i="89"/>
  <c r="Z60" i="89"/>
  <c r="X60" i="89"/>
  <c r="N60" i="89"/>
  <c r="L60" i="89"/>
  <c r="F60" i="89"/>
  <c r="B60" i="89"/>
  <c r="T59" i="89"/>
  <c r="P59" i="89"/>
  <c r="X59" i="89" s="1"/>
  <c r="L59" i="89"/>
  <c r="N59" i="89" s="1"/>
  <c r="H59" i="89"/>
  <c r="D59" i="89"/>
  <c r="B59" i="89"/>
  <c r="Z58" i="89"/>
  <c r="X58" i="89"/>
  <c r="N58" i="89"/>
  <c r="L58" i="89"/>
  <c r="B58" i="89"/>
  <c r="Z57" i="89"/>
  <c r="T57" i="89"/>
  <c r="P57" i="89"/>
  <c r="L57" i="89"/>
  <c r="H57" i="89"/>
  <c r="N57" i="89" s="1"/>
  <c r="D57" i="89"/>
  <c r="B57" i="89"/>
  <c r="Z56" i="89"/>
  <c r="X56" i="89"/>
  <c r="N56" i="89"/>
  <c r="L56" i="89"/>
  <c r="B56" i="89"/>
  <c r="V55" i="89"/>
  <c r="T55" i="89"/>
  <c r="Z55" i="89" s="1"/>
  <c r="P55" i="89"/>
  <c r="X55" i="89" s="1"/>
  <c r="H55" i="89"/>
  <c r="N55" i="89" s="1"/>
  <c r="D55" i="89"/>
  <c r="B55" i="89"/>
  <c r="X54" i="89"/>
  <c r="Z54" i="89" s="1"/>
  <c r="L54" i="89"/>
  <c r="N54" i="89" s="1"/>
  <c r="J54" i="89"/>
  <c r="B54" i="89"/>
  <c r="X53" i="89"/>
  <c r="T53" i="89"/>
  <c r="Z53" i="89" s="1"/>
  <c r="P53" i="89"/>
  <c r="N53" i="89"/>
  <c r="L53" i="89"/>
  <c r="H53" i="89"/>
  <c r="D53" i="89"/>
  <c r="B53" i="89"/>
  <c r="Z52" i="89"/>
  <c r="X52" i="89"/>
  <c r="L52" i="89"/>
  <c r="N52" i="89" s="1"/>
  <c r="B52" i="89"/>
  <c r="X51" i="89"/>
  <c r="T51" i="89"/>
  <c r="P51" i="89"/>
  <c r="H51" i="89"/>
  <c r="D51" i="89"/>
  <c r="B51" i="89"/>
  <c r="Z50" i="89"/>
  <c r="X50" i="89"/>
  <c r="L50" i="89"/>
  <c r="N50" i="89" s="1"/>
  <c r="F50" i="89"/>
  <c r="B50" i="89"/>
  <c r="T49" i="89"/>
  <c r="P49" i="89"/>
  <c r="H49" i="89"/>
  <c r="N49" i="89" s="1"/>
  <c r="D49" i="89"/>
  <c r="L49" i="89" s="1"/>
  <c r="B49" i="89"/>
  <c r="Z48" i="89"/>
  <c r="X48" i="89"/>
  <c r="N48" i="89"/>
  <c r="L48" i="89"/>
  <c r="F48" i="89"/>
  <c r="B48" i="89"/>
  <c r="T47" i="89"/>
  <c r="P47" i="89"/>
  <c r="X47" i="89" s="1"/>
  <c r="Z47" i="89" s="1"/>
  <c r="L47" i="89"/>
  <c r="H47" i="89"/>
  <c r="N47" i="89" s="1"/>
  <c r="D47" i="89"/>
  <c r="B47" i="89"/>
  <c r="Z46" i="89"/>
  <c r="X46" i="89"/>
  <c r="N46" i="89"/>
  <c r="L46" i="89"/>
  <c r="B46" i="89"/>
  <c r="Z45" i="89"/>
  <c r="X45" i="89"/>
  <c r="N45" i="89"/>
  <c r="L45" i="89"/>
  <c r="F45" i="89"/>
  <c r="B45" i="89"/>
  <c r="Z44" i="89"/>
  <c r="X44" i="89"/>
  <c r="L44" i="89"/>
  <c r="N44" i="89" s="1"/>
  <c r="J44" i="89"/>
  <c r="F44" i="89"/>
  <c r="B44" i="89"/>
  <c r="Z43" i="89"/>
  <c r="X43" i="89"/>
  <c r="N43" i="89"/>
  <c r="L43" i="89"/>
  <c r="J43" i="89"/>
  <c r="B43" i="89"/>
  <c r="Z42" i="89"/>
  <c r="X42" i="89"/>
  <c r="N42" i="89"/>
  <c r="L42" i="89"/>
  <c r="B42" i="89"/>
  <c r="Z41" i="89"/>
  <c r="X41" i="89"/>
  <c r="R41" i="89"/>
  <c r="N41" i="89"/>
  <c r="L41" i="89"/>
  <c r="B41" i="89"/>
  <c r="Z40" i="89"/>
  <c r="X40" i="89"/>
  <c r="L40" i="89"/>
  <c r="N40" i="89" s="1"/>
  <c r="J40" i="89"/>
  <c r="B40" i="89"/>
  <c r="Z39" i="89"/>
  <c r="X39" i="89"/>
  <c r="N39" i="89"/>
  <c r="L39" i="89"/>
  <c r="J39" i="89"/>
  <c r="B39" i="89"/>
  <c r="Z38" i="89"/>
  <c r="X38" i="89"/>
  <c r="N38" i="89"/>
  <c r="L38" i="89"/>
  <c r="J38" i="89"/>
  <c r="B38" i="89"/>
  <c r="Z37" i="89"/>
  <c r="X37" i="89"/>
  <c r="L37" i="89"/>
  <c r="N37" i="89" s="1"/>
  <c r="F37" i="89"/>
  <c r="B37" i="89"/>
  <c r="Z36" i="89"/>
  <c r="T36" i="89"/>
  <c r="P36" i="89"/>
  <c r="X36" i="89" s="1"/>
  <c r="N36" i="89"/>
  <c r="L36" i="89"/>
  <c r="J36" i="89"/>
  <c r="H36" i="89"/>
  <c r="D36" i="89"/>
  <c r="B36" i="89"/>
  <c r="X35" i="89"/>
  <c r="Z35" i="89" s="1"/>
  <c r="N35" i="89"/>
  <c r="L35" i="89"/>
  <c r="J35" i="89"/>
  <c r="F35" i="89"/>
  <c r="B35" i="89"/>
  <c r="Z34" i="89"/>
  <c r="X34" i="89"/>
  <c r="L34" i="89"/>
  <c r="N34" i="89" s="1"/>
  <c r="B34" i="89"/>
  <c r="Z33" i="89"/>
  <c r="X33" i="89"/>
  <c r="L33" i="89"/>
  <c r="N33" i="89" s="1"/>
  <c r="B33" i="89"/>
  <c r="Z32" i="89"/>
  <c r="X32" i="89"/>
  <c r="N32" i="89"/>
  <c r="L32" i="89"/>
  <c r="J32" i="89"/>
  <c r="B32" i="89"/>
  <c r="X31" i="89"/>
  <c r="Z31" i="89" s="1"/>
  <c r="L31" i="89"/>
  <c r="N31" i="89" s="1"/>
  <c r="J31" i="89"/>
  <c r="B31" i="89"/>
  <c r="Z30" i="89"/>
  <c r="X30" i="89"/>
  <c r="L30" i="89"/>
  <c r="N30" i="89" s="1"/>
  <c r="F30" i="89"/>
  <c r="B30" i="89"/>
  <c r="Z29" i="89"/>
  <c r="X29" i="89"/>
  <c r="R29" i="89"/>
  <c r="N29" i="89"/>
  <c r="L29" i="89"/>
  <c r="B29" i="89"/>
  <c r="X28" i="89"/>
  <c r="Z28" i="89" s="1"/>
  <c r="N28" i="89"/>
  <c r="L28" i="89"/>
  <c r="J28" i="89"/>
  <c r="B28" i="89"/>
  <c r="X27" i="89"/>
  <c r="Z27" i="89" s="1"/>
  <c r="V27" i="89"/>
  <c r="R27" i="89"/>
  <c r="N27" i="89"/>
  <c r="L27" i="89"/>
  <c r="J27" i="89"/>
  <c r="B27" i="89"/>
  <c r="Z26" i="89"/>
  <c r="T26" i="89"/>
  <c r="P26" i="89"/>
  <c r="X26" i="89" s="1"/>
  <c r="L26" i="89"/>
  <c r="N26" i="89" s="1"/>
  <c r="J26" i="89"/>
  <c r="H26" i="89"/>
  <c r="D26" i="89"/>
  <c r="B26" i="89"/>
  <c r="T25" i="89"/>
  <c r="P25" i="89"/>
  <c r="X25" i="89" s="1"/>
  <c r="H25" i="89"/>
  <c r="D25" i="89"/>
  <c r="J23" i="89"/>
  <c r="H23" i="89"/>
  <c r="Z21" i="89"/>
  <c r="X21" i="89"/>
  <c r="N21" i="89"/>
  <c r="L21" i="89"/>
  <c r="J21" i="89"/>
  <c r="B21" i="89"/>
  <c r="Z20" i="89"/>
  <c r="X20" i="89"/>
  <c r="N20" i="89"/>
  <c r="L20" i="89"/>
  <c r="B20" i="89"/>
  <c r="Z19" i="89"/>
  <c r="X19" i="89"/>
  <c r="L19" i="89"/>
  <c r="N19" i="89" s="1"/>
  <c r="F19" i="89"/>
  <c r="B19" i="89"/>
  <c r="T18" i="89"/>
  <c r="P18" i="89"/>
  <c r="X18" i="89" s="1"/>
  <c r="N18" i="89"/>
  <c r="J18" i="89"/>
  <c r="H18" i="89"/>
  <c r="D18" i="89"/>
  <c r="L18" i="89" s="1"/>
  <c r="Z16" i="89"/>
  <c r="X16" i="89"/>
  <c r="P16" i="89"/>
  <c r="N16" i="89"/>
  <c r="D16" i="89"/>
  <c r="L16" i="89" s="1"/>
  <c r="B16" i="89"/>
  <c r="X15" i="89"/>
  <c r="Z15" i="89" s="1"/>
  <c r="P15" i="89"/>
  <c r="D15" i="89"/>
  <c r="L15" i="89" s="1"/>
  <c r="N15" i="89" s="1"/>
  <c r="B15" i="89"/>
  <c r="Z14" i="89"/>
  <c r="X14" i="89"/>
  <c r="P14" i="89"/>
  <c r="P12" i="89" s="1"/>
  <c r="R45" i="89" s="1"/>
  <c r="N14" i="89"/>
  <c r="L14" i="89"/>
  <c r="D14" i="89"/>
  <c r="B14" i="89"/>
  <c r="X13" i="89"/>
  <c r="Z13" i="89" s="1"/>
  <c r="P13" i="89"/>
  <c r="D13" i="89"/>
  <c r="D12" i="89" s="1"/>
  <c r="F85" i="89" s="1"/>
  <c r="B13" i="89"/>
  <c r="X12" i="89"/>
  <c r="T12" i="89"/>
  <c r="V48" i="89" s="1"/>
  <c r="H12" i="89"/>
  <c r="J67" i="89" s="1"/>
  <c r="D6" i="89"/>
  <c r="D4" i="89"/>
  <c r="X97" i="88"/>
  <c r="Z97" i="88" s="1"/>
  <c r="V97" i="88"/>
  <c r="N97" i="88"/>
  <c r="L97" i="88"/>
  <c r="Z93" i="88"/>
  <c r="T93" i="88"/>
  <c r="P93" i="88"/>
  <c r="N93" i="88"/>
  <c r="L93" i="88"/>
  <c r="H93" i="88"/>
  <c r="D93" i="88"/>
  <c r="Z91" i="88"/>
  <c r="X91" i="88"/>
  <c r="N91" i="88"/>
  <c r="L91" i="88"/>
  <c r="B91" i="88"/>
  <c r="X90" i="88"/>
  <c r="T90" i="88"/>
  <c r="P90" i="88"/>
  <c r="J90" i="88"/>
  <c r="H90" i="88"/>
  <c r="D90" i="88"/>
  <c r="B90" i="88"/>
  <c r="Z89" i="88"/>
  <c r="X89" i="88"/>
  <c r="N89" i="88"/>
  <c r="L89" i="88"/>
  <c r="B89" i="88"/>
  <c r="Z88" i="88"/>
  <c r="X88" i="88"/>
  <c r="T88" i="88"/>
  <c r="P88" i="88"/>
  <c r="H88" i="88"/>
  <c r="N88" i="88" s="1"/>
  <c r="D88" i="88"/>
  <c r="B88" i="88"/>
  <c r="Z87" i="88"/>
  <c r="X87" i="88"/>
  <c r="V87" i="88"/>
  <c r="N87" i="88"/>
  <c r="L87" i="88"/>
  <c r="B87" i="88"/>
  <c r="Z86" i="88"/>
  <c r="X86" i="88"/>
  <c r="T86" i="88"/>
  <c r="P86" i="88"/>
  <c r="H86" i="88"/>
  <c r="D86" i="88"/>
  <c r="L86" i="88" s="1"/>
  <c r="B86" i="88"/>
  <c r="Z85" i="88"/>
  <c r="X85" i="88"/>
  <c r="V85" i="88"/>
  <c r="N85" i="88"/>
  <c r="L85" i="88"/>
  <c r="B85" i="88"/>
  <c r="X84" i="88"/>
  <c r="Z84" i="88" s="1"/>
  <c r="V84" i="88"/>
  <c r="N84" i="88"/>
  <c r="L84" i="88"/>
  <c r="B84" i="88"/>
  <c r="Z83" i="88"/>
  <c r="X83" i="88"/>
  <c r="N83" i="88"/>
  <c r="L83" i="88"/>
  <c r="B83" i="88"/>
  <c r="X82" i="88"/>
  <c r="Z82" i="88" s="1"/>
  <c r="L82" i="88"/>
  <c r="N82" i="88" s="1"/>
  <c r="J82" i="88"/>
  <c r="B82" i="88"/>
  <c r="X81" i="88"/>
  <c r="Z81" i="88" s="1"/>
  <c r="N81" i="88"/>
  <c r="L81" i="88"/>
  <c r="J81" i="88"/>
  <c r="B81" i="88"/>
  <c r="Z80" i="88"/>
  <c r="X80" i="88"/>
  <c r="V80" i="88"/>
  <c r="R80" i="88"/>
  <c r="N80" i="88"/>
  <c r="L80" i="88"/>
  <c r="B80" i="88"/>
  <c r="Z79" i="88"/>
  <c r="X79" i="88"/>
  <c r="L79" i="88"/>
  <c r="N79" i="88" s="1"/>
  <c r="J79" i="88"/>
  <c r="B79" i="88"/>
  <c r="X78" i="88"/>
  <c r="Z78" i="88" s="1"/>
  <c r="N78" i="88"/>
  <c r="L78" i="88"/>
  <c r="J78" i="88"/>
  <c r="B78" i="88"/>
  <c r="X77" i="88"/>
  <c r="Z77" i="88" s="1"/>
  <c r="V77" i="88"/>
  <c r="N77" i="88"/>
  <c r="L77" i="88"/>
  <c r="B77" i="88"/>
  <c r="V76" i="88"/>
  <c r="T76" i="88"/>
  <c r="P76" i="88"/>
  <c r="H76" i="88"/>
  <c r="D76" i="88"/>
  <c r="L76" i="88" s="1"/>
  <c r="B76" i="88"/>
  <c r="Z75" i="88"/>
  <c r="X75" i="88"/>
  <c r="N75" i="88"/>
  <c r="L75" i="88"/>
  <c r="B75" i="88"/>
  <c r="T74" i="88"/>
  <c r="Z74" i="88" s="1"/>
  <c r="P74" i="88"/>
  <c r="N74" i="88"/>
  <c r="H74" i="88"/>
  <c r="D74" i="88"/>
  <c r="L74" i="88" s="1"/>
  <c r="B74" i="88"/>
  <c r="Z73" i="88"/>
  <c r="X73" i="88"/>
  <c r="N73" i="88"/>
  <c r="L73" i="88"/>
  <c r="B73" i="88"/>
  <c r="X72" i="88"/>
  <c r="Z72" i="88" s="1"/>
  <c r="N72" i="88"/>
  <c r="L72" i="88"/>
  <c r="B72" i="88"/>
  <c r="Z71" i="88"/>
  <c r="X71" i="88"/>
  <c r="N71" i="88"/>
  <c r="L71" i="88"/>
  <c r="B71" i="88"/>
  <c r="T70" i="88"/>
  <c r="P70" i="88"/>
  <c r="X70" i="88" s="1"/>
  <c r="Z70" i="88" s="1"/>
  <c r="L70" i="88"/>
  <c r="H70" i="88"/>
  <c r="D70" i="88"/>
  <c r="B70" i="88"/>
  <c r="X69" i="88"/>
  <c r="Z69" i="88" s="1"/>
  <c r="V69" i="88"/>
  <c r="N69" i="88"/>
  <c r="L69" i="88"/>
  <c r="B69" i="88"/>
  <c r="Z68" i="88"/>
  <c r="X68" i="88"/>
  <c r="T68" i="88"/>
  <c r="P68" i="88"/>
  <c r="L68" i="88"/>
  <c r="J68" i="88"/>
  <c r="H68" i="88"/>
  <c r="D68" i="88"/>
  <c r="B68" i="88"/>
  <c r="Z67" i="88"/>
  <c r="X67" i="88"/>
  <c r="N67" i="88"/>
  <c r="L67" i="88"/>
  <c r="B67" i="88"/>
  <c r="X66" i="88"/>
  <c r="Z66" i="88" s="1"/>
  <c r="L66" i="88"/>
  <c r="N66" i="88" s="1"/>
  <c r="B66" i="88"/>
  <c r="X65" i="88"/>
  <c r="Z65" i="88" s="1"/>
  <c r="V65" i="88"/>
  <c r="N65" i="88"/>
  <c r="L65" i="88"/>
  <c r="B65" i="88"/>
  <c r="Z64" i="88"/>
  <c r="X64" i="88"/>
  <c r="T64" i="88"/>
  <c r="P64" i="88"/>
  <c r="J64" i="88"/>
  <c r="H64" i="88"/>
  <c r="D64" i="88"/>
  <c r="B64" i="88"/>
  <c r="Z63" i="88"/>
  <c r="X63" i="88"/>
  <c r="N63" i="88"/>
  <c r="L63" i="88"/>
  <c r="B63" i="88"/>
  <c r="T62" i="88"/>
  <c r="P62" i="88"/>
  <c r="H62" i="88"/>
  <c r="D62" i="88"/>
  <c r="L62" i="88" s="1"/>
  <c r="N62" i="88" s="1"/>
  <c r="B62" i="88"/>
  <c r="Z61" i="88"/>
  <c r="X61" i="88"/>
  <c r="L61" i="88"/>
  <c r="N61" i="88" s="1"/>
  <c r="J61" i="88"/>
  <c r="B61" i="88"/>
  <c r="T60" i="88"/>
  <c r="P60" i="88"/>
  <c r="X60" i="88" s="1"/>
  <c r="J60" i="88"/>
  <c r="H60" i="88"/>
  <c r="D60" i="88"/>
  <c r="L60" i="88" s="1"/>
  <c r="B60" i="88"/>
  <c r="X59" i="88"/>
  <c r="Z59" i="88" s="1"/>
  <c r="V59" i="88"/>
  <c r="N59" i="88"/>
  <c r="L59" i="88"/>
  <c r="B59" i="88"/>
  <c r="T58" i="88"/>
  <c r="P58" i="88"/>
  <c r="X58" i="88" s="1"/>
  <c r="Z58" i="88" s="1"/>
  <c r="H58" i="88"/>
  <c r="D58" i="88"/>
  <c r="L58" i="88" s="1"/>
  <c r="N58" i="88" s="1"/>
  <c r="B58" i="88"/>
  <c r="X57" i="88"/>
  <c r="Z57" i="88" s="1"/>
  <c r="N57" i="88"/>
  <c r="L57" i="88"/>
  <c r="B57" i="88"/>
  <c r="Z56" i="88"/>
  <c r="X56" i="88"/>
  <c r="T56" i="88"/>
  <c r="P56" i="88"/>
  <c r="L56" i="88"/>
  <c r="J56" i="88"/>
  <c r="H56" i="88"/>
  <c r="N56" i="88" s="1"/>
  <c r="D56" i="88"/>
  <c r="B56" i="88"/>
  <c r="Z55" i="88"/>
  <c r="X55" i="88"/>
  <c r="L55" i="88"/>
  <c r="N55" i="88" s="1"/>
  <c r="J55" i="88"/>
  <c r="B55" i="88"/>
  <c r="X54" i="88"/>
  <c r="Z54" i="88" s="1"/>
  <c r="V54" i="88"/>
  <c r="N54" i="88"/>
  <c r="L54" i="88"/>
  <c r="B54" i="88"/>
  <c r="Z53" i="88"/>
  <c r="X53" i="88"/>
  <c r="L53" i="88"/>
  <c r="N53" i="88" s="1"/>
  <c r="J53" i="88"/>
  <c r="B53" i="88"/>
  <c r="T52" i="88"/>
  <c r="Z52" i="88" s="1"/>
  <c r="P52" i="88"/>
  <c r="X52" i="88" s="1"/>
  <c r="H52" i="88"/>
  <c r="D52" i="88"/>
  <c r="B52" i="88"/>
  <c r="Z51" i="88"/>
  <c r="X51" i="88"/>
  <c r="V51" i="88"/>
  <c r="N51" i="88"/>
  <c r="L51" i="88"/>
  <c r="B51" i="88"/>
  <c r="Z50" i="88"/>
  <c r="T50" i="88"/>
  <c r="P50" i="88"/>
  <c r="X50" i="88" s="1"/>
  <c r="N50" i="88"/>
  <c r="H50" i="88"/>
  <c r="D50" i="88"/>
  <c r="L50" i="88" s="1"/>
  <c r="B50" i="88"/>
  <c r="X49" i="88"/>
  <c r="Z49" i="88" s="1"/>
  <c r="N49" i="88"/>
  <c r="L49" i="88"/>
  <c r="J49" i="88"/>
  <c r="B49" i="88"/>
  <c r="X48" i="88"/>
  <c r="Z48" i="88" s="1"/>
  <c r="T48" i="88"/>
  <c r="P48" i="88"/>
  <c r="L48" i="88"/>
  <c r="J48" i="88"/>
  <c r="H48" i="88"/>
  <c r="N48" i="88" s="1"/>
  <c r="D48" i="88"/>
  <c r="B48" i="88"/>
  <c r="Z47" i="88"/>
  <c r="X47" i="88"/>
  <c r="L47" i="88"/>
  <c r="N47" i="88" s="1"/>
  <c r="J47" i="88"/>
  <c r="B47" i="88"/>
  <c r="T46" i="88"/>
  <c r="P46" i="88"/>
  <c r="H46" i="88"/>
  <c r="N46" i="88" s="1"/>
  <c r="D46" i="88"/>
  <c r="L46" i="88" s="1"/>
  <c r="B46" i="88"/>
  <c r="Z45" i="88"/>
  <c r="X45" i="88"/>
  <c r="V45" i="88"/>
  <c r="N45" i="88"/>
  <c r="L45" i="88"/>
  <c r="B45" i="88"/>
  <c r="Z44" i="88"/>
  <c r="X44" i="88"/>
  <c r="N44" i="88"/>
  <c r="L44" i="88"/>
  <c r="B44" i="88"/>
  <c r="X43" i="88"/>
  <c r="Z43" i="88" s="1"/>
  <c r="V43" i="88"/>
  <c r="N43" i="88"/>
  <c r="L43" i="88"/>
  <c r="B43" i="88"/>
  <c r="Z42" i="88"/>
  <c r="X42" i="88"/>
  <c r="N42" i="88"/>
  <c r="L42" i="88"/>
  <c r="J42" i="88"/>
  <c r="B42" i="88"/>
  <c r="Z41" i="88"/>
  <c r="X41" i="88"/>
  <c r="V41" i="88"/>
  <c r="N41" i="88"/>
  <c r="L41" i="88"/>
  <c r="B41" i="88"/>
  <c r="Z40" i="88"/>
  <c r="X40" i="88"/>
  <c r="N40" i="88"/>
  <c r="L40" i="88"/>
  <c r="B40" i="88"/>
  <c r="Z39" i="88"/>
  <c r="X39" i="88"/>
  <c r="V39" i="88"/>
  <c r="N39" i="88"/>
  <c r="L39" i="88"/>
  <c r="B39" i="88"/>
  <c r="Z38" i="88"/>
  <c r="X38" i="88"/>
  <c r="N38" i="88"/>
  <c r="L38" i="88"/>
  <c r="J38" i="88"/>
  <c r="B38" i="88"/>
  <c r="X37" i="88"/>
  <c r="Z37" i="88" s="1"/>
  <c r="V37" i="88"/>
  <c r="L37" i="88"/>
  <c r="N37" i="88" s="1"/>
  <c r="B37" i="88"/>
  <c r="Z36" i="88"/>
  <c r="X36" i="88"/>
  <c r="N36" i="88"/>
  <c r="L36" i="88"/>
  <c r="B36" i="88"/>
  <c r="V35" i="88"/>
  <c r="T35" i="88"/>
  <c r="P35" i="88"/>
  <c r="L35" i="88"/>
  <c r="J35" i="88"/>
  <c r="H35" i="88"/>
  <c r="N35" i="88" s="1"/>
  <c r="D35" i="88"/>
  <c r="B35" i="88"/>
  <c r="Z34" i="88"/>
  <c r="X34" i="88"/>
  <c r="V34" i="88"/>
  <c r="N34" i="88"/>
  <c r="L34" i="88"/>
  <c r="J34" i="88"/>
  <c r="B34" i="88"/>
  <c r="X33" i="88"/>
  <c r="Z33" i="88" s="1"/>
  <c r="N33" i="88"/>
  <c r="L33" i="88"/>
  <c r="J33" i="88"/>
  <c r="B33" i="88"/>
  <c r="Z32" i="88"/>
  <c r="X32" i="88"/>
  <c r="N32" i="88"/>
  <c r="L32" i="88"/>
  <c r="B32" i="88"/>
  <c r="Z31" i="88"/>
  <c r="X31" i="88"/>
  <c r="N31" i="88"/>
  <c r="L31" i="88"/>
  <c r="B31" i="88"/>
  <c r="X30" i="88"/>
  <c r="Z30" i="88" s="1"/>
  <c r="V30" i="88"/>
  <c r="L30" i="88"/>
  <c r="N30" i="88" s="1"/>
  <c r="J30" i="88"/>
  <c r="B30" i="88"/>
  <c r="X29" i="88"/>
  <c r="Z29" i="88" s="1"/>
  <c r="N29" i="88"/>
  <c r="L29" i="88"/>
  <c r="J29" i="88"/>
  <c r="B29" i="88"/>
  <c r="X28" i="88"/>
  <c r="Z28" i="88" s="1"/>
  <c r="N28" i="88"/>
  <c r="L28" i="88"/>
  <c r="B28" i="88"/>
  <c r="Z27" i="88"/>
  <c r="X27" i="88"/>
  <c r="N27" i="88"/>
  <c r="L27" i="88"/>
  <c r="B27" i="88"/>
  <c r="X26" i="88"/>
  <c r="Z26" i="88" s="1"/>
  <c r="V26" i="88"/>
  <c r="L26" i="88"/>
  <c r="N26" i="88" s="1"/>
  <c r="J26" i="88"/>
  <c r="B26" i="88"/>
  <c r="T25" i="88"/>
  <c r="P25" i="88"/>
  <c r="X25" i="88" s="1"/>
  <c r="Z25" i="88" s="1"/>
  <c r="H25" i="88"/>
  <c r="D25" i="88"/>
  <c r="B25" i="88"/>
  <c r="T24" i="88"/>
  <c r="P24" i="88"/>
  <c r="H24" i="88"/>
  <c r="D24" i="88"/>
  <c r="T22" i="88"/>
  <c r="H22" i="88"/>
  <c r="Z20" i="88"/>
  <c r="X20" i="88"/>
  <c r="N20" i="88"/>
  <c r="L20" i="88"/>
  <c r="B20" i="88"/>
  <c r="Z19" i="88"/>
  <c r="X19" i="88"/>
  <c r="V19" i="88"/>
  <c r="N19" i="88"/>
  <c r="L19" i="88"/>
  <c r="J19" i="88"/>
  <c r="B19" i="88"/>
  <c r="X18" i="88"/>
  <c r="Z18" i="88" s="1"/>
  <c r="V18" i="88"/>
  <c r="R18" i="88"/>
  <c r="L18" i="88"/>
  <c r="N18" i="88" s="1"/>
  <c r="J18" i="88"/>
  <c r="B18" i="88"/>
  <c r="Z17" i="88"/>
  <c r="V17" i="88"/>
  <c r="T17" i="88"/>
  <c r="P17" i="88"/>
  <c r="X17" i="88" s="1"/>
  <c r="N17" i="88"/>
  <c r="J17" i="88"/>
  <c r="H17" i="88"/>
  <c r="L17" i="88" s="1"/>
  <c r="D17" i="88"/>
  <c r="Z15" i="88"/>
  <c r="X15" i="88"/>
  <c r="P15" i="88"/>
  <c r="N15" i="88"/>
  <c r="D15" i="88"/>
  <c r="L15" i="88" s="1"/>
  <c r="B15" i="88"/>
  <c r="Z14" i="88"/>
  <c r="X14" i="88"/>
  <c r="P14" i="88"/>
  <c r="N14" i="88"/>
  <c r="D14" i="88"/>
  <c r="L14" i="88" s="1"/>
  <c r="B14" i="88"/>
  <c r="P13" i="88"/>
  <c r="X13" i="88" s="1"/>
  <c r="Z13" i="88" s="1"/>
  <c r="N13" i="88"/>
  <c r="L13" i="88"/>
  <c r="D13" i="88"/>
  <c r="B13" i="88"/>
  <c r="T12" i="88"/>
  <c r="V79" i="88" s="1"/>
  <c r="P12" i="88"/>
  <c r="R27" i="88" s="1"/>
  <c r="H12" i="88"/>
  <c r="J97" i="88" s="1"/>
  <c r="D6" i="88"/>
  <c r="D4" i="88"/>
  <c r="Z30" i="86"/>
  <c r="X30" i="86"/>
  <c r="L30" i="86"/>
  <c r="N30" i="86" s="1"/>
  <c r="T26" i="86"/>
  <c r="Z26" i="86" s="1"/>
  <c r="P26" i="86"/>
  <c r="J26" i="86"/>
  <c r="H26" i="86"/>
  <c r="N26" i="86" s="1"/>
  <c r="D26" i="86"/>
  <c r="L26" i="86" s="1"/>
  <c r="Z24" i="86"/>
  <c r="X24" i="86"/>
  <c r="N24" i="86"/>
  <c r="L24" i="86"/>
  <c r="B24" i="86"/>
  <c r="T23" i="86"/>
  <c r="X23" i="86" s="1"/>
  <c r="Z23" i="86" s="1"/>
  <c r="P23" i="86"/>
  <c r="J23" i="86"/>
  <c r="H23" i="86"/>
  <c r="D23" i="86"/>
  <c r="L23" i="86" s="1"/>
  <c r="N23" i="86" s="1"/>
  <c r="B23" i="86"/>
  <c r="T22" i="86"/>
  <c r="P22" i="86"/>
  <c r="X22" i="86" s="1"/>
  <c r="Z22" i="86" s="1"/>
  <c r="H22" i="86"/>
  <c r="D22" i="86"/>
  <c r="L22" i="86" s="1"/>
  <c r="N22" i="86" s="1"/>
  <c r="Z18" i="86"/>
  <c r="X18" i="86"/>
  <c r="N18" i="86"/>
  <c r="L18" i="86"/>
  <c r="J18" i="86"/>
  <c r="B18" i="86"/>
  <c r="X17" i="86"/>
  <c r="Z17" i="86" s="1"/>
  <c r="V17" i="86"/>
  <c r="N17" i="86"/>
  <c r="L17" i="86"/>
  <c r="B17" i="86"/>
  <c r="T16" i="86"/>
  <c r="P16" i="86"/>
  <c r="H16" i="86"/>
  <c r="D16" i="86"/>
  <c r="L16" i="86" s="1"/>
  <c r="N16" i="86" s="1"/>
  <c r="Z14" i="86"/>
  <c r="X14" i="86"/>
  <c r="P14" i="86"/>
  <c r="N14" i="86"/>
  <c r="L14" i="86"/>
  <c r="D14" i="86"/>
  <c r="B14" i="86"/>
  <c r="Z13" i="86"/>
  <c r="X13" i="86"/>
  <c r="P13" i="86"/>
  <c r="D13" i="86"/>
  <c r="B13" i="86"/>
  <c r="T12" i="86"/>
  <c r="P12" i="86"/>
  <c r="H12" i="86"/>
  <c r="J30" i="86" s="1"/>
  <c r="D6" i="86"/>
  <c r="D4" i="86"/>
  <c r="Z125" i="85"/>
  <c r="X125" i="85"/>
  <c r="N125" i="85"/>
  <c r="L125" i="85"/>
  <c r="T121" i="85"/>
  <c r="Z121" i="85" s="1"/>
  <c r="P121" i="85"/>
  <c r="X121" i="85" s="1"/>
  <c r="H121" i="85"/>
  <c r="N121" i="85" s="1"/>
  <c r="D121" i="85"/>
  <c r="Z119" i="85"/>
  <c r="X119" i="85"/>
  <c r="N119" i="85"/>
  <c r="L119" i="85"/>
  <c r="B119" i="85"/>
  <c r="T118" i="85"/>
  <c r="X118" i="85" s="1"/>
  <c r="Z118" i="85" s="1"/>
  <c r="P118" i="85"/>
  <c r="H118" i="85"/>
  <c r="D118" i="85"/>
  <c r="L118" i="85" s="1"/>
  <c r="N118" i="85" s="1"/>
  <c r="B118" i="85"/>
  <c r="X117" i="85"/>
  <c r="Z117" i="85" s="1"/>
  <c r="L117" i="85"/>
  <c r="N117" i="85" s="1"/>
  <c r="J117" i="85"/>
  <c r="B117" i="85"/>
  <c r="X116" i="85"/>
  <c r="T116" i="85"/>
  <c r="Z116" i="85" s="1"/>
  <c r="P116" i="85"/>
  <c r="H116" i="85"/>
  <c r="D116" i="85"/>
  <c r="L116" i="85" s="1"/>
  <c r="B116" i="85"/>
  <c r="Z115" i="85"/>
  <c r="X115" i="85"/>
  <c r="N115" i="85"/>
  <c r="L115" i="85"/>
  <c r="B115" i="85"/>
  <c r="T114" i="85"/>
  <c r="Z114" i="85" s="1"/>
  <c r="P114" i="85"/>
  <c r="N114" i="85"/>
  <c r="H114" i="85"/>
  <c r="D114" i="85"/>
  <c r="L114" i="85" s="1"/>
  <c r="B114" i="85"/>
  <c r="Z113" i="85"/>
  <c r="X113" i="85"/>
  <c r="N113" i="85"/>
  <c r="L113" i="85"/>
  <c r="B113" i="85"/>
  <c r="X112" i="85"/>
  <c r="Z112" i="85" s="1"/>
  <c r="L112" i="85"/>
  <c r="N112" i="85" s="1"/>
  <c r="B112" i="85"/>
  <c r="T111" i="85"/>
  <c r="P111" i="85"/>
  <c r="H111" i="85"/>
  <c r="D111" i="85"/>
  <c r="B111" i="85"/>
  <c r="Z110" i="85"/>
  <c r="X110" i="85"/>
  <c r="N110" i="85"/>
  <c r="L110" i="85"/>
  <c r="B110" i="85"/>
  <c r="X109" i="85"/>
  <c r="Z109" i="85" s="1"/>
  <c r="L109" i="85"/>
  <c r="N109" i="85" s="1"/>
  <c r="B109" i="85"/>
  <c r="X108" i="85"/>
  <c r="Z108" i="85" s="1"/>
  <c r="N108" i="85"/>
  <c r="L108" i="85"/>
  <c r="B108" i="85"/>
  <c r="Z107" i="85"/>
  <c r="X107" i="85"/>
  <c r="L107" i="85"/>
  <c r="N107" i="85" s="1"/>
  <c r="B107" i="85"/>
  <c r="X106" i="85"/>
  <c r="Z106" i="85" s="1"/>
  <c r="N106" i="85"/>
  <c r="L106" i="85"/>
  <c r="B106" i="85"/>
  <c r="T105" i="85"/>
  <c r="P105" i="85"/>
  <c r="X105" i="85" s="1"/>
  <c r="Z105" i="85" s="1"/>
  <c r="H105" i="85"/>
  <c r="D105" i="85"/>
  <c r="L105" i="85" s="1"/>
  <c r="N105" i="85" s="1"/>
  <c r="B105" i="85"/>
  <c r="Z104" i="85"/>
  <c r="X104" i="85"/>
  <c r="N104" i="85"/>
  <c r="L104" i="85"/>
  <c r="B104" i="85"/>
  <c r="Z103" i="85"/>
  <c r="X103" i="85"/>
  <c r="N103" i="85"/>
  <c r="L103" i="85"/>
  <c r="B103" i="85"/>
  <c r="T102" i="85"/>
  <c r="P102" i="85"/>
  <c r="X102" i="85" s="1"/>
  <c r="H102" i="85"/>
  <c r="D102" i="85"/>
  <c r="L102" i="85" s="1"/>
  <c r="N102" i="85" s="1"/>
  <c r="B102" i="85"/>
  <c r="Z101" i="85"/>
  <c r="X101" i="85"/>
  <c r="L101" i="85"/>
  <c r="N101" i="85" s="1"/>
  <c r="B101" i="85"/>
  <c r="X100" i="85"/>
  <c r="Z100" i="85" s="1"/>
  <c r="L100" i="85"/>
  <c r="N100" i="85" s="1"/>
  <c r="B100" i="85"/>
  <c r="Z99" i="85"/>
  <c r="X99" i="85"/>
  <c r="N99" i="85"/>
  <c r="L99" i="85"/>
  <c r="B99" i="85"/>
  <c r="T98" i="85"/>
  <c r="P98" i="85"/>
  <c r="X98" i="85" s="1"/>
  <c r="Z98" i="85" s="1"/>
  <c r="H98" i="85"/>
  <c r="D98" i="85"/>
  <c r="L98" i="85" s="1"/>
  <c r="N98" i="85" s="1"/>
  <c r="B98" i="85"/>
  <c r="X97" i="85"/>
  <c r="Z97" i="85" s="1"/>
  <c r="L97" i="85"/>
  <c r="N97" i="85" s="1"/>
  <c r="B97" i="85"/>
  <c r="X96" i="85"/>
  <c r="Z96" i="85" s="1"/>
  <c r="N96" i="85"/>
  <c r="L96" i="85"/>
  <c r="B96" i="85"/>
  <c r="Z95" i="85"/>
  <c r="T95" i="85"/>
  <c r="P95" i="85"/>
  <c r="X95" i="85" s="1"/>
  <c r="H95" i="85"/>
  <c r="D95" i="85"/>
  <c r="L95" i="85" s="1"/>
  <c r="N95" i="85" s="1"/>
  <c r="B95" i="85"/>
  <c r="Z94" i="85"/>
  <c r="X94" i="85"/>
  <c r="N94" i="85"/>
  <c r="L94" i="85"/>
  <c r="B94" i="85"/>
  <c r="X93" i="85"/>
  <c r="T93" i="85"/>
  <c r="P93" i="85"/>
  <c r="N93" i="85"/>
  <c r="L93" i="85"/>
  <c r="H93" i="85"/>
  <c r="D93" i="85"/>
  <c r="B93" i="85"/>
  <c r="Z92" i="85"/>
  <c r="X92" i="85"/>
  <c r="N92" i="85"/>
  <c r="L92" i="85"/>
  <c r="J92" i="85"/>
  <c r="B92" i="85"/>
  <c r="T91" i="85"/>
  <c r="P91" i="85"/>
  <c r="H91" i="85"/>
  <c r="N91" i="85" s="1"/>
  <c r="D91" i="85"/>
  <c r="L91" i="85" s="1"/>
  <c r="B91" i="85"/>
  <c r="X90" i="85"/>
  <c r="Z90" i="85" s="1"/>
  <c r="N90" i="85"/>
  <c r="L90" i="85"/>
  <c r="B90" i="85"/>
  <c r="T89" i="85"/>
  <c r="P89" i="85"/>
  <c r="X89" i="85" s="1"/>
  <c r="Z89" i="85" s="1"/>
  <c r="N89" i="85"/>
  <c r="H89" i="85"/>
  <c r="D89" i="85"/>
  <c r="L89" i="85" s="1"/>
  <c r="B89" i="85"/>
  <c r="Z88" i="85"/>
  <c r="X88" i="85"/>
  <c r="L88" i="85"/>
  <c r="N88" i="85" s="1"/>
  <c r="B88" i="85"/>
  <c r="X87" i="85"/>
  <c r="Z87" i="85" s="1"/>
  <c r="T87" i="85"/>
  <c r="P87" i="85"/>
  <c r="L87" i="85"/>
  <c r="H87" i="85"/>
  <c r="D87" i="85"/>
  <c r="B87" i="85"/>
  <c r="Z86" i="85"/>
  <c r="X86" i="85"/>
  <c r="L86" i="85"/>
  <c r="N86" i="85" s="1"/>
  <c r="B86" i="85"/>
  <c r="T85" i="85"/>
  <c r="P85" i="85"/>
  <c r="H85" i="85"/>
  <c r="D85" i="85"/>
  <c r="L85" i="85" s="1"/>
  <c r="B85" i="85"/>
  <c r="X84" i="85"/>
  <c r="Z84" i="85" s="1"/>
  <c r="N84" i="85"/>
  <c r="L84" i="85"/>
  <c r="B84" i="85"/>
  <c r="Z83" i="85"/>
  <c r="T83" i="85"/>
  <c r="P83" i="85"/>
  <c r="X83" i="85" s="1"/>
  <c r="H83" i="85"/>
  <c r="D83" i="85"/>
  <c r="L83" i="85" s="1"/>
  <c r="N83" i="85" s="1"/>
  <c r="B83" i="85"/>
  <c r="Z82" i="85"/>
  <c r="X82" i="85"/>
  <c r="N82" i="85"/>
  <c r="L82" i="85"/>
  <c r="B82" i="85"/>
  <c r="X81" i="85"/>
  <c r="T81" i="85"/>
  <c r="P81" i="85"/>
  <c r="N81" i="85"/>
  <c r="L81" i="85"/>
  <c r="H81" i="85"/>
  <c r="D81" i="85"/>
  <c r="B81" i="85"/>
  <c r="Z80" i="85"/>
  <c r="X80" i="85"/>
  <c r="L80" i="85"/>
  <c r="N80" i="85" s="1"/>
  <c r="B80" i="85"/>
  <c r="T79" i="85"/>
  <c r="P79" i="85"/>
  <c r="X79" i="85" s="1"/>
  <c r="H79" i="85"/>
  <c r="D79" i="85"/>
  <c r="L79" i="85" s="1"/>
  <c r="B79" i="85"/>
  <c r="Z78" i="85"/>
  <c r="X78" i="85"/>
  <c r="N78" i="85"/>
  <c r="L78" i="85"/>
  <c r="B78" i="85"/>
  <c r="T77" i="85"/>
  <c r="P77" i="85"/>
  <c r="X77" i="85" s="1"/>
  <c r="N77" i="85"/>
  <c r="H77" i="85"/>
  <c r="D77" i="85"/>
  <c r="L77" i="85" s="1"/>
  <c r="B77" i="85"/>
  <c r="Z76" i="85"/>
  <c r="X76" i="85"/>
  <c r="L76" i="85"/>
  <c r="N76" i="85" s="1"/>
  <c r="B76" i="85"/>
  <c r="Z75" i="85"/>
  <c r="X75" i="85"/>
  <c r="N75" i="85"/>
  <c r="L75" i="85"/>
  <c r="B75" i="85"/>
  <c r="T74" i="85"/>
  <c r="P74" i="85"/>
  <c r="H74" i="85"/>
  <c r="D74" i="85"/>
  <c r="L74" i="85" s="1"/>
  <c r="N74" i="85" s="1"/>
  <c r="B74" i="85"/>
  <c r="X73" i="85"/>
  <c r="Z73" i="85" s="1"/>
  <c r="L73" i="85"/>
  <c r="N73" i="85" s="1"/>
  <c r="B73" i="85"/>
  <c r="T72" i="85"/>
  <c r="P72" i="85"/>
  <c r="X72" i="85" s="1"/>
  <c r="Z72" i="85" s="1"/>
  <c r="H72" i="85"/>
  <c r="D72" i="85"/>
  <c r="L72" i="85" s="1"/>
  <c r="N72" i="85" s="1"/>
  <c r="B72" i="85"/>
  <c r="Z71" i="85"/>
  <c r="X71" i="85"/>
  <c r="N71" i="85"/>
  <c r="L71" i="85"/>
  <c r="B71" i="85"/>
  <c r="Z70" i="85"/>
  <c r="X70" i="85"/>
  <c r="V70" i="85"/>
  <c r="N70" i="85"/>
  <c r="L70" i="85"/>
  <c r="B70" i="85"/>
  <c r="X69" i="85"/>
  <c r="Z69" i="85" s="1"/>
  <c r="L69" i="85"/>
  <c r="N69" i="85" s="1"/>
  <c r="B69" i="85"/>
  <c r="X68" i="85"/>
  <c r="Z68" i="85" s="1"/>
  <c r="N68" i="85"/>
  <c r="L68" i="85"/>
  <c r="B68" i="85"/>
  <c r="Z67" i="85"/>
  <c r="X67" i="85"/>
  <c r="N67" i="85"/>
  <c r="L67" i="85"/>
  <c r="B67" i="85"/>
  <c r="Z66" i="85"/>
  <c r="X66" i="85"/>
  <c r="V66" i="85"/>
  <c r="N66" i="85"/>
  <c r="L66" i="85"/>
  <c r="B66" i="85"/>
  <c r="X65" i="85"/>
  <c r="Z65" i="85" s="1"/>
  <c r="L65" i="85"/>
  <c r="N65" i="85" s="1"/>
  <c r="B65" i="85"/>
  <c r="Z64" i="85"/>
  <c r="X64" i="85"/>
  <c r="N64" i="85"/>
  <c r="L64" i="85"/>
  <c r="B64" i="85"/>
  <c r="X63" i="85"/>
  <c r="Z63" i="85" s="1"/>
  <c r="L63" i="85"/>
  <c r="N63" i="85" s="1"/>
  <c r="B63" i="85"/>
  <c r="Z62" i="85"/>
  <c r="X62" i="85"/>
  <c r="N62" i="85"/>
  <c r="L62" i="85"/>
  <c r="B62" i="85"/>
  <c r="T61" i="85"/>
  <c r="Z61" i="85" s="1"/>
  <c r="P61" i="85"/>
  <c r="X61" i="85" s="1"/>
  <c r="H61" i="85"/>
  <c r="D61" i="85"/>
  <c r="L61" i="85" s="1"/>
  <c r="N61" i="85" s="1"/>
  <c r="B61" i="85"/>
  <c r="Z60" i="85"/>
  <c r="X60" i="85"/>
  <c r="N60" i="85"/>
  <c r="L60" i="85"/>
  <c r="B60" i="85"/>
  <c r="Z59" i="85"/>
  <c r="X59" i="85"/>
  <c r="N59" i="85"/>
  <c r="L59" i="85"/>
  <c r="B59" i="85"/>
  <c r="Z58" i="85"/>
  <c r="X58" i="85"/>
  <c r="N58" i="85"/>
  <c r="L58" i="85"/>
  <c r="B58" i="85"/>
  <c r="Z57" i="85"/>
  <c r="X57" i="85"/>
  <c r="N57" i="85"/>
  <c r="L57" i="85"/>
  <c r="B57" i="85"/>
  <c r="Z56" i="85"/>
  <c r="X56" i="85"/>
  <c r="L56" i="85"/>
  <c r="N56" i="85" s="1"/>
  <c r="B56" i="85"/>
  <c r="X55" i="85"/>
  <c r="Z55" i="85" s="1"/>
  <c r="N55" i="85"/>
  <c r="L55" i="85"/>
  <c r="B55" i="85"/>
  <c r="Z54" i="85"/>
  <c r="X54" i="85"/>
  <c r="N54" i="85"/>
  <c r="L54" i="85"/>
  <c r="B54" i="85"/>
  <c r="X53" i="85"/>
  <c r="Z53" i="85" s="1"/>
  <c r="N53" i="85"/>
  <c r="L53" i="85"/>
  <c r="B53" i="85"/>
  <c r="Z52" i="85"/>
  <c r="X52" i="85"/>
  <c r="N52" i="85"/>
  <c r="L52" i="85"/>
  <c r="B52" i="85"/>
  <c r="Z51" i="85"/>
  <c r="X51" i="85"/>
  <c r="T51" i="85"/>
  <c r="P51" i="85"/>
  <c r="H51" i="85"/>
  <c r="D51" i="85"/>
  <c r="B51" i="85"/>
  <c r="T50" i="85"/>
  <c r="P50" i="85"/>
  <c r="X50" i="85" s="1"/>
  <c r="Z50" i="85" s="1"/>
  <c r="H50" i="85"/>
  <c r="N50" i="85" s="1"/>
  <c r="D50" i="85"/>
  <c r="L50" i="85" s="1"/>
  <c r="H48" i="85"/>
  <c r="Z46" i="85"/>
  <c r="X46" i="85"/>
  <c r="N46" i="85"/>
  <c r="L46" i="85"/>
  <c r="B46" i="85"/>
  <c r="Z45" i="85"/>
  <c r="X45" i="85"/>
  <c r="V45" i="85"/>
  <c r="N45" i="85"/>
  <c r="L45" i="85"/>
  <c r="B45" i="85"/>
  <c r="Z44" i="85"/>
  <c r="X44" i="85"/>
  <c r="N44" i="85"/>
  <c r="L44" i="85"/>
  <c r="J44" i="85"/>
  <c r="B44" i="85"/>
  <c r="Z43" i="85"/>
  <c r="X43" i="85"/>
  <c r="N43" i="85"/>
  <c r="L43" i="85"/>
  <c r="B43" i="85"/>
  <c r="Z42" i="85"/>
  <c r="X42" i="85"/>
  <c r="V42" i="85"/>
  <c r="N42" i="85"/>
  <c r="L42" i="85"/>
  <c r="B42" i="85"/>
  <c r="Z41" i="85"/>
  <c r="X41" i="85"/>
  <c r="N41" i="85"/>
  <c r="L41" i="85"/>
  <c r="J41" i="85"/>
  <c r="B41" i="85"/>
  <c r="Z40" i="85"/>
  <c r="X40" i="85"/>
  <c r="N40" i="85"/>
  <c r="L40" i="85"/>
  <c r="B40" i="85"/>
  <c r="Z39" i="85"/>
  <c r="X39" i="85"/>
  <c r="V39" i="85"/>
  <c r="N39" i="85"/>
  <c r="L39" i="85"/>
  <c r="B39" i="85"/>
  <c r="Z38" i="85"/>
  <c r="X38" i="85"/>
  <c r="N38" i="85"/>
  <c r="L38" i="85"/>
  <c r="J38" i="85"/>
  <c r="B38" i="85"/>
  <c r="Z37" i="85"/>
  <c r="X37" i="85"/>
  <c r="N37" i="85"/>
  <c r="L37" i="85"/>
  <c r="B37" i="85"/>
  <c r="Z36" i="85"/>
  <c r="X36" i="85"/>
  <c r="N36" i="85"/>
  <c r="L36" i="85"/>
  <c r="B36" i="85"/>
  <c r="Z35" i="85"/>
  <c r="X35" i="85"/>
  <c r="N35" i="85"/>
  <c r="L35" i="85"/>
  <c r="B35" i="85"/>
  <c r="Z34" i="85"/>
  <c r="X34" i="85"/>
  <c r="N34" i="85"/>
  <c r="L34" i="85"/>
  <c r="B34" i="85"/>
  <c r="Z33" i="85"/>
  <c r="X33" i="85"/>
  <c r="L33" i="85"/>
  <c r="N33" i="85" s="1"/>
  <c r="B33" i="85"/>
  <c r="T32" i="85"/>
  <c r="P32" i="85"/>
  <c r="X32" i="85" s="1"/>
  <c r="Z32" i="85" s="1"/>
  <c r="N32" i="85"/>
  <c r="H32" i="85"/>
  <c r="D32" i="85"/>
  <c r="L32" i="85" s="1"/>
  <c r="Z30" i="85"/>
  <c r="X30" i="85"/>
  <c r="P30" i="85"/>
  <c r="N30" i="85"/>
  <c r="D30" i="85"/>
  <c r="L30" i="85" s="1"/>
  <c r="B30" i="85"/>
  <c r="Z29" i="85"/>
  <c r="X29" i="85"/>
  <c r="P29" i="85"/>
  <c r="N29" i="85"/>
  <c r="D29" i="85"/>
  <c r="L29" i="85" s="1"/>
  <c r="B29" i="85"/>
  <c r="Z28" i="85"/>
  <c r="X28" i="85"/>
  <c r="P28" i="85"/>
  <c r="N28" i="85"/>
  <c r="L28" i="85"/>
  <c r="D28" i="85"/>
  <c r="B28" i="85"/>
  <c r="Z27" i="85"/>
  <c r="P27" i="85"/>
  <c r="X27" i="85" s="1"/>
  <c r="N27" i="85"/>
  <c r="L27" i="85"/>
  <c r="D27" i="85"/>
  <c r="B27" i="85"/>
  <c r="Z26" i="85"/>
  <c r="X26" i="85"/>
  <c r="P26" i="85"/>
  <c r="N26" i="85"/>
  <c r="D26" i="85"/>
  <c r="L26" i="85" s="1"/>
  <c r="B26" i="85"/>
  <c r="Z25" i="85"/>
  <c r="X25" i="85"/>
  <c r="P25" i="85"/>
  <c r="N25" i="85"/>
  <c r="D25" i="85"/>
  <c r="L25" i="85" s="1"/>
  <c r="B25" i="85"/>
  <c r="Z24" i="85"/>
  <c r="P24" i="85"/>
  <c r="X24" i="85" s="1"/>
  <c r="N24" i="85"/>
  <c r="D24" i="85"/>
  <c r="L24" i="85" s="1"/>
  <c r="B24" i="85"/>
  <c r="Z23" i="85"/>
  <c r="X23" i="85"/>
  <c r="P23" i="85"/>
  <c r="N23" i="85"/>
  <c r="L23" i="85"/>
  <c r="D23" i="85"/>
  <c r="B23" i="85"/>
  <c r="Z22" i="85"/>
  <c r="X22" i="85"/>
  <c r="P22" i="85"/>
  <c r="N22" i="85"/>
  <c r="L22" i="85"/>
  <c r="D22" i="85"/>
  <c r="B22" i="85"/>
  <c r="Z21" i="85"/>
  <c r="X21" i="85"/>
  <c r="P21" i="85"/>
  <c r="N21" i="85"/>
  <c r="D21" i="85"/>
  <c r="L21" i="85" s="1"/>
  <c r="B21" i="85"/>
  <c r="Z20" i="85"/>
  <c r="P20" i="85"/>
  <c r="X20" i="85" s="1"/>
  <c r="N20" i="85"/>
  <c r="L20" i="85"/>
  <c r="D20" i="85"/>
  <c r="B20" i="85"/>
  <c r="Z19" i="85"/>
  <c r="P19" i="85"/>
  <c r="X19" i="85" s="1"/>
  <c r="N19" i="85"/>
  <c r="L19" i="85"/>
  <c r="D19" i="85"/>
  <c r="B19" i="85"/>
  <c r="Z18" i="85"/>
  <c r="X18" i="85"/>
  <c r="P18" i="85"/>
  <c r="N18" i="85"/>
  <c r="L18" i="85"/>
  <c r="D18" i="85"/>
  <c r="B18" i="85"/>
  <c r="Z17" i="85"/>
  <c r="P17" i="85"/>
  <c r="X17" i="85" s="1"/>
  <c r="N17" i="85"/>
  <c r="D17" i="85"/>
  <c r="L17" i="85" s="1"/>
  <c r="B17" i="85"/>
  <c r="Z16" i="85"/>
  <c r="P16" i="85"/>
  <c r="X16" i="85" s="1"/>
  <c r="N16" i="85"/>
  <c r="D16" i="85"/>
  <c r="L16" i="85" s="1"/>
  <c r="B16" i="85"/>
  <c r="Z15" i="85"/>
  <c r="P15" i="85"/>
  <c r="X15" i="85" s="1"/>
  <c r="N15" i="85"/>
  <c r="L15" i="85"/>
  <c r="D15" i="85"/>
  <c r="B15" i="85"/>
  <c r="Z14" i="85"/>
  <c r="X14" i="85"/>
  <c r="P14" i="85"/>
  <c r="N14" i="85"/>
  <c r="L14" i="85"/>
  <c r="D14" i="85"/>
  <c r="B14" i="85"/>
  <c r="X13" i="85"/>
  <c r="Z13" i="85" s="1"/>
  <c r="P13" i="85"/>
  <c r="D13" i="85"/>
  <c r="B13" i="85"/>
  <c r="T12" i="85"/>
  <c r="V62" i="85" s="1"/>
  <c r="H12" i="85"/>
  <c r="J121" i="85" s="1"/>
  <c r="D6" i="85"/>
  <c r="D4" i="85"/>
  <c r="Z95" i="84"/>
  <c r="X95" i="84"/>
  <c r="N95" i="84"/>
  <c r="L95" i="84"/>
  <c r="Z91" i="84"/>
  <c r="T91" i="84"/>
  <c r="P91" i="84"/>
  <c r="X91" i="84" s="1"/>
  <c r="H91" i="84"/>
  <c r="N91" i="84" s="1"/>
  <c r="D91" i="84"/>
  <c r="L91" i="84" s="1"/>
  <c r="Z89" i="84"/>
  <c r="X89" i="84"/>
  <c r="N89" i="84"/>
  <c r="L89" i="84"/>
  <c r="B89" i="84"/>
  <c r="T88" i="84"/>
  <c r="P88" i="84"/>
  <c r="X88" i="84" s="1"/>
  <c r="Z88" i="84" s="1"/>
  <c r="H88" i="84"/>
  <c r="D88" i="84"/>
  <c r="L88" i="84" s="1"/>
  <c r="N88" i="84" s="1"/>
  <c r="B88" i="84"/>
  <c r="X87" i="84"/>
  <c r="Z87" i="84" s="1"/>
  <c r="V87" i="84"/>
  <c r="N87" i="84"/>
  <c r="L87" i="84"/>
  <c r="B87" i="84"/>
  <c r="V86" i="84"/>
  <c r="T86" i="84"/>
  <c r="P86" i="84"/>
  <c r="X86" i="84" s="1"/>
  <c r="Z86" i="84" s="1"/>
  <c r="H86" i="84"/>
  <c r="N86" i="84" s="1"/>
  <c r="D86" i="84"/>
  <c r="B86" i="84"/>
  <c r="Z85" i="84"/>
  <c r="X85" i="84"/>
  <c r="N85" i="84"/>
  <c r="L85" i="84"/>
  <c r="B85" i="84"/>
  <c r="T84" i="84"/>
  <c r="P84" i="84"/>
  <c r="L84" i="84"/>
  <c r="H84" i="84"/>
  <c r="N84" i="84" s="1"/>
  <c r="D84" i="84"/>
  <c r="B84" i="84"/>
  <c r="X83" i="84"/>
  <c r="Z83" i="84" s="1"/>
  <c r="V83" i="84"/>
  <c r="N83" i="84"/>
  <c r="L83" i="84"/>
  <c r="J83" i="84"/>
  <c r="B83" i="84"/>
  <c r="Z82" i="84"/>
  <c r="X82" i="84"/>
  <c r="N82" i="84"/>
  <c r="L82" i="84"/>
  <c r="J82" i="84"/>
  <c r="B82" i="84"/>
  <c r="Z81" i="84"/>
  <c r="X81" i="84"/>
  <c r="N81" i="84"/>
  <c r="L81" i="84"/>
  <c r="B81" i="84"/>
  <c r="Z80" i="84"/>
  <c r="X80" i="84"/>
  <c r="N80" i="84"/>
  <c r="L80" i="84"/>
  <c r="B80" i="84"/>
  <c r="X79" i="84"/>
  <c r="Z79" i="84" s="1"/>
  <c r="V79" i="84"/>
  <c r="L79" i="84"/>
  <c r="N79" i="84" s="1"/>
  <c r="J79" i="84"/>
  <c r="B79" i="84"/>
  <c r="X78" i="84"/>
  <c r="Z78" i="84" s="1"/>
  <c r="L78" i="84"/>
  <c r="N78" i="84" s="1"/>
  <c r="J78" i="84"/>
  <c r="B78" i="84"/>
  <c r="Z77" i="84"/>
  <c r="X77" i="84"/>
  <c r="N77" i="84"/>
  <c r="L77" i="84"/>
  <c r="B77" i="84"/>
  <c r="T76" i="84"/>
  <c r="P76" i="84"/>
  <c r="X76" i="84" s="1"/>
  <c r="Z76" i="84" s="1"/>
  <c r="H76" i="84"/>
  <c r="D76" i="84"/>
  <c r="L76" i="84" s="1"/>
  <c r="N76" i="84" s="1"/>
  <c r="B76" i="84"/>
  <c r="X75" i="84"/>
  <c r="Z75" i="84" s="1"/>
  <c r="V75" i="84"/>
  <c r="N75" i="84"/>
  <c r="L75" i="84"/>
  <c r="B75" i="84"/>
  <c r="V74" i="84"/>
  <c r="T74" i="84"/>
  <c r="P74" i="84"/>
  <c r="X74" i="84" s="1"/>
  <c r="Z74" i="84" s="1"/>
  <c r="H74" i="84"/>
  <c r="D74" i="84"/>
  <c r="B74" i="84"/>
  <c r="Z73" i="84"/>
  <c r="X73" i="84"/>
  <c r="N73" i="84"/>
  <c r="L73" i="84"/>
  <c r="B73" i="84"/>
  <c r="Z72" i="84"/>
  <c r="X72" i="84"/>
  <c r="N72" i="84"/>
  <c r="L72" i="84"/>
  <c r="B72" i="84"/>
  <c r="Z71" i="84"/>
  <c r="X71" i="84"/>
  <c r="V71" i="84"/>
  <c r="L71" i="84"/>
  <c r="N71" i="84" s="1"/>
  <c r="J71" i="84"/>
  <c r="B71" i="84"/>
  <c r="Z70" i="84"/>
  <c r="X70" i="84"/>
  <c r="N70" i="84"/>
  <c r="L70" i="84"/>
  <c r="B70" i="84"/>
  <c r="Z69" i="84"/>
  <c r="X69" i="84"/>
  <c r="T69" i="84"/>
  <c r="P69" i="84"/>
  <c r="H69" i="84"/>
  <c r="L69" i="84" s="1"/>
  <c r="N69" i="84" s="1"/>
  <c r="D69" i="84"/>
  <c r="B69" i="84"/>
  <c r="Z68" i="84"/>
  <c r="X68" i="84"/>
  <c r="L68" i="84"/>
  <c r="N68" i="84" s="1"/>
  <c r="B68" i="84"/>
  <c r="Z67" i="84"/>
  <c r="X67" i="84"/>
  <c r="V67" i="84"/>
  <c r="N67" i="84"/>
  <c r="L67" i="84"/>
  <c r="J67" i="84"/>
  <c r="B67" i="84"/>
  <c r="T66" i="84"/>
  <c r="P66" i="84"/>
  <c r="X66" i="84" s="1"/>
  <c r="Z66" i="84" s="1"/>
  <c r="H66" i="84"/>
  <c r="D66" i="84"/>
  <c r="B66" i="84"/>
  <c r="Z65" i="84"/>
  <c r="X65" i="84"/>
  <c r="N65" i="84"/>
  <c r="L65" i="84"/>
  <c r="B65" i="84"/>
  <c r="T64" i="84"/>
  <c r="P64" i="84"/>
  <c r="J64" i="84"/>
  <c r="H64" i="84"/>
  <c r="D64" i="84"/>
  <c r="L64" i="84" s="1"/>
  <c r="N64" i="84" s="1"/>
  <c r="B64" i="84"/>
  <c r="Z63" i="84"/>
  <c r="X63" i="84"/>
  <c r="V63" i="84"/>
  <c r="L63" i="84"/>
  <c r="N63" i="84" s="1"/>
  <c r="J63" i="84"/>
  <c r="B63" i="84"/>
  <c r="X62" i="84"/>
  <c r="T62" i="84"/>
  <c r="Z62" i="84" s="1"/>
  <c r="P62" i="84"/>
  <c r="H62" i="84"/>
  <c r="D62" i="84"/>
  <c r="L62" i="84" s="1"/>
  <c r="B62" i="84"/>
  <c r="Z61" i="84"/>
  <c r="X61" i="84"/>
  <c r="N61" i="84"/>
  <c r="L61" i="84"/>
  <c r="B61" i="84"/>
  <c r="T60" i="84"/>
  <c r="P60" i="84"/>
  <c r="X60" i="84" s="1"/>
  <c r="N60" i="84"/>
  <c r="H60" i="84"/>
  <c r="D60" i="84"/>
  <c r="L60" i="84" s="1"/>
  <c r="B60" i="84"/>
  <c r="X59" i="84"/>
  <c r="Z59" i="84" s="1"/>
  <c r="V59" i="84"/>
  <c r="N59" i="84"/>
  <c r="L59" i="84"/>
  <c r="B59" i="84"/>
  <c r="V58" i="84"/>
  <c r="T58" i="84"/>
  <c r="P58" i="84"/>
  <c r="X58" i="84" s="1"/>
  <c r="Z58" i="84" s="1"/>
  <c r="H58" i="84"/>
  <c r="D58" i="84"/>
  <c r="B58" i="84"/>
  <c r="Z57" i="84"/>
  <c r="X57" i="84"/>
  <c r="N57" i="84"/>
  <c r="L57" i="84"/>
  <c r="B57" i="84"/>
  <c r="T56" i="84"/>
  <c r="P56" i="84"/>
  <c r="L56" i="84"/>
  <c r="H56" i="84"/>
  <c r="N56" i="84" s="1"/>
  <c r="D56" i="84"/>
  <c r="B56" i="84"/>
  <c r="X55" i="84"/>
  <c r="Z55" i="84" s="1"/>
  <c r="V55" i="84"/>
  <c r="L55" i="84"/>
  <c r="N55" i="84" s="1"/>
  <c r="J55" i="84"/>
  <c r="B55" i="84"/>
  <c r="X54" i="84"/>
  <c r="Z54" i="84" s="1"/>
  <c r="L54" i="84"/>
  <c r="N54" i="84" s="1"/>
  <c r="J54" i="84"/>
  <c r="B54" i="84"/>
  <c r="Z53" i="84"/>
  <c r="X53" i="84"/>
  <c r="V53" i="84"/>
  <c r="N53" i="84"/>
  <c r="L53" i="84"/>
  <c r="B53" i="84"/>
  <c r="T52" i="84"/>
  <c r="P52" i="84"/>
  <c r="X52" i="84" s="1"/>
  <c r="Z52" i="84" s="1"/>
  <c r="H52" i="84"/>
  <c r="D52" i="84"/>
  <c r="L52" i="84" s="1"/>
  <c r="N52" i="84" s="1"/>
  <c r="B52" i="84"/>
  <c r="X51" i="84"/>
  <c r="Z51" i="84" s="1"/>
  <c r="V51" i="84"/>
  <c r="N51" i="84"/>
  <c r="L51" i="84"/>
  <c r="B51" i="84"/>
  <c r="V50" i="84"/>
  <c r="T50" i="84"/>
  <c r="P50" i="84"/>
  <c r="X50" i="84" s="1"/>
  <c r="Z50" i="84" s="1"/>
  <c r="H50" i="84"/>
  <c r="D50" i="84"/>
  <c r="B50" i="84"/>
  <c r="Z49" i="84"/>
  <c r="X49" i="84"/>
  <c r="N49" i="84"/>
  <c r="L49" i="84"/>
  <c r="B49" i="84"/>
  <c r="T48" i="84"/>
  <c r="P48" i="84"/>
  <c r="L48" i="84"/>
  <c r="H48" i="84"/>
  <c r="D48" i="84"/>
  <c r="B48" i="84"/>
  <c r="Z47" i="84"/>
  <c r="X47" i="84"/>
  <c r="V47" i="84"/>
  <c r="L47" i="84"/>
  <c r="N47" i="84" s="1"/>
  <c r="J47" i="84"/>
  <c r="B47" i="84"/>
  <c r="T46" i="84"/>
  <c r="P46" i="84"/>
  <c r="X46" i="84" s="1"/>
  <c r="Z46" i="84" s="1"/>
  <c r="N46" i="84"/>
  <c r="H46" i="84"/>
  <c r="D46" i="84"/>
  <c r="L46" i="84" s="1"/>
  <c r="B46" i="84"/>
  <c r="Z45" i="84"/>
  <c r="X45" i="84"/>
  <c r="N45" i="84"/>
  <c r="L45" i="84"/>
  <c r="B45" i="84"/>
  <c r="Z44" i="84"/>
  <c r="X44" i="84"/>
  <c r="N44" i="84"/>
  <c r="L44" i="84"/>
  <c r="B44" i="84"/>
  <c r="X43" i="84"/>
  <c r="Z43" i="84" s="1"/>
  <c r="V43" i="84"/>
  <c r="N43" i="84"/>
  <c r="L43" i="84"/>
  <c r="J43" i="84"/>
  <c r="B43" i="84"/>
  <c r="X42" i="84"/>
  <c r="Z42" i="84" s="1"/>
  <c r="V42" i="84"/>
  <c r="N42" i="84"/>
  <c r="L42" i="84"/>
  <c r="B42" i="84"/>
  <c r="Z41" i="84"/>
  <c r="X41" i="84"/>
  <c r="N41" i="84"/>
  <c r="L41" i="84"/>
  <c r="B41" i="84"/>
  <c r="X40" i="84"/>
  <c r="Z40" i="84" s="1"/>
  <c r="N40" i="84"/>
  <c r="L40" i="84"/>
  <c r="B40" i="84"/>
  <c r="Z39" i="84"/>
  <c r="X39" i="84"/>
  <c r="V39" i="84"/>
  <c r="N39" i="84"/>
  <c r="L39" i="84"/>
  <c r="J39" i="84"/>
  <c r="B39" i="84"/>
  <c r="Z38" i="84"/>
  <c r="X38" i="84"/>
  <c r="V38" i="84"/>
  <c r="N38" i="84"/>
  <c r="L38" i="84"/>
  <c r="B38" i="84"/>
  <c r="Z37" i="84"/>
  <c r="X37" i="84"/>
  <c r="N37" i="84"/>
  <c r="L37" i="84"/>
  <c r="B37" i="84"/>
  <c r="Z36" i="84"/>
  <c r="X36" i="84"/>
  <c r="V36" i="84"/>
  <c r="N36" i="84"/>
  <c r="L36" i="84"/>
  <c r="B36" i="84"/>
  <c r="V35" i="84"/>
  <c r="T35" i="84"/>
  <c r="P35" i="84"/>
  <c r="X35" i="84" s="1"/>
  <c r="H35" i="84"/>
  <c r="D35" i="84"/>
  <c r="L35" i="84" s="1"/>
  <c r="N35" i="84" s="1"/>
  <c r="B35" i="84"/>
  <c r="X34" i="84"/>
  <c r="Z34" i="84" s="1"/>
  <c r="N34" i="84"/>
  <c r="L34" i="84"/>
  <c r="B34" i="84"/>
  <c r="Z33" i="84"/>
  <c r="X33" i="84"/>
  <c r="N33" i="84"/>
  <c r="L33" i="84"/>
  <c r="B33" i="84"/>
  <c r="Z32" i="84"/>
  <c r="X32" i="84"/>
  <c r="N32" i="84"/>
  <c r="L32" i="84"/>
  <c r="B32" i="84"/>
  <c r="Z31" i="84"/>
  <c r="X31" i="84"/>
  <c r="V31" i="84"/>
  <c r="N31" i="84"/>
  <c r="L31" i="84"/>
  <c r="J31" i="84"/>
  <c r="B31" i="84"/>
  <c r="X30" i="84"/>
  <c r="Z30" i="84" s="1"/>
  <c r="V30" i="84"/>
  <c r="L30" i="84"/>
  <c r="N30" i="84" s="1"/>
  <c r="B30" i="84"/>
  <c r="Z29" i="84"/>
  <c r="X29" i="84"/>
  <c r="N29" i="84"/>
  <c r="L29" i="84"/>
  <c r="B29" i="84"/>
  <c r="Z28" i="84"/>
  <c r="X28" i="84"/>
  <c r="N28" i="84"/>
  <c r="L28" i="84"/>
  <c r="B28" i="84"/>
  <c r="Z27" i="84"/>
  <c r="X27" i="84"/>
  <c r="V27" i="84"/>
  <c r="N27" i="84"/>
  <c r="L27" i="84"/>
  <c r="J27" i="84"/>
  <c r="B27" i="84"/>
  <c r="X26" i="84"/>
  <c r="Z26" i="84" s="1"/>
  <c r="V26" i="84"/>
  <c r="L26" i="84"/>
  <c r="N26" i="84" s="1"/>
  <c r="B26" i="84"/>
  <c r="Z25" i="84"/>
  <c r="X25" i="84"/>
  <c r="T25" i="84"/>
  <c r="P25" i="84"/>
  <c r="N25" i="84"/>
  <c r="L25" i="84"/>
  <c r="J25" i="84"/>
  <c r="H25" i="84"/>
  <c r="D25" i="84"/>
  <c r="B25" i="84"/>
  <c r="T24" i="84"/>
  <c r="P24" i="84"/>
  <c r="H24" i="84"/>
  <c r="D24" i="84"/>
  <c r="L24" i="84" s="1"/>
  <c r="N24" i="84" s="1"/>
  <c r="T22" i="84"/>
  <c r="Z20" i="84"/>
  <c r="X20" i="84"/>
  <c r="N20" i="84"/>
  <c r="L20" i="84"/>
  <c r="B20" i="84"/>
  <c r="Z19" i="84"/>
  <c r="X19" i="84"/>
  <c r="V19" i="84"/>
  <c r="N19" i="84"/>
  <c r="L19" i="84"/>
  <c r="J19" i="84"/>
  <c r="B19" i="84"/>
  <c r="X18" i="84"/>
  <c r="Z18" i="84" s="1"/>
  <c r="V18" i="84"/>
  <c r="L18" i="84"/>
  <c r="N18" i="84" s="1"/>
  <c r="J18" i="84"/>
  <c r="B18" i="84"/>
  <c r="V17" i="84"/>
  <c r="T17" i="84"/>
  <c r="P17" i="84"/>
  <c r="X17" i="84" s="1"/>
  <c r="Z17" i="84" s="1"/>
  <c r="J17" i="84"/>
  <c r="H17" i="84"/>
  <c r="D17" i="84"/>
  <c r="L17" i="84" s="1"/>
  <c r="Z15" i="84"/>
  <c r="P15" i="84"/>
  <c r="X15" i="84" s="1"/>
  <c r="N15" i="84"/>
  <c r="L15" i="84"/>
  <c r="D15" i="84"/>
  <c r="B15" i="84"/>
  <c r="Z14" i="84"/>
  <c r="P14" i="84"/>
  <c r="X14" i="84" s="1"/>
  <c r="N14" i="84"/>
  <c r="D14" i="84"/>
  <c r="B14" i="84"/>
  <c r="P13" i="84"/>
  <c r="X13" i="84" s="1"/>
  <c r="Z13" i="84" s="1"/>
  <c r="N13" i="84"/>
  <c r="L13" i="84"/>
  <c r="D13" i="84"/>
  <c r="B13" i="84"/>
  <c r="T12" i="84"/>
  <c r="V85" i="84" s="1"/>
  <c r="H12" i="84"/>
  <c r="J95" i="84" s="1"/>
  <c r="D6" i="84"/>
  <c r="D4" i="84"/>
  <c r="X30" i="83"/>
  <c r="Z30" i="83" s="1"/>
  <c r="V30" i="83"/>
  <c r="L30" i="83"/>
  <c r="N30" i="83" s="1"/>
  <c r="Z26" i="83"/>
  <c r="T26" i="83"/>
  <c r="P26" i="83"/>
  <c r="X26" i="83" s="1"/>
  <c r="H26" i="83"/>
  <c r="N26" i="83" s="1"/>
  <c r="D26" i="83"/>
  <c r="Z24" i="83"/>
  <c r="T24" i="83"/>
  <c r="P24" i="83"/>
  <c r="X24" i="83" s="1"/>
  <c r="N24" i="83"/>
  <c r="H24" i="83"/>
  <c r="D24" i="83"/>
  <c r="Z20" i="83"/>
  <c r="X20" i="83"/>
  <c r="N20" i="83"/>
  <c r="L20" i="83"/>
  <c r="J20" i="83"/>
  <c r="B20" i="83"/>
  <c r="Z19" i="83"/>
  <c r="X19" i="83"/>
  <c r="V19" i="83"/>
  <c r="N19" i="83"/>
  <c r="L19" i="83"/>
  <c r="B19" i="83"/>
  <c r="Z18" i="83"/>
  <c r="X18" i="83"/>
  <c r="L18" i="83"/>
  <c r="N18" i="83" s="1"/>
  <c r="B18" i="83"/>
  <c r="T17" i="83"/>
  <c r="P17" i="83"/>
  <c r="N17" i="83"/>
  <c r="H17" i="83"/>
  <c r="D17" i="83"/>
  <c r="L17" i="83" s="1"/>
  <c r="P15" i="83"/>
  <c r="X15" i="83" s="1"/>
  <c r="Z15" i="83" s="1"/>
  <c r="D15" i="83"/>
  <c r="L15" i="83" s="1"/>
  <c r="N15" i="83" s="1"/>
  <c r="B15" i="83"/>
  <c r="Z14" i="83"/>
  <c r="X14" i="83"/>
  <c r="P14" i="83"/>
  <c r="N14" i="83"/>
  <c r="L14" i="83"/>
  <c r="D14" i="83"/>
  <c r="B14" i="83"/>
  <c r="Z13" i="83"/>
  <c r="X13" i="83"/>
  <c r="P13" i="83"/>
  <c r="N13" i="83"/>
  <c r="L13" i="83"/>
  <c r="D13" i="83"/>
  <c r="D12" i="83" s="1"/>
  <c r="B13" i="83"/>
  <c r="T12" i="83"/>
  <c r="V18" i="83" s="1"/>
  <c r="L12" i="83"/>
  <c r="H12" i="83"/>
  <c r="H22" i="83" s="1"/>
  <c r="D6" i="83"/>
  <c r="D4" i="83"/>
  <c r="X82" i="81"/>
  <c r="Z82" i="81" s="1"/>
  <c r="V82" i="81"/>
  <c r="L82" i="81"/>
  <c r="N82" i="81" s="1"/>
  <c r="Z78" i="81"/>
  <c r="T78" i="81"/>
  <c r="P78" i="81"/>
  <c r="X78" i="81" s="1"/>
  <c r="N78" i="81"/>
  <c r="H78" i="81"/>
  <c r="D78" i="81"/>
  <c r="L78" i="81" s="1"/>
  <c r="Z76" i="81"/>
  <c r="X76" i="81"/>
  <c r="N76" i="81"/>
  <c r="L76" i="81"/>
  <c r="J76" i="81"/>
  <c r="B76" i="81"/>
  <c r="Z75" i="81"/>
  <c r="T75" i="81"/>
  <c r="P75" i="81"/>
  <c r="X75" i="81" s="1"/>
  <c r="J75" i="81"/>
  <c r="H75" i="81"/>
  <c r="N75" i="81" s="1"/>
  <c r="D75" i="81"/>
  <c r="L75" i="81" s="1"/>
  <c r="B75" i="81"/>
  <c r="X74" i="81"/>
  <c r="Z74" i="81" s="1"/>
  <c r="N74" i="81"/>
  <c r="L74" i="81"/>
  <c r="B74" i="81"/>
  <c r="V73" i="81"/>
  <c r="T73" i="81"/>
  <c r="P73" i="81"/>
  <c r="X73" i="81" s="1"/>
  <c r="H73" i="81"/>
  <c r="D73" i="81"/>
  <c r="L73" i="81" s="1"/>
  <c r="N73" i="81" s="1"/>
  <c r="B73" i="81"/>
  <c r="X72" i="81"/>
  <c r="Z72" i="81" s="1"/>
  <c r="L72" i="81"/>
  <c r="N72" i="81" s="1"/>
  <c r="B72" i="81"/>
  <c r="Z71" i="81"/>
  <c r="X71" i="81"/>
  <c r="N71" i="81"/>
  <c r="L71" i="81"/>
  <c r="B71" i="81"/>
  <c r="Z70" i="81"/>
  <c r="X70" i="81"/>
  <c r="N70" i="81"/>
  <c r="L70" i="81"/>
  <c r="F70" i="81"/>
  <c r="B70" i="81"/>
  <c r="Z69" i="81"/>
  <c r="X69" i="81"/>
  <c r="V69" i="81"/>
  <c r="N69" i="81"/>
  <c r="L69" i="81"/>
  <c r="J69" i="81"/>
  <c r="B69" i="81"/>
  <c r="Z68" i="81"/>
  <c r="X68" i="81"/>
  <c r="N68" i="81"/>
  <c r="L68" i="81"/>
  <c r="B68" i="81"/>
  <c r="Z67" i="81"/>
  <c r="X67" i="81"/>
  <c r="T67" i="81"/>
  <c r="P67" i="81"/>
  <c r="N67" i="81"/>
  <c r="L67" i="81"/>
  <c r="J67" i="81"/>
  <c r="H67" i="81"/>
  <c r="D67" i="81"/>
  <c r="B67" i="81"/>
  <c r="Z66" i="81"/>
  <c r="X66" i="81"/>
  <c r="N66" i="81"/>
  <c r="L66" i="81"/>
  <c r="B66" i="81"/>
  <c r="Z65" i="81"/>
  <c r="X65" i="81"/>
  <c r="V65" i="81"/>
  <c r="N65" i="81"/>
  <c r="L65" i="81"/>
  <c r="J65" i="81"/>
  <c r="B65" i="81"/>
  <c r="Z64" i="81"/>
  <c r="X64" i="81"/>
  <c r="N64" i="81"/>
  <c r="L64" i="81"/>
  <c r="J64" i="81"/>
  <c r="B64" i="81"/>
  <c r="Z63" i="81"/>
  <c r="V63" i="81"/>
  <c r="T63" i="81"/>
  <c r="P63" i="81"/>
  <c r="X63" i="81" s="1"/>
  <c r="H63" i="81"/>
  <c r="N63" i="81" s="1"/>
  <c r="D63" i="81"/>
  <c r="B63" i="81"/>
  <c r="X62" i="81"/>
  <c r="Z62" i="81" s="1"/>
  <c r="N62" i="81"/>
  <c r="L62" i="81"/>
  <c r="F62" i="81"/>
  <c r="B62" i="81"/>
  <c r="Z61" i="81"/>
  <c r="X61" i="81"/>
  <c r="V61" i="81"/>
  <c r="N61" i="81"/>
  <c r="L61" i="81"/>
  <c r="J61" i="81"/>
  <c r="B61" i="81"/>
  <c r="V60" i="81"/>
  <c r="T60" i="81"/>
  <c r="P60" i="81"/>
  <c r="X60" i="81" s="1"/>
  <c r="Z60" i="81" s="1"/>
  <c r="H60" i="81"/>
  <c r="D60" i="81"/>
  <c r="B60" i="81"/>
  <c r="Z59" i="81"/>
  <c r="X59" i="81"/>
  <c r="N59" i="81"/>
  <c r="L59" i="81"/>
  <c r="B59" i="81"/>
  <c r="T58" i="81"/>
  <c r="P58" i="81"/>
  <c r="L58" i="81"/>
  <c r="H58" i="81"/>
  <c r="N58" i="81" s="1"/>
  <c r="D58" i="81"/>
  <c r="B58" i="81"/>
  <c r="Z57" i="81"/>
  <c r="X57" i="81"/>
  <c r="V57" i="81"/>
  <c r="L57" i="81"/>
  <c r="N57" i="81" s="1"/>
  <c r="J57" i="81"/>
  <c r="B57" i="81"/>
  <c r="T56" i="81"/>
  <c r="P56" i="81"/>
  <c r="X56" i="81" s="1"/>
  <c r="Z56" i="81" s="1"/>
  <c r="N56" i="81"/>
  <c r="H56" i="81"/>
  <c r="D56" i="81"/>
  <c r="L56" i="81" s="1"/>
  <c r="B56" i="81"/>
  <c r="Z55" i="81"/>
  <c r="X55" i="81"/>
  <c r="N55" i="81"/>
  <c r="L55" i="81"/>
  <c r="B55" i="81"/>
  <c r="T54" i="81"/>
  <c r="Z54" i="81" s="1"/>
  <c r="P54" i="81"/>
  <c r="N54" i="81"/>
  <c r="L54" i="81"/>
  <c r="J54" i="81"/>
  <c r="H54" i="81"/>
  <c r="D54" i="81"/>
  <c r="B54" i="81"/>
  <c r="Z53" i="81"/>
  <c r="X53" i="81"/>
  <c r="V53" i="81"/>
  <c r="N53" i="81"/>
  <c r="L53" i="81"/>
  <c r="J53" i="81"/>
  <c r="F53" i="81"/>
  <c r="B53" i="81"/>
  <c r="X52" i="81"/>
  <c r="T52" i="81"/>
  <c r="Z52" i="81" s="1"/>
  <c r="P52" i="81"/>
  <c r="H52" i="81"/>
  <c r="F52" i="81"/>
  <c r="D52" i="81"/>
  <c r="B52" i="81"/>
  <c r="Z51" i="81"/>
  <c r="X51" i="81"/>
  <c r="V51" i="81"/>
  <c r="N51" i="81"/>
  <c r="L51" i="81"/>
  <c r="B51" i="81"/>
  <c r="T50" i="81"/>
  <c r="P50" i="81"/>
  <c r="H50" i="81"/>
  <c r="D50" i="81"/>
  <c r="L50" i="81" s="1"/>
  <c r="N50" i="81" s="1"/>
  <c r="B50" i="81"/>
  <c r="Z49" i="81"/>
  <c r="X49" i="81"/>
  <c r="V49" i="81"/>
  <c r="N49" i="81"/>
  <c r="L49" i="81"/>
  <c r="J49" i="81"/>
  <c r="B49" i="81"/>
  <c r="Z48" i="81"/>
  <c r="V48" i="81"/>
  <c r="T48" i="81"/>
  <c r="P48" i="81"/>
  <c r="X48" i="81" s="1"/>
  <c r="H48" i="81"/>
  <c r="N48" i="81" s="1"/>
  <c r="D48" i="81"/>
  <c r="B48" i="81"/>
  <c r="Z47" i="81"/>
  <c r="X47" i="81"/>
  <c r="N47" i="81"/>
  <c r="L47" i="81"/>
  <c r="J47" i="81"/>
  <c r="B47" i="81"/>
  <c r="T46" i="81"/>
  <c r="P46" i="81"/>
  <c r="L46" i="81"/>
  <c r="H46" i="81"/>
  <c r="N46" i="81" s="1"/>
  <c r="D46" i="81"/>
  <c r="B46" i="81"/>
  <c r="Z45" i="81"/>
  <c r="X45" i="81"/>
  <c r="V45" i="81"/>
  <c r="N45" i="81"/>
  <c r="L45" i="81"/>
  <c r="J45" i="81"/>
  <c r="B45" i="81"/>
  <c r="Z44" i="81"/>
  <c r="X44" i="81"/>
  <c r="N44" i="81"/>
  <c r="L44" i="81"/>
  <c r="J44" i="81"/>
  <c r="B44" i="81"/>
  <c r="Z43" i="81"/>
  <c r="X43" i="81"/>
  <c r="V43" i="81"/>
  <c r="N43" i="81"/>
  <c r="L43" i="81"/>
  <c r="B43" i="81"/>
  <c r="Z42" i="81"/>
  <c r="X42" i="81"/>
  <c r="N42" i="81"/>
  <c r="L42" i="81"/>
  <c r="B42" i="81"/>
  <c r="Z41" i="81"/>
  <c r="X41" i="81"/>
  <c r="V41" i="81"/>
  <c r="N41" i="81"/>
  <c r="L41" i="81"/>
  <c r="J41" i="81"/>
  <c r="B41" i="81"/>
  <c r="Z40" i="81"/>
  <c r="X40" i="81"/>
  <c r="N40" i="81"/>
  <c r="L40" i="81"/>
  <c r="J40" i="81"/>
  <c r="B40" i="81"/>
  <c r="Z39" i="81"/>
  <c r="X39" i="81"/>
  <c r="V39" i="81"/>
  <c r="N39" i="81"/>
  <c r="L39" i="81"/>
  <c r="B39" i="81"/>
  <c r="Z38" i="81"/>
  <c r="X38" i="81"/>
  <c r="N38" i="81"/>
  <c r="L38" i="81"/>
  <c r="B38" i="81"/>
  <c r="Z37" i="81"/>
  <c r="X37" i="81"/>
  <c r="V37" i="81"/>
  <c r="N37" i="81"/>
  <c r="L37" i="81"/>
  <c r="J37" i="81"/>
  <c r="B37" i="81"/>
  <c r="X36" i="81"/>
  <c r="Z36" i="81" s="1"/>
  <c r="V36" i="81"/>
  <c r="L36" i="81"/>
  <c r="N36" i="81" s="1"/>
  <c r="J36" i="81"/>
  <c r="B36" i="81"/>
  <c r="V35" i="81"/>
  <c r="T35" i="81"/>
  <c r="P35" i="81"/>
  <c r="X35" i="81" s="1"/>
  <c r="Z35" i="81" s="1"/>
  <c r="J35" i="81"/>
  <c r="H35" i="81"/>
  <c r="D35" i="81"/>
  <c r="L35" i="81" s="1"/>
  <c r="B35" i="81"/>
  <c r="Z34" i="81"/>
  <c r="X34" i="81"/>
  <c r="V34" i="81"/>
  <c r="N34" i="81"/>
  <c r="L34" i="81"/>
  <c r="F34" i="81"/>
  <c r="B34" i="81"/>
  <c r="X33" i="81"/>
  <c r="Z33" i="81" s="1"/>
  <c r="V33" i="81"/>
  <c r="N33" i="81"/>
  <c r="L33" i="81"/>
  <c r="J33" i="81"/>
  <c r="B33" i="81"/>
  <c r="X32" i="81"/>
  <c r="Z32" i="81" s="1"/>
  <c r="V32" i="81"/>
  <c r="L32" i="81"/>
  <c r="N32" i="81" s="1"/>
  <c r="B32" i="81"/>
  <c r="Z31" i="81"/>
  <c r="X31" i="81"/>
  <c r="V31" i="81"/>
  <c r="N31" i="81"/>
  <c r="L31" i="81"/>
  <c r="B31" i="81"/>
  <c r="X30" i="81"/>
  <c r="Z30" i="81" s="1"/>
  <c r="V30" i="81"/>
  <c r="N30" i="81"/>
  <c r="L30" i="81"/>
  <c r="F30" i="81"/>
  <c r="B30" i="81"/>
  <c r="X29" i="81"/>
  <c r="Z29" i="81" s="1"/>
  <c r="V29" i="81"/>
  <c r="N29" i="81"/>
  <c r="L29" i="81"/>
  <c r="J29" i="81"/>
  <c r="B29" i="81"/>
  <c r="X28" i="81"/>
  <c r="Z28" i="81" s="1"/>
  <c r="V28" i="81"/>
  <c r="L28" i="81"/>
  <c r="N28" i="81" s="1"/>
  <c r="B28" i="81"/>
  <c r="Z27" i="81"/>
  <c r="X27" i="81"/>
  <c r="V27" i="81"/>
  <c r="N27" i="81"/>
  <c r="L27" i="81"/>
  <c r="B27" i="81"/>
  <c r="X26" i="81"/>
  <c r="Z26" i="81" s="1"/>
  <c r="V26" i="81"/>
  <c r="N26" i="81"/>
  <c r="L26" i="81"/>
  <c r="B26" i="81"/>
  <c r="V25" i="81"/>
  <c r="T25" i="81"/>
  <c r="P25" i="81"/>
  <c r="X25" i="81" s="1"/>
  <c r="H25" i="81"/>
  <c r="D25" i="81"/>
  <c r="L25" i="81" s="1"/>
  <c r="N25" i="81" s="1"/>
  <c r="B25" i="81"/>
  <c r="T24" i="81"/>
  <c r="P24" i="81"/>
  <c r="X24" i="81" s="1"/>
  <c r="H24" i="81"/>
  <c r="F24" i="81"/>
  <c r="D24" i="81"/>
  <c r="T22" i="81"/>
  <c r="H22" i="81"/>
  <c r="Z20" i="81"/>
  <c r="X20" i="81"/>
  <c r="N20" i="81"/>
  <c r="L20" i="81"/>
  <c r="B20" i="81"/>
  <c r="Z19" i="81"/>
  <c r="X19" i="81"/>
  <c r="N19" i="81"/>
  <c r="L19" i="81"/>
  <c r="J19" i="81"/>
  <c r="B19" i="81"/>
  <c r="Z18" i="81"/>
  <c r="X18" i="81"/>
  <c r="N18" i="81"/>
  <c r="L18" i="81"/>
  <c r="F18" i="81"/>
  <c r="B18" i="81"/>
  <c r="Z17" i="81"/>
  <c r="X17" i="81"/>
  <c r="V17" i="81"/>
  <c r="T17" i="81"/>
  <c r="P17" i="81"/>
  <c r="N17" i="81"/>
  <c r="L17" i="81"/>
  <c r="H17" i="81"/>
  <c r="F17" i="81"/>
  <c r="D17" i="81"/>
  <c r="Z15" i="81"/>
  <c r="P15" i="81"/>
  <c r="N15" i="81"/>
  <c r="L15" i="81"/>
  <c r="D15" i="81"/>
  <c r="B15" i="81"/>
  <c r="P14" i="81"/>
  <c r="X14" i="81" s="1"/>
  <c r="Z14" i="81" s="1"/>
  <c r="D14" i="81"/>
  <c r="L14" i="81" s="1"/>
  <c r="N14" i="81" s="1"/>
  <c r="B14" i="81"/>
  <c r="Z13" i="81"/>
  <c r="X13" i="81"/>
  <c r="P13" i="81"/>
  <c r="N13" i="81"/>
  <c r="L13" i="81"/>
  <c r="D13" i="81"/>
  <c r="D12" i="81" s="1"/>
  <c r="B13" i="81"/>
  <c r="T12" i="81"/>
  <c r="V71" i="81" s="1"/>
  <c r="L12" i="81"/>
  <c r="N12" i="81" s="1"/>
  <c r="H12" i="81"/>
  <c r="J55" i="81" s="1"/>
  <c r="D6" i="81"/>
  <c r="D4" i="81"/>
  <c r="Z82" i="80"/>
  <c r="X82" i="80"/>
  <c r="L82" i="80"/>
  <c r="N82" i="80" s="1"/>
  <c r="F82" i="80"/>
  <c r="T78" i="80"/>
  <c r="P78" i="80"/>
  <c r="H78" i="80"/>
  <c r="N78" i="80" s="1"/>
  <c r="D78" i="80"/>
  <c r="L78" i="80" s="1"/>
  <c r="Z76" i="80"/>
  <c r="X76" i="80"/>
  <c r="N76" i="80"/>
  <c r="L76" i="80"/>
  <c r="B76" i="80"/>
  <c r="Z75" i="80"/>
  <c r="X75" i="80"/>
  <c r="V75" i="80"/>
  <c r="T75" i="80"/>
  <c r="P75" i="80"/>
  <c r="L75" i="80"/>
  <c r="N75" i="80" s="1"/>
  <c r="H75" i="80"/>
  <c r="F75" i="80"/>
  <c r="D75" i="80"/>
  <c r="B75" i="80"/>
  <c r="X74" i="80"/>
  <c r="Z74" i="80" s="1"/>
  <c r="L74" i="80"/>
  <c r="N74" i="80" s="1"/>
  <c r="J74" i="80"/>
  <c r="B74" i="80"/>
  <c r="V73" i="80"/>
  <c r="T73" i="80"/>
  <c r="P73" i="80"/>
  <c r="X73" i="80" s="1"/>
  <c r="Z73" i="80" s="1"/>
  <c r="H73" i="80"/>
  <c r="D73" i="80"/>
  <c r="B73" i="80"/>
  <c r="X72" i="80"/>
  <c r="Z72" i="80" s="1"/>
  <c r="N72" i="80"/>
  <c r="L72" i="80"/>
  <c r="F72" i="80"/>
  <c r="B72" i="80"/>
  <c r="Z71" i="80"/>
  <c r="X71" i="80"/>
  <c r="V71" i="80"/>
  <c r="N71" i="80"/>
  <c r="L71" i="80"/>
  <c r="J71" i="80"/>
  <c r="B71" i="80"/>
  <c r="Z70" i="80"/>
  <c r="X70" i="80"/>
  <c r="V70" i="80"/>
  <c r="N70" i="80"/>
  <c r="L70" i="80"/>
  <c r="F70" i="80"/>
  <c r="B70" i="80"/>
  <c r="Z69" i="80"/>
  <c r="T69" i="80"/>
  <c r="P69" i="80"/>
  <c r="X69" i="80" s="1"/>
  <c r="J69" i="80"/>
  <c r="H69" i="80"/>
  <c r="N69" i="80" s="1"/>
  <c r="D69" i="80"/>
  <c r="L69" i="80" s="1"/>
  <c r="B69" i="80"/>
  <c r="Z68" i="80"/>
  <c r="X68" i="80"/>
  <c r="N68" i="80"/>
  <c r="L68" i="80"/>
  <c r="B68" i="80"/>
  <c r="Z67" i="80"/>
  <c r="X67" i="80"/>
  <c r="V67" i="80"/>
  <c r="N67" i="80"/>
  <c r="L67" i="80"/>
  <c r="J67" i="80"/>
  <c r="F67" i="80"/>
  <c r="B67" i="80"/>
  <c r="Z66" i="80"/>
  <c r="X66" i="80"/>
  <c r="N66" i="80"/>
  <c r="L66" i="80"/>
  <c r="B66" i="80"/>
  <c r="X65" i="80"/>
  <c r="Z65" i="80" s="1"/>
  <c r="T65" i="80"/>
  <c r="P65" i="80"/>
  <c r="N65" i="80"/>
  <c r="L65" i="80"/>
  <c r="J65" i="80"/>
  <c r="H65" i="80"/>
  <c r="D65" i="80"/>
  <c r="B65" i="80"/>
  <c r="Z64" i="80"/>
  <c r="X64" i="80"/>
  <c r="L64" i="80"/>
  <c r="N64" i="80" s="1"/>
  <c r="J64" i="80"/>
  <c r="F64" i="80"/>
  <c r="B64" i="80"/>
  <c r="Z63" i="80"/>
  <c r="X63" i="80"/>
  <c r="V63" i="80"/>
  <c r="N63" i="80"/>
  <c r="L63" i="80"/>
  <c r="J63" i="80"/>
  <c r="B63" i="80"/>
  <c r="T62" i="80"/>
  <c r="P62" i="80"/>
  <c r="X62" i="80" s="1"/>
  <c r="Z62" i="80" s="1"/>
  <c r="H62" i="80"/>
  <c r="D62" i="80"/>
  <c r="L62" i="80" s="1"/>
  <c r="N62" i="80" s="1"/>
  <c r="B62" i="80"/>
  <c r="Z61" i="80"/>
  <c r="X61" i="80"/>
  <c r="N61" i="80"/>
  <c r="L61" i="80"/>
  <c r="B61" i="80"/>
  <c r="Z60" i="80"/>
  <c r="X60" i="80"/>
  <c r="V60" i="80"/>
  <c r="N60" i="80"/>
  <c r="L60" i="80"/>
  <c r="B60" i="80"/>
  <c r="V59" i="80"/>
  <c r="T59" i="80"/>
  <c r="Z59" i="80" s="1"/>
  <c r="P59" i="80"/>
  <c r="X59" i="80" s="1"/>
  <c r="N59" i="80"/>
  <c r="H59" i="80"/>
  <c r="F59" i="80"/>
  <c r="D59" i="80"/>
  <c r="L59" i="80" s="1"/>
  <c r="B59" i="80"/>
  <c r="Z58" i="80"/>
  <c r="X58" i="80"/>
  <c r="N58" i="80"/>
  <c r="L58" i="80"/>
  <c r="B58" i="80"/>
  <c r="Z57" i="80"/>
  <c r="X57" i="80"/>
  <c r="T57" i="80"/>
  <c r="P57" i="80"/>
  <c r="N57" i="80"/>
  <c r="L57" i="80"/>
  <c r="J57" i="80"/>
  <c r="H57" i="80"/>
  <c r="D57" i="80"/>
  <c r="B57" i="80"/>
  <c r="Z56" i="80"/>
  <c r="X56" i="80"/>
  <c r="L56" i="80"/>
  <c r="N56" i="80" s="1"/>
  <c r="J56" i="80"/>
  <c r="F56" i="80"/>
  <c r="B56" i="80"/>
  <c r="V55" i="80"/>
  <c r="T55" i="80"/>
  <c r="P55" i="80"/>
  <c r="N55" i="80"/>
  <c r="J55" i="80"/>
  <c r="H55" i="80"/>
  <c r="F55" i="80"/>
  <c r="D55" i="80"/>
  <c r="L55" i="80" s="1"/>
  <c r="B55" i="80"/>
  <c r="Z54" i="80"/>
  <c r="X54" i="80"/>
  <c r="V54" i="80"/>
  <c r="N54" i="80"/>
  <c r="L54" i="80"/>
  <c r="B54" i="80"/>
  <c r="Z53" i="80"/>
  <c r="T53" i="80"/>
  <c r="P53" i="80"/>
  <c r="X53" i="80" s="1"/>
  <c r="N53" i="80"/>
  <c r="J53" i="80"/>
  <c r="H53" i="80"/>
  <c r="D53" i="80"/>
  <c r="L53" i="80" s="1"/>
  <c r="B53" i="80"/>
  <c r="Z52" i="80"/>
  <c r="X52" i="80"/>
  <c r="N52" i="80"/>
  <c r="L52" i="80"/>
  <c r="F52" i="80"/>
  <c r="B52" i="80"/>
  <c r="X51" i="80"/>
  <c r="Z51" i="80" s="1"/>
  <c r="V51" i="80"/>
  <c r="T51" i="80"/>
  <c r="P51" i="80"/>
  <c r="L51" i="80"/>
  <c r="N51" i="80" s="1"/>
  <c r="H51" i="80"/>
  <c r="D51" i="80"/>
  <c r="B51" i="80"/>
  <c r="X50" i="80"/>
  <c r="Z50" i="80" s="1"/>
  <c r="L50" i="80"/>
  <c r="N50" i="80" s="1"/>
  <c r="J50" i="80"/>
  <c r="B50" i="80"/>
  <c r="T49" i="80"/>
  <c r="P49" i="80"/>
  <c r="H49" i="80"/>
  <c r="D49" i="80"/>
  <c r="B49" i="80"/>
  <c r="Z48" i="80"/>
  <c r="X48" i="80"/>
  <c r="V48" i="80"/>
  <c r="N48" i="80"/>
  <c r="L48" i="80"/>
  <c r="F48" i="80"/>
  <c r="B48" i="80"/>
  <c r="V47" i="80"/>
  <c r="T47" i="80"/>
  <c r="Z47" i="80" s="1"/>
  <c r="P47" i="80"/>
  <c r="X47" i="80" s="1"/>
  <c r="N47" i="80"/>
  <c r="H47" i="80"/>
  <c r="F47" i="80"/>
  <c r="D47" i="80"/>
  <c r="L47" i="80" s="1"/>
  <c r="B47" i="80"/>
  <c r="Z46" i="80"/>
  <c r="X46" i="80"/>
  <c r="N46" i="80"/>
  <c r="L46" i="80"/>
  <c r="B46" i="80"/>
  <c r="Z45" i="80"/>
  <c r="X45" i="80"/>
  <c r="T45" i="80"/>
  <c r="P45" i="80"/>
  <c r="N45" i="80"/>
  <c r="L45" i="80"/>
  <c r="J45" i="80"/>
  <c r="H45" i="80"/>
  <c r="D45" i="80"/>
  <c r="B45" i="80"/>
  <c r="Z44" i="80"/>
  <c r="X44" i="80"/>
  <c r="N44" i="80"/>
  <c r="L44" i="80"/>
  <c r="J44" i="80"/>
  <c r="B44" i="80"/>
  <c r="Z43" i="80"/>
  <c r="X43" i="80"/>
  <c r="V43" i="80"/>
  <c r="N43" i="80"/>
  <c r="L43" i="80"/>
  <c r="J43" i="80"/>
  <c r="B43" i="80"/>
  <c r="Z42" i="80"/>
  <c r="X42" i="80"/>
  <c r="L42" i="80"/>
  <c r="N42" i="80" s="1"/>
  <c r="J42" i="80"/>
  <c r="B42" i="80"/>
  <c r="Z41" i="80"/>
  <c r="X41" i="80"/>
  <c r="V41" i="80"/>
  <c r="N41" i="80"/>
  <c r="L41" i="80"/>
  <c r="B41" i="80"/>
  <c r="Z40" i="80"/>
  <c r="X40" i="80"/>
  <c r="N40" i="80"/>
  <c r="L40" i="80"/>
  <c r="J40" i="80"/>
  <c r="F40" i="80"/>
  <c r="B40" i="80"/>
  <c r="Z39" i="80"/>
  <c r="X39" i="80"/>
  <c r="V39" i="80"/>
  <c r="N39" i="80"/>
  <c r="L39" i="80"/>
  <c r="J39" i="80"/>
  <c r="B39" i="80"/>
  <c r="Z38" i="80"/>
  <c r="X38" i="80"/>
  <c r="N38" i="80"/>
  <c r="L38" i="80"/>
  <c r="J38" i="80"/>
  <c r="B38" i="80"/>
  <c r="Z37" i="80"/>
  <c r="X37" i="80"/>
  <c r="V37" i="80"/>
  <c r="N37" i="80"/>
  <c r="L37" i="80"/>
  <c r="B37" i="80"/>
  <c r="Z36" i="80"/>
  <c r="X36" i="80"/>
  <c r="N36" i="80"/>
  <c r="L36" i="80"/>
  <c r="J36" i="80"/>
  <c r="F36" i="80"/>
  <c r="B36" i="80"/>
  <c r="Z35" i="80"/>
  <c r="X35" i="80"/>
  <c r="V35" i="80"/>
  <c r="L35" i="80"/>
  <c r="N35" i="80" s="1"/>
  <c r="J35" i="80"/>
  <c r="B35" i="80"/>
  <c r="X34" i="80"/>
  <c r="Z34" i="80" s="1"/>
  <c r="T34" i="80"/>
  <c r="P34" i="80"/>
  <c r="H34" i="80"/>
  <c r="D34" i="80"/>
  <c r="B34" i="80"/>
  <c r="Z33" i="80"/>
  <c r="X33" i="80"/>
  <c r="L33" i="80"/>
  <c r="N33" i="80" s="1"/>
  <c r="B33" i="80"/>
  <c r="X32" i="80"/>
  <c r="Z32" i="80" s="1"/>
  <c r="V32" i="80"/>
  <c r="N32" i="80"/>
  <c r="L32" i="80"/>
  <c r="B32" i="80"/>
  <c r="Z31" i="80"/>
  <c r="X31" i="80"/>
  <c r="V31" i="80"/>
  <c r="N31" i="80"/>
  <c r="L31" i="80"/>
  <c r="J31" i="80"/>
  <c r="B31" i="80"/>
  <c r="X30" i="80"/>
  <c r="Z30" i="80" s="1"/>
  <c r="V30" i="80"/>
  <c r="L30" i="80"/>
  <c r="N30" i="80" s="1"/>
  <c r="B30" i="80"/>
  <c r="Z29" i="80"/>
  <c r="X29" i="80"/>
  <c r="L29" i="80"/>
  <c r="N29" i="80" s="1"/>
  <c r="B29" i="80"/>
  <c r="X28" i="80"/>
  <c r="Z28" i="80" s="1"/>
  <c r="V28" i="80"/>
  <c r="N28" i="80"/>
  <c r="L28" i="80"/>
  <c r="B28" i="80"/>
  <c r="X27" i="80"/>
  <c r="Z27" i="80" s="1"/>
  <c r="V27" i="80"/>
  <c r="L27" i="80"/>
  <c r="N27" i="80" s="1"/>
  <c r="J27" i="80"/>
  <c r="B27" i="80"/>
  <c r="X26" i="80"/>
  <c r="Z26" i="80" s="1"/>
  <c r="V26" i="80"/>
  <c r="L26" i="80"/>
  <c r="N26" i="80" s="1"/>
  <c r="F26" i="80"/>
  <c r="B26" i="80"/>
  <c r="Z25" i="80"/>
  <c r="V25" i="80"/>
  <c r="T25" i="80"/>
  <c r="P25" i="80"/>
  <c r="X25" i="80" s="1"/>
  <c r="J25" i="80"/>
  <c r="H25" i="80"/>
  <c r="F25" i="80"/>
  <c r="D25" i="80"/>
  <c r="L25" i="80" s="1"/>
  <c r="N25" i="80" s="1"/>
  <c r="B25" i="80"/>
  <c r="T24" i="80"/>
  <c r="T80" i="80" s="1"/>
  <c r="T84" i="80" s="1"/>
  <c r="P24" i="80"/>
  <c r="H24" i="80"/>
  <c r="D24" i="80"/>
  <c r="F24" i="80" s="1"/>
  <c r="T22" i="80"/>
  <c r="L22" i="80"/>
  <c r="H22" i="80"/>
  <c r="F22" i="80"/>
  <c r="D22" i="80"/>
  <c r="Z20" i="80"/>
  <c r="X20" i="80"/>
  <c r="N20" i="80"/>
  <c r="L20" i="80"/>
  <c r="F20" i="80"/>
  <c r="B20" i="80"/>
  <c r="Z19" i="80"/>
  <c r="X19" i="80"/>
  <c r="V19" i="80"/>
  <c r="N19" i="80"/>
  <c r="L19" i="80"/>
  <c r="J19" i="80"/>
  <c r="F19" i="80"/>
  <c r="B19" i="80"/>
  <c r="X18" i="80"/>
  <c r="Z18" i="80" s="1"/>
  <c r="N18" i="80"/>
  <c r="L18" i="80"/>
  <c r="J18" i="80"/>
  <c r="B18" i="80"/>
  <c r="X17" i="80"/>
  <c r="Z17" i="80" s="1"/>
  <c r="V17" i="80"/>
  <c r="T17" i="80"/>
  <c r="P17" i="80"/>
  <c r="L17" i="80"/>
  <c r="N17" i="80" s="1"/>
  <c r="J17" i="80"/>
  <c r="H17" i="80"/>
  <c r="D17" i="80"/>
  <c r="Z15" i="80"/>
  <c r="X15" i="80"/>
  <c r="P15" i="80"/>
  <c r="N15" i="80"/>
  <c r="L15" i="80"/>
  <c r="D15" i="80"/>
  <c r="B15" i="80"/>
  <c r="X14" i="80"/>
  <c r="Z14" i="80" s="1"/>
  <c r="P14" i="80"/>
  <c r="D14" i="80"/>
  <c r="L14" i="80" s="1"/>
  <c r="N14" i="80" s="1"/>
  <c r="B14" i="80"/>
  <c r="Z13" i="80"/>
  <c r="P13" i="80"/>
  <c r="X13" i="80" s="1"/>
  <c r="N13" i="80"/>
  <c r="L13" i="80"/>
  <c r="D13" i="80"/>
  <c r="B13" i="80"/>
  <c r="T12" i="80"/>
  <c r="V65" i="80" s="1"/>
  <c r="H12" i="80"/>
  <c r="J75" i="80" s="1"/>
  <c r="D12" i="80"/>
  <c r="F76" i="80" s="1"/>
  <c r="D6" i="80"/>
  <c r="D4" i="80"/>
  <c r="Z72" i="79"/>
  <c r="X72" i="79"/>
  <c r="N72" i="79"/>
  <c r="L72" i="79"/>
  <c r="J72" i="79"/>
  <c r="X68" i="79"/>
  <c r="Z68" i="79" s="1"/>
  <c r="P68" i="79"/>
  <c r="N68" i="79"/>
  <c r="D68" i="79"/>
  <c r="L68" i="79" s="1"/>
  <c r="B68" i="79"/>
  <c r="Z67" i="79"/>
  <c r="P67" i="79"/>
  <c r="X67" i="79" s="1"/>
  <c r="N67" i="79"/>
  <c r="L67" i="79"/>
  <c r="D67" i="79"/>
  <c r="B67" i="79"/>
  <c r="Z66" i="79"/>
  <c r="X66" i="79"/>
  <c r="P66" i="79"/>
  <c r="N66" i="79"/>
  <c r="L66" i="79"/>
  <c r="D66" i="79"/>
  <c r="B66" i="79"/>
  <c r="Z65" i="79"/>
  <c r="P65" i="79"/>
  <c r="X65" i="79" s="1"/>
  <c r="N65" i="79"/>
  <c r="L65" i="79"/>
  <c r="D65" i="79"/>
  <c r="B65" i="79"/>
  <c r="T64" i="79"/>
  <c r="L64" i="79"/>
  <c r="J64" i="79"/>
  <c r="H64" i="79"/>
  <c r="D64" i="79"/>
  <c r="Z62" i="79"/>
  <c r="X62" i="79"/>
  <c r="V62" i="79"/>
  <c r="N62" i="79"/>
  <c r="L62" i="79"/>
  <c r="B62" i="79"/>
  <c r="Z61" i="79"/>
  <c r="T61" i="79"/>
  <c r="P61" i="79"/>
  <c r="X61" i="79" s="1"/>
  <c r="N61" i="79"/>
  <c r="H61" i="79"/>
  <c r="D61" i="79"/>
  <c r="L61" i="79" s="1"/>
  <c r="B61" i="79"/>
  <c r="Z60" i="79"/>
  <c r="X60" i="79"/>
  <c r="N60" i="79"/>
  <c r="L60" i="79"/>
  <c r="B60" i="79"/>
  <c r="Z59" i="79"/>
  <c r="X59" i="79"/>
  <c r="N59" i="79"/>
  <c r="L59" i="79"/>
  <c r="J59" i="79"/>
  <c r="B59" i="79"/>
  <c r="T58" i="79"/>
  <c r="R58" i="79"/>
  <c r="P58" i="79"/>
  <c r="H58" i="79"/>
  <c r="D58" i="79"/>
  <c r="L58" i="79" s="1"/>
  <c r="N58" i="79" s="1"/>
  <c r="B58" i="79"/>
  <c r="Z57" i="79"/>
  <c r="X57" i="79"/>
  <c r="R57" i="79"/>
  <c r="N57" i="79"/>
  <c r="L57" i="79"/>
  <c r="B57" i="79"/>
  <c r="T56" i="79"/>
  <c r="P56" i="79"/>
  <c r="X56" i="79" s="1"/>
  <c r="J56" i="79"/>
  <c r="H56" i="79"/>
  <c r="D56" i="79"/>
  <c r="B56" i="79"/>
  <c r="Z55" i="79"/>
  <c r="X55" i="79"/>
  <c r="N55" i="79"/>
  <c r="L55" i="79"/>
  <c r="J55" i="79"/>
  <c r="B55" i="79"/>
  <c r="X54" i="79"/>
  <c r="V54" i="79"/>
  <c r="T54" i="79"/>
  <c r="P54" i="79"/>
  <c r="J54" i="79"/>
  <c r="H54" i="79"/>
  <c r="D54" i="79"/>
  <c r="L54" i="79" s="1"/>
  <c r="B54" i="79"/>
  <c r="Z53" i="79"/>
  <c r="X53" i="79"/>
  <c r="V53" i="79"/>
  <c r="N53" i="79"/>
  <c r="L53" i="79"/>
  <c r="B53" i="79"/>
  <c r="X52" i="79"/>
  <c r="Z52" i="79" s="1"/>
  <c r="N52" i="79"/>
  <c r="L52" i="79"/>
  <c r="B52" i="79"/>
  <c r="V51" i="79"/>
  <c r="T51" i="79"/>
  <c r="P51" i="79"/>
  <c r="L51" i="79"/>
  <c r="J51" i="79"/>
  <c r="H51" i="79"/>
  <c r="N51" i="79" s="1"/>
  <c r="D51" i="79"/>
  <c r="B51" i="79"/>
  <c r="X50" i="79"/>
  <c r="Z50" i="79" s="1"/>
  <c r="N50" i="79"/>
  <c r="L50" i="79"/>
  <c r="J50" i="79"/>
  <c r="F50" i="79"/>
  <c r="B50" i="79"/>
  <c r="X49" i="79"/>
  <c r="T49" i="79"/>
  <c r="Z49" i="79" s="1"/>
  <c r="P49" i="79"/>
  <c r="H49" i="79"/>
  <c r="D49" i="79"/>
  <c r="B49" i="79"/>
  <c r="Z48" i="79"/>
  <c r="X48" i="79"/>
  <c r="N48" i="79"/>
  <c r="L48" i="79"/>
  <c r="B48" i="79"/>
  <c r="Z47" i="79"/>
  <c r="T47" i="79"/>
  <c r="P47" i="79"/>
  <c r="X47" i="79" s="1"/>
  <c r="N47" i="79"/>
  <c r="J47" i="79"/>
  <c r="H47" i="79"/>
  <c r="D47" i="79"/>
  <c r="L47" i="79" s="1"/>
  <c r="B47" i="79"/>
  <c r="Z46" i="79"/>
  <c r="X46" i="79"/>
  <c r="N46" i="79"/>
  <c r="L46" i="79"/>
  <c r="J46" i="79"/>
  <c r="B46" i="79"/>
  <c r="Z45" i="79"/>
  <c r="X45" i="79"/>
  <c r="V45" i="79"/>
  <c r="N45" i="79"/>
  <c r="L45" i="79"/>
  <c r="B45" i="79"/>
  <c r="Z44" i="79"/>
  <c r="X44" i="79"/>
  <c r="N44" i="79"/>
  <c r="L44" i="79"/>
  <c r="B44" i="79"/>
  <c r="Z43" i="79"/>
  <c r="X43" i="79"/>
  <c r="V43" i="79"/>
  <c r="N43" i="79"/>
  <c r="L43" i="79"/>
  <c r="B43" i="79"/>
  <c r="Z42" i="79"/>
  <c r="X42" i="79"/>
  <c r="N42" i="79"/>
  <c r="L42" i="79"/>
  <c r="J42" i="79"/>
  <c r="B42" i="79"/>
  <c r="Z41" i="79"/>
  <c r="X41" i="79"/>
  <c r="V41" i="79"/>
  <c r="N41" i="79"/>
  <c r="L41" i="79"/>
  <c r="B41" i="79"/>
  <c r="Z40" i="79"/>
  <c r="X40" i="79"/>
  <c r="N40" i="79"/>
  <c r="L40" i="79"/>
  <c r="B40" i="79"/>
  <c r="Z39" i="79"/>
  <c r="X39" i="79"/>
  <c r="V39" i="79"/>
  <c r="N39" i="79"/>
  <c r="L39" i="79"/>
  <c r="B39" i="79"/>
  <c r="X38" i="79"/>
  <c r="Z38" i="79" s="1"/>
  <c r="L38" i="79"/>
  <c r="N38" i="79" s="1"/>
  <c r="J38" i="79"/>
  <c r="B38" i="79"/>
  <c r="Z37" i="79"/>
  <c r="X37" i="79"/>
  <c r="V37" i="79"/>
  <c r="N37" i="79"/>
  <c r="L37" i="79"/>
  <c r="B37" i="79"/>
  <c r="T36" i="79"/>
  <c r="R36" i="79"/>
  <c r="P36" i="79"/>
  <c r="X36" i="79" s="1"/>
  <c r="Z36" i="79" s="1"/>
  <c r="J36" i="79"/>
  <c r="H36" i="79"/>
  <c r="D36" i="79"/>
  <c r="L36" i="79" s="1"/>
  <c r="N36" i="79" s="1"/>
  <c r="B36" i="79"/>
  <c r="Z35" i="79"/>
  <c r="X35" i="79"/>
  <c r="R35" i="79"/>
  <c r="N35" i="79"/>
  <c r="L35" i="79"/>
  <c r="J35" i="79"/>
  <c r="B35" i="79"/>
  <c r="X34" i="79"/>
  <c r="Z34" i="79" s="1"/>
  <c r="N34" i="79"/>
  <c r="L34" i="79"/>
  <c r="J34" i="79"/>
  <c r="B34" i="79"/>
  <c r="Z33" i="79"/>
  <c r="X33" i="79"/>
  <c r="N33" i="79"/>
  <c r="L33" i="79"/>
  <c r="J33" i="79"/>
  <c r="B33" i="79"/>
  <c r="X32" i="79"/>
  <c r="Z32" i="79" s="1"/>
  <c r="N32" i="79"/>
  <c r="L32" i="79"/>
  <c r="J32" i="79"/>
  <c r="B32" i="79"/>
  <c r="Z31" i="79"/>
  <c r="X31" i="79"/>
  <c r="R31" i="79"/>
  <c r="N31" i="79"/>
  <c r="L31" i="79"/>
  <c r="J31" i="79"/>
  <c r="B31" i="79"/>
  <c r="X30" i="79"/>
  <c r="Z30" i="79" s="1"/>
  <c r="N30" i="79"/>
  <c r="L30" i="79"/>
  <c r="J30" i="79"/>
  <c r="B30" i="79"/>
  <c r="X29" i="79"/>
  <c r="Z29" i="79" s="1"/>
  <c r="N29" i="79"/>
  <c r="L29" i="79"/>
  <c r="J29" i="79"/>
  <c r="B29" i="79"/>
  <c r="X28" i="79"/>
  <c r="Z28" i="79" s="1"/>
  <c r="N28" i="79"/>
  <c r="L28" i="79"/>
  <c r="J28" i="79"/>
  <c r="B28" i="79"/>
  <c r="T27" i="79"/>
  <c r="R27" i="79"/>
  <c r="P27" i="79"/>
  <c r="X27" i="79" s="1"/>
  <c r="H27" i="79"/>
  <c r="N27" i="79" s="1"/>
  <c r="D27" i="79"/>
  <c r="L27" i="79" s="1"/>
  <c r="B27" i="79"/>
  <c r="V26" i="79"/>
  <c r="T26" i="79"/>
  <c r="P26" i="79"/>
  <c r="J26" i="79"/>
  <c r="H26" i="79"/>
  <c r="D26" i="79"/>
  <c r="L26" i="79" s="1"/>
  <c r="V24" i="79"/>
  <c r="T24" i="79"/>
  <c r="J24" i="79"/>
  <c r="H24" i="79"/>
  <c r="N24" i="79" s="1"/>
  <c r="Z22" i="79"/>
  <c r="X22" i="79"/>
  <c r="V22" i="79"/>
  <c r="R22" i="79"/>
  <c r="N22" i="79"/>
  <c r="L22" i="79"/>
  <c r="J22" i="79"/>
  <c r="B22" i="79"/>
  <c r="Z21" i="79"/>
  <c r="X21" i="79"/>
  <c r="N21" i="79"/>
  <c r="L21" i="79"/>
  <c r="J21" i="79"/>
  <c r="B21" i="79"/>
  <c r="Z20" i="79"/>
  <c r="X20" i="79"/>
  <c r="N20" i="79"/>
  <c r="L20" i="79"/>
  <c r="B20" i="79"/>
  <c r="Z19" i="79"/>
  <c r="X19" i="79"/>
  <c r="N19" i="79"/>
  <c r="L19" i="79"/>
  <c r="J19" i="79"/>
  <c r="B19" i="79"/>
  <c r="Z18" i="79"/>
  <c r="X18" i="79"/>
  <c r="V18" i="79"/>
  <c r="R18" i="79"/>
  <c r="N18" i="79"/>
  <c r="L18" i="79"/>
  <c r="J18" i="79"/>
  <c r="B18" i="79"/>
  <c r="Z17" i="79"/>
  <c r="V17" i="79"/>
  <c r="T17" i="79"/>
  <c r="P17" i="79"/>
  <c r="X17" i="79" s="1"/>
  <c r="N17" i="79"/>
  <c r="J17" i="79"/>
  <c r="H17" i="79"/>
  <c r="D17" i="79"/>
  <c r="L17" i="79" s="1"/>
  <c r="Z15" i="79"/>
  <c r="X15" i="79"/>
  <c r="P15" i="79"/>
  <c r="N15" i="79"/>
  <c r="D15" i="79"/>
  <c r="L15" i="79" s="1"/>
  <c r="B15" i="79"/>
  <c r="Z14" i="79"/>
  <c r="P14" i="79"/>
  <c r="X14" i="79" s="1"/>
  <c r="N14" i="79"/>
  <c r="D14" i="79"/>
  <c r="L14" i="79" s="1"/>
  <c r="B14" i="79"/>
  <c r="Z13" i="79"/>
  <c r="X13" i="79"/>
  <c r="P13" i="79"/>
  <c r="N13" i="79"/>
  <c r="L13" i="79"/>
  <c r="D13" i="79"/>
  <c r="D12" i="79" s="1"/>
  <c r="F49" i="79" s="1"/>
  <c r="B13" i="79"/>
  <c r="Z12" i="79"/>
  <c r="T12" i="79"/>
  <c r="V65" i="79" s="1"/>
  <c r="P12" i="79"/>
  <c r="R68" i="79" s="1"/>
  <c r="N12" i="79"/>
  <c r="H12" i="79"/>
  <c r="J65" i="79" s="1"/>
  <c r="D6" i="79"/>
  <c r="D4" i="79"/>
  <c r="Z108" i="77"/>
  <c r="X108" i="77"/>
  <c r="L108" i="77"/>
  <c r="N108" i="77" s="1"/>
  <c r="P104" i="77"/>
  <c r="X104" i="77" s="1"/>
  <c r="Z104" i="77" s="1"/>
  <c r="D104" i="77"/>
  <c r="L104" i="77" s="1"/>
  <c r="N104" i="77" s="1"/>
  <c r="B104" i="77"/>
  <c r="Z103" i="77"/>
  <c r="P103" i="77"/>
  <c r="X103" i="77" s="1"/>
  <c r="N103" i="77"/>
  <c r="D103" i="77"/>
  <c r="B103" i="77"/>
  <c r="Z102" i="77"/>
  <c r="P102" i="77"/>
  <c r="X102" i="77" s="1"/>
  <c r="N102" i="77"/>
  <c r="L102" i="77"/>
  <c r="D102" i="77"/>
  <c r="B102" i="77"/>
  <c r="T101" i="77"/>
  <c r="H101" i="77"/>
  <c r="Z99" i="77"/>
  <c r="X99" i="77"/>
  <c r="L99" i="77"/>
  <c r="N99" i="77" s="1"/>
  <c r="J99" i="77"/>
  <c r="B99" i="77"/>
  <c r="T98" i="77"/>
  <c r="P98" i="77"/>
  <c r="H98" i="77"/>
  <c r="N98" i="77" s="1"/>
  <c r="D98" i="77"/>
  <c r="L98" i="77" s="1"/>
  <c r="B98" i="77"/>
  <c r="Z97" i="77"/>
  <c r="X97" i="77"/>
  <c r="V97" i="77"/>
  <c r="N97" i="77"/>
  <c r="L97" i="77"/>
  <c r="B97" i="77"/>
  <c r="Z96" i="77"/>
  <c r="X96" i="77"/>
  <c r="N96" i="77"/>
  <c r="L96" i="77"/>
  <c r="B96" i="77"/>
  <c r="T95" i="77"/>
  <c r="P95" i="77"/>
  <c r="L95" i="77"/>
  <c r="J95" i="77"/>
  <c r="H95" i="77"/>
  <c r="N95" i="77" s="1"/>
  <c r="D95" i="77"/>
  <c r="B95" i="77"/>
  <c r="Z94" i="77"/>
  <c r="X94" i="77"/>
  <c r="N94" i="77"/>
  <c r="L94" i="77"/>
  <c r="J94" i="77"/>
  <c r="B94" i="77"/>
  <c r="X93" i="77"/>
  <c r="Z93" i="77" s="1"/>
  <c r="N93" i="77"/>
  <c r="L93" i="77"/>
  <c r="B93" i="77"/>
  <c r="X92" i="77"/>
  <c r="Z92" i="77" s="1"/>
  <c r="T92" i="77"/>
  <c r="P92" i="77"/>
  <c r="L92" i="77"/>
  <c r="H92" i="77"/>
  <c r="N92" i="77" s="1"/>
  <c r="D92" i="77"/>
  <c r="B92" i="77"/>
  <c r="Z91" i="77"/>
  <c r="X91" i="77"/>
  <c r="N91" i="77"/>
  <c r="L91" i="77"/>
  <c r="J91" i="77"/>
  <c r="B91" i="77"/>
  <c r="V90" i="77"/>
  <c r="T90" i="77"/>
  <c r="Z90" i="77" s="1"/>
  <c r="P90" i="77"/>
  <c r="H90" i="77"/>
  <c r="N90" i="77" s="1"/>
  <c r="D90" i="77"/>
  <c r="L90" i="77" s="1"/>
  <c r="B90" i="77"/>
  <c r="X89" i="77"/>
  <c r="Z89" i="77" s="1"/>
  <c r="V89" i="77"/>
  <c r="L89" i="77"/>
  <c r="N89" i="77" s="1"/>
  <c r="B89" i="77"/>
  <c r="T88" i="77"/>
  <c r="P88" i="77"/>
  <c r="X88" i="77" s="1"/>
  <c r="Z88" i="77" s="1"/>
  <c r="H88" i="77"/>
  <c r="D88" i="77"/>
  <c r="L88" i="77" s="1"/>
  <c r="N88" i="77" s="1"/>
  <c r="B88" i="77"/>
  <c r="Z87" i="77"/>
  <c r="X87" i="77"/>
  <c r="N87" i="77"/>
  <c r="L87" i="77"/>
  <c r="B87" i="77"/>
  <c r="X86" i="77"/>
  <c r="T86" i="77"/>
  <c r="Z86" i="77" s="1"/>
  <c r="P86" i="77"/>
  <c r="N86" i="77"/>
  <c r="L86" i="77"/>
  <c r="H86" i="77"/>
  <c r="D86" i="77"/>
  <c r="B86" i="77"/>
  <c r="Z85" i="77"/>
  <c r="X85" i="77"/>
  <c r="L85" i="77"/>
  <c r="N85" i="77" s="1"/>
  <c r="J85" i="77"/>
  <c r="B85" i="77"/>
  <c r="T84" i="77"/>
  <c r="P84" i="77"/>
  <c r="X84" i="77" s="1"/>
  <c r="J84" i="77"/>
  <c r="H84" i="77"/>
  <c r="D84" i="77"/>
  <c r="B84" i="77"/>
  <c r="Z83" i="77"/>
  <c r="X83" i="77"/>
  <c r="V83" i="77"/>
  <c r="N83" i="77"/>
  <c r="L83" i="77"/>
  <c r="B83" i="77"/>
  <c r="Z82" i="77"/>
  <c r="T82" i="77"/>
  <c r="P82" i="77"/>
  <c r="X82" i="77" s="1"/>
  <c r="N82" i="77"/>
  <c r="H82" i="77"/>
  <c r="D82" i="77"/>
  <c r="L82" i="77" s="1"/>
  <c r="B82" i="77"/>
  <c r="X81" i="77"/>
  <c r="Z81" i="77" s="1"/>
  <c r="N81" i="77"/>
  <c r="L81" i="77"/>
  <c r="B81" i="77"/>
  <c r="Z80" i="77"/>
  <c r="X80" i="77"/>
  <c r="T80" i="77"/>
  <c r="P80" i="77"/>
  <c r="L80" i="77"/>
  <c r="H80" i="77"/>
  <c r="N80" i="77" s="1"/>
  <c r="D80" i="77"/>
  <c r="B80" i="77"/>
  <c r="Z79" i="77"/>
  <c r="X79" i="77"/>
  <c r="N79" i="77"/>
  <c r="L79" i="77"/>
  <c r="J79" i="77"/>
  <c r="B79" i="77"/>
  <c r="Z78" i="77"/>
  <c r="X78" i="77"/>
  <c r="V78" i="77"/>
  <c r="N78" i="77"/>
  <c r="L78" i="77"/>
  <c r="B78" i="77"/>
  <c r="Z77" i="77"/>
  <c r="X77" i="77"/>
  <c r="L77" i="77"/>
  <c r="N77" i="77" s="1"/>
  <c r="J77" i="77"/>
  <c r="B77" i="77"/>
  <c r="Z76" i="77"/>
  <c r="X76" i="77"/>
  <c r="N76" i="77"/>
  <c r="L76" i="77"/>
  <c r="B76" i="77"/>
  <c r="Z75" i="77"/>
  <c r="X75" i="77"/>
  <c r="N75" i="77"/>
  <c r="L75" i="77"/>
  <c r="J75" i="77"/>
  <c r="B75" i="77"/>
  <c r="Z74" i="77"/>
  <c r="X74" i="77"/>
  <c r="V74" i="77"/>
  <c r="N74" i="77"/>
  <c r="L74" i="77"/>
  <c r="B74" i="77"/>
  <c r="Z73" i="77"/>
  <c r="X73" i="77"/>
  <c r="L73" i="77"/>
  <c r="N73" i="77" s="1"/>
  <c r="J73" i="77"/>
  <c r="B73" i="77"/>
  <c r="Z72" i="77"/>
  <c r="X72" i="77"/>
  <c r="N72" i="77"/>
  <c r="L72" i="77"/>
  <c r="B72" i="77"/>
  <c r="Z71" i="77"/>
  <c r="X71" i="77"/>
  <c r="N71" i="77"/>
  <c r="L71" i="77"/>
  <c r="J71" i="77"/>
  <c r="B71" i="77"/>
  <c r="Z70" i="77"/>
  <c r="X70" i="77"/>
  <c r="V70" i="77"/>
  <c r="L70" i="77"/>
  <c r="N70" i="77" s="1"/>
  <c r="B70" i="77"/>
  <c r="T69" i="77"/>
  <c r="P69" i="77"/>
  <c r="X69" i="77" s="1"/>
  <c r="Z69" i="77" s="1"/>
  <c r="N69" i="77"/>
  <c r="H69" i="77"/>
  <c r="D69" i="77"/>
  <c r="L69" i="77" s="1"/>
  <c r="B69" i="77"/>
  <c r="Z68" i="77"/>
  <c r="X68" i="77"/>
  <c r="N68" i="77"/>
  <c r="L68" i="77"/>
  <c r="B68" i="77"/>
  <c r="X67" i="77"/>
  <c r="Z67" i="77" s="1"/>
  <c r="V67" i="77"/>
  <c r="N67" i="77"/>
  <c r="L67" i="77"/>
  <c r="B67" i="77"/>
  <c r="X66" i="77"/>
  <c r="Z66" i="77" s="1"/>
  <c r="L66" i="77"/>
  <c r="N66" i="77" s="1"/>
  <c r="B66" i="77"/>
  <c r="Z65" i="77"/>
  <c r="X65" i="77"/>
  <c r="V65" i="77"/>
  <c r="N65" i="77"/>
  <c r="L65" i="77"/>
  <c r="B65" i="77"/>
  <c r="Z64" i="77"/>
  <c r="X64" i="77"/>
  <c r="N64" i="77"/>
  <c r="L64" i="77"/>
  <c r="B64" i="77"/>
  <c r="X63" i="77"/>
  <c r="Z63" i="77" s="1"/>
  <c r="V63" i="77"/>
  <c r="N63" i="77"/>
  <c r="L63" i="77"/>
  <c r="B63" i="77"/>
  <c r="X62" i="77"/>
  <c r="Z62" i="77" s="1"/>
  <c r="L62" i="77"/>
  <c r="N62" i="77" s="1"/>
  <c r="J62" i="77"/>
  <c r="B62" i="77"/>
  <c r="X61" i="77"/>
  <c r="Z61" i="77" s="1"/>
  <c r="V61" i="77"/>
  <c r="N61" i="77"/>
  <c r="L61" i="77"/>
  <c r="B61" i="77"/>
  <c r="X60" i="77"/>
  <c r="Z60" i="77" s="1"/>
  <c r="L60" i="77"/>
  <c r="N60" i="77" s="1"/>
  <c r="B60" i="77"/>
  <c r="X59" i="77"/>
  <c r="Z59" i="77" s="1"/>
  <c r="V59" i="77"/>
  <c r="N59" i="77"/>
  <c r="L59" i="77"/>
  <c r="B59" i="77"/>
  <c r="T58" i="77"/>
  <c r="P58" i="77"/>
  <c r="X58" i="77" s="1"/>
  <c r="Z58" i="77" s="1"/>
  <c r="H58" i="77"/>
  <c r="D58" i="77"/>
  <c r="L58" i="77" s="1"/>
  <c r="N58" i="77" s="1"/>
  <c r="B58" i="77"/>
  <c r="T57" i="77"/>
  <c r="Z57" i="77" s="1"/>
  <c r="P57" i="77"/>
  <c r="X57" i="77" s="1"/>
  <c r="H57" i="77"/>
  <c r="D57" i="77"/>
  <c r="H55" i="77"/>
  <c r="Z53" i="77"/>
  <c r="X53" i="77"/>
  <c r="N53" i="77"/>
  <c r="L53" i="77"/>
  <c r="J53" i="77"/>
  <c r="B53" i="77"/>
  <c r="Z52" i="77"/>
  <c r="X52" i="77"/>
  <c r="N52" i="77"/>
  <c r="L52" i="77"/>
  <c r="J52" i="77"/>
  <c r="B52" i="77"/>
  <c r="Z51" i="77"/>
  <c r="X51" i="77"/>
  <c r="N51" i="77"/>
  <c r="L51" i="77"/>
  <c r="J51" i="77"/>
  <c r="B51" i="77"/>
  <c r="Z50" i="77"/>
  <c r="X50" i="77"/>
  <c r="V50" i="77"/>
  <c r="N50" i="77"/>
  <c r="L50" i="77"/>
  <c r="J50" i="77"/>
  <c r="B50" i="77"/>
  <c r="Z49" i="77"/>
  <c r="X49" i="77"/>
  <c r="N49" i="77"/>
  <c r="L49" i="77"/>
  <c r="J49" i="77"/>
  <c r="B49" i="77"/>
  <c r="Z48" i="77"/>
  <c r="X48" i="77"/>
  <c r="N48" i="77"/>
  <c r="L48" i="77"/>
  <c r="J48" i="77"/>
  <c r="B48" i="77"/>
  <c r="Z47" i="77"/>
  <c r="X47" i="77"/>
  <c r="N47" i="77"/>
  <c r="L47" i="77"/>
  <c r="J47" i="77"/>
  <c r="B47" i="77"/>
  <c r="Z46" i="77"/>
  <c r="X46" i="77"/>
  <c r="V46" i="77"/>
  <c r="N46" i="77"/>
  <c r="L46" i="77"/>
  <c r="J46" i="77"/>
  <c r="B46" i="77"/>
  <c r="Z45" i="77"/>
  <c r="X45" i="77"/>
  <c r="N45" i="77"/>
  <c r="L45" i="77"/>
  <c r="J45" i="77"/>
  <c r="B45" i="77"/>
  <c r="Z44" i="77"/>
  <c r="X44" i="77"/>
  <c r="N44" i="77"/>
  <c r="L44" i="77"/>
  <c r="J44" i="77"/>
  <c r="B44" i="77"/>
  <c r="Z43" i="77"/>
  <c r="X43" i="77"/>
  <c r="N43" i="77"/>
  <c r="L43" i="77"/>
  <c r="J43" i="77"/>
  <c r="B43" i="77"/>
  <c r="Z42" i="77"/>
  <c r="X42" i="77"/>
  <c r="V42" i="77"/>
  <c r="N42" i="77"/>
  <c r="L42" i="77"/>
  <c r="J42" i="77"/>
  <c r="B42" i="77"/>
  <c r="Z41" i="77"/>
  <c r="X41" i="77"/>
  <c r="N41" i="77"/>
  <c r="L41" i="77"/>
  <c r="J41" i="77"/>
  <c r="B41" i="77"/>
  <c r="Z40" i="77"/>
  <c r="X40" i="77"/>
  <c r="N40" i="77"/>
  <c r="L40" i="77"/>
  <c r="J40" i="77"/>
  <c r="B40" i="77"/>
  <c r="T39" i="77"/>
  <c r="P39" i="77"/>
  <c r="H39" i="77"/>
  <c r="N39" i="77" s="1"/>
  <c r="D39" i="77"/>
  <c r="L39" i="77" s="1"/>
  <c r="Z37" i="77"/>
  <c r="X37" i="77"/>
  <c r="P37" i="77"/>
  <c r="N37" i="77"/>
  <c r="L37" i="77"/>
  <c r="D37" i="77"/>
  <c r="B37" i="77"/>
  <c r="Z36" i="77"/>
  <c r="P36" i="77"/>
  <c r="X36" i="77" s="1"/>
  <c r="N36" i="77"/>
  <c r="L36" i="77"/>
  <c r="D36" i="77"/>
  <c r="B36" i="77"/>
  <c r="Z35" i="77"/>
  <c r="X35" i="77"/>
  <c r="P35" i="77"/>
  <c r="N35" i="77"/>
  <c r="L35" i="77"/>
  <c r="D35" i="77"/>
  <c r="B35" i="77"/>
  <c r="Z34" i="77"/>
  <c r="X34" i="77"/>
  <c r="P34" i="77"/>
  <c r="N34" i="77"/>
  <c r="L34" i="77"/>
  <c r="D34" i="77"/>
  <c r="B34" i="77"/>
  <c r="Z33" i="77"/>
  <c r="P33" i="77"/>
  <c r="X33" i="77" s="1"/>
  <c r="N33" i="77"/>
  <c r="D33" i="77"/>
  <c r="L33" i="77" s="1"/>
  <c r="B33" i="77"/>
  <c r="Z32" i="77"/>
  <c r="X32" i="77"/>
  <c r="P32" i="77"/>
  <c r="N32" i="77"/>
  <c r="D32" i="77"/>
  <c r="L32" i="77" s="1"/>
  <c r="B32" i="77"/>
  <c r="Z31" i="77"/>
  <c r="X31" i="77"/>
  <c r="P31" i="77"/>
  <c r="N31" i="77"/>
  <c r="L31" i="77"/>
  <c r="D31" i="77"/>
  <c r="B31" i="77"/>
  <c r="Z30" i="77"/>
  <c r="P30" i="77"/>
  <c r="X30" i="77" s="1"/>
  <c r="N30" i="77"/>
  <c r="D30" i="77"/>
  <c r="L30" i="77" s="1"/>
  <c r="B30" i="77"/>
  <c r="Z29" i="77"/>
  <c r="P29" i="77"/>
  <c r="X29" i="77" s="1"/>
  <c r="N29" i="77"/>
  <c r="L29" i="77"/>
  <c r="D29" i="77"/>
  <c r="B29" i="77"/>
  <c r="Z28" i="77"/>
  <c r="X28" i="77"/>
  <c r="P28" i="77"/>
  <c r="N28" i="77"/>
  <c r="L28" i="77"/>
  <c r="D28" i="77"/>
  <c r="B28" i="77"/>
  <c r="Z27" i="77"/>
  <c r="X27" i="77"/>
  <c r="P27" i="77"/>
  <c r="N27" i="77"/>
  <c r="D27" i="77"/>
  <c r="L27" i="77" s="1"/>
  <c r="B27" i="77"/>
  <c r="Z26" i="77"/>
  <c r="X26" i="77"/>
  <c r="P26" i="77"/>
  <c r="N26" i="77"/>
  <c r="D26" i="77"/>
  <c r="L26" i="77" s="1"/>
  <c r="B26" i="77"/>
  <c r="Z25" i="77"/>
  <c r="X25" i="77"/>
  <c r="P25" i="77"/>
  <c r="N25" i="77"/>
  <c r="L25" i="77"/>
  <c r="D25" i="77"/>
  <c r="B25" i="77"/>
  <c r="Z24" i="77"/>
  <c r="P24" i="77"/>
  <c r="X24" i="77" s="1"/>
  <c r="N24" i="77"/>
  <c r="L24" i="77"/>
  <c r="D24" i="77"/>
  <c r="B24" i="77"/>
  <c r="Z23" i="77"/>
  <c r="X23" i="77"/>
  <c r="P23" i="77"/>
  <c r="N23" i="77"/>
  <c r="L23" i="77"/>
  <c r="D23" i="77"/>
  <c r="B23" i="77"/>
  <c r="Z22" i="77"/>
  <c r="X22" i="77"/>
  <c r="P22" i="77"/>
  <c r="N22" i="77"/>
  <c r="L22" i="77"/>
  <c r="D22" i="77"/>
  <c r="B22" i="77"/>
  <c r="Z21" i="77"/>
  <c r="P21" i="77"/>
  <c r="X21" i="77" s="1"/>
  <c r="D21" i="77"/>
  <c r="L21" i="77" s="1"/>
  <c r="N21" i="77" s="1"/>
  <c r="B21" i="77"/>
  <c r="Z20" i="77"/>
  <c r="X20" i="77"/>
  <c r="P20" i="77"/>
  <c r="N20" i="77"/>
  <c r="L20" i="77"/>
  <c r="D20" i="77"/>
  <c r="B20" i="77"/>
  <c r="Z19" i="77"/>
  <c r="X19" i="77"/>
  <c r="P19" i="77"/>
  <c r="N19" i="77"/>
  <c r="L19" i="77"/>
  <c r="D19" i="77"/>
  <c r="B19" i="77"/>
  <c r="Z18" i="77"/>
  <c r="P18" i="77"/>
  <c r="X18" i="77" s="1"/>
  <c r="N18" i="77"/>
  <c r="D18" i="77"/>
  <c r="L18" i="77" s="1"/>
  <c r="B18" i="77"/>
  <c r="Z17" i="77"/>
  <c r="P17" i="77"/>
  <c r="X17" i="77" s="1"/>
  <c r="N17" i="77"/>
  <c r="L17" i="77"/>
  <c r="D17" i="77"/>
  <c r="B17" i="77"/>
  <c r="Z16" i="77"/>
  <c r="X16" i="77"/>
  <c r="P16" i="77"/>
  <c r="N16" i="77"/>
  <c r="L16" i="77"/>
  <c r="D16" i="77"/>
  <c r="B16" i="77"/>
  <c r="Z15" i="77"/>
  <c r="X15" i="77"/>
  <c r="P15" i="77"/>
  <c r="N15" i="77"/>
  <c r="D15" i="77"/>
  <c r="L15" i="77" s="1"/>
  <c r="B15" i="77"/>
  <c r="Z14" i="77"/>
  <c r="X14" i="77"/>
  <c r="P14" i="77"/>
  <c r="N14" i="77"/>
  <c r="D14" i="77"/>
  <c r="L14" i="77" s="1"/>
  <c r="B14" i="77"/>
  <c r="Z13" i="77"/>
  <c r="X13" i="77"/>
  <c r="P13" i="77"/>
  <c r="N13" i="77"/>
  <c r="L13" i="77"/>
  <c r="D13" i="77"/>
  <c r="B13" i="77"/>
  <c r="T12" i="77"/>
  <c r="V92" i="77" s="1"/>
  <c r="H12" i="77"/>
  <c r="J108" i="77" s="1"/>
  <c r="D6" i="77"/>
  <c r="D4" i="77"/>
  <c r="X89" i="76"/>
  <c r="Z89" i="76" s="1"/>
  <c r="L89" i="76"/>
  <c r="N89" i="76" s="1"/>
  <c r="J89" i="76"/>
  <c r="P85" i="76"/>
  <c r="X85" i="76" s="1"/>
  <c r="Z85" i="76" s="1"/>
  <c r="D85" i="76"/>
  <c r="L85" i="76" s="1"/>
  <c r="N85" i="76" s="1"/>
  <c r="B85" i="76"/>
  <c r="P84" i="76"/>
  <c r="N84" i="76"/>
  <c r="L84" i="76"/>
  <c r="D84" i="76"/>
  <c r="B84" i="76"/>
  <c r="T83" i="76"/>
  <c r="H83" i="76"/>
  <c r="D83" i="76"/>
  <c r="L83" i="76" s="1"/>
  <c r="N83" i="76" s="1"/>
  <c r="Z81" i="76"/>
  <c r="X81" i="76"/>
  <c r="N81" i="76"/>
  <c r="L81" i="76"/>
  <c r="B81" i="76"/>
  <c r="T80" i="76"/>
  <c r="Z80" i="76" s="1"/>
  <c r="P80" i="76"/>
  <c r="L80" i="76"/>
  <c r="J80" i="76"/>
  <c r="H80" i="76"/>
  <c r="N80" i="76" s="1"/>
  <c r="D80" i="76"/>
  <c r="B80" i="76"/>
  <c r="Z79" i="76"/>
  <c r="X79" i="76"/>
  <c r="N79" i="76"/>
  <c r="L79" i="76"/>
  <c r="J79" i="76"/>
  <c r="B79" i="76"/>
  <c r="Z78" i="76"/>
  <c r="X78" i="76"/>
  <c r="N78" i="76"/>
  <c r="L78" i="76"/>
  <c r="B78" i="76"/>
  <c r="X77" i="76"/>
  <c r="Z77" i="76" s="1"/>
  <c r="T77" i="76"/>
  <c r="P77" i="76"/>
  <c r="L77" i="76"/>
  <c r="J77" i="76"/>
  <c r="H77" i="76"/>
  <c r="N77" i="76" s="1"/>
  <c r="D77" i="76"/>
  <c r="B77" i="76"/>
  <c r="Z76" i="76"/>
  <c r="X76" i="76"/>
  <c r="L76" i="76"/>
  <c r="N76" i="76" s="1"/>
  <c r="J76" i="76"/>
  <c r="B76" i="76"/>
  <c r="Z75" i="76"/>
  <c r="X75" i="76"/>
  <c r="N75" i="76"/>
  <c r="L75" i="76"/>
  <c r="B75" i="76"/>
  <c r="X74" i="76"/>
  <c r="Z74" i="76" s="1"/>
  <c r="L74" i="76"/>
  <c r="N74" i="76" s="1"/>
  <c r="J74" i="76"/>
  <c r="B74" i="76"/>
  <c r="Z73" i="76"/>
  <c r="X73" i="76"/>
  <c r="N73" i="76"/>
  <c r="L73" i="76"/>
  <c r="B73" i="76"/>
  <c r="Z72" i="76"/>
  <c r="T72" i="76"/>
  <c r="P72" i="76"/>
  <c r="X72" i="76" s="1"/>
  <c r="H72" i="76"/>
  <c r="D72" i="76"/>
  <c r="L72" i="76" s="1"/>
  <c r="N72" i="76" s="1"/>
  <c r="B72" i="76"/>
  <c r="Z71" i="76"/>
  <c r="X71" i="76"/>
  <c r="N71" i="76"/>
  <c r="L71" i="76"/>
  <c r="J71" i="76"/>
  <c r="B71" i="76"/>
  <c r="X70" i="76"/>
  <c r="Z70" i="76" s="1"/>
  <c r="N70" i="76"/>
  <c r="L70" i="76"/>
  <c r="B70" i="76"/>
  <c r="T69" i="76"/>
  <c r="P69" i="76"/>
  <c r="X69" i="76" s="1"/>
  <c r="Z69" i="76" s="1"/>
  <c r="H69" i="76"/>
  <c r="D69" i="76"/>
  <c r="L69" i="76" s="1"/>
  <c r="N69" i="76" s="1"/>
  <c r="B69" i="76"/>
  <c r="Z68" i="76"/>
  <c r="X68" i="76"/>
  <c r="N68" i="76"/>
  <c r="L68" i="76"/>
  <c r="B68" i="76"/>
  <c r="X67" i="76"/>
  <c r="T67" i="76"/>
  <c r="Z67" i="76" s="1"/>
  <c r="P67" i="76"/>
  <c r="N67" i="76"/>
  <c r="L67" i="76"/>
  <c r="H67" i="76"/>
  <c r="D67" i="76"/>
  <c r="B67" i="76"/>
  <c r="X66" i="76"/>
  <c r="Z66" i="76" s="1"/>
  <c r="L66" i="76"/>
  <c r="N66" i="76" s="1"/>
  <c r="J66" i="76"/>
  <c r="B66" i="76"/>
  <c r="T65" i="76"/>
  <c r="P65" i="76"/>
  <c r="J65" i="76"/>
  <c r="H65" i="76"/>
  <c r="D65" i="76"/>
  <c r="B65" i="76"/>
  <c r="X64" i="76"/>
  <c r="Z64" i="76" s="1"/>
  <c r="V64" i="76"/>
  <c r="N64" i="76"/>
  <c r="L64" i="76"/>
  <c r="B64" i="76"/>
  <c r="T63" i="76"/>
  <c r="P63" i="76"/>
  <c r="X63" i="76" s="1"/>
  <c r="Z63" i="76" s="1"/>
  <c r="H63" i="76"/>
  <c r="D63" i="76"/>
  <c r="L63" i="76" s="1"/>
  <c r="N63" i="76" s="1"/>
  <c r="B63" i="76"/>
  <c r="Z62" i="76"/>
  <c r="X62" i="76"/>
  <c r="L62" i="76"/>
  <c r="N62" i="76" s="1"/>
  <c r="B62" i="76"/>
  <c r="Z61" i="76"/>
  <c r="X61" i="76"/>
  <c r="T61" i="76"/>
  <c r="P61" i="76"/>
  <c r="L61" i="76"/>
  <c r="J61" i="76"/>
  <c r="H61" i="76"/>
  <c r="D61" i="76"/>
  <c r="B61" i="76"/>
  <c r="Z60" i="76"/>
  <c r="X60" i="76"/>
  <c r="L60" i="76"/>
  <c r="N60" i="76" s="1"/>
  <c r="J60" i="76"/>
  <c r="B60" i="76"/>
  <c r="T59" i="76"/>
  <c r="P59" i="76"/>
  <c r="H59" i="76"/>
  <c r="D59" i="76"/>
  <c r="B59" i="76"/>
  <c r="X58" i="76"/>
  <c r="Z58" i="76" s="1"/>
  <c r="N58" i="76"/>
  <c r="L58" i="76"/>
  <c r="B58" i="76"/>
  <c r="T57" i="76"/>
  <c r="P57" i="76"/>
  <c r="X57" i="76" s="1"/>
  <c r="Z57" i="76" s="1"/>
  <c r="H57" i="76"/>
  <c r="D57" i="76"/>
  <c r="L57" i="76" s="1"/>
  <c r="N57" i="76" s="1"/>
  <c r="B57" i="76"/>
  <c r="Z56" i="76"/>
  <c r="X56" i="76"/>
  <c r="N56" i="76"/>
  <c r="L56" i="76"/>
  <c r="B56" i="76"/>
  <c r="X55" i="76"/>
  <c r="V55" i="76"/>
  <c r="T55" i="76"/>
  <c r="Z55" i="76" s="1"/>
  <c r="P55" i="76"/>
  <c r="N55" i="76"/>
  <c r="L55" i="76"/>
  <c r="H55" i="76"/>
  <c r="D55" i="76"/>
  <c r="B55" i="76"/>
  <c r="X54" i="76"/>
  <c r="Z54" i="76" s="1"/>
  <c r="L54" i="76"/>
  <c r="N54" i="76" s="1"/>
  <c r="J54" i="76"/>
  <c r="B54" i="76"/>
  <c r="T53" i="76"/>
  <c r="P53" i="76"/>
  <c r="H53" i="76"/>
  <c r="D53" i="76"/>
  <c r="B53" i="76"/>
  <c r="Z52" i="76"/>
  <c r="X52" i="76"/>
  <c r="N52" i="76"/>
  <c r="L52" i="76"/>
  <c r="B52" i="76"/>
  <c r="Z51" i="76"/>
  <c r="X51" i="76"/>
  <c r="N51" i="76"/>
  <c r="L51" i="76"/>
  <c r="J51" i="76"/>
  <c r="B51" i="76"/>
  <c r="X50" i="76"/>
  <c r="Z50" i="76" s="1"/>
  <c r="V50" i="76"/>
  <c r="N50" i="76"/>
  <c r="L50" i="76"/>
  <c r="B50" i="76"/>
  <c r="Z49" i="76"/>
  <c r="X49" i="76"/>
  <c r="N49" i="76"/>
  <c r="L49" i="76"/>
  <c r="B49" i="76"/>
  <c r="Z48" i="76"/>
  <c r="X48" i="76"/>
  <c r="N48" i="76"/>
  <c r="L48" i="76"/>
  <c r="B48" i="76"/>
  <c r="Z47" i="76"/>
  <c r="X47" i="76"/>
  <c r="N47" i="76"/>
  <c r="L47" i="76"/>
  <c r="J47" i="76"/>
  <c r="B47" i="76"/>
  <c r="X46" i="76"/>
  <c r="Z46" i="76" s="1"/>
  <c r="V46" i="76"/>
  <c r="N46" i="76"/>
  <c r="L46" i="76"/>
  <c r="B46" i="76"/>
  <c r="Z45" i="76"/>
  <c r="X45" i="76"/>
  <c r="N45" i="76"/>
  <c r="L45" i="76"/>
  <c r="B45" i="76"/>
  <c r="X44" i="76"/>
  <c r="Z44" i="76" s="1"/>
  <c r="N44" i="76"/>
  <c r="L44" i="76"/>
  <c r="B44" i="76"/>
  <c r="X43" i="76"/>
  <c r="Z43" i="76" s="1"/>
  <c r="L43" i="76"/>
  <c r="N43" i="76" s="1"/>
  <c r="J43" i="76"/>
  <c r="B43" i="76"/>
  <c r="X42" i="76"/>
  <c r="T42" i="76"/>
  <c r="P42" i="76"/>
  <c r="H42" i="76"/>
  <c r="D42" i="76"/>
  <c r="B42" i="76"/>
  <c r="X41" i="76"/>
  <c r="Z41" i="76" s="1"/>
  <c r="N41" i="76"/>
  <c r="L41" i="76"/>
  <c r="B41" i="76"/>
  <c r="Z40" i="76"/>
  <c r="X40" i="76"/>
  <c r="N40" i="76"/>
  <c r="L40" i="76"/>
  <c r="J40" i="76"/>
  <c r="B40" i="76"/>
  <c r="X39" i="76"/>
  <c r="Z39" i="76" s="1"/>
  <c r="V39" i="76"/>
  <c r="N39" i="76"/>
  <c r="L39" i="76"/>
  <c r="J39" i="76"/>
  <c r="B39" i="76"/>
  <c r="Z38" i="76"/>
  <c r="X38" i="76"/>
  <c r="N38" i="76"/>
  <c r="L38" i="76"/>
  <c r="J38" i="76"/>
  <c r="B38" i="76"/>
  <c r="Z37" i="76"/>
  <c r="X37" i="76"/>
  <c r="N37" i="76"/>
  <c r="L37" i="76"/>
  <c r="B37" i="76"/>
  <c r="Z36" i="76"/>
  <c r="X36" i="76"/>
  <c r="N36" i="76"/>
  <c r="L36" i="76"/>
  <c r="J36" i="76"/>
  <c r="B36" i="76"/>
  <c r="X35" i="76"/>
  <c r="Z35" i="76" s="1"/>
  <c r="N35" i="76"/>
  <c r="L35" i="76"/>
  <c r="J35" i="76"/>
  <c r="B35" i="76"/>
  <c r="Z34" i="76"/>
  <c r="X34" i="76"/>
  <c r="L34" i="76"/>
  <c r="N34" i="76" s="1"/>
  <c r="J34" i="76"/>
  <c r="B34" i="76"/>
  <c r="Z33" i="76"/>
  <c r="X33" i="76"/>
  <c r="N33" i="76"/>
  <c r="L33" i="76"/>
  <c r="J33" i="76"/>
  <c r="B33" i="76"/>
  <c r="T32" i="76"/>
  <c r="P32" i="76"/>
  <c r="H32" i="76"/>
  <c r="D32" i="76"/>
  <c r="L32" i="76" s="1"/>
  <c r="N32" i="76" s="1"/>
  <c r="B32" i="76"/>
  <c r="T31" i="76"/>
  <c r="P31" i="76"/>
  <c r="X31" i="76" s="1"/>
  <c r="H31" i="76"/>
  <c r="D31" i="76"/>
  <c r="H29" i="76"/>
  <c r="T27" i="76"/>
  <c r="Z27" i="76" s="1"/>
  <c r="P27" i="76"/>
  <c r="H27" i="76"/>
  <c r="D27" i="76"/>
  <c r="L27" i="76" s="1"/>
  <c r="Z25" i="76"/>
  <c r="P25" i="76"/>
  <c r="X25" i="76" s="1"/>
  <c r="N25" i="76"/>
  <c r="D25" i="76"/>
  <c r="L25" i="76" s="1"/>
  <c r="B25" i="76"/>
  <c r="Z24" i="76"/>
  <c r="P24" i="76"/>
  <c r="X24" i="76" s="1"/>
  <c r="N24" i="76"/>
  <c r="L24" i="76"/>
  <c r="D24" i="76"/>
  <c r="B24" i="76"/>
  <c r="Z23" i="76"/>
  <c r="X23" i="76"/>
  <c r="P23" i="76"/>
  <c r="N23" i="76"/>
  <c r="L23" i="76"/>
  <c r="D23" i="76"/>
  <c r="B23" i="76"/>
  <c r="Z22" i="76"/>
  <c r="X22" i="76"/>
  <c r="P22" i="76"/>
  <c r="N22" i="76"/>
  <c r="D22" i="76"/>
  <c r="L22" i="76" s="1"/>
  <c r="B22" i="76"/>
  <c r="Z21" i="76"/>
  <c r="X21" i="76"/>
  <c r="P21" i="76"/>
  <c r="N21" i="76"/>
  <c r="D21" i="76"/>
  <c r="L21" i="76" s="1"/>
  <c r="B21" i="76"/>
  <c r="Z20" i="76"/>
  <c r="X20" i="76"/>
  <c r="P20" i="76"/>
  <c r="N20" i="76"/>
  <c r="L20" i="76"/>
  <c r="D20" i="76"/>
  <c r="B20" i="76"/>
  <c r="Z19" i="76"/>
  <c r="P19" i="76"/>
  <c r="X19" i="76" s="1"/>
  <c r="N19" i="76"/>
  <c r="L19" i="76"/>
  <c r="D19" i="76"/>
  <c r="B19" i="76"/>
  <c r="X18" i="76"/>
  <c r="Z18" i="76" s="1"/>
  <c r="P18" i="76"/>
  <c r="L18" i="76"/>
  <c r="N18" i="76" s="1"/>
  <c r="D18" i="76"/>
  <c r="B18" i="76"/>
  <c r="Z17" i="76"/>
  <c r="X17" i="76"/>
  <c r="P17" i="76"/>
  <c r="N17" i="76"/>
  <c r="L17" i="76"/>
  <c r="D17" i="76"/>
  <c r="B17" i="76"/>
  <c r="Z16" i="76"/>
  <c r="P16" i="76"/>
  <c r="X16" i="76" s="1"/>
  <c r="N16" i="76"/>
  <c r="D16" i="76"/>
  <c r="L16" i="76" s="1"/>
  <c r="B16" i="76"/>
  <c r="Z15" i="76"/>
  <c r="X15" i="76"/>
  <c r="P15" i="76"/>
  <c r="N15" i="76"/>
  <c r="L15" i="76"/>
  <c r="D15" i="76"/>
  <c r="B15" i="76"/>
  <c r="Z14" i="76"/>
  <c r="X14" i="76"/>
  <c r="P14" i="76"/>
  <c r="N14" i="76"/>
  <c r="D14" i="76"/>
  <c r="D12" i="76" s="1"/>
  <c r="B14" i="76"/>
  <c r="P13" i="76"/>
  <c r="X13" i="76" s="1"/>
  <c r="Z13" i="76" s="1"/>
  <c r="D13" i="76"/>
  <c r="L13" i="76" s="1"/>
  <c r="N13" i="76" s="1"/>
  <c r="B13" i="76"/>
  <c r="T12" i="76"/>
  <c r="V42" i="76" s="1"/>
  <c r="H12" i="76"/>
  <c r="J81" i="76" s="1"/>
  <c r="D6" i="76"/>
  <c r="D4" i="76"/>
  <c r="Z119" i="75"/>
  <c r="X119" i="75"/>
  <c r="L119" i="75"/>
  <c r="N119" i="75" s="1"/>
  <c r="X115" i="75"/>
  <c r="Z115" i="75" s="1"/>
  <c r="P115" i="75"/>
  <c r="D115" i="75"/>
  <c r="L115" i="75" s="1"/>
  <c r="N115" i="75" s="1"/>
  <c r="B115" i="75"/>
  <c r="P114" i="75"/>
  <c r="X114" i="75" s="1"/>
  <c r="Z114" i="75" s="1"/>
  <c r="D114" i="75"/>
  <c r="B114" i="75"/>
  <c r="Z113" i="75"/>
  <c r="P113" i="75"/>
  <c r="X113" i="75" s="1"/>
  <c r="L113" i="75"/>
  <c r="N113" i="75" s="1"/>
  <c r="D113" i="75"/>
  <c r="B113" i="75"/>
  <c r="T112" i="75"/>
  <c r="P112" i="75"/>
  <c r="X112" i="75" s="1"/>
  <c r="Z112" i="75" s="1"/>
  <c r="H112" i="75"/>
  <c r="X110" i="75"/>
  <c r="Z110" i="75" s="1"/>
  <c r="N110" i="75"/>
  <c r="L110" i="75"/>
  <c r="B110" i="75"/>
  <c r="T109" i="75"/>
  <c r="P109" i="75"/>
  <c r="L109" i="75"/>
  <c r="H109" i="75"/>
  <c r="D109" i="75"/>
  <c r="B109" i="75"/>
  <c r="X108" i="75"/>
  <c r="Z108" i="75" s="1"/>
  <c r="N108" i="75"/>
  <c r="L108" i="75"/>
  <c r="J108" i="75"/>
  <c r="B108" i="75"/>
  <c r="T107" i="75"/>
  <c r="P107" i="75"/>
  <c r="X107" i="75" s="1"/>
  <c r="Z107" i="75" s="1"/>
  <c r="N107" i="75"/>
  <c r="H107" i="75"/>
  <c r="D107" i="75"/>
  <c r="L107" i="75" s="1"/>
  <c r="B107" i="75"/>
  <c r="Z106" i="75"/>
  <c r="X106" i="75"/>
  <c r="L106" i="75"/>
  <c r="N106" i="75" s="1"/>
  <c r="B106" i="75"/>
  <c r="T105" i="75"/>
  <c r="P105" i="75"/>
  <c r="L105" i="75"/>
  <c r="N105" i="75" s="1"/>
  <c r="J105" i="75"/>
  <c r="H105" i="75"/>
  <c r="D105" i="75"/>
  <c r="B105" i="75"/>
  <c r="X104" i="75"/>
  <c r="Z104" i="75" s="1"/>
  <c r="L104" i="75"/>
  <c r="N104" i="75" s="1"/>
  <c r="B104" i="75"/>
  <c r="X103" i="75"/>
  <c r="Z103" i="75" s="1"/>
  <c r="V103" i="75"/>
  <c r="N103" i="75"/>
  <c r="L103" i="75"/>
  <c r="B103" i="75"/>
  <c r="X102" i="75"/>
  <c r="Z102" i="75" s="1"/>
  <c r="L102" i="75"/>
  <c r="N102" i="75" s="1"/>
  <c r="B102" i="75"/>
  <c r="X101" i="75"/>
  <c r="Z101" i="75" s="1"/>
  <c r="V101" i="75"/>
  <c r="N101" i="75"/>
  <c r="L101" i="75"/>
  <c r="B101" i="75"/>
  <c r="X100" i="75"/>
  <c r="Z100" i="75" s="1"/>
  <c r="T100" i="75"/>
  <c r="P100" i="75"/>
  <c r="H100" i="75"/>
  <c r="D100" i="75"/>
  <c r="L100" i="75" s="1"/>
  <c r="N100" i="75" s="1"/>
  <c r="B100" i="75"/>
  <c r="X99" i="75"/>
  <c r="Z99" i="75" s="1"/>
  <c r="N99" i="75"/>
  <c r="L99" i="75"/>
  <c r="B99" i="75"/>
  <c r="Z98" i="75"/>
  <c r="X98" i="75"/>
  <c r="N98" i="75"/>
  <c r="L98" i="75"/>
  <c r="B98" i="75"/>
  <c r="T97" i="75"/>
  <c r="P97" i="75"/>
  <c r="N97" i="75"/>
  <c r="H97" i="75"/>
  <c r="D97" i="75"/>
  <c r="L97" i="75" s="1"/>
  <c r="B97" i="75"/>
  <c r="Z96" i="75"/>
  <c r="X96" i="75"/>
  <c r="L96" i="75"/>
  <c r="N96" i="75" s="1"/>
  <c r="B96" i="75"/>
  <c r="Z95" i="75"/>
  <c r="X95" i="75"/>
  <c r="V95" i="75"/>
  <c r="L95" i="75"/>
  <c r="N95" i="75" s="1"/>
  <c r="J95" i="75"/>
  <c r="B95" i="75"/>
  <c r="Z94" i="75"/>
  <c r="X94" i="75"/>
  <c r="N94" i="75"/>
  <c r="L94" i="75"/>
  <c r="B94" i="75"/>
  <c r="T93" i="75"/>
  <c r="P93" i="75"/>
  <c r="H93" i="75"/>
  <c r="D93" i="75"/>
  <c r="L93" i="75" s="1"/>
  <c r="N93" i="75" s="1"/>
  <c r="B93" i="75"/>
  <c r="X92" i="75"/>
  <c r="Z92" i="75" s="1"/>
  <c r="L92" i="75"/>
  <c r="N92" i="75" s="1"/>
  <c r="J92" i="75"/>
  <c r="B92" i="75"/>
  <c r="T91" i="75"/>
  <c r="P91" i="75"/>
  <c r="X91" i="75" s="1"/>
  <c r="H91" i="75"/>
  <c r="D91" i="75"/>
  <c r="L91" i="75" s="1"/>
  <c r="B91" i="75"/>
  <c r="Z90" i="75"/>
  <c r="X90" i="75"/>
  <c r="N90" i="75"/>
  <c r="L90" i="75"/>
  <c r="B90" i="75"/>
  <c r="X89" i="75"/>
  <c r="Z89" i="75" s="1"/>
  <c r="T89" i="75"/>
  <c r="P89" i="75"/>
  <c r="L89" i="75"/>
  <c r="H89" i="75"/>
  <c r="N89" i="75" s="1"/>
  <c r="D89" i="75"/>
  <c r="B89" i="75"/>
  <c r="Z88" i="75"/>
  <c r="X88" i="75"/>
  <c r="V88" i="75"/>
  <c r="N88" i="75"/>
  <c r="L88" i="75"/>
  <c r="B88" i="75"/>
  <c r="X87" i="75"/>
  <c r="Z87" i="75" s="1"/>
  <c r="T87" i="75"/>
  <c r="P87" i="75"/>
  <c r="L87" i="75"/>
  <c r="N87" i="75" s="1"/>
  <c r="J87" i="75"/>
  <c r="H87" i="75"/>
  <c r="D87" i="75"/>
  <c r="B87" i="75"/>
  <c r="Z86" i="75"/>
  <c r="X86" i="75"/>
  <c r="N86" i="75"/>
  <c r="L86" i="75"/>
  <c r="B86" i="75"/>
  <c r="X85" i="75"/>
  <c r="T85" i="75"/>
  <c r="Z85" i="75" s="1"/>
  <c r="P85" i="75"/>
  <c r="L85" i="75"/>
  <c r="H85" i="75"/>
  <c r="N85" i="75" s="1"/>
  <c r="D85" i="75"/>
  <c r="B85" i="75"/>
  <c r="Z84" i="75"/>
  <c r="X84" i="75"/>
  <c r="N84" i="75"/>
  <c r="L84" i="75"/>
  <c r="B84" i="75"/>
  <c r="T83" i="75"/>
  <c r="P83" i="75"/>
  <c r="H83" i="75"/>
  <c r="N83" i="75" s="1"/>
  <c r="D83" i="75"/>
  <c r="L83" i="75" s="1"/>
  <c r="B83" i="75"/>
  <c r="Z82" i="75"/>
  <c r="X82" i="75"/>
  <c r="V82" i="75"/>
  <c r="N82" i="75"/>
  <c r="L82" i="75"/>
  <c r="B82" i="75"/>
  <c r="T81" i="75"/>
  <c r="P81" i="75"/>
  <c r="X81" i="75" s="1"/>
  <c r="Z81" i="75" s="1"/>
  <c r="N81" i="75"/>
  <c r="L81" i="75"/>
  <c r="H81" i="75"/>
  <c r="D81" i="75"/>
  <c r="B81" i="75"/>
  <c r="Z80" i="75"/>
  <c r="X80" i="75"/>
  <c r="N80" i="75"/>
  <c r="L80" i="75"/>
  <c r="J80" i="75"/>
  <c r="B80" i="75"/>
  <c r="X79" i="75"/>
  <c r="Z79" i="75" s="1"/>
  <c r="N79" i="75"/>
  <c r="L79" i="75"/>
  <c r="B79" i="75"/>
  <c r="Z78" i="75"/>
  <c r="X78" i="75"/>
  <c r="T78" i="75"/>
  <c r="P78" i="75"/>
  <c r="H78" i="75"/>
  <c r="D78" i="75"/>
  <c r="L78" i="75" s="1"/>
  <c r="N78" i="75" s="1"/>
  <c r="B78" i="75"/>
  <c r="Z77" i="75"/>
  <c r="X77" i="75"/>
  <c r="L77" i="75"/>
  <c r="N77" i="75" s="1"/>
  <c r="B77" i="75"/>
  <c r="X76" i="75"/>
  <c r="Z76" i="75" s="1"/>
  <c r="V76" i="75"/>
  <c r="T76" i="75"/>
  <c r="P76" i="75"/>
  <c r="N76" i="75"/>
  <c r="L76" i="75"/>
  <c r="H76" i="75"/>
  <c r="D76" i="75"/>
  <c r="B76" i="75"/>
  <c r="Z75" i="75"/>
  <c r="X75" i="75"/>
  <c r="N75" i="75"/>
  <c r="L75" i="75"/>
  <c r="B75" i="75"/>
  <c r="Z74" i="75"/>
  <c r="X74" i="75"/>
  <c r="V74" i="75"/>
  <c r="N74" i="75"/>
  <c r="L74" i="75"/>
  <c r="B74" i="75"/>
  <c r="X73" i="75"/>
  <c r="Z73" i="75" s="1"/>
  <c r="L73" i="75"/>
  <c r="N73" i="75" s="1"/>
  <c r="J73" i="75"/>
  <c r="B73" i="75"/>
  <c r="X72" i="75"/>
  <c r="Z72" i="75" s="1"/>
  <c r="N72" i="75"/>
  <c r="L72" i="75"/>
  <c r="B72" i="75"/>
  <c r="Z71" i="75"/>
  <c r="X71" i="75"/>
  <c r="N71" i="75"/>
  <c r="L71" i="75"/>
  <c r="B71" i="75"/>
  <c r="Z70" i="75"/>
  <c r="X70" i="75"/>
  <c r="V70" i="75"/>
  <c r="N70" i="75"/>
  <c r="L70" i="75"/>
  <c r="B70" i="75"/>
  <c r="X69" i="75"/>
  <c r="Z69" i="75" s="1"/>
  <c r="L69" i="75"/>
  <c r="N69" i="75" s="1"/>
  <c r="J69" i="75"/>
  <c r="B69" i="75"/>
  <c r="Z68" i="75"/>
  <c r="X68" i="75"/>
  <c r="N68" i="75"/>
  <c r="L68" i="75"/>
  <c r="B68" i="75"/>
  <c r="Z67" i="75"/>
  <c r="X67" i="75"/>
  <c r="L67" i="75"/>
  <c r="N67" i="75" s="1"/>
  <c r="B67" i="75"/>
  <c r="Z66" i="75"/>
  <c r="X66" i="75"/>
  <c r="V66" i="75"/>
  <c r="N66" i="75"/>
  <c r="L66" i="75"/>
  <c r="B66" i="75"/>
  <c r="T65" i="75"/>
  <c r="P65" i="75"/>
  <c r="X65" i="75" s="1"/>
  <c r="Z65" i="75" s="1"/>
  <c r="L65" i="75"/>
  <c r="N65" i="75" s="1"/>
  <c r="H65" i="75"/>
  <c r="D65" i="75"/>
  <c r="B65" i="75"/>
  <c r="Z64" i="75"/>
  <c r="X64" i="75"/>
  <c r="N64" i="75"/>
  <c r="L64" i="75"/>
  <c r="J64" i="75"/>
  <c r="B64" i="75"/>
  <c r="X63" i="75"/>
  <c r="Z63" i="75" s="1"/>
  <c r="N63" i="75"/>
  <c r="L63" i="75"/>
  <c r="B63" i="75"/>
  <c r="Z62" i="75"/>
  <c r="X62" i="75"/>
  <c r="N62" i="75"/>
  <c r="L62" i="75"/>
  <c r="B62" i="75"/>
  <c r="Z61" i="75"/>
  <c r="X61" i="75"/>
  <c r="V61" i="75"/>
  <c r="N61" i="75"/>
  <c r="L61" i="75"/>
  <c r="B61" i="75"/>
  <c r="Z60" i="75"/>
  <c r="X60" i="75"/>
  <c r="L60" i="75"/>
  <c r="N60" i="75" s="1"/>
  <c r="J60" i="75"/>
  <c r="B60" i="75"/>
  <c r="X59" i="75"/>
  <c r="Z59" i="75" s="1"/>
  <c r="N59" i="75"/>
  <c r="L59" i="75"/>
  <c r="B59" i="75"/>
  <c r="Z58" i="75"/>
  <c r="X58" i="75"/>
  <c r="N58" i="75"/>
  <c r="L58" i="75"/>
  <c r="B58" i="75"/>
  <c r="X57" i="75"/>
  <c r="Z57" i="75" s="1"/>
  <c r="V57" i="75"/>
  <c r="N57" i="75"/>
  <c r="L57" i="75"/>
  <c r="B57" i="75"/>
  <c r="Z56" i="75"/>
  <c r="X56" i="75"/>
  <c r="L56" i="75"/>
  <c r="N56" i="75" s="1"/>
  <c r="J56" i="75"/>
  <c r="B56" i="75"/>
  <c r="X55" i="75"/>
  <c r="T55" i="75"/>
  <c r="Z55" i="75" s="1"/>
  <c r="P55" i="75"/>
  <c r="L55" i="75"/>
  <c r="H55" i="75"/>
  <c r="D55" i="75"/>
  <c r="B55" i="75"/>
  <c r="T54" i="75"/>
  <c r="Z54" i="75" s="1"/>
  <c r="P54" i="75"/>
  <c r="X54" i="75" s="1"/>
  <c r="H54" i="75"/>
  <c r="J54" i="75" s="1"/>
  <c r="D54" i="75"/>
  <c r="L54" i="75" s="1"/>
  <c r="N54" i="75" s="1"/>
  <c r="Z50" i="75"/>
  <c r="X50" i="75"/>
  <c r="N50" i="75"/>
  <c r="L50" i="75"/>
  <c r="J50" i="75"/>
  <c r="B50" i="75"/>
  <c r="Z49" i="75"/>
  <c r="X49" i="75"/>
  <c r="N49" i="75"/>
  <c r="L49" i="75"/>
  <c r="B49" i="75"/>
  <c r="Z48" i="75"/>
  <c r="X48" i="75"/>
  <c r="N48" i="75"/>
  <c r="L48" i="75"/>
  <c r="B48" i="75"/>
  <c r="Z47" i="75"/>
  <c r="X47" i="75"/>
  <c r="N47" i="75"/>
  <c r="L47" i="75"/>
  <c r="B47" i="75"/>
  <c r="Z46" i="75"/>
  <c r="X46" i="75"/>
  <c r="N46" i="75"/>
  <c r="L46" i="75"/>
  <c r="J46" i="75"/>
  <c r="B46" i="75"/>
  <c r="Z45" i="75"/>
  <c r="X45" i="75"/>
  <c r="N45" i="75"/>
  <c r="L45" i="75"/>
  <c r="B45" i="75"/>
  <c r="Z44" i="75"/>
  <c r="X44" i="75"/>
  <c r="N44" i="75"/>
  <c r="L44" i="75"/>
  <c r="B44" i="75"/>
  <c r="Z43" i="75"/>
  <c r="X43" i="75"/>
  <c r="N43" i="75"/>
  <c r="L43" i="75"/>
  <c r="B43" i="75"/>
  <c r="Z42" i="75"/>
  <c r="X42" i="75"/>
  <c r="N42" i="75"/>
  <c r="L42" i="75"/>
  <c r="J42" i="75"/>
  <c r="B42" i="75"/>
  <c r="Z41" i="75"/>
  <c r="X41" i="75"/>
  <c r="N41" i="75"/>
  <c r="L41" i="75"/>
  <c r="B41" i="75"/>
  <c r="Z40" i="75"/>
  <c r="X40" i="75"/>
  <c r="N40" i="75"/>
  <c r="L40" i="75"/>
  <c r="B40" i="75"/>
  <c r="Z39" i="75"/>
  <c r="X39" i="75"/>
  <c r="N39" i="75"/>
  <c r="L39" i="75"/>
  <c r="B39" i="75"/>
  <c r="Z38" i="75"/>
  <c r="X38" i="75"/>
  <c r="N38" i="75"/>
  <c r="L38" i="75"/>
  <c r="J38" i="75"/>
  <c r="B38" i="75"/>
  <c r="Z37" i="75"/>
  <c r="X37" i="75"/>
  <c r="N37" i="75"/>
  <c r="L37" i="75"/>
  <c r="B37" i="75"/>
  <c r="X36" i="75"/>
  <c r="Z36" i="75" s="1"/>
  <c r="L36" i="75"/>
  <c r="N36" i="75" s="1"/>
  <c r="B36" i="75"/>
  <c r="T35" i="75"/>
  <c r="P35" i="75"/>
  <c r="X35" i="75" s="1"/>
  <c r="H35" i="75"/>
  <c r="D35" i="75"/>
  <c r="L35" i="75" s="1"/>
  <c r="Z33" i="75"/>
  <c r="P33" i="75"/>
  <c r="X33" i="75" s="1"/>
  <c r="N33" i="75"/>
  <c r="L33" i="75"/>
  <c r="D33" i="75"/>
  <c r="B33" i="75"/>
  <c r="Z32" i="75"/>
  <c r="P32" i="75"/>
  <c r="X32" i="75" s="1"/>
  <c r="N32" i="75"/>
  <c r="L32" i="75"/>
  <c r="D32" i="75"/>
  <c r="B32" i="75"/>
  <c r="Z31" i="75"/>
  <c r="X31" i="75"/>
  <c r="P31" i="75"/>
  <c r="N31" i="75"/>
  <c r="L31" i="75"/>
  <c r="D31" i="75"/>
  <c r="B31" i="75"/>
  <c r="Z30" i="75"/>
  <c r="P30" i="75"/>
  <c r="X30" i="75" s="1"/>
  <c r="N30" i="75"/>
  <c r="D30" i="75"/>
  <c r="L30" i="75" s="1"/>
  <c r="B30" i="75"/>
  <c r="Z29" i="75"/>
  <c r="X29" i="75"/>
  <c r="P29" i="75"/>
  <c r="N29" i="75"/>
  <c r="D29" i="75"/>
  <c r="L29" i="75" s="1"/>
  <c r="B29" i="75"/>
  <c r="Z28" i="75"/>
  <c r="X28" i="75"/>
  <c r="P28" i="75"/>
  <c r="N28" i="75"/>
  <c r="D28" i="75"/>
  <c r="L28" i="75" s="1"/>
  <c r="B28" i="75"/>
  <c r="Z27" i="75"/>
  <c r="P27" i="75"/>
  <c r="X27" i="75" s="1"/>
  <c r="N27" i="75"/>
  <c r="D27" i="75"/>
  <c r="L27" i="75" s="1"/>
  <c r="B27" i="75"/>
  <c r="Z26" i="75"/>
  <c r="P26" i="75"/>
  <c r="X26" i="75" s="1"/>
  <c r="N26" i="75"/>
  <c r="L26" i="75"/>
  <c r="D26" i="75"/>
  <c r="B26" i="75"/>
  <c r="Z25" i="75"/>
  <c r="X25" i="75"/>
  <c r="P25" i="75"/>
  <c r="N25" i="75"/>
  <c r="L25" i="75"/>
  <c r="D25" i="75"/>
  <c r="B25" i="75"/>
  <c r="Z24" i="75"/>
  <c r="P24" i="75"/>
  <c r="X24" i="75" s="1"/>
  <c r="N24" i="75"/>
  <c r="D24" i="75"/>
  <c r="L24" i="75" s="1"/>
  <c r="B24" i="75"/>
  <c r="Z23" i="75"/>
  <c r="X23" i="75"/>
  <c r="P23" i="75"/>
  <c r="N23" i="75"/>
  <c r="D23" i="75"/>
  <c r="L23" i="75" s="1"/>
  <c r="B23" i="75"/>
  <c r="Z22" i="75"/>
  <c r="X22" i="75"/>
  <c r="P22" i="75"/>
  <c r="N22" i="75"/>
  <c r="L22" i="75"/>
  <c r="D22" i="75"/>
  <c r="B22" i="75"/>
  <c r="Z21" i="75"/>
  <c r="P21" i="75"/>
  <c r="X21" i="75" s="1"/>
  <c r="N21" i="75"/>
  <c r="L21" i="75"/>
  <c r="D21" i="75"/>
  <c r="B21" i="75"/>
  <c r="Z20" i="75"/>
  <c r="P20" i="75"/>
  <c r="X20" i="75" s="1"/>
  <c r="N20" i="75"/>
  <c r="L20" i="75"/>
  <c r="D20" i="75"/>
  <c r="B20" i="75"/>
  <c r="Z19" i="75"/>
  <c r="X19" i="75"/>
  <c r="P19" i="75"/>
  <c r="N19" i="75"/>
  <c r="L19" i="75"/>
  <c r="D19" i="75"/>
  <c r="B19" i="75"/>
  <c r="Z18" i="75"/>
  <c r="P18" i="75"/>
  <c r="X18" i="75" s="1"/>
  <c r="N18" i="75"/>
  <c r="D18" i="75"/>
  <c r="L18" i="75" s="1"/>
  <c r="B18" i="75"/>
  <c r="Z17" i="75"/>
  <c r="X17" i="75"/>
  <c r="P17" i="75"/>
  <c r="N17" i="75"/>
  <c r="D17" i="75"/>
  <c r="L17" i="75" s="1"/>
  <c r="B17" i="75"/>
  <c r="Z16" i="75"/>
  <c r="X16" i="75"/>
  <c r="P16" i="75"/>
  <c r="N16" i="75"/>
  <c r="L16" i="75"/>
  <c r="D16" i="75"/>
  <c r="B16" i="75"/>
  <c r="Z15" i="75"/>
  <c r="P15" i="75"/>
  <c r="X15" i="75" s="1"/>
  <c r="N15" i="75"/>
  <c r="D15" i="75"/>
  <c r="L15" i="75" s="1"/>
  <c r="B15" i="75"/>
  <c r="Z14" i="75"/>
  <c r="P14" i="75"/>
  <c r="N14" i="75"/>
  <c r="L14" i="75"/>
  <c r="D14" i="75"/>
  <c r="D12" i="75" s="1"/>
  <c r="B14" i="75"/>
  <c r="X13" i="75"/>
  <c r="Z13" i="75" s="1"/>
  <c r="P13" i="75"/>
  <c r="N13" i="75"/>
  <c r="L13" i="75"/>
  <c r="D13" i="75"/>
  <c r="B13" i="75"/>
  <c r="T12" i="75"/>
  <c r="H12" i="75"/>
  <c r="J119" i="75" s="1"/>
  <c r="D6" i="75"/>
  <c r="D4" i="75"/>
  <c r="X93" i="74"/>
  <c r="Z93" i="74" s="1"/>
  <c r="V93" i="74"/>
  <c r="N93" i="74"/>
  <c r="L93" i="74"/>
  <c r="Z89" i="74"/>
  <c r="X89" i="74"/>
  <c r="T89" i="74"/>
  <c r="P89" i="74"/>
  <c r="N89" i="74"/>
  <c r="L89" i="74"/>
  <c r="J89" i="74"/>
  <c r="H89" i="74"/>
  <c r="D89" i="74"/>
  <c r="Z87" i="74"/>
  <c r="X87" i="74"/>
  <c r="L87" i="74"/>
  <c r="N87" i="74" s="1"/>
  <c r="J87" i="74"/>
  <c r="B87" i="74"/>
  <c r="T86" i="74"/>
  <c r="P86" i="74"/>
  <c r="X86" i="74" s="1"/>
  <c r="H86" i="74"/>
  <c r="D86" i="74"/>
  <c r="B86" i="74"/>
  <c r="Z85" i="74"/>
  <c r="X85" i="74"/>
  <c r="N85" i="74"/>
  <c r="L85" i="74"/>
  <c r="B85" i="74"/>
  <c r="Z84" i="74"/>
  <c r="X84" i="74"/>
  <c r="T84" i="74"/>
  <c r="P84" i="74"/>
  <c r="N84" i="74"/>
  <c r="H84" i="74"/>
  <c r="D84" i="74"/>
  <c r="L84" i="74" s="1"/>
  <c r="B84" i="74"/>
  <c r="Z83" i="74"/>
  <c r="X83" i="74"/>
  <c r="N83" i="74"/>
  <c r="L83" i="74"/>
  <c r="J83" i="74"/>
  <c r="B83" i="74"/>
  <c r="X82" i="74"/>
  <c r="V82" i="74"/>
  <c r="T82" i="74"/>
  <c r="Z82" i="74" s="1"/>
  <c r="P82" i="74"/>
  <c r="L82" i="74"/>
  <c r="H82" i="74"/>
  <c r="N82" i="74" s="1"/>
  <c r="D82" i="74"/>
  <c r="B82" i="74"/>
  <c r="X81" i="74"/>
  <c r="Z81" i="74" s="1"/>
  <c r="V81" i="74"/>
  <c r="L81" i="74"/>
  <c r="N81" i="74" s="1"/>
  <c r="J81" i="74"/>
  <c r="B81" i="74"/>
  <c r="T80" i="74"/>
  <c r="P80" i="74"/>
  <c r="X80" i="74" s="1"/>
  <c r="H80" i="74"/>
  <c r="N80" i="74" s="1"/>
  <c r="D80" i="74"/>
  <c r="L80" i="74" s="1"/>
  <c r="B80" i="74"/>
  <c r="Z79" i="74"/>
  <c r="X79" i="74"/>
  <c r="V79" i="74"/>
  <c r="N79" i="74"/>
  <c r="L79" i="74"/>
  <c r="B79" i="74"/>
  <c r="X78" i="74"/>
  <c r="Z78" i="74" s="1"/>
  <c r="L78" i="74"/>
  <c r="N78" i="74" s="1"/>
  <c r="J78" i="74"/>
  <c r="B78" i="74"/>
  <c r="T77" i="74"/>
  <c r="P77" i="74"/>
  <c r="H77" i="74"/>
  <c r="D77" i="74"/>
  <c r="L77" i="74" s="1"/>
  <c r="B77" i="74"/>
  <c r="X76" i="74"/>
  <c r="Z76" i="74" s="1"/>
  <c r="N76" i="74"/>
  <c r="L76" i="74"/>
  <c r="B76" i="74"/>
  <c r="Z75" i="74"/>
  <c r="X75" i="74"/>
  <c r="T75" i="74"/>
  <c r="P75" i="74"/>
  <c r="H75" i="74"/>
  <c r="D75" i="74"/>
  <c r="L75" i="74" s="1"/>
  <c r="N75" i="74" s="1"/>
  <c r="B75" i="74"/>
  <c r="Z74" i="74"/>
  <c r="X74" i="74"/>
  <c r="N74" i="74"/>
  <c r="L74" i="74"/>
  <c r="B74" i="74"/>
  <c r="Z73" i="74"/>
  <c r="X73" i="74"/>
  <c r="V73" i="74"/>
  <c r="N73" i="74"/>
  <c r="L73" i="74"/>
  <c r="J73" i="74"/>
  <c r="B73" i="74"/>
  <c r="Z72" i="74"/>
  <c r="X72" i="74"/>
  <c r="N72" i="74"/>
  <c r="L72" i="74"/>
  <c r="J72" i="74"/>
  <c r="B72" i="74"/>
  <c r="Z71" i="74"/>
  <c r="X71" i="74"/>
  <c r="N71" i="74"/>
  <c r="L71" i="74"/>
  <c r="J71" i="74"/>
  <c r="B71" i="74"/>
  <c r="Z70" i="74"/>
  <c r="X70" i="74"/>
  <c r="N70" i="74"/>
  <c r="L70" i="74"/>
  <c r="B70" i="74"/>
  <c r="Z69" i="74"/>
  <c r="X69" i="74"/>
  <c r="V69" i="74"/>
  <c r="N69" i="74"/>
  <c r="L69" i="74"/>
  <c r="J69" i="74"/>
  <c r="B69" i="74"/>
  <c r="Z68" i="74"/>
  <c r="X68" i="74"/>
  <c r="N68" i="74"/>
  <c r="L68" i="74"/>
  <c r="J68" i="74"/>
  <c r="B68" i="74"/>
  <c r="Z67" i="74"/>
  <c r="X67" i="74"/>
  <c r="N67" i="74"/>
  <c r="L67" i="74"/>
  <c r="J67" i="74"/>
  <c r="B67" i="74"/>
  <c r="Z66" i="74"/>
  <c r="X66" i="74"/>
  <c r="N66" i="74"/>
  <c r="L66" i="74"/>
  <c r="B66" i="74"/>
  <c r="Z65" i="74"/>
  <c r="X65" i="74"/>
  <c r="V65" i="74"/>
  <c r="L65" i="74"/>
  <c r="N65" i="74" s="1"/>
  <c r="J65" i="74"/>
  <c r="B65" i="74"/>
  <c r="T64" i="74"/>
  <c r="P64" i="74"/>
  <c r="H64" i="74"/>
  <c r="D64" i="74"/>
  <c r="L64" i="74" s="1"/>
  <c r="B64" i="74"/>
  <c r="X63" i="74"/>
  <c r="Z63" i="74" s="1"/>
  <c r="V63" i="74"/>
  <c r="N63" i="74"/>
  <c r="L63" i="74"/>
  <c r="B63" i="74"/>
  <c r="X62" i="74"/>
  <c r="Z62" i="74" s="1"/>
  <c r="L62" i="74"/>
  <c r="N62" i="74" s="1"/>
  <c r="J62" i="74"/>
  <c r="B62" i="74"/>
  <c r="Z61" i="74"/>
  <c r="X61" i="74"/>
  <c r="N61" i="74"/>
  <c r="L61" i="74"/>
  <c r="B61" i="74"/>
  <c r="Z60" i="74"/>
  <c r="X60" i="74"/>
  <c r="L60" i="74"/>
  <c r="N60" i="74" s="1"/>
  <c r="J60" i="74"/>
  <c r="B60" i="74"/>
  <c r="X59" i="74"/>
  <c r="Z59" i="74" s="1"/>
  <c r="V59" i="74"/>
  <c r="N59" i="74"/>
  <c r="L59" i="74"/>
  <c r="B59" i="74"/>
  <c r="X58" i="74"/>
  <c r="Z58" i="74" s="1"/>
  <c r="L58" i="74"/>
  <c r="N58" i="74" s="1"/>
  <c r="J58" i="74"/>
  <c r="B58" i="74"/>
  <c r="X57" i="74"/>
  <c r="Z57" i="74" s="1"/>
  <c r="N57" i="74"/>
  <c r="L57" i="74"/>
  <c r="B57" i="74"/>
  <c r="Z56" i="74"/>
  <c r="X56" i="74"/>
  <c r="L56" i="74"/>
  <c r="N56" i="74" s="1"/>
  <c r="J56" i="74"/>
  <c r="B56" i="74"/>
  <c r="T55" i="74"/>
  <c r="P55" i="74"/>
  <c r="J55" i="74"/>
  <c r="H55" i="74"/>
  <c r="D55" i="74"/>
  <c r="B55" i="74"/>
  <c r="T54" i="74"/>
  <c r="P54" i="74"/>
  <c r="H54" i="74"/>
  <c r="D54" i="74"/>
  <c r="V52" i="74"/>
  <c r="T52" i="74"/>
  <c r="H52" i="74"/>
  <c r="Z50" i="74"/>
  <c r="X50" i="74"/>
  <c r="V50" i="74"/>
  <c r="N50" i="74"/>
  <c r="L50" i="74"/>
  <c r="J50" i="74"/>
  <c r="B50" i="74"/>
  <c r="Z49" i="74"/>
  <c r="X49" i="74"/>
  <c r="N49" i="74"/>
  <c r="L49" i="74"/>
  <c r="J49" i="74"/>
  <c r="B49" i="74"/>
  <c r="Z48" i="74"/>
  <c r="X48" i="74"/>
  <c r="N48" i="74"/>
  <c r="L48" i="74"/>
  <c r="B48" i="74"/>
  <c r="Z47" i="74"/>
  <c r="X47" i="74"/>
  <c r="N47" i="74"/>
  <c r="L47" i="74"/>
  <c r="J47" i="74"/>
  <c r="B47" i="74"/>
  <c r="Z46" i="74"/>
  <c r="X46" i="74"/>
  <c r="V46" i="74"/>
  <c r="N46" i="74"/>
  <c r="L46" i="74"/>
  <c r="J46" i="74"/>
  <c r="B46" i="74"/>
  <c r="Z45" i="74"/>
  <c r="X45" i="74"/>
  <c r="N45" i="74"/>
  <c r="L45" i="74"/>
  <c r="J45" i="74"/>
  <c r="B45" i="74"/>
  <c r="Z44" i="74"/>
  <c r="X44" i="74"/>
  <c r="N44" i="74"/>
  <c r="L44" i="74"/>
  <c r="B44" i="74"/>
  <c r="Z43" i="74"/>
  <c r="X43" i="74"/>
  <c r="N43" i="74"/>
  <c r="L43" i="74"/>
  <c r="J43" i="74"/>
  <c r="B43" i="74"/>
  <c r="Z42" i="74"/>
  <c r="X42" i="74"/>
  <c r="V42" i="74"/>
  <c r="N42" i="74"/>
  <c r="L42" i="74"/>
  <c r="J42" i="74"/>
  <c r="B42" i="74"/>
  <c r="Z41" i="74"/>
  <c r="X41" i="74"/>
  <c r="N41" i="74"/>
  <c r="L41" i="74"/>
  <c r="J41" i="74"/>
  <c r="B41" i="74"/>
  <c r="Z40" i="74"/>
  <c r="X40" i="74"/>
  <c r="N40" i="74"/>
  <c r="L40" i="74"/>
  <c r="B40" i="74"/>
  <c r="Z39" i="74"/>
  <c r="X39" i="74"/>
  <c r="N39" i="74"/>
  <c r="L39" i="74"/>
  <c r="J39" i="74"/>
  <c r="B39" i="74"/>
  <c r="Z38" i="74"/>
  <c r="X38" i="74"/>
  <c r="V38" i="74"/>
  <c r="N38" i="74"/>
  <c r="L38" i="74"/>
  <c r="J38" i="74"/>
  <c r="B38" i="74"/>
  <c r="Z37" i="74"/>
  <c r="X37" i="74"/>
  <c r="N37" i="74"/>
  <c r="L37" i="74"/>
  <c r="J37" i="74"/>
  <c r="B37" i="74"/>
  <c r="X36" i="74"/>
  <c r="Z36" i="74" s="1"/>
  <c r="L36" i="74"/>
  <c r="N36" i="74" s="1"/>
  <c r="B36" i="74"/>
  <c r="Z35" i="74"/>
  <c r="T35" i="74"/>
  <c r="P35" i="74"/>
  <c r="X35" i="74" s="1"/>
  <c r="H35" i="74"/>
  <c r="D35" i="74"/>
  <c r="L35" i="74" s="1"/>
  <c r="N35" i="74" s="1"/>
  <c r="Z33" i="74"/>
  <c r="X33" i="74"/>
  <c r="P33" i="74"/>
  <c r="N33" i="74"/>
  <c r="L33" i="74"/>
  <c r="D33" i="74"/>
  <c r="B33" i="74"/>
  <c r="Z32" i="74"/>
  <c r="X32" i="74"/>
  <c r="P32" i="74"/>
  <c r="N32" i="74"/>
  <c r="L32" i="74"/>
  <c r="D32" i="74"/>
  <c r="B32" i="74"/>
  <c r="Z31" i="74"/>
  <c r="P31" i="74"/>
  <c r="X31" i="74" s="1"/>
  <c r="N31" i="74"/>
  <c r="L31" i="74"/>
  <c r="D31" i="74"/>
  <c r="B31" i="74"/>
  <c r="Z30" i="74"/>
  <c r="X30" i="74"/>
  <c r="P30" i="74"/>
  <c r="N30" i="74"/>
  <c r="L30" i="74"/>
  <c r="D30" i="74"/>
  <c r="B30" i="74"/>
  <c r="Z29" i="74"/>
  <c r="P29" i="74"/>
  <c r="X29" i="74" s="1"/>
  <c r="N29" i="74"/>
  <c r="L29" i="74"/>
  <c r="D29" i="74"/>
  <c r="B29" i="74"/>
  <c r="Z28" i="74"/>
  <c r="X28" i="74"/>
  <c r="P28" i="74"/>
  <c r="N28" i="74"/>
  <c r="D28" i="74"/>
  <c r="L28" i="74" s="1"/>
  <c r="B28" i="74"/>
  <c r="Z27" i="74"/>
  <c r="P27" i="74"/>
  <c r="X27" i="74" s="1"/>
  <c r="N27" i="74"/>
  <c r="D27" i="74"/>
  <c r="L27" i="74" s="1"/>
  <c r="B27" i="74"/>
  <c r="Z26" i="74"/>
  <c r="P26" i="74"/>
  <c r="X26" i="74" s="1"/>
  <c r="N26" i="74"/>
  <c r="D26" i="74"/>
  <c r="L26" i="74" s="1"/>
  <c r="B26" i="74"/>
  <c r="Z25" i="74"/>
  <c r="P25" i="74"/>
  <c r="X25" i="74" s="1"/>
  <c r="N25" i="74"/>
  <c r="L25" i="74"/>
  <c r="D25" i="74"/>
  <c r="B25" i="74"/>
  <c r="Z24" i="74"/>
  <c r="X24" i="74"/>
  <c r="P24" i="74"/>
  <c r="N24" i="74"/>
  <c r="D24" i="74"/>
  <c r="L24" i="74" s="1"/>
  <c r="B24" i="74"/>
  <c r="Z23" i="74"/>
  <c r="P23" i="74"/>
  <c r="X23" i="74" s="1"/>
  <c r="N23" i="74"/>
  <c r="D23" i="74"/>
  <c r="L23" i="74" s="1"/>
  <c r="B23" i="74"/>
  <c r="Z22" i="74"/>
  <c r="X22" i="74"/>
  <c r="P22" i="74"/>
  <c r="N22" i="74"/>
  <c r="D22" i="74"/>
  <c r="L22" i="74" s="1"/>
  <c r="B22" i="74"/>
  <c r="Z21" i="74"/>
  <c r="X21" i="74"/>
  <c r="P21" i="74"/>
  <c r="L21" i="74"/>
  <c r="N21" i="74" s="1"/>
  <c r="D21" i="74"/>
  <c r="B21" i="74"/>
  <c r="Z20" i="74"/>
  <c r="X20" i="74"/>
  <c r="P20" i="74"/>
  <c r="N20" i="74"/>
  <c r="D20" i="74"/>
  <c r="L20" i="74" s="1"/>
  <c r="B20" i="74"/>
  <c r="Z19" i="74"/>
  <c r="P19" i="74"/>
  <c r="X19" i="74" s="1"/>
  <c r="N19" i="74"/>
  <c r="L19" i="74"/>
  <c r="D19" i="74"/>
  <c r="B19" i="74"/>
  <c r="Z18" i="74"/>
  <c r="P18" i="74"/>
  <c r="X18" i="74" s="1"/>
  <c r="N18" i="74"/>
  <c r="L18" i="74"/>
  <c r="D18" i="74"/>
  <c r="B18" i="74"/>
  <c r="Z17" i="74"/>
  <c r="P17" i="74"/>
  <c r="X17" i="74" s="1"/>
  <c r="N17" i="74"/>
  <c r="L17" i="74"/>
  <c r="D17" i="74"/>
  <c r="B17" i="74"/>
  <c r="Z16" i="74"/>
  <c r="X16" i="74"/>
  <c r="P16" i="74"/>
  <c r="N16" i="74"/>
  <c r="D16" i="74"/>
  <c r="L16" i="74" s="1"/>
  <c r="B16" i="74"/>
  <c r="Z15" i="74"/>
  <c r="P15" i="74"/>
  <c r="X15" i="74" s="1"/>
  <c r="N15" i="74"/>
  <c r="L15" i="74"/>
  <c r="D15" i="74"/>
  <c r="B15" i="74"/>
  <c r="Z14" i="74"/>
  <c r="P14" i="74"/>
  <c r="X14" i="74" s="1"/>
  <c r="N14" i="74"/>
  <c r="D14" i="74"/>
  <c r="L14" i="74" s="1"/>
  <c r="B14" i="74"/>
  <c r="P13" i="74"/>
  <c r="X13" i="74" s="1"/>
  <c r="Z13" i="74" s="1"/>
  <c r="N13" i="74"/>
  <c r="L13" i="74"/>
  <c r="D13" i="74"/>
  <c r="B13" i="74"/>
  <c r="T12" i="74"/>
  <c r="V84" i="74" s="1"/>
  <c r="H12" i="74"/>
  <c r="J93" i="74" s="1"/>
  <c r="D6" i="74"/>
  <c r="D4" i="74"/>
  <c r="Z83" i="73"/>
  <c r="X83" i="73"/>
  <c r="L83" i="73"/>
  <c r="N83" i="73" s="1"/>
  <c r="V79" i="73"/>
  <c r="T79" i="73"/>
  <c r="Z79" i="73" s="1"/>
  <c r="P79" i="73"/>
  <c r="H79" i="73"/>
  <c r="D79" i="73"/>
  <c r="X77" i="73"/>
  <c r="Z77" i="73" s="1"/>
  <c r="N77" i="73"/>
  <c r="L77" i="73"/>
  <c r="B77" i="73"/>
  <c r="T76" i="73"/>
  <c r="P76" i="73"/>
  <c r="X76" i="73" s="1"/>
  <c r="Z76" i="73" s="1"/>
  <c r="N76" i="73"/>
  <c r="H76" i="73"/>
  <c r="D76" i="73"/>
  <c r="L76" i="73" s="1"/>
  <c r="B76" i="73"/>
  <c r="X75" i="73"/>
  <c r="Z75" i="73" s="1"/>
  <c r="N75" i="73"/>
  <c r="L75" i="73"/>
  <c r="J75" i="73"/>
  <c r="B75" i="73"/>
  <c r="X74" i="73"/>
  <c r="Z74" i="73" s="1"/>
  <c r="T74" i="73"/>
  <c r="P74" i="73"/>
  <c r="L74" i="73"/>
  <c r="N74" i="73" s="1"/>
  <c r="J74" i="73"/>
  <c r="H74" i="73"/>
  <c r="D74" i="73"/>
  <c r="B74" i="73"/>
  <c r="X73" i="73"/>
  <c r="Z73" i="73" s="1"/>
  <c r="L73" i="73"/>
  <c r="N73" i="73" s="1"/>
  <c r="J73" i="73"/>
  <c r="B73" i="73"/>
  <c r="Z72" i="73"/>
  <c r="X72" i="73"/>
  <c r="N72" i="73"/>
  <c r="L72" i="73"/>
  <c r="B72" i="73"/>
  <c r="Z71" i="73"/>
  <c r="X71" i="73"/>
  <c r="N71" i="73"/>
  <c r="L71" i="73"/>
  <c r="J71" i="73"/>
  <c r="B71" i="73"/>
  <c r="Z70" i="73"/>
  <c r="X70" i="73"/>
  <c r="N70" i="73"/>
  <c r="L70" i="73"/>
  <c r="B70" i="73"/>
  <c r="Z69" i="73"/>
  <c r="X69" i="73"/>
  <c r="N69" i="73"/>
  <c r="L69" i="73"/>
  <c r="J69" i="73"/>
  <c r="B69" i="73"/>
  <c r="T68" i="73"/>
  <c r="P68" i="73"/>
  <c r="J68" i="73"/>
  <c r="H68" i="73"/>
  <c r="D68" i="73"/>
  <c r="B68" i="73"/>
  <c r="Z67" i="73"/>
  <c r="X67" i="73"/>
  <c r="V67" i="73"/>
  <c r="N67" i="73"/>
  <c r="L67" i="73"/>
  <c r="B67" i="73"/>
  <c r="Z66" i="73"/>
  <c r="T66" i="73"/>
  <c r="P66" i="73"/>
  <c r="X66" i="73" s="1"/>
  <c r="N66" i="73"/>
  <c r="H66" i="73"/>
  <c r="D66" i="73"/>
  <c r="L66" i="73" s="1"/>
  <c r="B66" i="73"/>
  <c r="Z65" i="73"/>
  <c r="X65" i="73"/>
  <c r="N65" i="73"/>
  <c r="L65" i="73"/>
  <c r="B65" i="73"/>
  <c r="Z64" i="73"/>
  <c r="X64" i="73"/>
  <c r="N64" i="73"/>
  <c r="L64" i="73"/>
  <c r="J64" i="73"/>
  <c r="B64" i="73"/>
  <c r="T63" i="73"/>
  <c r="P63" i="73"/>
  <c r="H63" i="73"/>
  <c r="D63" i="73"/>
  <c r="B63" i="73"/>
  <c r="X62" i="73"/>
  <c r="Z62" i="73" s="1"/>
  <c r="N62" i="73"/>
  <c r="L62" i="73"/>
  <c r="B62" i="73"/>
  <c r="Z61" i="73"/>
  <c r="X61" i="73"/>
  <c r="T61" i="73"/>
  <c r="P61" i="73"/>
  <c r="J61" i="73"/>
  <c r="H61" i="73"/>
  <c r="D61" i="73"/>
  <c r="L61" i="73" s="1"/>
  <c r="N61" i="73" s="1"/>
  <c r="B61" i="73"/>
  <c r="Z60" i="73"/>
  <c r="X60" i="73"/>
  <c r="N60" i="73"/>
  <c r="L60" i="73"/>
  <c r="J60" i="73"/>
  <c r="B60" i="73"/>
  <c r="T59" i="73"/>
  <c r="Z59" i="73" s="1"/>
  <c r="P59" i="73"/>
  <c r="L59" i="73"/>
  <c r="H59" i="73"/>
  <c r="N59" i="73" s="1"/>
  <c r="D59" i="73"/>
  <c r="B59" i="73"/>
  <c r="Z58" i="73"/>
  <c r="X58" i="73"/>
  <c r="N58" i="73"/>
  <c r="L58" i="73"/>
  <c r="J58" i="73"/>
  <c r="B58" i="73"/>
  <c r="T57" i="73"/>
  <c r="Z57" i="73" s="1"/>
  <c r="P57" i="73"/>
  <c r="X57" i="73" s="1"/>
  <c r="H57" i="73"/>
  <c r="N57" i="73" s="1"/>
  <c r="D57" i="73"/>
  <c r="B57" i="73"/>
  <c r="Z56" i="73"/>
  <c r="X56" i="73"/>
  <c r="V56" i="73"/>
  <c r="N56" i="73"/>
  <c r="L56" i="73"/>
  <c r="B56" i="73"/>
  <c r="Z55" i="73"/>
  <c r="X55" i="73"/>
  <c r="T55" i="73"/>
  <c r="P55" i="73"/>
  <c r="N55" i="73"/>
  <c r="H55" i="73"/>
  <c r="D55" i="73"/>
  <c r="L55" i="73" s="1"/>
  <c r="B55" i="73"/>
  <c r="Z54" i="73"/>
  <c r="X54" i="73"/>
  <c r="L54" i="73"/>
  <c r="N54" i="73" s="1"/>
  <c r="J54" i="73"/>
  <c r="B54" i="73"/>
  <c r="X53" i="73"/>
  <c r="T53" i="73"/>
  <c r="P53" i="73"/>
  <c r="L53" i="73"/>
  <c r="H53" i="73"/>
  <c r="D53" i="73"/>
  <c r="B53" i="73"/>
  <c r="Z52" i="73"/>
  <c r="X52" i="73"/>
  <c r="N52" i="73"/>
  <c r="L52" i="73"/>
  <c r="J52" i="73"/>
  <c r="B52" i="73"/>
  <c r="T51" i="73"/>
  <c r="Z51" i="73" s="1"/>
  <c r="P51" i="73"/>
  <c r="H51" i="73"/>
  <c r="N51" i="73" s="1"/>
  <c r="D51" i="73"/>
  <c r="B51" i="73"/>
  <c r="Z50" i="73"/>
  <c r="X50" i="73"/>
  <c r="N50" i="73"/>
  <c r="L50" i="73"/>
  <c r="B50" i="73"/>
  <c r="Z49" i="73"/>
  <c r="X49" i="73"/>
  <c r="T49" i="73"/>
  <c r="P49" i="73"/>
  <c r="N49" i="73"/>
  <c r="L49" i="73"/>
  <c r="J49" i="73"/>
  <c r="H49" i="73"/>
  <c r="D49" i="73"/>
  <c r="B49" i="73"/>
  <c r="Z48" i="73"/>
  <c r="X48" i="73"/>
  <c r="N48" i="73"/>
  <c r="L48" i="73"/>
  <c r="J48" i="73"/>
  <c r="B48" i="73"/>
  <c r="Z47" i="73"/>
  <c r="X47" i="73"/>
  <c r="N47" i="73"/>
  <c r="L47" i="73"/>
  <c r="B47" i="73"/>
  <c r="Z46" i="73"/>
  <c r="X46" i="73"/>
  <c r="N46" i="73"/>
  <c r="L46" i="73"/>
  <c r="J46" i="73"/>
  <c r="B46" i="73"/>
  <c r="X45" i="73"/>
  <c r="Z45" i="73" s="1"/>
  <c r="N45" i="73"/>
  <c r="L45" i="73"/>
  <c r="J45" i="73"/>
  <c r="B45" i="73"/>
  <c r="Z44" i="73"/>
  <c r="X44" i="73"/>
  <c r="N44" i="73"/>
  <c r="L44" i="73"/>
  <c r="J44" i="73"/>
  <c r="B44" i="73"/>
  <c r="Z43" i="73"/>
  <c r="X43" i="73"/>
  <c r="V43" i="73"/>
  <c r="N43" i="73"/>
  <c r="L43" i="73"/>
  <c r="B43" i="73"/>
  <c r="Z42" i="73"/>
  <c r="X42" i="73"/>
  <c r="N42" i="73"/>
  <c r="L42" i="73"/>
  <c r="J42" i="73"/>
  <c r="B42" i="73"/>
  <c r="Z41" i="73"/>
  <c r="X41" i="73"/>
  <c r="V41" i="73"/>
  <c r="N41" i="73"/>
  <c r="L41" i="73"/>
  <c r="J41" i="73"/>
  <c r="B41" i="73"/>
  <c r="Z40" i="73"/>
  <c r="X40" i="73"/>
  <c r="N40" i="73"/>
  <c r="L40" i="73"/>
  <c r="J40" i="73"/>
  <c r="B40" i="73"/>
  <c r="X39" i="73"/>
  <c r="Z39" i="73" s="1"/>
  <c r="L39" i="73"/>
  <c r="N39" i="73" s="1"/>
  <c r="B39" i="73"/>
  <c r="T38" i="73"/>
  <c r="P38" i="73"/>
  <c r="X38" i="73" s="1"/>
  <c r="Z38" i="73" s="1"/>
  <c r="N38" i="73"/>
  <c r="H38" i="73"/>
  <c r="D38" i="73"/>
  <c r="L38" i="73" s="1"/>
  <c r="B38" i="73"/>
  <c r="Z37" i="73"/>
  <c r="X37" i="73"/>
  <c r="N37" i="73"/>
  <c r="L37" i="73"/>
  <c r="B37" i="73"/>
  <c r="X36" i="73"/>
  <c r="Z36" i="73" s="1"/>
  <c r="L36" i="73"/>
  <c r="N36" i="73" s="1"/>
  <c r="J36" i="73"/>
  <c r="B36" i="73"/>
  <c r="X35" i="73"/>
  <c r="Z35" i="73" s="1"/>
  <c r="N35" i="73"/>
  <c r="L35" i="73"/>
  <c r="J35" i="73"/>
  <c r="B35" i="73"/>
  <c r="Z34" i="73"/>
  <c r="X34" i="73"/>
  <c r="N34" i="73"/>
  <c r="L34" i="73"/>
  <c r="J34" i="73"/>
  <c r="B34" i="73"/>
  <c r="Z33" i="73"/>
  <c r="X33" i="73"/>
  <c r="N33" i="73"/>
  <c r="L33" i="73"/>
  <c r="B33" i="73"/>
  <c r="Z32" i="73"/>
  <c r="X32" i="73"/>
  <c r="L32" i="73"/>
  <c r="N32" i="73" s="1"/>
  <c r="J32" i="73"/>
  <c r="B32" i="73"/>
  <c r="X31" i="73"/>
  <c r="Z31" i="73" s="1"/>
  <c r="N31" i="73"/>
  <c r="L31" i="73"/>
  <c r="J31" i="73"/>
  <c r="B31" i="73"/>
  <c r="Z30" i="73"/>
  <c r="X30" i="73"/>
  <c r="V30" i="73"/>
  <c r="L30" i="73"/>
  <c r="N30" i="73" s="1"/>
  <c r="J30" i="73"/>
  <c r="B30" i="73"/>
  <c r="Z29" i="73"/>
  <c r="X29" i="73"/>
  <c r="N29" i="73"/>
  <c r="L29" i="73"/>
  <c r="B29" i="73"/>
  <c r="X28" i="73"/>
  <c r="T28" i="73"/>
  <c r="Z28" i="73" s="1"/>
  <c r="P28" i="73"/>
  <c r="L28" i="73"/>
  <c r="N28" i="73" s="1"/>
  <c r="J28" i="73"/>
  <c r="H28" i="73"/>
  <c r="D28" i="73"/>
  <c r="B28" i="73"/>
  <c r="T27" i="73"/>
  <c r="V27" i="73" s="1"/>
  <c r="P27" i="73"/>
  <c r="X27" i="73" s="1"/>
  <c r="Z27" i="73" s="1"/>
  <c r="H27" i="73"/>
  <c r="D27" i="73"/>
  <c r="L27" i="73" s="1"/>
  <c r="N27" i="73" s="1"/>
  <c r="Z23" i="73"/>
  <c r="X23" i="73"/>
  <c r="V23" i="73"/>
  <c r="N23" i="73"/>
  <c r="L23" i="73"/>
  <c r="J23" i="73"/>
  <c r="B23" i="73"/>
  <c r="Z22" i="73"/>
  <c r="X22" i="73"/>
  <c r="V22" i="73"/>
  <c r="N22" i="73"/>
  <c r="L22" i="73"/>
  <c r="B22" i="73"/>
  <c r="Z21" i="73"/>
  <c r="X21" i="73"/>
  <c r="L21" i="73"/>
  <c r="N21" i="73" s="1"/>
  <c r="J21" i="73"/>
  <c r="B21" i="73"/>
  <c r="T20" i="73"/>
  <c r="P20" i="73"/>
  <c r="H20" i="73"/>
  <c r="D20" i="73"/>
  <c r="Z18" i="73"/>
  <c r="P18" i="73"/>
  <c r="X18" i="73" s="1"/>
  <c r="N18" i="73"/>
  <c r="L18" i="73"/>
  <c r="D18" i="73"/>
  <c r="B18" i="73"/>
  <c r="Z17" i="73"/>
  <c r="X17" i="73"/>
  <c r="P17" i="73"/>
  <c r="N17" i="73"/>
  <c r="L17" i="73"/>
  <c r="D17" i="73"/>
  <c r="B17" i="73"/>
  <c r="Z16" i="73"/>
  <c r="P16" i="73"/>
  <c r="X16" i="73" s="1"/>
  <c r="N16" i="73"/>
  <c r="L16" i="73"/>
  <c r="D16" i="73"/>
  <c r="B16" i="73"/>
  <c r="P15" i="73"/>
  <c r="D15" i="73"/>
  <c r="L15" i="73" s="1"/>
  <c r="N15" i="73" s="1"/>
  <c r="B15" i="73"/>
  <c r="Z14" i="73"/>
  <c r="P14" i="73"/>
  <c r="X14" i="73" s="1"/>
  <c r="N14" i="73"/>
  <c r="D14" i="73"/>
  <c r="L14" i="73" s="1"/>
  <c r="B14" i="73"/>
  <c r="Z13" i="73"/>
  <c r="P13" i="73"/>
  <c r="X13" i="73" s="1"/>
  <c r="N13" i="73"/>
  <c r="L13" i="73"/>
  <c r="D13" i="73"/>
  <c r="B13" i="73"/>
  <c r="T12" i="73"/>
  <c r="V58" i="73" s="1"/>
  <c r="H12" i="73"/>
  <c r="J76" i="73" s="1"/>
  <c r="D6" i="73"/>
  <c r="D4" i="73"/>
  <c r="Z122" i="71"/>
  <c r="X122" i="71"/>
  <c r="N122" i="71"/>
  <c r="L122" i="71"/>
  <c r="J122" i="71"/>
  <c r="P118" i="71"/>
  <c r="X118" i="71" s="1"/>
  <c r="Z118" i="71" s="1"/>
  <c r="N118" i="71"/>
  <c r="D118" i="71"/>
  <c r="L118" i="71" s="1"/>
  <c r="B118" i="71"/>
  <c r="Z117" i="71"/>
  <c r="P117" i="71"/>
  <c r="X117" i="71" s="1"/>
  <c r="N117" i="71"/>
  <c r="D117" i="71"/>
  <c r="D114" i="71" s="1"/>
  <c r="L114" i="71" s="1"/>
  <c r="N114" i="71" s="1"/>
  <c r="B117" i="71"/>
  <c r="Z116" i="71"/>
  <c r="P116" i="71"/>
  <c r="N116" i="71"/>
  <c r="L116" i="71"/>
  <c r="D116" i="71"/>
  <c r="B116" i="71"/>
  <c r="Z115" i="71"/>
  <c r="X115" i="71"/>
  <c r="P115" i="71"/>
  <c r="N115" i="71"/>
  <c r="L115" i="71"/>
  <c r="D115" i="71"/>
  <c r="B115" i="71"/>
  <c r="T114" i="71"/>
  <c r="H114" i="71"/>
  <c r="Z112" i="71"/>
  <c r="X112" i="71"/>
  <c r="N112" i="71"/>
  <c r="L112" i="71"/>
  <c r="J112" i="71"/>
  <c r="B112" i="71"/>
  <c r="Z111" i="71"/>
  <c r="T111" i="71"/>
  <c r="P111" i="71"/>
  <c r="X111" i="71" s="1"/>
  <c r="H111" i="71"/>
  <c r="N111" i="71" s="1"/>
  <c r="D111" i="71"/>
  <c r="L111" i="71" s="1"/>
  <c r="B111" i="71"/>
  <c r="X110" i="71"/>
  <c r="Z110" i="71" s="1"/>
  <c r="V110" i="71"/>
  <c r="N110" i="71"/>
  <c r="L110" i="71"/>
  <c r="B110" i="71"/>
  <c r="T109" i="71"/>
  <c r="P109" i="71"/>
  <c r="X109" i="71" s="1"/>
  <c r="Z109" i="71" s="1"/>
  <c r="N109" i="71"/>
  <c r="L109" i="71"/>
  <c r="H109" i="71"/>
  <c r="D109" i="71"/>
  <c r="B109" i="71"/>
  <c r="Z108" i="71"/>
  <c r="X108" i="71"/>
  <c r="N108" i="71"/>
  <c r="L108" i="71"/>
  <c r="J108" i="71"/>
  <c r="B108" i="71"/>
  <c r="X107" i="71"/>
  <c r="Z107" i="71" s="1"/>
  <c r="N107" i="71"/>
  <c r="L107" i="71"/>
  <c r="B107" i="71"/>
  <c r="T106" i="71"/>
  <c r="P106" i="71"/>
  <c r="X106" i="71" s="1"/>
  <c r="Z106" i="71" s="1"/>
  <c r="H106" i="71"/>
  <c r="D106" i="71"/>
  <c r="L106" i="71" s="1"/>
  <c r="N106" i="71" s="1"/>
  <c r="B106" i="71"/>
  <c r="X105" i="71"/>
  <c r="Z105" i="71" s="1"/>
  <c r="L105" i="71"/>
  <c r="N105" i="71" s="1"/>
  <c r="B105" i="71"/>
  <c r="X104" i="71"/>
  <c r="Z104" i="71" s="1"/>
  <c r="N104" i="71"/>
  <c r="L104" i="71"/>
  <c r="B104" i="71"/>
  <c r="Z103" i="71"/>
  <c r="X103" i="71"/>
  <c r="N103" i="71"/>
  <c r="L103" i="71"/>
  <c r="B103" i="71"/>
  <c r="X102" i="71"/>
  <c r="V102" i="71"/>
  <c r="T102" i="71"/>
  <c r="Z102" i="71" s="1"/>
  <c r="P102" i="71"/>
  <c r="N102" i="71"/>
  <c r="L102" i="71"/>
  <c r="H102" i="71"/>
  <c r="D102" i="71"/>
  <c r="B102" i="71"/>
  <c r="Z101" i="71"/>
  <c r="X101" i="71"/>
  <c r="L101" i="71"/>
  <c r="N101" i="71" s="1"/>
  <c r="B101" i="71"/>
  <c r="T100" i="71"/>
  <c r="P100" i="71"/>
  <c r="X100" i="71" s="1"/>
  <c r="H100" i="71"/>
  <c r="D100" i="71"/>
  <c r="B100" i="71"/>
  <c r="X99" i="71"/>
  <c r="Z99" i="71" s="1"/>
  <c r="N99" i="71"/>
  <c r="L99" i="71"/>
  <c r="B99" i="71"/>
  <c r="Z98" i="71"/>
  <c r="X98" i="71"/>
  <c r="L98" i="71"/>
  <c r="N98" i="71" s="1"/>
  <c r="J98" i="71"/>
  <c r="B98" i="71"/>
  <c r="X97" i="71"/>
  <c r="T97" i="71"/>
  <c r="P97" i="71"/>
  <c r="H97" i="71"/>
  <c r="D97" i="71"/>
  <c r="B97" i="71"/>
  <c r="Z96" i="71"/>
  <c r="X96" i="71"/>
  <c r="L96" i="71"/>
  <c r="N96" i="71" s="1"/>
  <c r="B96" i="71"/>
  <c r="T95" i="71"/>
  <c r="P95" i="71"/>
  <c r="H95" i="71"/>
  <c r="D95" i="71"/>
  <c r="B95" i="71"/>
  <c r="Z94" i="71"/>
  <c r="X94" i="71"/>
  <c r="N94" i="71"/>
  <c r="L94" i="71"/>
  <c r="B94" i="71"/>
  <c r="Z93" i="71"/>
  <c r="X93" i="71"/>
  <c r="T93" i="71"/>
  <c r="P93" i="71"/>
  <c r="N93" i="71"/>
  <c r="H93" i="71"/>
  <c r="D93" i="71"/>
  <c r="L93" i="71" s="1"/>
  <c r="B93" i="71"/>
  <c r="Z92" i="71"/>
  <c r="X92" i="71"/>
  <c r="N92" i="71"/>
  <c r="L92" i="71"/>
  <c r="B92" i="71"/>
  <c r="X91" i="71"/>
  <c r="Z91" i="71" s="1"/>
  <c r="N91" i="71"/>
  <c r="L91" i="71"/>
  <c r="B91" i="71"/>
  <c r="T90" i="71"/>
  <c r="P90" i="71"/>
  <c r="X90" i="71" s="1"/>
  <c r="Z90" i="71" s="1"/>
  <c r="L90" i="71"/>
  <c r="N90" i="71" s="1"/>
  <c r="H90" i="71"/>
  <c r="D90" i="71"/>
  <c r="B90" i="71"/>
  <c r="X89" i="71"/>
  <c r="Z89" i="71" s="1"/>
  <c r="L89" i="71"/>
  <c r="N89" i="71" s="1"/>
  <c r="J89" i="71"/>
  <c r="B89" i="71"/>
  <c r="X88" i="71"/>
  <c r="Z88" i="71" s="1"/>
  <c r="T88" i="71"/>
  <c r="P88" i="71"/>
  <c r="J88" i="71"/>
  <c r="H88" i="71"/>
  <c r="D88" i="71"/>
  <c r="L88" i="71" s="1"/>
  <c r="N88" i="71" s="1"/>
  <c r="B88" i="71"/>
  <c r="Z87" i="71"/>
  <c r="X87" i="71"/>
  <c r="L87" i="71"/>
  <c r="N87" i="71" s="1"/>
  <c r="B87" i="71"/>
  <c r="X86" i="71"/>
  <c r="T86" i="71"/>
  <c r="P86" i="71"/>
  <c r="J86" i="71"/>
  <c r="H86" i="71"/>
  <c r="D86" i="71"/>
  <c r="B86" i="71"/>
  <c r="Z85" i="71"/>
  <c r="X85" i="71"/>
  <c r="V85" i="71"/>
  <c r="N85" i="71"/>
  <c r="L85" i="71"/>
  <c r="B85" i="71"/>
  <c r="Z84" i="71"/>
  <c r="X84" i="71"/>
  <c r="L84" i="71"/>
  <c r="N84" i="71" s="1"/>
  <c r="B84" i="71"/>
  <c r="X83" i="71"/>
  <c r="V83" i="71"/>
  <c r="T83" i="71"/>
  <c r="P83" i="71"/>
  <c r="N83" i="71"/>
  <c r="L83" i="71"/>
  <c r="H83" i="71"/>
  <c r="D83" i="71"/>
  <c r="B83" i="71"/>
  <c r="Z82" i="71"/>
  <c r="X82" i="71"/>
  <c r="V82" i="71"/>
  <c r="L82" i="71"/>
  <c r="N82" i="71" s="1"/>
  <c r="J82" i="71"/>
  <c r="B82" i="71"/>
  <c r="T81" i="71"/>
  <c r="P81" i="71"/>
  <c r="J81" i="71"/>
  <c r="H81" i="71"/>
  <c r="D81" i="71"/>
  <c r="B81" i="71"/>
  <c r="Z80" i="71"/>
  <c r="X80" i="71"/>
  <c r="N80" i="71"/>
  <c r="L80" i="71"/>
  <c r="B80" i="71"/>
  <c r="Z79" i="71"/>
  <c r="X79" i="71"/>
  <c r="N79" i="71"/>
  <c r="L79" i="71"/>
  <c r="J79" i="71"/>
  <c r="B79" i="71"/>
  <c r="X78" i="71"/>
  <c r="Z78" i="71" s="1"/>
  <c r="N78" i="71"/>
  <c r="L78" i="71"/>
  <c r="B78" i="71"/>
  <c r="Z77" i="71"/>
  <c r="X77" i="71"/>
  <c r="N77" i="71"/>
  <c r="L77" i="71"/>
  <c r="B77" i="71"/>
  <c r="Z76" i="71"/>
  <c r="X76" i="71"/>
  <c r="V76" i="71"/>
  <c r="N76" i="71"/>
  <c r="L76" i="71"/>
  <c r="B76" i="71"/>
  <c r="Z75" i="71"/>
  <c r="X75" i="71"/>
  <c r="L75" i="71"/>
  <c r="N75" i="71" s="1"/>
  <c r="B75" i="71"/>
  <c r="X74" i="71"/>
  <c r="Z74" i="71" s="1"/>
  <c r="N74" i="71"/>
  <c r="L74" i="71"/>
  <c r="B74" i="71"/>
  <c r="Z73" i="71"/>
  <c r="X73" i="71"/>
  <c r="N73" i="71"/>
  <c r="L73" i="71"/>
  <c r="B73" i="71"/>
  <c r="X72" i="71"/>
  <c r="Z72" i="71" s="1"/>
  <c r="N72" i="71"/>
  <c r="L72" i="71"/>
  <c r="B72" i="71"/>
  <c r="Z71" i="71"/>
  <c r="X71" i="71"/>
  <c r="N71" i="71"/>
  <c r="L71" i="71"/>
  <c r="B71" i="71"/>
  <c r="X70" i="71"/>
  <c r="V70" i="71"/>
  <c r="T70" i="71"/>
  <c r="P70" i="71"/>
  <c r="H70" i="71"/>
  <c r="D70" i="71"/>
  <c r="L70" i="71" s="1"/>
  <c r="B70" i="71"/>
  <c r="Z69" i="71"/>
  <c r="X69" i="71"/>
  <c r="N69" i="71"/>
  <c r="L69" i="71"/>
  <c r="B69" i="71"/>
  <c r="Z68" i="71"/>
  <c r="X68" i="71"/>
  <c r="L68" i="71"/>
  <c r="N68" i="71" s="1"/>
  <c r="B68" i="71"/>
  <c r="X67" i="71"/>
  <c r="Z67" i="71" s="1"/>
  <c r="N67" i="71"/>
  <c r="L67" i="71"/>
  <c r="B67" i="71"/>
  <c r="Z66" i="71"/>
  <c r="X66" i="71"/>
  <c r="N66" i="71"/>
  <c r="L66" i="71"/>
  <c r="J66" i="71"/>
  <c r="B66" i="71"/>
  <c r="Z65" i="71"/>
  <c r="X65" i="71"/>
  <c r="N65" i="71"/>
  <c r="L65" i="71"/>
  <c r="B65" i="71"/>
  <c r="X64" i="71"/>
  <c r="Z64" i="71" s="1"/>
  <c r="L64" i="71"/>
  <c r="N64" i="71" s="1"/>
  <c r="B64" i="71"/>
  <c r="X63" i="71"/>
  <c r="Z63" i="71" s="1"/>
  <c r="V63" i="71"/>
  <c r="N63" i="71"/>
  <c r="L63" i="71"/>
  <c r="J63" i="71"/>
  <c r="B63" i="71"/>
  <c r="Z62" i="71"/>
  <c r="X62" i="71"/>
  <c r="L62" i="71"/>
  <c r="N62" i="71" s="1"/>
  <c r="B62" i="71"/>
  <c r="Z61" i="71"/>
  <c r="X61" i="71"/>
  <c r="N61" i="71"/>
  <c r="L61" i="71"/>
  <c r="B61" i="71"/>
  <c r="Z60" i="71"/>
  <c r="X60" i="71"/>
  <c r="V60" i="71"/>
  <c r="N60" i="71"/>
  <c r="L60" i="71"/>
  <c r="J60" i="71"/>
  <c r="B60" i="71"/>
  <c r="T59" i="71"/>
  <c r="Z59" i="71" s="1"/>
  <c r="P59" i="71"/>
  <c r="X59" i="71" s="1"/>
  <c r="L59" i="71"/>
  <c r="H59" i="71"/>
  <c r="N59" i="71" s="1"/>
  <c r="D59" i="71"/>
  <c r="B59" i="71"/>
  <c r="T58" i="71"/>
  <c r="P58" i="71"/>
  <c r="X58" i="71" s="1"/>
  <c r="H58" i="71"/>
  <c r="D58" i="71"/>
  <c r="H56" i="71"/>
  <c r="Z54" i="71"/>
  <c r="X54" i="71"/>
  <c r="N54" i="71"/>
  <c r="L54" i="71"/>
  <c r="J54" i="71"/>
  <c r="B54" i="71"/>
  <c r="Z53" i="71"/>
  <c r="X53" i="71"/>
  <c r="N53" i="71"/>
  <c r="L53" i="71"/>
  <c r="B53" i="71"/>
  <c r="Z52" i="71"/>
  <c r="X52" i="71"/>
  <c r="N52" i="71"/>
  <c r="L52" i="71"/>
  <c r="B52" i="71"/>
  <c r="Z51" i="71"/>
  <c r="X51" i="71"/>
  <c r="N51" i="71"/>
  <c r="L51" i="71"/>
  <c r="J51" i="71"/>
  <c r="B51" i="71"/>
  <c r="Z50" i="71"/>
  <c r="X50" i="71"/>
  <c r="N50" i="71"/>
  <c r="L50" i="71"/>
  <c r="J50" i="71"/>
  <c r="B50" i="71"/>
  <c r="Z49" i="71"/>
  <c r="X49" i="71"/>
  <c r="N49" i="71"/>
  <c r="L49" i="71"/>
  <c r="B49" i="71"/>
  <c r="Z48" i="71"/>
  <c r="X48" i="71"/>
  <c r="N48" i="71"/>
  <c r="L48" i="71"/>
  <c r="B48" i="71"/>
  <c r="Z47" i="71"/>
  <c r="X47" i="71"/>
  <c r="N47" i="71"/>
  <c r="L47" i="71"/>
  <c r="J47" i="71"/>
  <c r="B47" i="71"/>
  <c r="Z46" i="71"/>
  <c r="X46" i="71"/>
  <c r="N46" i="71"/>
  <c r="L46" i="71"/>
  <c r="J46" i="71"/>
  <c r="B46" i="71"/>
  <c r="Z45" i="71"/>
  <c r="X45" i="71"/>
  <c r="N45" i="71"/>
  <c r="L45" i="71"/>
  <c r="B45" i="71"/>
  <c r="Z44" i="71"/>
  <c r="X44" i="71"/>
  <c r="N44" i="71"/>
  <c r="L44" i="71"/>
  <c r="B44" i="71"/>
  <c r="Z43" i="71"/>
  <c r="X43" i="71"/>
  <c r="N43" i="71"/>
  <c r="L43" i="71"/>
  <c r="J43" i="71"/>
  <c r="B43" i="71"/>
  <c r="Z42" i="71"/>
  <c r="X42" i="71"/>
  <c r="N42" i="71"/>
  <c r="L42" i="71"/>
  <c r="J42" i="71"/>
  <c r="B42" i="71"/>
  <c r="Z41" i="71"/>
  <c r="X41" i="71"/>
  <c r="L41" i="71"/>
  <c r="N41" i="71" s="1"/>
  <c r="B41" i="71"/>
  <c r="T40" i="71"/>
  <c r="P40" i="71"/>
  <c r="X40" i="71" s="1"/>
  <c r="H40" i="71"/>
  <c r="N40" i="71" s="1"/>
  <c r="D40" i="71"/>
  <c r="L40" i="71" s="1"/>
  <c r="Z38" i="71"/>
  <c r="P38" i="71"/>
  <c r="X38" i="71" s="1"/>
  <c r="N38" i="71"/>
  <c r="L38" i="71"/>
  <c r="D38" i="71"/>
  <c r="B38" i="71"/>
  <c r="Z37" i="71"/>
  <c r="P37" i="71"/>
  <c r="X37" i="71" s="1"/>
  <c r="N37" i="71"/>
  <c r="D37" i="71"/>
  <c r="L37" i="71" s="1"/>
  <c r="B37" i="71"/>
  <c r="Z36" i="71"/>
  <c r="X36" i="71"/>
  <c r="P36" i="71"/>
  <c r="N36" i="71"/>
  <c r="L36" i="71"/>
  <c r="D36" i="71"/>
  <c r="B36" i="71"/>
  <c r="Z35" i="71"/>
  <c r="X35" i="71"/>
  <c r="P35" i="71"/>
  <c r="N35" i="71"/>
  <c r="D35" i="71"/>
  <c r="L35" i="71" s="1"/>
  <c r="B35" i="71"/>
  <c r="Z34" i="71"/>
  <c r="X34" i="71"/>
  <c r="P34" i="71"/>
  <c r="N34" i="71"/>
  <c r="L34" i="71"/>
  <c r="D34" i="71"/>
  <c r="B34" i="71"/>
  <c r="Z33" i="71"/>
  <c r="X33" i="71"/>
  <c r="P33" i="71"/>
  <c r="N33" i="71"/>
  <c r="L33" i="71"/>
  <c r="D33" i="71"/>
  <c r="B33" i="71"/>
  <c r="Z32" i="71"/>
  <c r="P32" i="71"/>
  <c r="X32" i="71" s="1"/>
  <c r="N32" i="71"/>
  <c r="L32" i="71"/>
  <c r="D32" i="71"/>
  <c r="B32" i="71"/>
  <c r="Z31" i="71"/>
  <c r="P31" i="71"/>
  <c r="X31" i="71" s="1"/>
  <c r="N31" i="71"/>
  <c r="L31" i="71"/>
  <c r="D31" i="71"/>
  <c r="B31" i="71"/>
  <c r="Z30" i="71"/>
  <c r="P30" i="71"/>
  <c r="X30" i="71" s="1"/>
  <c r="N30" i="71"/>
  <c r="L30" i="71"/>
  <c r="D30" i="71"/>
  <c r="B30" i="71"/>
  <c r="Z29" i="71"/>
  <c r="X29" i="71"/>
  <c r="P29" i="71"/>
  <c r="N29" i="71"/>
  <c r="D29" i="71"/>
  <c r="L29" i="71" s="1"/>
  <c r="B29" i="71"/>
  <c r="Z28" i="71"/>
  <c r="P28" i="71"/>
  <c r="X28" i="71" s="1"/>
  <c r="N28" i="71"/>
  <c r="D28" i="71"/>
  <c r="L28" i="71" s="1"/>
  <c r="B28" i="71"/>
  <c r="Z27" i="71"/>
  <c r="X27" i="71"/>
  <c r="P27" i="71"/>
  <c r="N27" i="71"/>
  <c r="D27" i="71"/>
  <c r="L27" i="71" s="1"/>
  <c r="B27" i="71"/>
  <c r="Z26" i="71"/>
  <c r="P26" i="71"/>
  <c r="X26" i="71" s="1"/>
  <c r="N26" i="71"/>
  <c r="L26" i="71"/>
  <c r="D26" i="71"/>
  <c r="B26" i="71"/>
  <c r="Z25" i="71"/>
  <c r="P25" i="71"/>
  <c r="X25" i="71" s="1"/>
  <c r="N25" i="71"/>
  <c r="D25" i="71"/>
  <c r="L25" i="71" s="1"/>
  <c r="B25" i="71"/>
  <c r="Z24" i="71"/>
  <c r="X24" i="71"/>
  <c r="P24" i="71"/>
  <c r="N24" i="71"/>
  <c r="L24" i="71"/>
  <c r="D24" i="71"/>
  <c r="B24" i="71"/>
  <c r="Z23" i="71"/>
  <c r="X23" i="71"/>
  <c r="P23" i="71"/>
  <c r="N23" i="71"/>
  <c r="D23" i="71"/>
  <c r="L23" i="71" s="1"/>
  <c r="B23" i="71"/>
  <c r="Z22" i="71"/>
  <c r="X22" i="71"/>
  <c r="P22" i="71"/>
  <c r="N22" i="71"/>
  <c r="L22" i="71"/>
  <c r="D22" i="71"/>
  <c r="B22" i="71"/>
  <c r="X21" i="71"/>
  <c r="Z21" i="71" s="1"/>
  <c r="P21" i="71"/>
  <c r="L21" i="71"/>
  <c r="N21" i="71" s="1"/>
  <c r="D21" i="71"/>
  <c r="B21" i="71"/>
  <c r="Z20" i="71"/>
  <c r="P20" i="71"/>
  <c r="X20" i="71" s="1"/>
  <c r="N20" i="71"/>
  <c r="L20" i="71"/>
  <c r="D20" i="71"/>
  <c r="B20" i="71"/>
  <c r="Z19" i="71"/>
  <c r="P19" i="71"/>
  <c r="X19" i="71" s="1"/>
  <c r="N19" i="71"/>
  <c r="L19" i="71"/>
  <c r="D19" i="71"/>
  <c r="B19" i="71"/>
  <c r="Z18" i="71"/>
  <c r="P18" i="71"/>
  <c r="X18" i="71" s="1"/>
  <c r="N18" i="71"/>
  <c r="L18" i="71"/>
  <c r="D18" i="71"/>
  <c r="B18" i="71"/>
  <c r="Z17" i="71"/>
  <c r="X17" i="71"/>
  <c r="P17" i="71"/>
  <c r="N17" i="71"/>
  <c r="D17" i="71"/>
  <c r="L17" i="71" s="1"/>
  <c r="B17" i="71"/>
  <c r="Z16" i="71"/>
  <c r="P16" i="71"/>
  <c r="X16" i="71" s="1"/>
  <c r="N16" i="71"/>
  <c r="D16" i="71"/>
  <c r="L16" i="71" s="1"/>
  <c r="B16" i="71"/>
  <c r="Z15" i="71"/>
  <c r="X15" i="71"/>
  <c r="P15" i="71"/>
  <c r="N15" i="71"/>
  <c r="D15" i="71"/>
  <c r="L15" i="71" s="1"/>
  <c r="B15" i="71"/>
  <c r="Z14" i="71"/>
  <c r="P14" i="71"/>
  <c r="N14" i="71"/>
  <c r="L14" i="71"/>
  <c r="D14" i="71"/>
  <c r="B14" i="71"/>
  <c r="Z13" i="71"/>
  <c r="P13" i="71"/>
  <c r="X13" i="71" s="1"/>
  <c r="N13" i="71"/>
  <c r="D13" i="71"/>
  <c r="D12" i="71" s="1"/>
  <c r="B13" i="71"/>
  <c r="T12" i="71"/>
  <c r="V99" i="71" s="1"/>
  <c r="H12" i="71"/>
  <c r="J105" i="71" s="1"/>
  <c r="D6" i="71"/>
  <c r="D4" i="71"/>
  <c r="Z76" i="70"/>
  <c r="X76" i="70"/>
  <c r="V76" i="70"/>
  <c r="N76" i="70"/>
  <c r="L76" i="70"/>
  <c r="V72" i="70"/>
  <c r="T72" i="70"/>
  <c r="Z72" i="70" s="1"/>
  <c r="P72" i="70"/>
  <c r="N72" i="70"/>
  <c r="L72" i="70"/>
  <c r="H72" i="70"/>
  <c r="D72" i="70"/>
  <c r="X70" i="70"/>
  <c r="Z70" i="70" s="1"/>
  <c r="V70" i="70"/>
  <c r="N70" i="70"/>
  <c r="L70" i="70"/>
  <c r="B70" i="70"/>
  <c r="T69" i="70"/>
  <c r="P69" i="70"/>
  <c r="X69" i="70" s="1"/>
  <c r="Z69" i="70" s="1"/>
  <c r="N69" i="70"/>
  <c r="L69" i="70"/>
  <c r="H69" i="70"/>
  <c r="D69" i="70"/>
  <c r="B69" i="70"/>
  <c r="Z68" i="70"/>
  <c r="X68" i="70"/>
  <c r="N68" i="70"/>
  <c r="L68" i="70"/>
  <c r="B68" i="70"/>
  <c r="Z67" i="70"/>
  <c r="X67" i="70"/>
  <c r="T67" i="70"/>
  <c r="P67" i="70"/>
  <c r="L67" i="70"/>
  <c r="H67" i="70"/>
  <c r="N67" i="70" s="1"/>
  <c r="D67" i="70"/>
  <c r="B67" i="70"/>
  <c r="Z66" i="70"/>
  <c r="X66" i="70"/>
  <c r="L66" i="70"/>
  <c r="N66" i="70" s="1"/>
  <c r="B66" i="70"/>
  <c r="Z65" i="70"/>
  <c r="X65" i="70"/>
  <c r="V65" i="70"/>
  <c r="N65" i="70"/>
  <c r="L65" i="70"/>
  <c r="B65" i="70"/>
  <c r="Z64" i="70"/>
  <c r="X64" i="70"/>
  <c r="V64" i="70"/>
  <c r="N64" i="70"/>
  <c r="L64" i="70"/>
  <c r="B64" i="70"/>
  <c r="T63" i="70"/>
  <c r="P63" i="70"/>
  <c r="L63" i="70"/>
  <c r="H63" i="70"/>
  <c r="N63" i="70" s="1"/>
  <c r="D63" i="70"/>
  <c r="B63" i="70"/>
  <c r="Z62" i="70"/>
  <c r="X62" i="70"/>
  <c r="V62" i="70"/>
  <c r="N62" i="70"/>
  <c r="L62" i="70"/>
  <c r="F62" i="70"/>
  <c r="B62" i="70"/>
  <c r="Z61" i="70"/>
  <c r="X61" i="70"/>
  <c r="L61" i="70"/>
  <c r="N61" i="70" s="1"/>
  <c r="B61" i="70"/>
  <c r="X60" i="70"/>
  <c r="Z60" i="70" s="1"/>
  <c r="T60" i="70"/>
  <c r="P60" i="70"/>
  <c r="H60" i="70"/>
  <c r="D60" i="70"/>
  <c r="B60" i="70"/>
  <c r="Z59" i="70"/>
  <c r="X59" i="70"/>
  <c r="L59" i="70"/>
  <c r="N59" i="70" s="1"/>
  <c r="B59" i="70"/>
  <c r="T58" i="70"/>
  <c r="P58" i="70"/>
  <c r="H58" i="70"/>
  <c r="N58" i="70" s="1"/>
  <c r="D58" i="70"/>
  <c r="L58" i="70" s="1"/>
  <c r="B58" i="70"/>
  <c r="X57" i="70"/>
  <c r="Z57" i="70" s="1"/>
  <c r="V57" i="70"/>
  <c r="N57" i="70"/>
  <c r="L57" i="70"/>
  <c r="B57" i="70"/>
  <c r="Z56" i="70"/>
  <c r="V56" i="70"/>
  <c r="T56" i="70"/>
  <c r="P56" i="70"/>
  <c r="X56" i="70" s="1"/>
  <c r="N56" i="70"/>
  <c r="L56" i="70"/>
  <c r="H56" i="70"/>
  <c r="D56" i="70"/>
  <c r="B56" i="70"/>
  <c r="Z55" i="70"/>
  <c r="X55" i="70"/>
  <c r="N55" i="70"/>
  <c r="L55" i="70"/>
  <c r="B55" i="70"/>
  <c r="V54" i="70"/>
  <c r="T54" i="70"/>
  <c r="Z54" i="70" s="1"/>
  <c r="P54" i="70"/>
  <c r="N54" i="70"/>
  <c r="L54" i="70"/>
  <c r="H54" i="70"/>
  <c r="D54" i="70"/>
  <c r="B54" i="70"/>
  <c r="Z53" i="70"/>
  <c r="X53" i="70"/>
  <c r="V53" i="70"/>
  <c r="N53" i="70"/>
  <c r="L53" i="70"/>
  <c r="B53" i="70"/>
  <c r="T52" i="70"/>
  <c r="Z52" i="70" s="1"/>
  <c r="P52" i="70"/>
  <c r="X52" i="70" s="1"/>
  <c r="H52" i="70"/>
  <c r="N52" i="70" s="1"/>
  <c r="D52" i="70"/>
  <c r="L52" i="70" s="1"/>
  <c r="B52" i="70"/>
  <c r="X51" i="70"/>
  <c r="Z51" i="70" s="1"/>
  <c r="R51" i="70"/>
  <c r="L51" i="70"/>
  <c r="N51" i="70" s="1"/>
  <c r="B51" i="70"/>
  <c r="Z50" i="70"/>
  <c r="X50" i="70"/>
  <c r="T50" i="70"/>
  <c r="P50" i="70"/>
  <c r="N50" i="70"/>
  <c r="H50" i="70"/>
  <c r="D50" i="70"/>
  <c r="L50" i="70" s="1"/>
  <c r="B50" i="70"/>
  <c r="Z49" i="70"/>
  <c r="X49" i="70"/>
  <c r="N49" i="70"/>
  <c r="L49" i="70"/>
  <c r="B49" i="70"/>
  <c r="Z48" i="70"/>
  <c r="X48" i="70"/>
  <c r="V48" i="70"/>
  <c r="T48" i="70"/>
  <c r="P48" i="70"/>
  <c r="H48" i="70"/>
  <c r="N48" i="70" s="1"/>
  <c r="D48" i="70"/>
  <c r="B48" i="70"/>
  <c r="Z47" i="70"/>
  <c r="X47" i="70"/>
  <c r="N47" i="70"/>
  <c r="L47" i="70"/>
  <c r="B47" i="70"/>
  <c r="T46" i="70"/>
  <c r="V46" i="70" s="1"/>
  <c r="P46" i="70"/>
  <c r="X46" i="70" s="1"/>
  <c r="H46" i="70"/>
  <c r="N46" i="70" s="1"/>
  <c r="D46" i="70"/>
  <c r="L46" i="70" s="1"/>
  <c r="B46" i="70"/>
  <c r="Z45" i="70"/>
  <c r="X45" i="70"/>
  <c r="V45" i="70"/>
  <c r="N45" i="70"/>
  <c r="L45" i="70"/>
  <c r="B45" i="70"/>
  <c r="Z44" i="70"/>
  <c r="X44" i="70"/>
  <c r="V44" i="70"/>
  <c r="N44" i="70"/>
  <c r="L44" i="70"/>
  <c r="B44" i="70"/>
  <c r="X43" i="70"/>
  <c r="Z43" i="70" s="1"/>
  <c r="L43" i="70"/>
  <c r="N43" i="70" s="1"/>
  <c r="B43" i="70"/>
  <c r="Z42" i="70"/>
  <c r="X42" i="70"/>
  <c r="N42" i="70"/>
  <c r="L42" i="70"/>
  <c r="B42" i="70"/>
  <c r="Z41" i="70"/>
  <c r="X41" i="70"/>
  <c r="V41" i="70"/>
  <c r="N41" i="70"/>
  <c r="L41" i="70"/>
  <c r="B41" i="70"/>
  <c r="Z40" i="70"/>
  <c r="X40" i="70"/>
  <c r="V40" i="70"/>
  <c r="N40" i="70"/>
  <c r="L40" i="70"/>
  <c r="B40" i="70"/>
  <c r="Z39" i="70"/>
  <c r="X39" i="70"/>
  <c r="N39" i="70"/>
  <c r="L39" i="70"/>
  <c r="B39" i="70"/>
  <c r="Z38" i="70"/>
  <c r="X38" i="70"/>
  <c r="N38" i="70"/>
  <c r="L38" i="70"/>
  <c r="B38" i="70"/>
  <c r="Z37" i="70"/>
  <c r="X37" i="70"/>
  <c r="V37" i="70"/>
  <c r="N37" i="70"/>
  <c r="L37" i="70"/>
  <c r="B37" i="70"/>
  <c r="Z36" i="70"/>
  <c r="X36" i="70"/>
  <c r="V36" i="70"/>
  <c r="L36" i="70"/>
  <c r="N36" i="70" s="1"/>
  <c r="B36" i="70"/>
  <c r="T35" i="70"/>
  <c r="P35" i="70"/>
  <c r="X35" i="70" s="1"/>
  <c r="L35" i="70"/>
  <c r="H35" i="70"/>
  <c r="N35" i="70" s="1"/>
  <c r="D35" i="70"/>
  <c r="B35" i="70"/>
  <c r="Z34" i="70"/>
  <c r="X34" i="70"/>
  <c r="V34" i="70"/>
  <c r="N34" i="70"/>
  <c r="L34" i="70"/>
  <c r="B34" i="70"/>
  <c r="Z33" i="70"/>
  <c r="X33" i="70"/>
  <c r="L33" i="70"/>
  <c r="N33" i="70" s="1"/>
  <c r="F33" i="70"/>
  <c r="B33" i="70"/>
  <c r="X32" i="70"/>
  <c r="Z32" i="70" s="1"/>
  <c r="V32" i="70"/>
  <c r="N32" i="70"/>
  <c r="L32" i="70"/>
  <c r="B32" i="70"/>
  <c r="Z31" i="70"/>
  <c r="X31" i="70"/>
  <c r="N31" i="70"/>
  <c r="L31" i="70"/>
  <c r="B31" i="70"/>
  <c r="X30" i="70"/>
  <c r="Z30" i="70" s="1"/>
  <c r="V30" i="70"/>
  <c r="N30" i="70"/>
  <c r="L30" i="70"/>
  <c r="F30" i="70"/>
  <c r="B30" i="70"/>
  <c r="Z29" i="70"/>
  <c r="X29" i="70"/>
  <c r="L29" i="70"/>
  <c r="N29" i="70" s="1"/>
  <c r="B29" i="70"/>
  <c r="X28" i="70"/>
  <c r="Z28" i="70" s="1"/>
  <c r="V28" i="70"/>
  <c r="N28" i="70"/>
  <c r="L28" i="70"/>
  <c r="B28" i="70"/>
  <c r="X27" i="70"/>
  <c r="Z27" i="70" s="1"/>
  <c r="N27" i="70"/>
  <c r="L27" i="70"/>
  <c r="B27" i="70"/>
  <c r="X26" i="70"/>
  <c r="Z26" i="70" s="1"/>
  <c r="V26" i="70"/>
  <c r="N26" i="70"/>
  <c r="L26" i="70"/>
  <c r="F26" i="70"/>
  <c r="B26" i="70"/>
  <c r="T25" i="70"/>
  <c r="P25" i="70"/>
  <c r="X25" i="70" s="1"/>
  <c r="Z25" i="70" s="1"/>
  <c r="L25" i="70"/>
  <c r="N25" i="70" s="1"/>
  <c r="H25" i="70"/>
  <c r="D25" i="70"/>
  <c r="B25" i="70"/>
  <c r="T24" i="70"/>
  <c r="P24" i="70"/>
  <c r="X24" i="70" s="1"/>
  <c r="H24" i="70"/>
  <c r="D24" i="70"/>
  <c r="L24" i="70" s="1"/>
  <c r="N24" i="70" s="1"/>
  <c r="Z20" i="70"/>
  <c r="X20" i="70"/>
  <c r="N20" i="70"/>
  <c r="L20" i="70"/>
  <c r="B20" i="70"/>
  <c r="Z19" i="70"/>
  <c r="X19" i="70"/>
  <c r="V19" i="70"/>
  <c r="N19" i="70"/>
  <c r="L19" i="70"/>
  <c r="B19" i="70"/>
  <c r="Z18" i="70"/>
  <c r="X18" i="70"/>
  <c r="V18" i="70"/>
  <c r="N18" i="70"/>
  <c r="L18" i="70"/>
  <c r="B18" i="70"/>
  <c r="T17" i="70"/>
  <c r="P17" i="70"/>
  <c r="N17" i="70"/>
  <c r="L17" i="70"/>
  <c r="H17" i="70"/>
  <c r="D17" i="70"/>
  <c r="Z15" i="70"/>
  <c r="X15" i="70"/>
  <c r="P15" i="70"/>
  <c r="P12" i="70" s="1"/>
  <c r="N15" i="70"/>
  <c r="D15" i="70"/>
  <c r="L15" i="70" s="1"/>
  <c r="B15" i="70"/>
  <c r="Z14" i="70"/>
  <c r="X14" i="70"/>
  <c r="P14" i="70"/>
  <c r="D14" i="70"/>
  <c r="L14" i="70" s="1"/>
  <c r="N14" i="70" s="1"/>
  <c r="B14" i="70"/>
  <c r="Z13" i="70"/>
  <c r="X13" i="70"/>
  <c r="P13" i="70"/>
  <c r="N13" i="70"/>
  <c r="L13" i="70"/>
  <c r="D13" i="70"/>
  <c r="D12" i="70" s="1"/>
  <c r="F59" i="70" s="1"/>
  <c r="B13" i="70"/>
  <c r="T12" i="70"/>
  <c r="V60" i="70" s="1"/>
  <c r="H12" i="70"/>
  <c r="J60" i="70" s="1"/>
  <c r="D6" i="70"/>
  <c r="D4" i="70"/>
  <c r="Z116" i="69"/>
  <c r="X116" i="69"/>
  <c r="L116" i="69"/>
  <c r="N116" i="69" s="1"/>
  <c r="Z112" i="69"/>
  <c r="T112" i="69"/>
  <c r="P112" i="69"/>
  <c r="X112" i="69" s="1"/>
  <c r="H112" i="69"/>
  <c r="N112" i="69" s="1"/>
  <c r="D112" i="69"/>
  <c r="L112" i="69" s="1"/>
  <c r="Z110" i="69"/>
  <c r="X110" i="69"/>
  <c r="V110" i="69"/>
  <c r="N110" i="69"/>
  <c r="L110" i="69"/>
  <c r="B110" i="69"/>
  <c r="X109" i="69"/>
  <c r="T109" i="69"/>
  <c r="P109" i="69"/>
  <c r="N109" i="69"/>
  <c r="L109" i="69"/>
  <c r="H109" i="69"/>
  <c r="D109" i="69"/>
  <c r="B109" i="69"/>
  <c r="X108" i="69"/>
  <c r="Z108" i="69" s="1"/>
  <c r="L108" i="69"/>
  <c r="N108" i="69" s="1"/>
  <c r="B108" i="69"/>
  <c r="T107" i="69"/>
  <c r="P107" i="69"/>
  <c r="X107" i="69" s="1"/>
  <c r="L107" i="69"/>
  <c r="J107" i="69"/>
  <c r="H107" i="69"/>
  <c r="D107" i="69"/>
  <c r="B107" i="69"/>
  <c r="X106" i="69"/>
  <c r="Z106" i="69" s="1"/>
  <c r="N106" i="69"/>
  <c r="L106" i="69"/>
  <c r="B106" i="69"/>
  <c r="T105" i="69"/>
  <c r="P105" i="69"/>
  <c r="X105" i="69" s="1"/>
  <c r="Z105" i="69" s="1"/>
  <c r="L105" i="69"/>
  <c r="N105" i="69" s="1"/>
  <c r="H105" i="69"/>
  <c r="D105" i="69"/>
  <c r="B105" i="69"/>
  <c r="Z104" i="69"/>
  <c r="X104" i="69"/>
  <c r="N104" i="69"/>
  <c r="L104" i="69"/>
  <c r="J104" i="69"/>
  <c r="B104" i="69"/>
  <c r="Z103" i="69"/>
  <c r="X103" i="69"/>
  <c r="L103" i="69"/>
  <c r="N103" i="69" s="1"/>
  <c r="B103" i="69"/>
  <c r="T102" i="69"/>
  <c r="Z102" i="69" s="1"/>
  <c r="P102" i="69"/>
  <c r="X102" i="69" s="1"/>
  <c r="H102" i="69"/>
  <c r="N102" i="69" s="1"/>
  <c r="D102" i="69"/>
  <c r="L102" i="69" s="1"/>
  <c r="B102" i="69"/>
  <c r="X101" i="69"/>
  <c r="Z101" i="69" s="1"/>
  <c r="N101" i="69"/>
  <c r="L101" i="69"/>
  <c r="B101" i="69"/>
  <c r="V100" i="69"/>
  <c r="T100" i="69"/>
  <c r="P100" i="69"/>
  <c r="X100" i="69" s="1"/>
  <c r="Z100" i="69" s="1"/>
  <c r="H100" i="69"/>
  <c r="D100" i="69"/>
  <c r="L100" i="69" s="1"/>
  <c r="N100" i="69" s="1"/>
  <c r="B100" i="69"/>
  <c r="X99" i="69"/>
  <c r="Z99" i="69" s="1"/>
  <c r="N99" i="69"/>
  <c r="L99" i="69"/>
  <c r="B99" i="69"/>
  <c r="T98" i="69"/>
  <c r="P98" i="69"/>
  <c r="N98" i="69"/>
  <c r="L98" i="69"/>
  <c r="H98" i="69"/>
  <c r="D98" i="69"/>
  <c r="B98" i="69"/>
  <c r="X97" i="69"/>
  <c r="Z97" i="69" s="1"/>
  <c r="L97" i="69"/>
  <c r="N97" i="69" s="1"/>
  <c r="J97" i="69"/>
  <c r="B97" i="69"/>
  <c r="T96" i="69"/>
  <c r="Z96" i="69" s="1"/>
  <c r="P96" i="69"/>
  <c r="X96" i="69" s="1"/>
  <c r="H96" i="69"/>
  <c r="D96" i="69"/>
  <c r="B96" i="69"/>
  <c r="X95" i="69"/>
  <c r="Z95" i="69" s="1"/>
  <c r="N95" i="69"/>
  <c r="L95" i="69"/>
  <c r="B95" i="69"/>
  <c r="T94" i="69"/>
  <c r="P94" i="69"/>
  <c r="X94" i="69" s="1"/>
  <c r="Z94" i="69" s="1"/>
  <c r="H94" i="69"/>
  <c r="D94" i="69"/>
  <c r="L94" i="69" s="1"/>
  <c r="N94" i="69" s="1"/>
  <c r="B94" i="69"/>
  <c r="Z93" i="69"/>
  <c r="X93" i="69"/>
  <c r="N93" i="69"/>
  <c r="L93" i="69"/>
  <c r="B93" i="69"/>
  <c r="X92" i="69"/>
  <c r="Z92" i="69" s="1"/>
  <c r="N92" i="69"/>
  <c r="L92" i="69"/>
  <c r="B92" i="69"/>
  <c r="T91" i="69"/>
  <c r="P91" i="69"/>
  <c r="H91" i="69"/>
  <c r="D91" i="69"/>
  <c r="L91" i="69" s="1"/>
  <c r="N91" i="69" s="1"/>
  <c r="B91" i="69"/>
  <c r="Z90" i="69"/>
  <c r="X90" i="69"/>
  <c r="N90" i="69"/>
  <c r="L90" i="69"/>
  <c r="B90" i="69"/>
  <c r="T89" i="69"/>
  <c r="Z89" i="69" s="1"/>
  <c r="P89" i="69"/>
  <c r="N89" i="69"/>
  <c r="L89" i="69"/>
  <c r="H89" i="69"/>
  <c r="D89" i="69"/>
  <c r="B89" i="69"/>
  <c r="X88" i="69"/>
  <c r="Z88" i="69" s="1"/>
  <c r="V88" i="69"/>
  <c r="N88" i="69"/>
  <c r="L88" i="69"/>
  <c r="B88" i="69"/>
  <c r="T87" i="69"/>
  <c r="P87" i="69"/>
  <c r="X87" i="69" s="1"/>
  <c r="H87" i="69"/>
  <c r="D87" i="69"/>
  <c r="B87" i="69"/>
  <c r="Z86" i="69"/>
  <c r="X86" i="69"/>
  <c r="N86" i="69"/>
  <c r="L86" i="69"/>
  <c r="B86" i="69"/>
  <c r="Z85" i="69"/>
  <c r="X85" i="69"/>
  <c r="N85" i="69"/>
  <c r="L85" i="69"/>
  <c r="B85" i="69"/>
  <c r="Z84" i="69"/>
  <c r="X84" i="69"/>
  <c r="N84" i="69"/>
  <c r="L84" i="69"/>
  <c r="B84" i="69"/>
  <c r="X83" i="69"/>
  <c r="Z83" i="69" s="1"/>
  <c r="L83" i="69"/>
  <c r="N83" i="69" s="1"/>
  <c r="B83" i="69"/>
  <c r="Z82" i="69"/>
  <c r="X82" i="69"/>
  <c r="V82" i="69"/>
  <c r="N82" i="69"/>
  <c r="L82" i="69"/>
  <c r="B82" i="69"/>
  <c r="Z81" i="69"/>
  <c r="X81" i="69"/>
  <c r="N81" i="69"/>
  <c r="L81" i="69"/>
  <c r="B81" i="69"/>
  <c r="Z80" i="69"/>
  <c r="X80" i="69"/>
  <c r="N80" i="69"/>
  <c r="L80" i="69"/>
  <c r="B80" i="69"/>
  <c r="Z79" i="69"/>
  <c r="X79" i="69"/>
  <c r="N79" i="69"/>
  <c r="L79" i="69"/>
  <c r="B79" i="69"/>
  <c r="Z78" i="69"/>
  <c r="X78" i="69"/>
  <c r="V78" i="69"/>
  <c r="N78" i="69"/>
  <c r="L78" i="69"/>
  <c r="B78" i="69"/>
  <c r="Z77" i="69"/>
  <c r="X77" i="69"/>
  <c r="N77" i="69"/>
  <c r="L77" i="69"/>
  <c r="B77" i="69"/>
  <c r="X76" i="69"/>
  <c r="Z76" i="69" s="1"/>
  <c r="T76" i="69"/>
  <c r="P76" i="69"/>
  <c r="H76" i="69"/>
  <c r="D76" i="69"/>
  <c r="B76" i="69"/>
  <c r="Z75" i="69"/>
  <c r="X75" i="69"/>
  <c r="N75" i="69"/>
  <c r="L75" i="69"/>
  <c r="B75" i="69"/>
  <c r="Z74" i="69"/>
  <c r="X74" i="69"/>
  <c r="V74" i="69"/>
  <c r="N74" i="69"/>
  <c r="L74" i="69"/>
  <c r="B74" i="69"/>
  <c r="Z73" i="69"/>
  <c r="X73" i="69"/>
  <c r="L73" i="69"/>
  <c r="N73" i="69" s="1"/>
  <c r="B73" i="69"/>
  <c r="Z72" i="69"/>
  <c r="X72" i="69"/>
  <c r="N72" i="69"/>
  <c r="L72" i="69"/>
  <c r="B72" i="69"/>
  <c r="X71" i="69"/>
  <c r="Z71" i="69" s="1"/>
  <c r="L71" i="69"/>
  <c r="N71" i="69" s="1"/>
  <c r="J71" i="69"/>
  <c r="B71" i="69"/>
  <c r="Z70" i="69"/>
  <c r="X70" i="69"/>
  <c r="V70" i="69"/>
  <c r="L70" i="69"/>
  <c r="N70" i="69" s="1"/>
  <c r="B70" i="69"/>
  <c r="X69" i="69"/>
  <c r="Z69" i="69" s="1"/>
  <c r="V69" i="69"/>
  <c r="L69" i="69"/>
  <c r="N69" i="69" s="1"/>
  <c r="B69" i="69"/>
  <c r="Z68" i="69"/>
  <c r="X68" i="69"/>
  <c r="N68" i="69"/>
  <c r="L68" i="69"/>
  <c r="J68" i="69"/>
  <c r="B68" i="69"/>
  <c r="X67" i="69"/>
  <c r="Z67" i="69" s="1"/>
  <c r="L67" i="69"/>
  <c r="N67" i="69" s="1"/>
  <c r="B67" i="69"/>
  <c r="V66" i="69"/>
  <c r="T66" i="69"/>
  <c r="Z66" i="69" s="1"/>
  <c r="P66" i="69"/>
  <c r="X66" i="69" s="1"/>
  <c r="H66" i="69"/>
  <c r="D66" i="69"/>
  <c r="B66" i="69"/>
  <c r="T65" i="69"/>
  <c r="P65" i="69"/>
  <c r="X65" i="69" s="1"/>
  <c r="H65" i="69"/>
  <c r="D65" i="69"/>
  <c r="Z61" i="69"/>
  <c r="X61" i="69"/>
  <c r="N61" i="69"/>
  <c r="L61" i="69"/>
  <c r="B61" i="69"/>
  <c r="Z60" i="69"/>
  <c r="X60" i="69"/>
  <c r="N60" i="69"/>
  <c r="L60" i="69"/>
  <c r="J60" i="69"/>
  <c r="B60" i="69"/>
  <c r="Z59" i="69"/>
  <c r="X59" i="69"/>
  <c r="N59" i="69"/>
  <c r="L59" i="69"/>
  <c r="B59" i="69"/>
  <c r="Z58" i="69"/>
  <c r="X58" i="69"/>
  <c r="V58" i="69"/>
  <c r="N58" i="69"/>
  <c r="L58" i="69"/>
  <c r="B58" i="69"/>
  <c r="Z57" i="69"/>
  <c r="X57" i="69"/>
  <c r="N57" i="69"/>
  <c r="L57" i="69"/>
  <c r="B57" i="69"/>
  <c r="Z56" i="69"/>
  <c r="X56" i="69"/>
  <c r="N56" i="69"/>
  <c r="L56" i="69"/>
  <c r="B56" i="69"/>
  <c r="Z55" i="69"/>
  <c r="X55" i="69"/>
  <c r="V55" i="69"/>
  <c r="N55" i="69"/>
  <c r="L55" i="69"/>
  <c r="B55" i="69"/>
  <c r="Z54" i="69"/>
  <c r="X54" i="69"/>
  <c r="N54" i="69"/>
  <c r="L54" i="69"/>
  <c r="B54" i="69"/>
  <c r="Z53" i="69"/>
  <c r="X53" i="69"/>
  <c r="N53" i="69"/>
  <c r="L53" i="69"/>
  <c r="B53" i="69"/>
  <c r="Z52" i="69"/>
  <c r="X52" i="69"/>
  <c r="N52" i="69"/>
  <c r="L52" i="69"/>
  <c r="B52" i="69"/>
  <c r="Z51" i="69"/>
  <c r="X51" i="69"/>
  <c r="N51" i="69"/>
  <c r="L51" i="69"/>
  <c r="B51" i="69"/>
  <c r="Z50" i="69"/>
  <c r="X50" i="69"/>
  <c r="V50" i="69"/>
  <c r="N50" i="69"/>
  <c r="L50" i="69"/>
  <c r="J50" i="69"/>
  <c r="B50" i="69"/>
  <c r="Z49" i="69"/>
  <c r="X49" i="69"/>
  <c r="N49" i="69"/>
  <c r="L49" i="69"/>
  <c r="B49" i="69"/>
  <c r="Z48" i="69"/>
  <c r="X48" i="69"/>
  <c r="V48" i="69"/>
  <c r="N48" i="69"/>
  <c r="L48" i="69"/>
  <c r="B48" i="69"/>
  <c r="Z47" i="69"/>
  <c r="X47" i="69"/>
  <c r="V47" i="69"/>
  <c r="N47" i="69"/>
  <c r="L47" i="69"/>
  <c r="B47" i="69"/>
  <c r="Z46" i="69"/>
  <c r="X46" i="69"/>
  <c r="V46" i="69"/>
  <c r="N46" i="69"/>
  <c r="L46" i="69"/>
  <c r="J46" i="69"/>
  <c r="B46" i="69"/>
  <c r="Z45" i="69"/>
  <c r="X45" i="69"/>
  <c r="V45" i="69"/>
  <c r="N45" i="69"/>
  <c r="L45" i="69"/>
  <c r="B45" i="69"/>
  <c r="X44" i="69"/>
  <c r="Z44" i="69" s="1"/>
  <c r="V44" i="69"/>
  <c r="L44" i="69"/>
  <c r="N44" i="69" s="1"/>
  <c r="B44" i="69"/>
  <c r="T43" i="69"/>
  <c r="P43" i="69"/>
  <c r="X43" i="69" s="1"/>
  <c r="J43" i="69"/>
  <c r="H43" i="69"/>
  <c r="D43" i="69"/>
  <c r="L43" i="69" s="1"/>
  <c r="Z41" i="69"/>
  <c r="P41" i="69"/>
  <c r="X41" i="69" s="1"/>
  <c r="N41" i="69"/>
  <c r="D41" i="69"/>
  <c r="L41" i="69" s="1"/>
  <c r="B41" i="69"/>
  <c r="Z40" i="69"/>
  <c r="P40" i="69"/>
  <c r="X40" i="69" s="1"/>
  <c r="N40" i="69"/>
  <c r="L40" i="69"/>
  <c r="D40" i="69"/>
  <c r="B40" i="69"/>
  <c r="Z39" i="69"/>
  <c r="X39" i="69"/>
  <c r="P39" i="69"/>
  <c r="N39" i="69"/>
  <c r="D39" i="69"/>
  <c r="L39" i="69" s="1"/>
  <c r="B39" i="69"/>
  <c r="Z38" i="69"/>
  <c r="X38" i="69"/>
  <c r="P38" i="69"/>
  <c r="N38" i="69"/>
  <c r="D38" i="69"/>
  <c r="L38" i="69" s="1"/>
  <c r="B38" i="69"/>
  <c r="Z37" i="69"/>
  <c r="X37" i="69"/>
  <c r="P37" i="69"/>
  <c r="N37" i="69"/>
  <c r="D37" i="69"/>
  <c r="L37" i="69" s="1"/>
  <c r="B37" i="69"/>
  <c r="Z36" i="69"/>
  <c r="P36" i="69"/>
  <c r="X36" i="69" s="1"/>
  <c r="N36" i="69"/>
  <c r="L36" i="69"/>
  <c r="D36" i="69"/>
  <c r="B36" i="69"/>
  <c r="Z35" i="69"/>
  <c r="P35" i="69"/>
  <c r="X35" i="69" s="1"/>
  <c r="N35" i="69"/>
  <c r="L35" i="69"/>
  <c r="D35" i="69"/>
  <c r="B35" i="69"/>
  <c r="Z34" i="69"/>
  <c r="P34" i="69"/>
  <c r="X34" i="69" s="1"/>
  <c r="N34" i="69"/>
  <c r="L34" i="69"/>
  <c r="D34" i="69"/>
  <c r="B34" i="69"/>
  <c r="Z33" i="69"/>
  <c r="P33" i="69"/>
  <c r="X33" i="69" s="1"/>
  <c r="N33" i="69"/>
  <c r="D33" i="69"/>
  <c r="L33" i="69" s="1"/>
  <c r="B33" i="69"/>
  <c r="Z32" i="69"/>
  <c r="X32" i="69"/>
  <c r="P32" i="69"/>
  <c r="N32" i="69"/>
  <c r="L32" i="69"/>
  <c r="D32" i="69"/>
  <c r="B32" i="69"/>
  <c r="Z31" i="69"/>
  <c r="X31" i="69"/>
  <c r="P31" i="69"/>
  <c r="N31" i="69"/>
  <c r="L31" i="69"/>
  <c r="D31" i="69"/>
  <c r="B31" i="69"/>
  <c r="Z30" i="69"/>
  <c r="P30" i="69"/>
  <c r="X30" i="69" s="1"/>
  <c r="N30" i="69"/>
  <c r="D30" i="69"/>
  <c r="L30" i="69" s="1"/>
  <c r="B30" i="69"/>
  <c r="X29" i="69"/>
  <c r="Z29" i="69" s="1"/>
  <c r="P29" i="69"/>
  <c r="N29" i="69"/>
  <c r="L29" i="69"/>
  <c r="D29" i="69"/>
  <c r="B29" i="69"/>
  <c r="Z28" i="69"/>
  <c r="P28" i="69"/>
  <c r="X28" i="69" s="1"/>
  <c r="N28" i="69"/>
  <c r="L28" i="69"/>
  <c r="D28" i="69"/>
  <c r="B28" i="69"/>
  <c r="Z27" i="69"/>
  <c r="X27" i="69"/>
  <c r="P27" i="69"/>
  <c r="N27" i="69"/>
  <c r="D27" i="69"/>
  <c r="L27" i="69" s="1"/>
  <c r="B27" i="69"/>
  <c r="Z26" i="69"/>
  <c r="X26" i="69"/>
  <c r="P26" i="69"/>
  <c r="N26" i="69"/>
  <c r="D26" i="69"/>
  <c r="L26" i="69" s="1"/>
  <c r="B26" i="69"/>
  <c r="Z25" i="69"/>
  <c r="X25" i="69"/>
  <c r="P25" i="69"/>
  <c r="N25" i="69"/>
  <c r="D25" i="69"/>
  <c r="L25" i="69" s="1"/>
  <c r="B25" i="69"/>
  <c r="Z24" i="69"/>
  <c r="P24" i="69"/>
  <c r="X24" i="69" s="1"/>
  <c r="N24" i="69"/>
  <c r="L24" i="69"/>
  <c r="D24" i="69"/>
  <c r="B24" i="69"/>
  <c r="Z23" i="69"/>
  <c r="P23" i="69"/>
  <c r="X23" i="69" s="1"/>
  <c r="N23" i="69"/>
  <c r="D23" i="69"/>
  <c r="L23" i="69" s="1"/>
  <c r="B23" i="69"/>
  <c r="Z22" i="69"/>
  <c r="P22" i="69"/>
  <c r="X22" i="69" s="1"/>
  <c r="N22" i="69"/>
  <c r="L22" i="69"/>
  <c r="D22" i="69"/>
  <c r="B22" i="69"/>
  <c r="Z21" i="69"/>
  <c r="P21" i="69"/>
  <c r="X21" i="69" s="1"/>
  <c r="N21" i="69"/>
  <c r="D21" i="69"/>
  <c r="L21" i="69" s="1"/>
  <c r="B21" i="69"/>
  <c r="Z20" i="69"/>
  <c r="X20" i="69"/>
  <c r="P20" i="69"/>
  <c r="N20" i="69"/>
  <c r="L20" i="69"/>
  <c r="D20" i="69"/>
  <c r="B20" i="69"/>
  <c r="Z19" i="69"/>
  <c r="X19" i="69"/>
  <c r="P19" i="69"/>
  <c r="N19" i="69"/>
  <c r="L19" i="69"/>
  <c r="D19" i="69"/>
  <c r="B19" i="69"/>
  <c r="Z18" i="69"/>
  <c r="P18" i="69"/>
  <c r="X18" i="69" s="1"/>
  <c r="N18" i="69"/>
  <c r="D18" i="69"/>
  <c r="L18" i="69" s="1"/>
  <c r="B18" i="69"/>
  <c r="Z17" i="69"/>
  <c r="X17" i="69"/>
  <c r="P17" i="69"/>
  <c r="N17" i="69"/>
  <c r="D17" i="69"/>
  <c r="L17" i="69" s="1"/>
  <c r="B17" i="69"/>
  <c r="Z16" i="69"/>
  <c r="X16" i="69"/>
  <c r="P16" i="69"/>
  <c r="N16" i="69"/>
  <c r="L16" i="69"/>
  <c r="D16" i="69"/>
  <c r="B16" i="69"/>
  <c r="Z15" i="69"/>
  <c r="X15" i="69"/>
  <c r="P15" i="69"/>
  <c r="N15" i="69"/>
  <c r="D15" i="69"/>
  <c r="L15" i="69" s="1"/>
  <c r="B15" i="69"/>
  <c r="Z14" i="69"/>
  <c r="P14" i="69"/>
  <c r="N14" i="69"/>
  <c r="D14" i="69"/>
  <c r="L14" i="69" s="1"/>
  <c r="B14" i="69"/>
  <c r="Z13" i="69"/>
  <c r="X13" i="69"/>
  <c r="P13" i="69"/>
  <c r="L13" i="69"/>
  <c r="N13" i="69" s="1"/>
  <c r="D13" i="69"/>
  <c r="B13" i="69"/>
  <c r="T12" i="69"/>
  <c r="V106" i="69" s="1"/>
  <c r="H12" i="69"/>
  <c r="J106" i="69" s="1"/>
  <c r="D6" i="69"/>
  <c r="D4" i="69"/>
  <c r="V67" i="68"/>
  <c r="R64" i="68"/>
  <c r="Z62" i="68"/>
  <c r="X62" i="68"/>
  <c r="N62" i="68"/>
  <c r="L62" i="68"/>
  <c r="J62" i="68"/>
  <c r="V60" i="68"/>
  <c r="Z58" i="68"/>
  <c r="V58" i="68"/>
  <c r="T58" i="68"/>
  <c r="R58" i="68"/>
  <c r="P58" i="68"/>
  <c r="N58" i="68"/>
  <c r="H58" i="68"/>
  <c r="D58" i="68"/>
  <c r="L58" i="68" s="1"/>
  <c r="Z56" i="68"/>
  <c r="X56" i="68"/>
  <c r="V56" i="68"/>
  <c r="R56" i="68"/>
  <c r="L56" i="68"/>
  <c r="N56" i="68" s="1"/>
  <c r="B56" i="68"/>
  <c r="T55" i="68"/>
  <c r="P55" i="68"/>
  <c r="X55" i="68" s="1"/>
  <c r="Z55" i="68" s="1"/>
  <c r="H55" i="68"/>
  <c r="D55" i="68"/>
  <c r="L55" i="68" s="1"/>
  <c r="B55" i="68"/>
  <c r="X54" i="68"/>
  <c r="Z54" i="68" s="1"/>
  <c r="N54" i="68"/>
  <c r="L54" i="68"/>
  <c r="B54" i="68"/>
  <c r="X53" i="68"/>
  <c r="Z53" i="68" s="1"/>
  <c r="R53" i="68"/>
  <c r="N53" i="68"/>
  <c r="L53" i="68"/>
  <c r="B53" i="68"/>
  <c r="Z52" i="68"/>
  <c r="X52" i="68"/>
  <c r="V52" i="68"/>
  <c r="L52" i="68"/>
  <c r="N52" i="68" s="1"/>
  <c r="B52" i="68"/>
  <c r="T51" i="68"/>
  <c r="P51" i="68"/>
  <c r="X51" i="68" s="1"/>
  <c r="H51" i="68"/>
  <c r="F51" i="68"/>
  <c r="D51" i="68"/>
  <c r="L51" i="68" s="1"/>
  <c r="B51" i="68"/>
  <c r="Z50" i="68"/>
  <c r="X50" i="68"/>
  <c r="R50" i="68"/>
  <c r="N50" i="68"/>
  <c r="L50" i="68"/>
  <c r="B50" i="68"/>
  <c r="Z49" i="68"/>
  <c r="X49" i="68"/>
  <c r="N49" i="68"/>
  <c r="L49" i="68"/>
  <c r="B49" i="68"/>
  <c r="V48" i="68"/>
  <c r="T48" i="68"/>
  <c r="X48" i="68" s="1"/>
  <c r="Z48" i="68" s="1"/>
  <c r="R48" i="68"/>
  <c r="P48" i="68"/>
  <c r="L48" i="68"/>
  <c r="N48" i="68" s="1"/>
  <c r="H48" i="68"/>
  <c r="D48" i="68"/>
  <c r="B48" i="68"/>
  <c r="X47" i="68"/>
  <c r="Z47" i="68" s="1"/>
  <c r="R47" i="68"/>
  <c r="L47" i="68"/>
  <c r="N47" i="68" s="1"/>
  <c r="F47" i="68"/>
  <c r="B47" i="68"/>
  <c r="V46" i="68"/>
  <c r="T46" i="68"/>
  <c r="P46" i="68"/>
  <c r="X46" i="68" s="1"/>
  <c r="Z46" i="68" s="1"/>
  <c r="H46" i="68"/>
  <c r="D46" i="68"/>
  <c r="B46" i="68"/>
  <c r="X45" i="68"/>
  <c r="Z45" i="68" s="1"/>
  <c r="R45" i="68"/>
  <c r="L45" i="68"/>
  <c r="N45" i="68" s="1"/>
  <c r="B45" i="68"/>
  <c r="X44" i="68"/>
  <c r="Z44" i="68" s="1"/>
  <c r="V44" i="68"/>
  <c r="T44" i="68"/>
  <c r="R44" i="68"/>
  <c r="P44" i="68"/>
  <c r="H44" i="68"/>
  <c r="D44" i="68"/>
  <c r="L44" i="68" s="1"/>
  <c r="N44" i="68" s="1"/>
  <c r="B44" i="68"/>
  <c r="Z43" i="68"/>
  <c r="X43" i="68"/>
  <c r="N43" i="68"/>
  <c r="L43" i="68"/>
  <c r="B43" i="68"/>
  <c r="V42" i="68"/>
  <c r="T42" i="68"/>
  <c r="X42" i="68" s="1"/>
  <c r="Z42" i="68" s="1"/>
  <c r="R42" i="68"/>
  <c r="P42" i="68"/>
  <c r="L42" i="68"/>
  <c r="N42" i="68" s="1"/>
  <c r="H42" i="68"/>
  <c r="D42" i="68"/>
  <c r="B42" i="68"/>
  <c r="X41" i="68"/>
  <c r="Z41" i="68" s="1"/>
  <c r="R41" i="68"/>
  <c r="N41" i="68"/>
  <c r="L41" i="68"/>
  <c r="B41" i="68"/>
  <c r="T40" i="68"/>
  <c r="P40" i="68"/>
  <c r="X40" i="68" s="1"/>
  <c r="Z40" i="68" s="1"/>
  <c r="J40" i="68"/>
  <c r="H40" i="68"/>
  <c r="N40" i="68" s="1"/>
  <c r="D40" i="68"/>
  <c r="L40" i="68" s="1"/>
  <c r="B40" i="68"/>
  <c r="Z39" i="68"/>
  <c r="X39" i="68"/>
  <c r="R39" i="68"/>
  <c r="N39" i="68"/>
  <c r="L39" i="68"/>
  <c r="B39" i="68"/>
  <c r="Z38" i="68"/>
  <c r="X38" i="68"/>
  <c r="V38" i="68"/>
  <c r="N38" i="68"/>
  <c r="L38" i="68"/>
  <c r="B38" i="68"/>
  <c r="X37" i="68"/>
  <c r="Z37" i="68" s="1"/>
  <c r="V37" i="68"/>
  <c r="N37" i="68"/>
  <c r="L37" i="68"/>
  <c r="B37" i="68"/>
  <c r="X36" i="68"/>
  <c r="Z36" i="68" s="1"/>
  <c r="V36" i="68"/>
  <c r="N36" i="68"/>
  <c r="L36" i="68"/>
  <c r="B36" i="68"/>
  <c r="Z35" i="68"/>
  <c r="X35" i="68"/>
  <c r="R35" i="68"/>
  <c r="N35" i="68"/>
  <c r="L35" i="68"/>
  <c r="B35" i="68"/>
  <c r="Z34" i="68"/>
  <c r="X34" i="68"/>
  <c r="V34" i="68"/>
  <c r="N34" i="68"/>
  <c r="L34" i="68"/>
  <c r="B34" i="68"/>
  <c r="X33" i="68"/>
  <c r="Z33" i="68" s="1"/>
  <c r="R33" i="68"/>
  <c r="L33" i="68"/>
  <c r="N33" i="68" s="1"/>
  <c r="B33" i="68"/>
  <c r="Z32" i="68"/>
  <c r="X32" i="68"/>
  <c r="V32" i="68"/>
  <c r="N32" i="68"/>
  <c r="L32" i="68"/>
  <c r="B32" i="68"/>
  <c r="X31" i="68"/>
  <c r="Z31" i="68" s="1"/>
  <c r="N31" i="68"/>
  <c r="L31" i="68"/>
  <c r="F31" i="68"/>
  <c r="B31" i="68"/>
  <c r="X30" i="68"/>
  <c r="Z30" i="68" s="1"/>
  <c r="L30" i="68"/>
  <c r="N30" i="68" s="1"/>
  <c r="B30" i="68"/>
  <c r="T29" i="68"/>
  <c r="R29" i="68"/>
  <c r="P29" i="68"/>
  <c r="L29" i="68"/>
  <c r="H29" i="68"/>
  <c r="D29" i="68"/>
  <c r="B29" i="68"/>
  <c r="Z28" i="68"/>
  <c r="X28" i="68"/>
  <c r="R28" i="68"/>
  <c r="N28" i="68"/>
  <c r="L28" i="68"/>
  <c r="B28" i="68"/>
  <c r="Z27" i="68"/>
  <c r="X27" i="68"/>
  <c r="R27" i="68"/>
  <c r="L27" i="68"/>
  <c r="N27" i="68" s="1"/>
  <c r="F27" i="68"/>
  <c r="B27" i="68"/>
  <c r="X26" i="68"/>
  <c r="Z26" i="68" s="1"/>
  <c r="N26" i="68"/>
  <c r="L26" i="68"/>
  <c r="B26" i="68"/>
  <c r="Z25" i="68"/>
  <c r="X25" i="68"/>
  <c r="V25" i="68"/>
  <c r="N25" i="68"/>
  <c r="L25" i="68"/>
  <c r="B25" i="68"/>
  <c r="Z24" i="68"/>
  <c r="X24" i="68"/>
  <c r="V24" i="68"/>
  <c r="N24" i="68"/>
  <c r="L24" i="68"/>
  <c r="F24" i="68"/>
  <c r="B24" i="68"/>
  <c r="X23" i="68"/>
  <c r="Z23" i="68" s="1"/>
  <c r="R23" i="68"/>
  <c r="L23" i="68"/>
  <c r="N23" i="68" s="1"/>
  <c r="F23" i="68"/>
  <c r="B23" i="68"/>
  <c r="X22" i="68"/>
  <c r="Z22" i="68" s="1"/>
  <c r="N22" i="68"/>
  <c r="L22" i="68"/>
  <c r="B22" i="68"/>
  <c r="X21" i="68"/>
  <c r="Z21" i="68" s="1"/>
  <c r="V21" i="68"/>
  <c r="N21" i="68"/>
  <c r="L21" i="68"/>
  <c r="B21" i="68"/>
  <c r="Z20" i="68"/>
  <c r="X20" i="68"/>
  <c r="V20" i="68"/>
  <c r="N20" i="68"/>
  <c r="L20" i="68"/>
  <c r="F20" i="68"/>
  <c r="B20" i="68"/>
  <c r="T19" i="68"/>
  <c r="P19" i="68"/>
  <c r="X19" i="68" s="1"/>
  <c r="L19" i="68"/>
  <c r="H19" i="68"/>
  <c r="F19" i="68"/>
  <c r="D19" i="68"/>
  <c r="B19" i="68"/>
  <c r="T18" i="68"/>
  <c r="R18" i="68"/>
  <c r="P18" i="68"/>
  <c r="X18" i="68" s="1"/>
  <c r="Z18" i="68" s="1"/>
  <c r="H18" i="68"/>
  <c r="L18" i="68" s="1"/>
  <c r="D18" i="68"/>
  <c r="R16" i="68"/>
  <c r="Z14" i="68"/>
  <c r="T14" i="68"/>
  <c r="R14" i="68"/>
  <c r="P14" i="68"/>
  <c r="X14" i="68" s="1"/>
  <c r="H14" i="68"/>
  <c r="D14" i="68"/>
  <c r="Z12" i="68"/>
  <c r="T12" i="68"/>
  <c r="V62" i="68" s="1"/>
  <c r="P12" i="68"/>
  <c r="R37" i="68" s="1"/>
  <c r="H12" i="68"/>
  <c r="H16" i="68" s="1"/>
  <c r="D12" i="68"/>
  <c r="F52" i="68" s="1"/>
  <c r="D6" i="68"/>
  <c r="D4" i="68"/>
  <c r="V110" i="64"/>
  <c r="R110" i="64"/>
  <c r="V107" i="64"/>
  <c r="Z105" i="64"/>
  <c r="X105" i="64"/>
  <c r="V105" i="64"/>
  <c r="N105" i="64"/>
  <c r="L105" i="64"/>
  <c r="V103" i="64"/>
  <c r="J103" i="64"/>
  <c r="V101" i="64"/>
  <c r="P101" i="64"/>
  <c r="X101" i="64" s="1"/>
  <c r="Z101" i="64" s="1"/>
  <c r="L101" i="64"/>
  <c r="N101" i="64" s="1"/>
  <c r="D101" i="64"/>
  <c r="B101" i="64"/>
  <c r="P100" i="64"/>
  <c r="X100" i="64" s="1"/>
  <c r="Z100" i="64" s="1"/>
  <c r="J100" i="64"/>
  <c r="D100" i="64"/>
  <c r="L100" i="64" s="1"/>
  <c r="N100" i="64" s="1"/>
  <c r="B100" i="64"/>
  <c r="X99" i="64"/>
  <c r="Z99" i="64" s="1"/>
  <c r="P99" i="64"/>
  <c r="L99" i="64"/>
  <c r="N99" i="64" s="1"/>
  <c r="F99" i="64"/>
  <c r="D99" i="64"/>
  <c r="B99" i="64"/>
  <c r="V98" i="64"/>
  <c r="T98" i="64"/>
  <c r="P98" i="64"/>
  <c r="X98" i="64" s="1"/>
  <c r="Z98" i="64" s="1"/>
  <c r="H98" i="64"/>
  <c r="D98" i="64"/>
  <c r="Z96" i="64"/>
  <c r="X96" i="64"/>
  <c r="V96" i="64"/>
  <c r="L96" i="64"/>
  <c r="N96" i="64" s="1"/>
  <c r="B96" i="64"/>
  <c r="V95" i="64"/>
  <c r="T95" i="64"/>
  <c r="P95" i="64"/>
  <c r="X95" i="64" s="1"/>
  <c r="Z95" i="64" s="1"/>
  <c r="J95" i="64"/>
  <c r="H95" i="64"/>
  <c r="N95" i="64" s="1"/>
  <c r="D95" i="64"/>
  <c r="L95" i="64" s="1"/>
  <c r="B95" i="64"/>
  <c r="Z94" i="64"/>
  <c r="X94" i="64"/>
  <c r="V94" i="64"/>
  <c r="N94" i="64"/>
  <c r="L94" i="64"/>
  <c r="B94" i="64"/>
  <c r="Z93" i="64"/>
  <c r="X93" i="64"/>
  <c r="V93" i="64"/>
  <c r="N93" i="64"/>
  <c r="L93" i="64"/>
  <c r="B93" i="64"/>
  <c r="T92" i="64"/>
  <c r="Z92" i="64" s="1"/>
  <c r="P92" i="64"/>
  <c r="X92" i="64" s="1"/>
  <c r="L92" i="64"/>
  <c r="J92" i="64"/>
  <c r="H92" i="64"/>
  <c r="N92" i="64" s="1"/>
  <c r="D92" i="64"/>
  <c r="B92" i="64"/>
  <c r="Z91" i="64"/>
  <c r="X91" i="64"/>
  <c r="N91" i="64"/>
  <c r="L91" i="64"/>
  <c r="J91" i="64"/>
  <c r="B91" i="64"/>
  <c r="Z90" i="64"/>
  <c r="T90" i="64"/>
  <c r="P90" i="64"/>
  <c r="X90" i="64" s="1"/>
  <c r="H90" i="64"/>
  <c r="D90" i="64"/>
  <c r="B90" i="64"/>
  <c r="Z89" i="64"/>
  <c r="X89" i="64"/>
  <c r="V89" i="64"/>
  <c r="N89" i="64"/>
  <c r="L89" i="64"/>
  <c r="J89" i="64"/>
  <c r="B89" i="64"/>
  <c r="V88" i="64"/>
  <c r="T88" i="64"/>
  <c r="P88" i="64"/>
  <c r="X88" i="64" s="1"/>
  <c r="Z88" i="64" s="1"/>
  <c r="H88" i="64"/>
  <c r="D88" i="64"/>
  <c r="B88" i="64"/>
  <c r="X87" i="64"/>
  <c r="Z87" i="64" s="1"/>
  <c r="N87" i="64"/>
  <c r="L87" i="64"/>
  <c r="B87" i="64"/>
  <c r="X86" i="64"/>
  <c r="Z86" i="64" s="1"/>
  <c r="V86" i="64"/>
  <c r="N86" i="64"/>
  <c r="L86" i="64"/>
  <c r="B86" i="64"/>
  <c r="Z85" i="64"/>
  <c r="X85" i="64"/>
  <c r="V85" i="64"/>
  <c r="N85" i="64"/>
  <c r="L85" i="64"/>
  <c r="B85" i="64"/>
  <c r="Z84" i="64"/>
  <c r="X84" i="64"/>
  <c r="N84" i="64"/>
  <c r="L84" i="64"/>
  <c r="B84" i="64"/>
  <c r="Z83" i="64"/>
  <c r="X83" i="64"/>
  <c r="N83" i="64"/>
  <c r="L83" i="64"/>
  <c r="B83" i="64"/>
  <c r="Z82" i="64"/>
  <c r="X82" i="64"/>
  <c r="V82" i="64"/>
  <c r="N82" i="64"/>
  <c r="L82" i="64"/>
  <c r="B82" i="64"/>
  <c r="V81" i="64"/>
  <c r="T81" i="64"/>
  <c r="P81" i="64"/>
  <c r="X81" i="64" s="1"/>
  <c r="Z81" i="64" s="1"/>
  <c r="L81" i="64"/>
  <c r="N81" i="64" s="1"/>
  <c r="H81" i="64"/>
  <c r="D81" i="64"/>
  <c r="B81" i="64"/>
  <c r="Z80" i="64"/>
  <c r="X80" i="64"/>
  <c r="N80" i="64"/>
  <c r="L80" i="64"/>
  <c r="J80" i="64"/>
  <c r="B80" i="64"/>
  <c r="Z79" i="64"/>
  <c r="X79" i="64"/>
  <c r="N79" i="64"/>
  <c r="L79" i="64"/>
  <c r="J79" i="64"/>
  <c r="B79" i="64"/>
  <c r="T78" i="64"/>
  <c r="P78" i="64"/>
  <c r="X78" i="64" s="1"/>
  <c r="Z78" i="64" s="1"/>
  <c r="L78" i="64"/>
  <c r="H78" i="64"/>
  <c r="D78" i="64"/>
  <c r="B78" i="64"/>
  <c r="Z77" i="64"/>
  <c r="X77" i="64"/>
  <c r="V77" i="64"/>
  <c r="N77" i="64"/>
  <c r="L77" i="64"/>
  <c r="J77" i="64"/>
  <c r="B77" i="64"/>
  <c r="Z76" i="64"/>
  <c r="X76" i="64"/>
  <c r="V76" i="64"/>
  <c r="N76" i="64"/>
  <c r="L76" i="64"/>
  <c r="B76" i="64"/>
  <c r="Z75" i="64"/>
  <c r="X75" i="64"/>
  <c r="V75" i="64"/>
  <c r="N75" i="64"/>
  <c r="L75" i="64"/>
  <c r="B75" i="64"/>
  <c r="T74" i="64"/>
  <c r="P74" i="64"/>
  <c r="X74" i="64" s="1"/>
  <c r="J74" i="64"/>
  <c r="H74" i="64"/>
  <c r="D74" i="64"/>
  <c r="L74" i="64" s="1"/>
  <c r="N74" i="64" s="1"/>
  <c r="B74" i="64"/>
  <c r="Z73" i="64"/>
  <c r="X73" i="64"/>
  <c r="V73" i="64"/>
  <c r="N73" i="64"/>
  <c r="L73" i="64"/>
  <c r="B73" i="64"/>
  <c r="Z72" i="64"/>
  <c r="X72" i="64"/>
  <c r="N72" i="64"/>
  <c r="L72" i="64"/>
  <c r="B72" i="64"/>
  <c r="X71" i="64"/>
  <c r="Z71" i="64" s="1"/>
  <c r="N71" i="64"/>
  <c r="L71" i="64"/>
  <c r="B71" i="64"/>
  <c r="X70" i="64"/>
  <c r="V70" i="64"/>
  <c r="T70" i="64"/>
  <c r="Z70" i="64" s="1"/>
  <c r="R70" i="64"/>
  <c r="P70" i="64"/>
  <c r="H70" i="64"/>
  <c r="N70" i="64" s="1"/>
  <c r="D70" i="64"/>
  <c r="L70" i="64" s="1"/>
  <c r="B70" i="64"/>
  <c r="X69" i="64"/>
  <c r="Z69" i="64" s="1"/>
  <c r="R69" i="64"/>
  <c r="N69" i="64"/>
  <c r="L69" i="64"/>
  <c r="J69" i="64"/>
  <c r="B69" i="64"/>
  <c r="X68" i="64"/>
  <c r="T68" i="64"/>
  <c r="R68" i="64"/>
  <c r="P68" i="64"/>
  <c r="N68" i="64"/>
  <c r="H68" i="64"/>
  <c r="D68" i="64"/>
  <c r="L68" i="64" s="1"/>
  <c r="B68" i="64"/>
  <c r="Z67" i="64"/>
  <c r="X67" i="64"/>
  <c r="V67" i="64"/>
  <c r="R67" i="64"/>
  <c r="L67" i="64"/>
  <c r="N67" i="64" s="1"/>
  <c r="B67" i="64"/>
  <c r="T66" i="64"/>
  <c r="P66" i="64"/>
  <c r="J66" i="64"/>
  <c r="H66" i="64"/>
  <c r="D66" i="64"/>
  <c r="L66" i="64" s="1"/>
  <c r="N66" i="64" s="1"/>
  <c r="B66" i="64"/>
  <c r="Z65" i="64"/>
  <c r="X65" i="64"/>
  <c r="V65" i="64"/>
  <c r="N65" i="64"/>
  <c r="L65" i="64"/>
  <c r="F65" i="64"/>
  <c r="B65" i="64"/>
  <c r="X64" i="64"/>
  <c r="T64" i="64"/>
  <c r="Z64" i="64" s="1"/>
  <c r="P64" i="64"/>
  <c r="L64" i="64"/>
  <c r="J64" i="64"/>
  <c r="H64" i="64"/>
  <c r="N64" i="64" s="1"/>
  <c r="D64" i="64"/>
  <c r="B64" i="64"/>
  <c r="Z63" i="64"/>
  <c r="X63" i="64"/>
  <c r="V63" i="64"/>
  <c r="N63" i="64"/>
  <c r="L63" i="64"/>
  <c r="J63" i="64"/>
  <c r="B63" i="64"/>
  <c r="T62" i="64"/>
  <c r="Z62" i="64" s="1"/>
  <c r="P62" i="64"/>
  <c r="X62" i="64" s="1"/>
  <c r="L62" i="64"/>
  <c r="H62" i="64"/>
  <c r="F62" i="64"/>
  <c r="D62" i="64"/>
  <c r="B62" i="64"/>
  <c r="Z61" i="64"/>
  <c r="X61" i="64"/>
  <c r="V61" i="64"/>
  <c r="N61" i="64"/>
  <c r="L61" i="64"/>
  <c r="J61" i="64"/>
  <c r="B61" i="64"/>
  <c r="Z60" i="64"/>
  <c r="V60" i="64"/>
  <c r="T60" i="64"/>
  <c r="P60" i="64"/>
  <c r="X60" i="64" s="1"/>
  <c r="H60" i="64"/>
  <c r="D60" i="64"/>
  <c r="B60" i="64"/>
  <c r="X59" i="64"/>
  <c r="Z59" i="64" s="1"/>
  <c r="N59" i="64"/>
  <c r="L59" i="64"/>
  <c r="B59" i="64"/>
  <c r="X58" i="64"/>
  <c r="V58" i="64"/>
  <c r="T58" i="64"/>
  <c r="R58" i="64"/>
  <c r="P58" i="64"/>
  <c r="L58" i="64"/>
  <c r="H58" i="64"/>
  <c r="D58" i="64"/>
  <c r="B58" i="64"/>
  <c r="Z57" i="64"/>
  <c r="X57" i="64"/>
  <c r="R57" i="64"/>
  <c r="N57" i="64"/>
  <c r="L57" i="64"/>
  <c r="J57" i="64"/>
  <c r="B57" i="64"/>
  <c r="T56" i="64"/>
  <c r="P56" i="64"/>
  <c r="H56" i="64"/>
  <c r="D56" i="64"/>
  <c r="B56" i="64"/>
  <c r="Z55" i="64"/>
  <c r="X55" i="64"/>
  <c r="V55" i="64"/>
  <c r="R55" i="64"/>
  <c r="N55" i="64"/>
  <c r="L55" i="64"/>
  <c r="B55" i="64"/>
  <c r="X54" i="64"/>
  <c r="Z54" i="64" s="1"/>
  <c r="R54" i="64"/>
  <c r="L54" i="64"/>
  <c r="N54" i="64" s="1"/>
  <c r="J54" i="64"/>
  <c r="B54" i="64"/>
  <c r="V53" i="64"/>
  <c r="T53" i="64"/>
  <c r="Z53" i="64" s="1"/>
  <c r="P53" i="64"/>
  <c r="X53" i="64" s="1"/>
  <c r="J53" i="64"/>
  <c r="H53" i="64"/>
  <c r="D53" i="64"/>
  <c r="B53" i="64"/>
  <c r="Z52" i="64"/>
  <c r="X52" i="64"/>
  <c r="N52" i="64"/>
  <c r="L52" i="64"/>
  <c r="B52" i="64"/>
  <c r="X51" i="64"/>
  <c r="Z51" i="64" s="1"/>
  <c r="N51" i="64"/>
  <c r="L51" i="64"/>
  <c r="B51" i="64"/>
  <c r="X50" i="64"/>
  <c r="V50" i="64"/>
  <c r="T50" i="64"/>
  <c r="Z50" i="64" s="1"/>
  <c r="R50" i="64"/>
  <c r="P50" i="64"/>
  <c r="H50" i="64"/>
  <c r="D50" i="64"/>
  <c r="L50" i="64" s="1"/>
  <c r="B50" i="64"/>
  <c r="Z49" i="64"/>
  <c r="X49" i="64"/>
  <c r="R49" i="64"/>
  <c r="N49" i="64"/>
  <c r="L49" i="64"/>
  <c r="J49" i="64"/>
  <c r="B49" i="64"/>
  <c r="X48" i="64"/>
  <c r="Z48" i="64" s="1"/>
  <c r="R48" i="64"/>
  <c r="N48" i="64"/>
  <c r="L48" i="64"/>
  <c r="J48" i="64"/>
  <c r="B48" i="64"/>
  <c r="Z47" i="64"/>
  <c r="X47" i="64"/>
  <c r="V47" i="64"/>
  <c r="N47" i="64"/>
  <c r="L47" i="64"/>
  <c r="J47" i="64"/>
  <c r="B47" i="64"/>
  <c r="T46" i="64"/>
  <c r="P46" i="64"/>
  <c r="L46" i="64"/>
  <c r="H46" i="64"/>
  <c r="D46" i="64"/>
  <c r="B46" i="64"/>
  <c r="Z45" i="64"/>
  <c r="X45" i="64"/>
  <c r="V45" i="64"/>
  <c r="N45" i="64"/>
  <c r="L45" i="64"/>
  <c r="J45" i="64"/>
  <c r="B45" i="64"/>
  <c r="Z44" i="64"/>
  <c r="V44" i="64"/>
  <c r="T44" i="64"/>
  <c r="P44" i="64"/>
  <c r="X44" i="64" s="1"/>
  <c r="H44" i="64"/>
  <c r="D44" i="64"/>
  <c r="L44" i="64" s="1"/>
  <c r="B44" i="64"/>
  <c r="X43" i="64"/>
  <c r="Z43" i="64" s="1"/>
  <c r="N43" i="64"/>
  <c r="L43" i="64"/>
  <c r="J43" i="64"/>
  <c r="B43" i="64"/>
  <c r="X42" i="64"/>
  <c r="V42" i="64"/>
  <c r="T42" i="64"/>
  <c r="P42" i="64"/>
  <c r="L42" i="64"/>
  <c r="H42" i="64"/>
  <c r="D42" i="64"/>
  <c r="B42" i="64"/>
  <c r="X41" i="64"/>
  <c r="Z41" i="64" s="1"/>
  <c r="N41" i="64"/>
  <c r="L41" i="64"/>
  <c r="J41" i="64"/>
  <c r="B41" i="64"/>
  <c r="T40" i="64"/>
  <c r="R40" i="64"/>
  <c r="P40" i="64"/>
  <c r="H40" i="64"/>
  <c r="D40" i="64"/>
  <c r="L40" i="64" s="1"/>
  <c r="B40" i="64"/>
  <c r="Z39" i="64"/>
  <c r="X39" i="64"/>
  <c r="V39" i="64"/>
  <c r="N39" i="64"/>
  <c r="L39" i="64"/>
  <c r="B39" i="64"/>
  <c r="Z38" i="64"/>
  <c r="X38" i="64"/>
  <c r="R38" i="64"/>
  <c r="N38" i="64"/>
  <c r="L38" i="64"/>
  <c r="J38" i="64"/>
  <c r="B38" i="64"/>
  <c r="Z37" i="64"/>
  <c r="X37" i="64"/>
  <c r="V37" i="64"/>
  <c r="N37" i="64"/>
  <c r="L37" i="64"/>
  <c r="J37" i="64"/>
  <c r="B37" i="64"/>
  <c r="Z36" i="64"/>
  <c r="X36" i="64"/>
  <c r="V36" i="64"/>
  <c r="N36" i="64"/>
  <c r="L36" i="64"/>
  <c r="B36" i="64"/>
  <c r="Z35" i="64"/>
  <c r="X35" i="64"/>
  <c r="V35" i="64"/>
  <c r="R35" i="64"/>
  <c r="N35" i="64"/>
  <c r="L35" i="64"/>
  <c r="B35" i="64"/>
  <c r="Z34" i="64"/>
  <c r="X34" i="64"/>
  <c r="V34" i="64"/>
  <c r="N34" i="64"/>
  <c r="L34" i="64"/>
  <c r="J34" i="64"/>
  <c r="B34" i="64"/>
  <c r="Z33" i="64"/>
  <c r="X33" i="64"/>
  <c r="V33" i="64"/>
  <c r="N33" i="64"/>
  <c r="L33" i="64"/>
  <c r="J33" i="64"/>
  <c r="B33" i="64"/>
  <c r="Z32" i="64"/>
  <c r="X32" i="64"/>
  <c r="V32" i="64"/>
  <c r="N32" i="64"/>
  <c r="L32" i="64"/>
  <c r="B32" i="64"/>
  <c r="Z31" i="64"/>
  <c r="X31" i="64"/>
  <c r="V31" i="64"/>
  <c r="R31" i="64"/>
  <c r="L31" i="64"/>
  <c r="N31" i="64" s="1"/>
  <c r="B31" i="64"/>
  <c r="X30" i="64"/>
  <c r="Z30" i="64" s="1"/>
  <c r="V30" i="64"/>
  <c r="L30" i="64"/>
  <c r="N30" i="64" s="1"/>
  <c r="J30" i="64"/>
  <c r="B30" i="64"/>
  <c r="V29" i="64"/>
  <c r="T29" i="64"/>
  <c r="P29" i="64"/>
  <c r="X29" i="64" s="1"/>
  <c r="J29" i="64"/>
  <c r="H29" i="64"/>
  <c r="D29" i="64"/>
  <c r="B29" i="64"/>
  <c r="X28" i="64"/>
  <c r="Z28" i="64" s="1"/>
  <c r="V28" i="64"/>
  <c r="L28" i="64"/>
  <c r="N28" i="64" s="1"/>
  <c r="B28" i="64"/>
  <c r="X27" i="64"/>
  <c r="Z27" i="64" s="1"/>
  <c r="V27" i="64"/>
  <c r="N27" i="64"/>
  <c r="L27" i="64"/>
  <c r="J27" i="64"/>
  <c r="B27" i="64"/>
  <c r="X26" i="64"/>
  <c r="Z26" i="64" s="1"/>
  <c r="V26" i="64"/>
  <c r="N26" i="64"/>
  <c r="L26" i="64"/>
  <c r="B26" i="64"/>
  <c r="Z25" i="64"/>
  <c r="X25" i="64"/>
  <c r="V25" i="64"/>
  <c r="N25" i="64"/>
  <c r="L25" i="64"/>
  <c r="B25" i="64"/>
  <c r="X24" i="64"/>
  <c r="Z24" i="64" s="1"/>
  <c r="V24" i="64"/>
  <c r="L24" i="64"/>
  <c r="N24" i="64" s="1"/>
  <c r="B24" i="64"/>
  <c r="X23" i="64"/>
  <c r="Z23" i="64" s="1"/>
  <c r="V23" i="64"/>
  <c r="N23" i="64"/>
  <c r="L23" i="64"/>
  <c r="J23" i="64"/>
  <c r="B23" i="64"/>
  <c r="X22" i="64"/>
  <c r="Z22" i="64" s="1"/>
  <c r="V22" i="64"/>
  <c r="N22" i="64"/>
  <c r="L22" i="64"/>
  <c r="B22" i="64"/>
  <c r="Z21" i="64"/>
  <c r="X21" i="64"/>
  <c r="V21" i="64"/>
  <c r="L21" i="64"/>
  <c r="N21" i="64" s="1"/>
  <c r="B21" i="64"/>
  <c r="X20" i="64"/>
  <c r="Z20" i="64" s="1"/>
  <c r="V20" i="64"/>
  <c r="L20" i="64"/>
  <c r="N20" i="64" s="1"/>
  <c r="B20" i="64"/>
  <c r="X19" i="64"/>
  <c r="Z19" i="64" s="1"/>
  <c r="V19" i="64"/>
  <c r="T19" i="64"/>
  <c r="P19" i="64"/>
  <c r="J19" i="64"/>
  <c r="H19" i="64"/>
  <c r="D19" i="64"/>
  <c r="L19" i="64" s="1"/>
  <c r="N19" i="64" s="1"/>
  <c r="B19" i="64"/>
  <c r="T18" i="64"/>
  <c r="P18" i="64"/>
  <c r="H18" i="64"/>
  <c r="D18" i="64"/>
  <c r="H16" i="64"/>
  <c r="Z14" i="64"/>
  <c r="T14" i="64"/>
  <c r="T16" i="64" s="1"/>
  <c r="P14" i="64"/>
  <c r="X14" i="64" s="1"/>
  <c r="L14" i="64"/>
  <c r="H14" i="64"/>
  <c r="N14" i="64" s="1"/>
  <c r="F14" i="64"/>
  <c r="D14" i="64"/>
  <c r="Z12" i="64"/>
  <c r="T12" i="64"/>
  <c r="V69" i="64" s="1"/>
  <c r="P12" i="64"/>
  <c r="R81" i="64" s="1"/>
  <c r="H12" i="64"/>
  <c r="J105" i="64" s="1"/>
  <c r="D12" i="64"/>
  <c r="D6" i="64"/>
  <c r="D4" i="64"/>
  <c r="R66" i="61"/>
  <c r="Z64" i="61"/>
  <c r="X64" i="61"/>
  <c r="N64" i="61"/>
  <c r="L64" i="61"/>
  <c r="T60" i="61"/>
  <c r="Z60" i="61" s="1"/>
  <c r="P60" i="61"/>
  <c r="X60" i="61" s="1"/>
  <c r="N60" i="61"/>
  <c r="H60" i="61"/>
  <c r="D60" i="61"/>
  <c r="L60" i="61" s="1"/>
  <c r="X58" i="61"/>
  <c r="Z58" i="61" s="1"/>
  <c r="R58" i="61"/>
  <c r="L58" i="61"/>
  <c r="N58" i="61" s="1"/>
  <c r="B58" i="61"/>
  <c r="T57" i="61"/>
  <c r="P57" i="61"/>
  <c r="X57" i="61" s="1"/>
  <c r="Z57" i="61" s="1"/>
  <c r="H57" i="61"/>
  <c r="D57" i="61"/>
  <c r="B57" i="61"/>
  <c r="X56" i="61"/>
  <c r="Z56" i="61" s="1"/>
  <c r="L56" i="61"/>
  <c r="N56" i="61" s="1"/>
  <c r="B56" i="61"/>
  <c r="X55" i="61"/>
  <c r="Z55" i="61" s="1"/>
  <c r="T55" i="61"/>
  <c r="P55" i="61"/>
  <c r="N55" i="61"/>
  <c r="H55" i="61"/>
  <c r="D55" i="61"/>
  <c r="L55" i="61" s="1"/>
  <c r="B55" i="61"/>
  <c r="Z54" i="61"/>
  <c r="X54" i="61"/>
  <c r="L54" i="61"/>
  <c r="N54" i="61" s="1"/>
  <c r="B54" i="61"/>
  <c r="Z53" i="61"/>
  <c r="V53" i="61"/>
  <c r="T53" i="61"/>
  <c r="X53" i="61" s="1"/>
  <c r="P53" i="61"/>
  <c r="H53" i="61"/>
  <c r="D53" i="61"/>
  <c r="L53" i="61" s="1"/>
  <c r="N53" i="61" s="1"/>
  <c r="B53" i="61"/>
  <c r="Z52" i="61"/>
  <c r="X52" i="61"/>
  <c r="N52" i="61"/>
  <c r="L52" i="61"/>
  <c r="B52" i="61"/>
  <c r="Z51" i="61"/>
  <c r="X51" i="61"/>
  <c r="R51" i="61"/>
  <c r="L51" i="61"/>
  <c r="N51" i="61" s="1"/>
  <c r="B51" i="61"/>
  <c r="T50" i="61"/>
  <c r="P50" i="61"/>
  <c r="H50" i="61"/>
  <c r="D50" i="61"/>
  <c r="L50" i="61" s="1"/>
  <c r="N50" i="61" s="1"/>
  <c r="B50" i="61"/>
  <c r="Z49" i="61"/>
  <c r="X49" i="61"/>
  <c r="V49" i="61"/>
  <c r="L49" i="61"/>
  <c r="N49" i="61" s="1"/>
  <c r="B49" i="61"/>
  <c r="T48" i="61"/>
  <c r="P48" i="61"/>
  <c r="X48" i="61" s="1"/>
  <c r="L48" i="61"/>
  <c r="H48" i="61"/>
  <c r="F48" i="61"/>
  <c r="D48" i="61"/>
  <c r="B48" i="61"/>
  <c r="Z47" i="61"/>
  <c r="X47" i="61"/>
  <c r="N47" i="61"/>
  <c r="L47" i="61"/>
  <c r="F47" i="61"/>
  <c r="B47" i="61"/>
  <c r="T46" i="61"/>
  <c r="Z46" i="61" s="1"/>
  <c r="P46" i="61"/>
  <c r="L46" i="61"/>
  <c r="H46" i="61"/>
  <c r="N46" i="61" s="1"/>
  <c r="D46" i="61"/>
  <c r="B46" i="61"/>
  <c r="Z45" i="61"/>
  <c r="X45" i="61"/>
  <c r="V45" i="61"/>
  <c r="N45" i="61"/>
  <c r="L45" i="61"/>
  <c r="B45" i="61"/>
  <c r="Z44" i="61"/>
  <c r="T44" i="61"/>
  <c r="P44" i="61"/>
  <c r="X44" i="61" s="1"/>
  <c r="H44" i="61"/>
  <c r="D44" i="61"/>
  <c r="L44" i="61" s="1"/>
  <c r="B44" i="61"/>
  <c r="X43" i="61"/>
  <c r="Z43" i="61" s="1"/>
  <c r="N43" i="61"/>
  <c r="L43" i="61"/>
  <c r="B43" i="61"/>
  <c r="T42" i="61"/>
  <c r="P42" i="61"/>
  <c r="X42" i="61" s="1"/>
  <c r="H42" i="61"/>
  <c r="D42" i="61"/>
  <c r="L42" i="61" s="1"/>
  <c r="B42" i="61"/>
  <c r="Z41" i="61"/>
  <c r="X41" i="61"/>
  <c r="N41" i="61"/>
  <c r="L41" i="61"/>
  <c r="F41" i="61"/>
  <c r="B41" i="61"/>
  <c r="T40" i="61"/>
  <c r="P40" i="61"/>
  <c r="H40" i="61"/>
  <c r="D40" i="61"/>
  <c r="L40" i="61" s="1"/>
  <c r="N40" i="61" s="1"/>
  <c r="B40" i="61"/>
  <c r="Z39" i="61"/>
  <c r="X39" i="61"/>
  <c r="V39" i="61"/>
  <c r="R39" i="61"/>
  <c r="N39" i="61"/>
  <c r="L39" i="61"/>
  <c r="B39" i="61"/>
  <c r="Z38" i="61"/>
  <c r="X38" i="61"/>
  <c r="N38" i="61"/>
  <c r="L38" i="61"/>
  <c r="F38" i="61"/>
  <c r="B38" i="61"/>
  <c r="Z37" i="61"/>
  <c r="X37" i="61"/>
  <c r="N37" i="61"/>
  <c r="L37" i="61"/>
  <c r="B37" i="61"/>
  <c r="X36" i="61"/>
  <c r="Z36" i="61" s="1"/>
  <c r="V36" i="61"/>
  <c r="L36" i="61"/>
  <c r="N36" i="61" s="1"/>
  <c r="B36" i="61"/>
  <c r="Z35" i="61"/>
  <c r="X35" i="61"/>
  <c r="R35" i="61"/>
  <c r="N35" i="61"/>
  <c r="L35" i="61"/>
  <c r="J35" i="61"/>
  <c r="B35" i="61"/>
  <c r="Z34" i="61"/>
  <c r="X34" i="61"/>
  <c r="N34" i="61"/>
  <c r="L34" i="61"/>
  <c r="F34" i="61"/>
  <c r="B34" i="61"/>
  <c r="Z33" i="61"/>
  <c r="X33" i="61"/>
  <c r="R33" i="61"/>
  <c r="L33" i="61"/>
  <c r="N33" i="61" s="1"/>
  <c r="B33" i="61"/>
  <c r="Z32" i="61"/>
  <c r="X32" i="61"/>
  <c r="V32" i="61"/>
  <c r="N32" i="61"/>
  <c r="L32" i="61"/>
  <c r="F32" i="61"/>
  <c r="B32" i="61"/>
  <c r="Z31" i="61"/>
  <c r="X31" i="61"/>
  <c r="R31" i="61"/>
  <c r="N31" i="61"/>
  <c r="L31" i="61"/>
  <c r="B31" i="61"/>
  <c r="Z30" i="61"/>
  <c r="X30" i="61"/>
  <c r="V30" i="61"/>
  <c r="N30" i="61"/>
  <c r="L30" i="61"/>
  <c r="B30" i="61"/>
  <c r="T29" i="61"/>
  <c r="R29" i="61"/>
  <c r="P29" i="61"/>
  <c r="N29" i="61"/>
  <c r="H29" i="61"/>
  <c r="D29" i="61"/>
  <c r="L29" i="61" s="1"/>
  <c r="B29" i="61"/>
  <c r="Z28" i="61"/>
  <c r="X28" i="61"/>
  <c r="V28" i="61"/>
  <c r="R28" i="61"/>
  <c r="N28" i="61"/>
  <c r="L28" i="61"/>
  <c r="B28" i="61"/>
  <c r="X27" i="61"/>
  <c r="Z27" i="61" s="1"/>
  <c r="N27" i="61"/>
  <c r="L27" i="61"/>
  <c r="F27" i="61"/>
  <c r="B27" i="61"/>
  <c r="Z26" i="61"/>
  <c r="X26" i="61"/>
  <c r="L26" i="61"/>
  <c r="N26" i="61" s="1"/>
  <c r="B26" i="61"/>
  <c r="Z25" i="61"/>
  <c r="X25" i="61"/>
  <c r="V25" i="61"/>
  <c r="N25" i="61"/>
  <c r="L25" i="61"/>
  <c r="B25" i="61"/>
  <c r="Z24" i="61"/>
  <c r="X24" i="61"/>
  <c r="V24" i="61"/>
  <c r="N24" i="61"/>
  <c r="L24" i="61"/>
  <c r="F24" i="61"/>
  <c r="B24" i="61"/>
  <c r="Z23" i="61"/>
  <c r="X23" i="61"/>
  <c r="R23" i="61"/>
  <c r="L23" i="61"/>
  <c r="N23" i="61" s="1"/>
  <c r="B23" i="61"/>
  <c r="X22" i="61"/>
  <c r="Z22" i="61" s="1"/>
  <c r="L22" i="61"/>
  <c r="N22" i="61" s="1"/>
  <c r="B22" i="61"/>
  <c r="X21" i="61"/>
  <c r="Z21" i="61" s="1"/>
  <c r="V21" i="61"/>
  <c r="N21" i="61"/>
  <c r="L21" i="61"/>
  <c r="B21" i="61"/>
  <c r="Z20" i="61"/>
  <c r="X20" i="61"/>
  <c r="V20" i="61"/>
  <c r="R20" i="61"/>
  <c r="L20" i="61"/>
  <c r="N20" i="61" s="1"/>
  <c r="F20" i="61"/>
  <c r="B20" i="61"/>
  <c r="T19" i="61"/>
  <c r="Z19" i="61" s="1"/>
  <c r="P19" i="61"/>
  <c r="X19" i="61" s="1"/>
  <c r="L19" i="61"/>
  <c r="N19" i="61" s="1"/>
  <c r="H19" i="61"/>
  <c r="F19" i="61"/>
  <c r="D19" i="61"/>
  <c r="B19" i="61"/>
  <c r="T18" i="61"/>
  <c r="R18" i="61"/>
  <c r="P18" i="61"/>
  <c r="H18" i="61"/>
  <c r="D18" i="61"/>
  <c r="L18" i="61" s="1"/>
  <c r="R16" i="61"/>
  <c r="T14" i="61"/>
  <c r="Z14" i="61" s="1"/>
  <c r="R14" i="61"/>
  <c r="P14" i="61"/>
  <c r="X14" i="61" s="1"/>
  <c r="N14" i="61"/>
  <c r="H14" i="61"/>
  <c r="L14" i="61" s="1"/>
  <c r="D14" i="61"/>
  <c r="T12" i="61"/>
  <c r="V64" i="61" s="1"/>
  <c r="P12" i="61"/>
  <c r="R55" i="61" s="1"/>
  <c r="H12" i="61"/>
  <c r="D12" i="61"/>
  <c r="D6" i="61"/>
  <c r="D4" i="61"/>
  <c r="J67" i="60"/>
  <c r="J64" i="60"/>
  <c r="Z62" i="60"/>
  <c r="X62" i="60"/>
  <c r="N62" i="60"/>
  <c r="L62" i="60"/>
  <c r="J62" i="60"/>
  <c r="F62" i="60"/>
  <c r="J60" i="60"/>
  <c r="F60" i="60"/>
  <c r="Z58" i="60"/>
  <c r="X58" i="60"/>
  <c r="T58" i="60"/>
  <c r="P58" i="60"/>
  <c r="J58" i="60"/>
  <c r="H58" i="60"/>
  <c r="N58" i="60" s="1"/>
  <c r="F58" i="60"/>
  <c r="D58" i="60"/>
  <c r="L58" i="60" s="1"/>
  <c r="Z56" i="60"/>
  <c r="X56" i="60"/>
  <c r="R56" i="60"/>
  <c r="N56" i="60"/>
  <c r="L56" i="60"/>
  <c r="B56" i="60"/>
  <c r="T55" i="60"/>
  <c r="Z55" i="60" s="1"/>
  <c r="P55" i="60"/>
  <c r="N55" i="60"/>
  <c r="H55" i="60"/>
  <c r="D55" i="60"/>
  <c r="L55" i="60" s="1"/>
  <c r="B55" i="60"/>
  <c r="Z54" i="60"/>
  <c r="X54" i="60"/>
  <c r="V54" i="60"/>
  <c r="R54" i="60"/>
  <c r="L54" i="60"/>
  <c r="N54" i="60" s="1"/>
  <c r="B54" i="60"/>
  <c r="T53" i="60"/>
  <c r="P53" i="60"/>
  <c r="X53" i="60" s="1"/>
  <c r="N53" i="60"/>
  <c r="J53" i="60"/>
  <c r="H53" i="60"/>
  <c r="D53" i="60"/>
  <c r="L53" i="60" s="1"/>
  <c r="B53" i="60"/>
  <c r="Z52" i="60"/>
  <c r="X52" i="60"/>
  <c r="V52" i="60"/>
  <c r="L52" i="60"/>
  <c r="N52" i="60" s="1"/>
  <c r="F52" i="60"/>
  <c r="B52" i="60"/>
  <c r="Z51" i="60"/>
  <c r="X51" i="60"/>
  <c r="N51" i="60"/>
  <c r="L51" i="60"/>
  <c r="J51" i="60"/>
  <c r="F51" i="60"/>
  <c r="B51" i="60"/>
  <c r="X50" i="60"/>
  <c r="T50" i="60"/>
  <c r="P50" i="60"/>
  <c r="J50" i="60"/>
  <c r="H50" i="60"/>
  <c r="F50" i="60"/>
  <c r="D50" i="60"/>
  <c r="L50" i="60" s="1"/>
  <c r="N50" i="60" s="1"/>
  <c r="B50" i="60"/>
  <c r="Z49" i="60"/>
  <c r="X49" i="60"/>
  <c r="L49" i="60"/>
  <c r="N49" i="60" s="1"/>
  <c r="J49" i="60"/>
  <c r="F49" i="60"/>
  <c r="B49" i="60"/>
  <c r="T48" i="60"/>
  <c r="X48" i="60" s="1"/>
  <c r="Z48" i="60" s="1"/>
  <c r="P48" i="60"/>
  <c r="J48" i="60"/>
  <c r="H48" i="60"/>
  <c r="F48" i="60"/>
  <c r="D48" i="60"/>
  <c r="L48" i="60" s="1"/>
  <c r="B48" i="60"/>
  <c r="Z47" i="60"/>
  <c r="X47" i="60"/>
  <c r="N47" i="60"/>
  <c r="L47" i="60"/>
  <c r="F47" i="60"/>
  <c r="B47" i="60"/>
  <c r="V46" i="60"/>
  <c r="T46" i="60"/>
  <c r="Z46" i="60" s="1"/>
  <c r="P46" i="60"/>
  <c r="X46" i="60" s="1"/>
  <c r="H46" i="60"/>
  <c r="F46" i="60"/>
  <c r="D46" i="60"/>
  <c r="L46" i="60" s="1"/>
  <c r="N46" i="60" s="1"/>
  <c r="B46" i="60"/>
  <c r="X45" i="60"/>
  <c r="Z45" i="60" s="1"/>
  <c r="V45" i="60"/>
  <c r="N45" i="60"/>
  <c r="L45" i="60"/>
  <c r="B45" i="60"/>
  <c r="V44" i="60"/>
  <c r="T44" i="60"/>
  <c r="R44" i="60"/>
  <c r="P44" i="60"/>
  <c r="X44" i="60" s="1"/>
  <c r="Z44" i="60" s="1"/>
  <c r="L44" i="60"/>
  <c r="H44" i="60"/>
  <c r="N44" i="60" s="1"/>
  <c r="D44" i="60"/>
  <c r="B44" i="60"/>
  <c r="X43" i="60"/>
  <c r="Z43" i="60" s="1"/>
  <c r="N43" i="60"/>
  <c r="L43" i="60"/>
  <c r="J43" i="60"/>
  <c r="B43" i="60"/>
  <c r="T42" i="60"/>
  <c r="P42" i="60"/>
  <c r="X42" i="60" s="1"/>
  <c r="H42" i="60"/>
  <c r="L42" i="60" s="1"/>
  <c r="N42" i="60" s="1"/>
  <c r="D42" i="60"/>
  <c r="B42" i="60"/>
  <c r="X41" i="60"/>
  <c r="Z41" i="60" s="1"/>
  <c r="L41" i="60"/>
  <c r="N41" i="60" s="1"/>
  <c r="J41" i="60"/>
  <c r="B41" i="60"/>
  <c r="T40" i="60"/>
  <c r="P40" i="60"/>
  <c r="X40" i="60" s="1"/>
  <c r="Z40" i="60" s="1"/>
  <c r="J40" i="60"/>
  <c r="H40" i="60"/>
  <c r="D40" i="60"/>
  <c r="B40" i="60"/>
  <c r="Z39" i="60"/>
  <c r="X39" i="60"/>
  <c r="N39" i="60"/>
  <c r="L39" i="60"/>
  <c r="J39" i="60"/>
  <c r="F39" i="60"/>
  <c r="B39" i="60"/>
  <c r="Z38" i="60"/>
  <c r="X38" i="60"/>
  <c r="N38" i="60"/>
  <c r="L38" i="60"/>
  <c r="J38" i="60"/>
  <c r="F38" i="60"/>
  <c r="B38" i="60"/>
  <c r="Z37" i="60"/>
  <c r="X37" i="60"/>
  <c r="V37" i="60"/>
  <c r="N37" i="60"/>
  <c r="L37" i="60"/>
  <c r="B37" i="60"/>
  <c r="Z36" i="60"/>
  <c r="X36" i="60"/>
  <c r="V36" i="60"/>
  <c r="N36" i="60"/>
  <c r="L36" i="60"/>
  <c r="F36" i="60"/>
  <c r="B36" i="60"/>
  <c r="Z35" i="60"/>
  <c r="X35" i="60"/>
  <c r="N35" i="60"/>
  <c r="L35" i="60"/>
  <c r="J35" i="60"/>
  <c r="F35" i="60"/>
  <c r="B35" i="60"/>
  <c r="Z34" i="60"/>
  <c r="X34" i="60"/>
  <c r="N34" i="60"/>
  <c r="L34" i="60"/>
  <c r="J34" i="60"/>
  <c r="F34" i="60"/>
  <c r="B34" i="60"/>
  <c r="Z33" i="60"/>
  <c r="X33" i="60"/>
  <c r="V33" i="60"/>
  <c r="N33" i="60"/>
  <c r="L33" i="60"/>
  <c r="B33" i="60"/>
  <c r="Z32" i="60"/>
  <c r="X32" i="60"/>
  <c r="N32" i="60"/>
  <c r="L32" i="60"/>
  <c r="F32" i="60"/>
  <c r="B32" i="60"/>
  <c r="Z31" i="60"/>
  <c r="X31" i="60"/>
  <c r="L31" i="60"/>
  <c r="N31" i="60" s="1"/>
  <c r="J31" i="60"/>
  <c r="F31" i="60"/>
  <c r="B31" i="60"/>
  <c r="Z30" i="60"/>
  <c r="X30" i="60"/>
  <c r="N30" i="60"/>
  <c r="L30" i="60"/>
  <c r="J30" i="60"/>
  <c r="F30" i="60"/>
  <c r="B30" i="60"/>
  <c r="X29" i="60"/>
  <c r="Z29" i="60" s="1"/>
  <c r="T29" i="60"/>
  <c r="P29" i="60"/>
  <c r="H29" i="60"/>
  <c r="N29" i="60" s="1"/>
  <c r="F29" i="60"/>
  <c r="D29" i="60"/>
  <c r="L29" i="60" s="1"/>
  <c r="B29" i="60"/>
  <c r="Z28" i="60"/>
  <c r="X28" i="60"/>
  <c r="R28" i="60"/>
  <c r="L28" i="60"/>
  <c r="N28" i="60" s="1"/>
  <c r="B28" i="60"/>
  <c r="X27" i="60"/>
  <c r="Z27" i="60" s="1"/>
  <c r="N27" i="60"/>
  <c r="L27" i="60"/>
  <c r="J27" i="60"/>
  <c r="B27" i="60"/>
  <c r="X26" i="60"/>
  <c r="Z26" i="60" s="1"/>
  <c r="N26" i="60"/>
  <c r="L26" i="60"/>
  <c r="J26" i="60"/>
  <c r="F26" i="60"/>
  <c r="B26" i="60"/>
  <c r="Z25" i="60"/>
  <c r="X25" i="60"/>
  <c r="N25" i="60"/>
  <c r="L25" i="60"/>
  <c r="J25" i="60"/>
  <c r="F25" i="60"/>
  <c r="B25" i="60"/>
  <c r="Z24" i="60"/>
  <c r="X24" i="60"/>
  <c r="R24" i="60"/>
  <c r="L24" i="60"/>
  <c r="N24" i="60" s="1"/>
  <c r="B24" i="60"/>
  <c r="X23" i="60"/>
  <c r="Z23" i="60" s="1"/>
  <c r="N23" i="60"/>
  <c r="L23" i="60"/>
  <c r="J23" i="60"/>
  <c r="B23" i="60"/>
  <c r="X22" i="60"/>
  <c r="Z22" i="60" s="1"/>
  <c r="N22" i="60"/>
  <c r="L22" i="60"/>
  <c r="J22" i="60"/>
  <c r="F22" i="60"/>
  <c r="B22" i="60"/>
  <c r="Z21" i="60"/>
  <c r="X21" i="60"/>
  <c r="L21" i="60"/>
  <c r="N21" i="60" s="1"/>
  <c r="J21" i="60"/>
  <c r="F21" i="60"/>
  <c r="B21" i="60"/>
  <c r="X20" i="60"/>
  <c r="Z20" i="60" s="1"/>
  <c r="L20" i="60"/>
  <c r="N20" i="60" s="1"/>
  <c r="B20" i="60"/>
  <c r="T19" i="60"/>
  <c r="P19" i="60"/>
  <c r="N19" i="60"/>
  <c r="H19" i="60"/>
  <c r="D19" i="60"/>
  <c r="L19" i="60" s="1"/>
  <c r="B19" i="60"/>
  <c r="V18" i="60"/>
  <c r="T18" i="60"/>
  <c r="P18" i="60"/>
  <c r="X18" i="60" s="1"/>
  <c r="H18" i="60"/>
  <c r="F18" i="60"/>
  <c r="D18" i="60"/>
  <c r="V16" i="60"/>
  <c r="F16" i="60"/>
  <c r="V14" i="60"/>
  <c r="T14" i="60"/>
  <c r="Z14" i="60" s="1"/>
  <c r="P14" i="60"/>
  <c r="X14" i="60" s="1"/>
  <c r="N14" i="60"/>
  <c r="H14" i="60"/>
  <c r="F14" i="60"/>
  <c r="D14" i="60"/>
  <c r="L14" i="60" s="1"/>
  <c r="Z12" i="60"/>
  <c r="T12" i="60"/>
  <c r="V47" i="60" s="1"/>
  <c r="P12" i="60"/>
  <c r="R42" i="60" s="1"/>
  <c r="L12" i="60"/>
  <c r="H12" i="60"/>
  <c r="J54" i="60" s="1"/>
  <c r="D12" i="60"/>
  <c r="F43" i="60" s="1"/>
  <c r="D6" i="60"/>
  <c r="D4" i="60"/>
  <c r="V78" i="59"/>
  <c r="R78" i="59"/>
  <c r="V75" i="59"/>
  <c r="Z73" i="59"/>
  <c r="X73" i="59"/>
  <c r="V73" i="59"/>
  <c r="N73" i="59"/>
  <c r="L73" i="59"/>
  <c r="F73" i="59"/>
  <c r="T69" i="59"/>
  <c r="Z69" i="59" s="1"/>
  <c r="P69" i="59"/>
  <c r="X69" i="59" s="1"/>
  <c r="H69" i="59"/>
  <c r="N69" i="59" s="1"/>
  <c r="D69" i="59"/>
  <c r="Z67" i="59"/>
  <c r="X67" i="59"/>
  <c r="N67" i="59"/>
  <c r="L67" i="59"/>
  <c r="B67" i="59"/>
  <c r="Z66" i="59"/>
  <c r="X66" i="59"/>
  <c r="V66" i="59"/>
  <c r="N66" i="59"/>
  <c r="L66" i="59"/>
  <c r="B66" i="59"/>
  <c r="V65" i="59"/>
  <c r="T65" i="59"/>
  <c r="Z65" i="59" s="1"/>
  <c r="P65" i="59"/>
  <c r="X65" i="59" s="1"/>
  <c r="H65" i="59"/>
  <c r="N65" i="59" s="1"/>
  <c r="D65" i="59"/>
  <c r="L65" i="59" s="1"/>
  <c r="B65" i="59"/>
  <c r="X64" i="59"/>
  <c r="Z64" i="59" s="1"/>
  <c r="V64" i="59"/>
  <c r="N64" i="59"/>
  <c r="L64" i="59"/>
  <c r="B64" i="59"/>
  <c r="V63" i="59"/>
  <c r="T63" i="59"/>
  <c r="P63" i="59"/>
  <c r="X63" i="59" s="1"/>
  <c r="Z63" i="59" s="1"/>
  <c r="L63" i="59"/>
  <c r="H63" i="59"/>
  <c r="D63" i="59"/>
  <c r="B63" i="59"/>
  <c r="X62" i="59"/>
  <c r="Z62" i="59" s="1"/>
  <c r="V62" i="59"/>
  <c r="R62" i="59"/>
  <c r="N62" i="59"/>
  <c r="L62" i="59"/>
  <c r="J62" i="59"/>
  <c r="B62" i="59"/>
  <c r="X61" i="59"/>
  <c r="Z61" i="59" s="1"/>
  <c r="V61" i="59"/>
  <c r="N61" i="59"/>
  <c r="L61" i="59"/>
  <c r="F61" i="59"/>
  <c r="B61" i="59"/>
  <c r="Z60" i="59"/>
  <c r="T60" i="59"/>
  <c r="P60" i="59"/>
  <c r="X60" i="59" s="1"/>
  <c r="L60" i="59"/>
  <c r="H60" i="59"/>
  <c r="D60" i="59"/>
  <c r="B60" i="59"/>
  <c r="X59" i="59"/>
  <c r="Z59" i="59" s="1"/>
  <c r="N59" i="59"/>
  <c r="L59" i="59"/>
  <c r="B59" i="59"/>
  <c r="Z58" i="59"/>
  <c r="V58" i="59"/>
  <c r="T58" i="59"/>
  <c r="X58" i="59" s="1"/>
  <c r="P58" i="59"/>
  <c r="H58" i="59"/>
  <c r="D58" i="59"/>
  <c r="B58" i="59"/>
  <c r="X57" i="59"/>
  <c r="Z57" i="59" s="1"/>
  <c r="L57" i="59"/>
  <c r="N57" i="59" s="1"/>
  <c r="B57" i="59"/>
  <c r="X56" i="59"/>
  <c r="Z56" i="59" s="1"/>
  <c r="V56" i="59"/>
  <c r="T56" i="59"/>
  <c r="P56" i="59"/>
  <c r="H56" i="59"/>
  <c r="D56" i="59"/>
  <c r="B56" i="59"/>
  <c r="Z55" i="59"/>
  <c r="X55" i="59"/>
  <c r="N55" i="59"/>
  <c r="L55" i="59"/>
  <c r="B55" i="59"/>
  <c r="X54" i="59"/>
  <c r="Z54" i="59" s="1"/>
  <c r="V54" i="59"/>
  <c r="R54" i="59"/>
  <c r="N54" i="59"/>
  <c r="L54" i="59"/>
  <c r="B54" i="59"/>
  <c r="X53" i="59"/>
  <c r="Z53" i="59" s="1"/>
  <c r="V53" i="59"/>
  <c r="N53" i="59"/>
  <c r="L53" i="59"/>
  <c r="F53" i="59"/>
  <c r="B53" i="59"/>
  <c r="Z52" i="59"/>
  <c r="X52" i="59"/>
  <c r="L52" i="59"/>
  <c r="N52" i="59" s="1"/>
  <c r="F52" i="59"/>
  <c r="B52" i="59"/>
  <c r="T51" i="59"/>
  <c r="P51" i="59"/>
  <c r="H51" i="59"/>
  <c r="N51" i="59" s="1"/>
  <c r="D51" i="59"/>
  <c r="L51" i="59" s="1"/>
  <c r="B51" i="59"/>
  <c r="Z50" i="59"/>
  <c r="X50" i="59"/>
  <c r="V50" i="59"/>
  <c r="N50" i="59"/>
  <c r="L50" i="59"/>
  <c r="F50" i="59"/>
  <c r="B50" i="59"/>
  <c r="V49" i="59"/>
  <c r="T49" i="59"/>
  <c r="Z49" i="59" s="1"/>
  <c r="P49" i="59"/>
  <c r="X49" i="59" s="1"/>
  <c r="H49" i="59"/>
  <c r="D49" i="59"/>
  <c r="L49" i="59" s="1"/>
  <c r="N49" i="59" s="1"/>
  <c r="B49" i="59"/>
  <c r="X48" i="59"/>
  <c r="Z48" i="59" s="1"/>
  <c r="V48" i="59"/>
  <c r="N48" i="59"/>
  <c r="L48" i="59"/>
  <c r="B48" i="59"/>
  <c r="V47" i="59"/>
  <c r="T47" i="59"/>
  <c r="P47" i="59"/>
  <c r="X47" i="59" s="1"/>
  <c r="Z47" i="59" s="1"/>
  <c r="L47" i="59"/>
  <c r="H47" i="59"/>
  <c r="N47" i="59" s="1"/>
  <c r="D47" i="59"/>
  <c r="B47" i="59"/>
  <c r="Z46" i="59"/>
  <c r="X46" i="59"/>
  <c r="V46" i="59"/>
  <c r="R46" i="59"/>
  <c r="N46" i="59"/>
  <c r="L46" i="59"/>
  <c r="B46" i="59"/>
  <c r="V45" i="59"/>
  <c r="T45" i="59"/>
  <c r="P45" i="59"/>
  <c r="X45" i="59" s="1"/>
  <c r="H45" i="59"/>
  <c r="L45" i="59" s="1"/>
  <c r="N45" i="59" s="1"/>
  <c r="D45" i="59"/>
  <c r="B45" i="59"/>
  <c r="X44" i="59"/>
  <c r="Z44" i="59" s="1"/>
  <c r="V44" i="59"/>
  <c r="R44" i="59"/>
  <c r="L44" i="59"/>
  <c r="N44" i="59" s="1"/>
  <c r="B44" i="59"/>
  <c r="T43" i="59"/>
  <c r="R43" i="59"/>
  <c r="P43" i="59"/>
  <c r="X43" i="59" s="1"/>
  <c r="Z43" i="59" s="1"/>
  <c r="N43" i="59"/>
  <c r="H43" i="59"/>
  <c r="D43" i="59"/>
  <c r="L43" i="59" s="1"/>
  <c r="B43" i="59"/>
  <c r="Z42" i="59"/>
  <c r="X42" i="59"/>
  <c r="R42" i="59"/>
  <c r="N42" i="59"/>
  <c r="L42" i="59"/>
  <c r="F42" i="59"/>
  <c r="B42" i="59"/>
  <c r="X41" i="59"/>
  <c r="T41" i="59"/>
  <c r="Z41" i="59" s="1"/>
  <c r="P41" i="59"/>
  <c r="N41" i="59"/>
  <c r="H41" i="59"/>
  <c r="F41" i="59"/>
  <c r="D41" i="59"/>
  <c r="L41" i="59" s="1"/>
  <c r="B41" i="59"/>
  <c r="Z40" i="59"/>
  <c r="X40" i="59"/>
  <c r="N40" i="59"/>
  <c r="L40" i="59"/>
  <c r="F40" i="59"/>
  <c r="B40" i="59"/>
  <c r="Z39" i="59"/>
  <c r="X39" i="59"/>
  <c r="R39" i="59"/>
  <c r="N39" i="59"/>
  <c r="L39" i="59"/>
  <c r="B39" i="59"/>
  <c r="X38" i="59"/>
  <c r="Z38" i="59" s="1"/>
  <c r="V38" i="59"/>
  <c r="R38" i="59"/>
  <c r="N38" i="59"/>
  <c r="L38" i="59"/>
  <c r="B38" i="59"/>
  <c r="X37" i="59"/>
  <c r="Z37" i="59" s="1"/>
  <c r="V37" i="59"/>
  <c r="R37" i="59"/>
  <c r="N37" i="59"/>
  <c r="L37" i="59"/>
  <c r="J37" i="59"/>
  <c r="B37" i="59"/>
  <c r="Z36" i="59"/>
  <c r="X36" i="59"/>
  <c r="N36" i="59"/>
  <c r="L36" i="59"/>
  <c r="B36" i="59"/>
  <c r="Z35" i="59"/>
  <c r="X35" i="59"/>
  <c r="R35" i="59"/>
  <c r="N35" i="59"/>
  <c r="L35" i="59"/>
  <c r="B35" i="59"/>
  <c r="X34" i="59"/>
  <c r="Z34" i="59" s="1"/>
  <c r="V34" i="59"/>
  <c r="R34" i="59"/>
  <c r="N34" i="59"/>
  <c r="L34" i="59"/>
  <c r="J34" i="59"/>
  <c r="B34" i="59"/>
  <c r="Z33" i="59"/>
  <c r="X33" i="59"/>
  <c r="V33" i="59"/>
  <c r="R33" i="59"/>
  <c r="N33" i="59"/>
  <c r="L33" i="59"/>
  <c r="F33" i="59"/>
  <c r="B33" i="59"/>
  <c r="Z32" i="59"/>
  <c r="X32" i="59"/>
  <c r="L32" i="59"/>
  <c r="N32" i="59" s="1"/>
  <c r="J32" i="59"/>
  <c r="B32" i="59"/>
  <c r="Z31" i="59"/>
  <c r="X31" i="59"/>
  <c r="R31" i="59"/>
  <c r="N31" i="59"/>
  <c r="L31" i="59"/>
  <c r="B31" i="59"/>
  <c r="X30" i="59"/>
  <c r="Z30" i="59" s="1"/>
  <c r="V30" i="59"/>
  <c r="T30" i="59"/>
  <c r="R30" i="59"/>
  <c r="P30" i="59"/>
  <c r="N30" i="59"/>
  <c r="H30" i="59"/>
  <c r="D30" i="59"/>
  <c r="L30" i="59" s="1"/>
  <c r="B30" i="59"/>
  <c r="Z29" i="59"/>
  <c r="X29" i="59"/>
  <c r="V29" i="59"/>
  <c r="R29" i="59"/>
  <c r="N29" i="59"/>
  <c r="L29" i="59"/>
  <c r="B29" i="59"/>
  <c r="X28" i="59"/>
  <c r="Z28" i="59" s="1"/>
  <c r="V28" i="59"/>
  <c r="N28" i="59"/>
  <c r="L28" i="59"/>
  <c r="B28" i="59"/>
  <c r="Z27" i="59"/>
  <c r="X27" i="59"/>
  <c r="L27" i="59"/>
  <c r="N27" i="59" s="1"/>
  <c r="B27" i="59"/>
  <c r="Z26" i="59"/>
  <c r="X26" i="59"/>
  <c r="V26" i="59"/>
  <c r="N26" i="59"/>
  <c r="L26" i="59"/>
  <c r="F26" i="59"/>
  <c r="B26" i="59"/>
  <c r="Z25" i="59"/>
  <c r="X25" i="59"/>
  <c r="V25" i="59"/>
  <c r="R25" i="59"/>
  <c r="N25" i="59"/>
  <c r="L25" i="59"/>
  <c r="B25" i="59"/>
  <c r="X24" i="59"/>
  <c r="Z24" i="59" s="1"/>
  <c r="V24" i="59"/>
  <c r="R24" i="59"/>
  <c r="L24" i="59"/>
  <c r="N24" i="59" s="1"/>
  <c r="B24" i="59"/>
  <c r="Z23" i="59"/>
  <c r="X23" i="59"/>
  <c r="N23" i="59"/>
  <c r="L23" i="59"/>
  <c r="B23" i="59"/>
  <c r="Z22" i="59"/>
  <c r="X22" i="59"/>
  <c r="V22" i="59"/>
  <c r="N22" i="59"/>
  <c r="L22" i="59"/>
  <c r="B22" i="59"/>
  <c r="Z21" i="59"/>
  <c r="X21" i="59"/>
  <c r="V21" i="59"/>
  <c r="R21" i="59"/>
  <c r="L21" i="59"/>
  <c r="N21" i="59" s="1"/>
  <c r="B21" i="59"/>
  <c r="X20" i="59"/>
  <c r="Z20" i="59" s="1"/>
  <c r="V20" i="59"/>
  <c r="N20" i="59"/>
  <c r="L20" i="59"/>
  <c r="B20" i="59"/>
  <c r="T19" i="59"/>
  <c r="R19" i="59"/>
  <c r="P19" i="59"/>
  <c r="X19" i="59" s="1"/>
  <c r="Z19" i="59" s="1"/>
  <c r="J19" i="59"/>
  <c r="H19" i="59"/>
  <c r="D19" i="59"/>
  <c r="B19" i="59"/>
  <c r="T18" i="59"/>
  <c r="R18" i="59"/>
  <c r="P18" i="59"/>
  <c r="X18" i="59" s="1"/>
  <c r="H18" i="59"/>
  <c r="D18" i="59"/>
  <c r="L18" i="59" s="1"/>
  <c r="N18" i="59" s="1"/>
  <c r="T16" i="59"/>
  <c r="P16" i="59"/>
  <c r="T14" i="59"/>
  <c r="Z14" i="59" s="1"/>
  <c r="R14" i="59"/>
  <c r="P14" i="59"/>
  <c r="X14" i="59" s="1"/>
  <c r="N14" i="59"/>
  <c r="L14" i="59"/>
  <c r="J14" i="59"/>
  <c r="H14" i="59"/>
  <c r="F14" i="59"/>
  <c r="D14" i="59"/>
  <c r="Z12" i="59"/>
  <c r="T12" i="59"/>
  <c r="V57" i="59" s="1"/>
  <c r="P12" i="59"/>
  <c r="R55" i="59" s="1"/>
  <c r="H12" i="59"/>
  <c r="J69" i="59" s="1"/>
  <c r="D12" i="59"/>
  <c r="D6" i="59"/>
  <c r="D4" i="59"/>
  <c r="J83" i="58"/>
  <c r="J80" i="58"/>
  <c r="Z78" i="58"/>
  <c r="X78" i="58"/>
  <c r="N78" i="58"/>
  <c r="L78" i="58"/>
  <c r="J78" i="58"/>
  <c r="V76" i="58"/>
  <c r="Z74" i="58"/>
  <c r="X74" i="58"/>
  <c r="T74" i="58"/>
  <c r="P74" i="58"/>
  <c r="H74" i="58"/>
  <c r="N74" i="58" s="1"/>
  <c r="D74" i="58"/>
  <c r="L74" i="58" s="1"/>
  <c r="X72" i="58"/>
  <c r="Z72" i="58" s="1"/>
  <c r="N72" i="58"/>
  <c r="L72" i="58"/>
  <c r="B72" i="58"/>
  <c r="V71" i="58"/>
  <c r="T71" i="58"/>
  <c r="R71" i="58"/>
  <c r="P71" i="58"/>
  <c r="X71" i="58" s="1"/>
  <c r="Z71" i="58" s="1"/>
  <c r="L71" i="58"/>
  <c r="H71" i="58"/>
  <c r="N71" i="58" s="1"/>
  <c r="D71" i="58"/>
  <c r="B71" i="58"/>
  <c r="Z70" i="58"/>
  <c r="X70" i="58"/>
  <c r="N70" i="58"/>
  <c r="L70" i="58"/>
  <c r="J70" i="58"/>
  <c r="B70" i="58"/>
  <c r="T69" i="58"/>
  <c r="P69" i="58"/>
  <c r="H69" i="58"/>
  <c r="L69" i="58" s="1"/>
  <c r="N69" i="58" s="1"/>
  <c r="D69" i="58"/>
  <c r="B69" i="58"/>
  <c r="X68" i="58"/>
  <c r="Z68" i="58" s="1"/>
  <c r="V68" i="58"/>
  <c r="L68" i="58"/>
  <c r="N68" i="58" s="1"/>
  <c r="B68" i="58"/>
  <c r="T67" i="58"/>
  <c r="P67" i="58"/>
  <c r="X67" i="58" s="1"/>
  <c r="Z67" i="58" s="1"/>
  <c r="H67" i="58"/>
  <c r="D67" i="58"/>
  <c r="L67" i="58" s="1"/>
  <c r="B67" i="58"/>
  <c r="Z66" i="58"/>
  <c r="X66" i="58"/>
  <c r="N66" i="58"/>
  <c r="L66" i="58"/>
  <c r="J66" i="58"/>
  <c r="B66" i="58"/>
  <c r="X65" i="58"/>
  <c r="Z65" i="58" s="1"/>
  <c r="L65" i="58"/>
  <c r="N65" i="58" s="1"/>
  <c r="J65" i="58"/>
  <c r="B65" i="58"/>
  <c r="X64" i="58"/>
  <c r="Z64" i="58" s="1"/>
  <c r="V64" i="58"/>
  <c r="N64" i="58"/>
  <c r="L64" i="58"/>
  <c r="B64" i="58"/>
  <c r="V63" i="58"/>
  <c r="T63" i="58"/>
  <c r="P63" i="58"/>
  <c r="X63" i="58" s="1"/>
  <c r="L63" i="58"/>
  <c r="H63" i="58"/>
  <c r="N63" i="58" s="1"/>
  <c r="D63" i="58"/>
  <c r="B63" i="58"/>
  <c r="Z62" i="58"/>
  <c r="X62" i="58"/>
  <c r="V62" i="58"/>
  <c r="N62" i="58"/>
  <c r="L62" i="58"/>
  <c r="B62" i="58"/>
  <c r="T61" i="58"/>
  <c r="P61" i="58"/>
  <c r="H61" i="58"/>
  <c r="N61" i="58" s="1"/>
  <c r="D61" i="58"/>
  <c r="B61" i="58"/>
  <c r="Z60" i="58"/>
  <c r="X60" i="58"/>
  <c r="V60" i="58"/>
  <c r="N60" i="58"/>
  <c r="L60" i="58"/>
  <c r="B60" i="58"/>
  <c r="Z59" i="58"/>
  <c r="X59" i="58"/>
  <c r="L59" i="58"/>
  <c r="N59" i="58" s="1"/>
  <c r="J59" i="58"/>
  <c r="B59" i="58"/>
  <c r="T58" i="58"/>
  <c r="X58" i="58" s="1"/>
  <c r="Z58" i="58" s="1"/>
  <c r="P58" i="58"/>
  <c r="H58" i="58"/>
  <c r="D58" i="58"/>
  <c r="L58" i="58" s="1"/>
  <c r="B58" i="58"/>
  <c r="X57" i="58"/>
  <c r="Z57" i="58" s="1"/>
  <c r="N57" i="58"/>
  <c r="L57" i="58"/>
  <c r="B57" i="58"/>
  <c r="Z56" i="58"/>
  <c r="X56" i="58"/>
  <c r="V56" i="58"/>
  <c r="N56" i="58"/>
  <c r="L56" i="58"/>
  <c r="B56" i="58"/>
  <c r="X55" i="58"/>
  <c r="T55" i="58"/>
  <c r="Z55" i="58" s="1"/>
  <c r="P55" i="58"/>
  <c r="L55" i="58"/>
  <c r="H55" i="58"/>
  <c r="D55" i="58"/>
  <c r="B55" i="58"/>
  <c r="X54" i="58"/>
  <c r="Z54" i="58" s="1"/>
  <c r="N54" i="58"/>
  <c r="L54" i="58"/>
  <c r="J54" i="58"/>
  <c r="B54" i="58"/>
  <c r="V53" i="58"/>
  <c r="T53" i="58"/>
  <c r="P53" i="58"/>
  <c r="X53" i="58" s="1"/>
  <c r="L53" i="58"/>
  <c r="N53" i="58" s="1"/>
  <c r="H53" i="58"/>
  <c r="D53" i="58"/>
  <c r="B53" i="58"/>
  <c r="X52" i="58"/>
  <c r="Z52" i="58" s="1"/>
  <c r="V52" i="58"/>
  <c r="N52" i="58"/>
  <c r="L52" i="58"/>
  <c r="J52" i="58"/>
  <c r="B52" i="58"/>
  <c r="T51" i="58"/>
  <c r="P51" i="58"/>
  <c r="X51" i="58" s="1"/>
  <c r="Z51" i="58" s="1"/>
  <c r="H51" i="58"/>
  <c r="L51" i="58" s="1"/>
  <c r="N51" i="58" s="1"/>
  <c r="D51" i="58"/>
  <c r="B51" i="58"/>
  <c r="Z50" i="58"/>
  <c r="X50" i="58"/>
  <c r="N50" i="58"/>
  <c r="L50" i="58"/>
  <c r="B50" i="58"/>
  <c r="X49" i="58"/>
  <c r="T49" i="58"/>
  <c r="Z49" i="58" s="1"/>
  <c r="P49" i="58"/>
  <c r="J49" i="58"/>
  <c r="H49" i="58"/>
  <c r="F49" i="58"/>
  <c r="D49" i="58"/>
  <c r="L49" i="58" s="1"/>
  <c r="N49" i="58" s="1"/>
  <c r="B49" i="58"/>
  <c r="Z48" i="58"/>
  <c r="X48" i="58"/>
  <c r="L48" i="58"/>
  <c r="N48" i="58" s="1"/>
  <c r="J48" i="58"/>
  <c r="B48" i="58"/>
  <c r="X47" i="58"/>
  <c r="T47" i="58"/>
  <c r="Z47" i="58" s="1"/>
  <c r="P47" i="58"/>
  <c r="J47" i="58"/>
  <c r="H47" i="58"/>
  <c r="F47" i="58"/>
  <c r="D47" i="58"/>
  <c r="L47" i="58" s="1"/>
  <c r="B47" i="58"/>
  <c r="Z46" i="58"/>
  <c r="X46" i="58"/>
  <c r="V46" i="58"/>
  <c r="N46" i="58"/>
  <c r="L46" i="58"/>
  <c r="B46" i="58"/>
  <c r="V45" i="58"/>
  <c r="T45" i="58"/>
  <c r="P45" i="58"/>
  <c r="X45" i="58" s="1"/>
  <c r="Z45" i="58" s="1"/>
  <c r="H45" i="58"/>
  <c r="D45" i="58"/>
  <c r="L45" i="58" s="1"/>
  <c r="N45" i="58" s="1"/>
  <c r="B45" i="58"/>
  <c r="Z44" i="58"/>
  <c r="X44" i="58"/>
  <c r="V44" i="58"/>
  <c r="N44" i="58"/>
  <c r="L44" i="58"/>
  <c r="B44" i="58"/>
  <c r="X43" i="58"/>
  <c r="Z43" i="58" s="1"/>
  <c r="V43" i="58"/>
  <c r="T43" i="58"/>
  <c r="P43" i="58"/>
  <c r="L43" i="58"/>
  <c r="H43" i="58"/>
  <c r="D43" i="58"/>
  <c r="B43" i="58"/>
  <c r="X42" i="58"/>
  <c r="Z42" i="58" s="1"/>
  <c r="N42" i="58"/>
  <c r="L42" i="58"/>
  <c r="J42" i="58"/>
  <c r="B42" i="58"/>
  <c r="V41" i="58"/>
  <c r="T41" i="58"/>
  <c r="P41" i="58"/>
  <c r="X41" i="58" s="1"/>
  <c r="L41" i="58"/>
  <c r="H41" i="58"/>
  <c r="N41" i="58" s="1"/>
  <c r="D41" i="58"/>
  <c r="B41" i="58"/>
  <c r="Z40" i="58"/>
  <c r="X40" i="58"/>
  <c r="N40" i="58"/>
  <c r="L40" i="58"/>
  <c r="J40" i="58"/>
  <c r="B40" i="58"/>
  <c r="Z39" i="58"/>
  <c r="X39" i="58"/>
  <c r="N39" i="58"/>
  <c r="L39" i="58"/>
  <c r="B39" i="58"/>
  <c r="Z38" i="58"/>
  <c r="X38" i="58"/>
  <c r="V38" i="58"/>
  <c r="N38" i="58"/>
  <c r="L38" i="58"/>
  <c r="B38" i="58"/>
  <c r="Z37" i="58"/>
  <c r="X37" i="58"/>
  <c r="V37" i="58"/>
  <c r="N37" i="58"/>
  <c r="L37" i="58"/>
  <c r="J37" i="58"/>
  <c r="B37" i="58"/>
  <c r="Z36" i="58"/>
  <c r="X36" i="58"/>
  <c r="N36" i="58"/>
  <c r="L36" i="58"/>
  <c r="J36" i="58"/>
  <c r="B36" i="58"/>
  <c r="Z35" i="58"/>
  <c r="X35" i="58"/>
  <c r="N35" i="58"/>
  <c r="L35" i="58"/>
  <c r="B35" i="58"/>
  <c r="Z34" i="58"/>
  <c r="X34" i="58"/>
  <c r="N34" i="58"/>
  <c r="L34" i="58"/>
  <c r="B34" i="58"/>
  <c r="Z33" i="58"/>
  <c r="X33" i="58"/>
  <c r="V33" i="58"/>
  <c r="N33" i="58"/>
  <c r="L33" i="58"/>
  <c r="B33" i="58"/>
  <c r="Z32" i="58"/>
  <c r="X32" i="58"/>
  <c r="N32" i="58"/>
  <c r="L32" i="58"/>
  <c r="J32" i="58"/>
  <c r="B32" i="58"/>
  <c r="Z31" i="58"/>
  <c r="X31" i="58"/>
  <c r="L31" i="58"/>
  <c r="N31" i="58" s="1"/>
  <c r="J31" i="58"/>
  <c r="B31" i="58"/>
  <c r="Z30" i="58"/>
  <c r="V30" i="58"/>
  <c r="T30" i="58"/>
  <c r="P30" i="58"/>
  <c r="X30" i="58" s="1"/>
  <c r="J30" i="58"/>
  <c r="H30" i="58"/>
  <c r="D30" i="58"/>
  <c r="L30" i="58" s="1"/>
  <c r="B30" i="58"/>
  <c r="X29" i="58"/>
  <c r="Z29" i="58" s="1"/>
  <c r="L29" i="58"/>
  <c r="N29" i="58" s="1"/>
  <c r="J29" i="58"/>
  <c r="B29" i="58"/>
  <c r="X28" i="58"/>
  <c r="Z28" i="58" s="1"/>
  <c r="V28" i="58"/>
  <c r="L28" i="58"/>
  <c r="N28" i="58" s="1"/>
  <c r="B28" i="58"/>
  <c r="Z27" i="58"/>
  <c r="X27" i="58"/>
  <c r="V27" i="58"/>
  <c r="R27" i="58"/>
  <c r="L27" i="58"/>
  <c r="N27" i="58" s="1"/>
  <c r="B27" i="58"/>
  <c r="Z26" i="58"/>
  <c r="X26" i="58"/>
  <c r="N26" i="58"/>
  <c r="L26" i="58"/>
  <c r="J26" i="58"/>
  <c r="B26" i="58"/>
  <c r="X25" i="58"/>
  <c r="Z25" i="58" s="1"/>
  <c r="V25" i="58"/>
  <c r="L25" i="58"/>
  <c r="N25" i="58" s="1"/>
  <c r="J25" i="58"/>
  <c r="B25" i="58"/>
  <c r="Z24" i="58"/>
  <c r="X24" i="58"/>
  <c r="V24" i="58"/>
  <c r="L24" i="58"/>
  <c r="N24" i="58" s="1"/>
  <c r="B24" i="58"/>
  <c r="X23" i="58"/>
  <c r="Z23" i="58" s="1"/>
  <c r="N23" i="58"/>
  <c r="L23" i="58"/>
  <c r="B23" i="58"/>
  <c r="Z22" i="58"/>
  <c r="X22" i="58"/>
  <c r="N22" i="58"/>
  <c r="L22" i="58"/>
  <c r="J22" i="58"/>
  <c r="B22" i="58"/>
  <c r="X21" i="58"/>
  <c r="Z21" i="58" s="1"/>
  <c r="L21" i="58"/>
  <c r="N21" i="58" s="1"/>
  <c r="J21" i="58"/>
  <c r="B21" i="58"/>
  <c r="X20" i="58"/>
  <c r="Z20" i="58" s="1"/>
  <c r="N20" i="58"/>
  <c r="L20" i="58"/>
  <c r="B20" i="58"/>
  <c r="V19" i="58"/>
  <c r="T19" i="58"/>
  <c r="P19" i="58"/>
  <c r="X19" i="58" s="1"/>
  <c r="Z19" i="58" s="1"/>
  <c r="L19" i="58"/>
  <c r="J19" i="58"/>
  <c r="H19" i="58"/>
  <c r="D19" i="58"/>
  <c r="B19" i="58"/>
  <c r="T18" i="58"/>
  <c r="P18" i="58"/>
  <c r="L18" i="58"/>
  <c r="N18" i="58" s="1"/>
  <c r="H18" i="58"/>
  <c r="D18" i="58"/>
  <c r="Z16" i="58"/>
  <c r="T16" i="58"/>
  <c r="Z14" i="58"/>
  <c r="X14" i="58"/>
  <c r="V14" i="58"/>
  <c r="T14" i="58"/>
  <c r="P14" i="58"/>
  <c r="N14" i="58"/>
  <c r="H14" i="58"/>
  <c r="D14" i="58"/>
  <c r="L14" i="58" s="1"/>
  <c r="T12" i="58"/>
  <c r="V69" i="58" s="1"/>
  <c r="P12" i="58"/>
  <c r="R76" i="58" s="1"/>
  <c r="N12" i="58"/>
  <c r="H12" i="58"/>
  <c r="D12" i="58"/>
  <c r="F80" i="58" s="1"/>
  <c r="D6" i="58"/>
  <c r="D4" i="58"/>
  <c r="V80" i="57"/>
  <c r="Z78" i="57"/>
  <c r="X78" i="57"/>
  <c r="V78" i="57"/>
  <c r="R78" i="57"/>
  <c r="N78" i="57"/>
  <c r="L78" i="57"/>
  <c r="F76" i="57"/>
  <c r="Z74" i="57"/>
  <c r="T74" i="57"/>
  <c r="P74" i="57"/>
  <c r="X74" i="57" s="1"/>
  <c r="H74" i="57"/>
  <c r="N74" i="57" s="1"/>
  <c r="D74" i="57"/>
  <c r="X72" i="57"/>
  <c r="Z72" i="57" s="1"/>
  <c r="L72" i="57"/>
  <c r="N72" i="57" s="1"/>
  <c r="F72" i="57"/>
  <c r="B72" i="57"/>
  <c r="X71" i="57"/>
  <c r="Z71" i="57" s="1"/>
  <c r="T71" i="57"/>
  <c r="P71" i="57"/>
  <c r="H71" i="57"/>
  <c r="F71" i="57"/>
  <c r="D71" i="57"/>
  <c r="L71" i="57" s="1"/>
  <c r="B71" i="57"/>
  <c r="Z70" i="57"/>
  <c r="X70" i="57"/>
  <c r="N70" i="57"/>
  <c r="L70" i="57"/>
  <c r="B70" i="57"/>
  <c r="V69" i="57"/>
  <c r="T69" i="57"/>
  <c r="P69" i="57"/>
  <c r="X69" i="57" s="1"/>
  <c r="Z69" i="57" s="1"/>
  <c r="N69" i="57"/>
  <c r="H69" i="57"/>
  <c r="F69" i="57"/>
  <c r="D69" i="57"/>
  <c r="L69" i="57" s="1"/>
  <c r="B69" i="57"/>
  <c r="Z68" i="57"/>
  <c r="X68" i="57"/>
  <c r="N68" i="57"/>
  <c r="L68" i="57"/>
  <c r="B68" i="57"/>
  <c r="Z67" i="57"/>
  <c r="X67" i="57"/>
  <c r="L67" i="57"/>
  <c r="N67" i="57" s="1"/>
  <c r="B67" i="57"/>
  <c r="T66" i="57"/>
  <c r="P66" i="57"/>
  <c r="X66" i="57" s="1"/>
  <c r="L66" i="57"/>
  <c r="N66" i="57" s="1"/>
  <c r="H66" i="57"/>
  <c r="F66" i="57"/>
  <c r="D66" i="57"/>
  <c r="B66" i="57"/>
  <c r="Z65" i="57"/>
  <c r="X65" i="57"/>
  <c r="R65" i="57"/>
  <c r="N65" i="57"/>
  <c r="L65" i="57"/>
  <c r="J65" i="57"/>
  <c r="B65" i="57"/>
  <c r="Z64" i="57"/>
  <c r="T64" i="57"/>
  <c r="P64" i="57"/>
  <c r="X64" i="57" s="1"/>
  <c r="J64" i="57"/>
  <c r="H64" i="57"/>
  <c r="D64" i="57"/>
  <c r="B64" i="57"/>
  <c r="Z63" i="57"/>
  <c r="X63" i="57"/>
  <c r="L63" i="57"/>
  <c r="N63" i="57" s="1"/>
  <c r="F63" i="57"/>
  <c r="B63" i="57"/>
  <c r="Z62" i="57"/>
  <c r="V62" i="57"/>
  <c r="T62" i="57"/>
  <c r="P62" i="57"/>
  <c r="X62" i="57" s="1"/>
  <c r="L62" i="57"/>
  <c r="N62" i="57" s="1"/>
  <c r="H62" i="57"/>
  <c r="F62" i="57"/>
  <c r="D62" i="57"/>
  <c r="B62" i="57"/>
  <c r="X61" i="57"/>
  <c r="Z61" i="57" s="1"/>
  <c r="V61" i="57"/>
  <c r="L61" i="57"/>
  <c r="N61" i="57" s="1"/>
  <c r="F61" i="57"/>
  <c r="B61" i="57"/>
  <c r="T60" i="57"/>
  <c r="P60" i="57"/>
  <c r="X60" i="57" s="1"/>
  <c r="Z60" i="57" s="1"/>
  <c r="H60" i="57"/>
  <c r="F60" i="57"/>
  <c r="D60" i="57"/>
  <c r="B60" i="57"/>
  <c r="Z59" i="57"/>
  <c r="X59" i="57"/>
  <c r="N59" i="57"/>
  <c r="L59" i="57"/>
  <c r="B59" i="57"/>
  <c r="X58" i="57"/>
  <c r="Z58" i="57" s="1"/>
  <c r="V58" i="57"/>
  <c r="T58" i="57"/>
  <c r="P58" i="57"/>
  <c r="H58" i="57"/>
  <c r="D58" i="57"/>
  <c r="L58" i="57" s="1"/>
  <c r="N58" i="57" s="1"/>
  <c r="B58" i="57"/>
  <c r="Z57" i="57"/>
  <c r="X57" i="57"/>
  <c r="N57" i="57"/>
  <c r="L57" i="57"/>
  <c r="B57" i="57"/>
  <c r="Z56" i="57"/>
  <c r="X56" i="57"/>
  <c r="N56" i="57"/>
  <c r="L56" i="57"/>
  <c r="B56" i="57"/>
  <c r="Z55" i="57"/>
  <c r="X55" i="57"/>
  <c r="N55" i="57"/>
  <c r="L55" i="57"/>
  <c r="B55" i="57"/>
  <c r="T54" i="57"/>
  <c r="Z54" i="57" s="1"/>
  <c r="P54" i="57"/>
  <c r="N54" i="57"/>
  <c r="H54" i="57"/>
  <c r="F54" i="57"/>
  <c r="D54" i="57"/>
  <c r="L54" i="57" s="1"/>
  <c r="B54" i="57"/>
  <c r="X53" i="57"/>
  <c r="Z53" i="57" s="1"/>
  <c r="L53" i="57"/>
  <c r="N53" i="57" s="1"/>
  <c r="F53" i="57"/>
  <c r="B53" i="57"/>
  <c r="V52" i="57"/>
  <c r="T52" i="57"/>
  <c r="R52" i="57"/>
  <c r="P52" i="57"/>
  <c r="X52" i="57" s="1"/>
  <c r="Z52" i="57" s="1"/>
  <c r="H52" i="57"/>
  <c r="N52" i="57" s="1"/>
  <c r="D52" i="57"/>
  <c r="L52" i="57" s="1"/>
  <c r="B52" i="57"/>
  <c r="Z51" i="57"/>
  <c r="X51" i="57"/>
  <c r="L51" i="57"/>
  <c r="N51" i="57" s="1"/>
  <c r="F51" i="57"/>
  <c r="B51" i="57"/>
  <c r="T50" i="57"/>
  <c r="X50" i="57" s="1"/>
  <c r="Z50" i="57" s="1"/>
  <c r="P50" i="57"/>
  <c r="L50" i="57"/>
  <c r="N50" i="57" s="1"/>
  <c r="H50" i="57"/>
  <c r="F50" i="57"/>
  <c r="D50" i="57"/>
  <c r="B50" i="57"/>
  <c r="Z49" i="57"/>
  <c r="X49" i="57"/>
  <c r="V49" i="57"/>
  <c r="L49" i="57"/>
  <c r="N49" i="57" s="1"/>
  <c r="F49" i="57"/>
  <c r="B49" i="57"/>
  <c r="T48" i="57"/>
  <c r="X48" i="57" s="1"/>
  <c r="P48" i="57"/>
  <c r="H48" i="57"/>
  <c r="N48" i="57" s="1"/>
  <c r="D48" i="57"/>
  <c r="L48" i="57" s="1"/>
  <c r="B48" i="57"/>
  <c r="Z47" i="57"/>
  <c r="X47" i="57"/>
  <c r="N47" i="57"/>
  <c r="L47" i="57"/>
  <c r="F47" i="57"/>
  <c r="B47" i="57"/>
  <c r="T46" i="57"/>
  <c r="Z46" i="57" s="1"/>
  <c r="P46" i="57"/>
  <c r="X46" i="57" s="1"/>
  <c r="J46" i="57"/>
  <c r="H46" i="57"/>
  <c r="D46" i="57"/>
  <c r="L46" i="57" s="1"/>
  <c r="N46" i="57" s="1"/>
  <c r="B46" i="57"/>
  <c r="X45" i="57"/>
  <c r="Z45" i="57" s="1"/>
  <c r="L45" i="57"/>
  <c r="N45" i="57" s="1"/>
  <c r="J45" i="57"/>
  <c r="B45" i="57"/>
  <c r="Z44" i="57"/>
  <c r="X44" i="57"/>
  <c r="V44" i="57"/>
  <c r="T44" i="57"/>
  <c r="P44" i="57"/>
  <c r="H44" i="57"/>
  <c r="D44" i="57"/>
  <c r="B44" i="57"/>
  <c r="X43" i="57"/>
  <c r="Z43" i="57" s="1"/>
  <c r="N43" i="57"/>
  <c r="L43" i="57"/>
  <c r="F43" i="57"/>
  <c r="B43" i="57"/>
  <c r="T42" i="57"/>
  <c r="P42" i="57"/>
  <c r="H42" i="57"/>
  <c r="F42" i="57"/>
  <c r="D42" i="57"/>
  <c r="L42" i="57" s="1"/>
  <c r="N42" i="57" s="1"/>
  <c r="B42" i="57"/>
  <c r="X41" i="57"/>
  <c r="Z41" i="57" s="1"/>
  <c r="R41" i="57"/>
  <c r="L41" i="57"/>
  <c r="N41" i="57" s="1"/>
  <c r="F41" i="57"/>
  <c r="B41" i="57"/>
  <c r="V40" i="57"/>
  <c r="T40" i="57"/>
  <c r="P40" i="57"/>
  <c r="X40" i="57" s="1"/>
  <c r="Z40" i="57" s="1"/>
  <c r="J40" i="57"/>
  <c r="H40" i="57"/>
  <c r="N40" i="57" s="1"/>
  <c r="D40" i="57"/>
  <c r="L40" i="57" s="1"/>
  <c r="B40" i="57"/>
  <c r="Z39" i="57"/>
  <c r="X39" i="57"/>
  <c r="N39" i="57"/>
  <c r="L39" i="57"/>
  <c r="F39" i="57"/>
  <c r="B39" i="57"/>
  <c r="Z38" i="57"/>
  <c r="X38" i="57"/>
  <c r="N38" i="57"/>
  <c r="L38" i="57"/>
  <c r="F38" i="57"/>
  <c r="B38" i="57"/>
  <c r="X37" i="57"/>
  <c r="Z37" i="57" s="1"/>
  <c r="V37" i="57"/>
  <c r="N37" i="57"/>
  <c r="L37" i="57"/>
  <c r="F37" i="57"/>
  <c r="B37" i="57"/>
  <c r="Z36" i="57"/>
  <c r="X36" i="57"/>
  <c r="V36" i="57"/>
  <c r="N36" i="57"/>
  <c r="L36" i="57"/>
  <c r="J36" i="57"/>
  <c r="B36" i="57"/>
  <c r="Z35" i="57"/>
  <c r="X35" i="57"/>
  <c r="N35" i="57"/>
  <c r="L35" i="57"/>
  <c r="B35" i="57"/>
  <c r="Z34" i="57"/>
  <c r="X34" i="57"/>
  <c r="V34" i="57"/>
  <c r="N34" i="57"/>
  <c r="L34" i="57"/>
  <c r="F34" i="57"/>
  <c r="B34" i="57"/>
  <c r="Z33" i="57"/>
  <c r="X33" i="57"/>
  <c r="V33" i="57"/>
  <c r="L33" i="57"/>
  <c r="N33" i="57" s="1"/>
  <c r="F33" i="57"/>
  <c r="B33" i="57"/>
  <c r="Z32" i="57"/>
  <c r="X32" i="57"/>
  <c r="N32" i="57"/>
  <c r="L32" i="57"/>
  <c r="F32" i="57"/>
  <c r="B32" i="57"/>
  <c r="X31" i="57"/>
  <c r="Z31" i="57" s="1"/>
  <c r="N31" i="57"/>
  <c r="L31" i="57"/>
  <c r="B31" i="57"/>
  <c r="X30" i="57"/>
  <c r="Z30" i="57" s="1"/>
  <c r="V30" i="57"/>
  <c r="N30" i="57"/>
  <c r="L30" i="57"/>
  <c r="F30" i="57"/>
  <c r="B30" i="57"/>
  <c r="V29" i="57"/>
  <c r="T29" i="57"/>
  <c r="P29" i="57"/>
  <c r="X29" i="57" s="1"/>
  <c r="Z29" i="57" s="1"/>
  <c r="L29" i="57"/>
  <c r="H29" i="57"/>
  <c r="N29" i="57" s="1"/>
  <c r="F29" i="57"/>
  <c r="D29" i="57"/>
  <c r="B29" i="57"/>
  <c r="X28" i="57"/>
  <c r="Z28" i="57" s="1"/>
  <c r="V28" i="57"/>
  <c r="R28" i="57"/>
  <c r="N28" i="57"/>
  <c r="L28" i="57"/>
  <c r="F28" i="57"/>
  <c r="B28" i="57"/>
  <c r="Z27" i="57"/>
  <c r="X27" i="57"/>
  <c r="V27" i="57"/>
  <c r="N27" i="57"/>
  <c r="L27" i="57"/>
  <c r="J27" i="57"/>
  <c r="F27" i="57"/>
  <c r="B27" i="57"/>
  <c r="Z26" i="57"/>
  <c r="X26" i="57"/>
  <c r="L26" i="57"/>
  <c r="N26" i="57" s="1"/>
  <c r="F26" i="57"/>
  <c r="B26" i="57"/>
  <c r="Z25" i="57"/>
  <c r="X25" i="57"/>
  <c r="R25" i="57"/>
  <c r="N25" i="57"/>
  <c r="L25" i="57"/>
  <c r="B25" i="57"/>
  <c r="X24" i="57"/>
  <c r="Z24" i="57" s="1"/>
  <c r="V24" i="57"/>
  <c r="N24" i="57"/>
  <c r="L24" i="57"/>
  <c r="J24" i="57"/>
  <c r="F24" i="57"/>
  <c r="B24" i="57"/>
  <c r="Z23" i="57"/>
  <c r="X23" i="57"/>
  <c r="V23" i="57"/>
  <c r="N23" i="57"/>
  <c r="L23" i="57"/>
  <c r="J23" i="57"/>
  <c r="F23" i="57"/>
  <c r="B23" i="57"/>
  <c r="Z22" i="57"/>
  <c r="X22" i="57"/>
  <c r="V22" i="57"/>
  <c r="L22" i="57"/>
  <c r="N22" i="57" s="1"/>
  <c r="F22" i="57"/>
  <c r="B22" i="57"/>
  <c r="X21" i="57"/>
  <c r="Z21" i="57" s="1"/>
  <c r="R21" i="57"/>
  <c r="N21" i="57"/>
  <c r="L21" i="57"/>
  <c r="B21" i="57"/>
  <c r="X20" i="57"/>
  <c r="Z20" i="57" s="1"/>
  <c r="V20" i="57"/>
  <c r="N20" i="57"/>
  <c r="L20" i="57"/>
  <c r="J20" i="57"/>
  <c r="F20" i="57"/>
  <c r="B20" i="57"/>
  <c r="V19" i="57"/>
  <c r="T19" i="57"/>
  <c r="P19" i="57"/>
  <c r="X19" i="57" s="1"/>
  <c r="Z19" i="57" s="1"/>
  <c r="N19" i="57"/>
  <c r="H19" i="57"/>
  <c r="L19" i="57" s="1"/>
  <c r="F19" i="57"/>
  <c r="D19" i="57"/>
  <c r="B19" i="57"/>
  <c r="T18" i="57"/>
  <c r="P18" i="57"/>
  <c r="J18" i="57"/>
  <c r="H18" i="57"/>
  <c r="F18" i="57"/>
  <c r="D18" i="57"/>
  <c r="L18" i="57" s="1"/>
  <c r="N18" i="57" s="1"/>
  <c r="T16" i="57"/>
  <c r="F16" i="57"/>
  <c r="T14" i="57"/>
  <c r="Z14" i="57" s="1"/>
  <c r="P14" i="57"/>
  <c r="X14" i="57" s="1"/>
  <c r="N14" i="57"/>
  <c r="J14" i="57"/>
  <c r="H14" i="57"/>
  <c r="F14" i="57"/>
  <c r="D14" i="57"/>
  <c r="D16" i="57" s="1"/>
  <c r="T12" i="57"/>
  <c r="V68" i="57" s="1"/>
  <c r="P12" i="57"/>
  <c r="R53" i="57" s="1"/>
  <c r="L12" i="57"/>
  <c r="H12" i="57"/>
  <c r="J83" i="57" s="1"/>
  <c r="D12" i="57"/>
  <c r="D6" i="57"/>
  <c r="D4" i="57"/>
  <c r="J87" i="56"/>
  <c r="J84" i="56"/>
  <c r="Z82" i="56"/>
  <c r="X82" i="56"/>
  <c r="N82" i="56"/>
  <c r="L82" i="56"/>
  <c r="V80" i="56"/>
  <c r="Z78" i="56"/>
  <c r="V78" i="56"/>
  <c r="T78" i="56"/>
  <c r="P78" i="56"/>
  <c r="X78" i="56" s="1"/>
  <c r="H78" i="56"/>
  <c r="N78" i="56" s="1"/>
  <c r="D78" i="56"/>
  <c r="Z76" i="56"/>
  <c r="X76" i="56"/>
  <c r="V76" i="56"/>
  <c r="L76" i="56"/>
  <c r="N76" i="56" s="1"/>
  <c r="B76" i="56"/>
  <c r="V75" i="56"/>
  <c r="T75" i="56"/>
  <c r="P75" i="56"/>
  <c r="N75" i="56"/>
  <c r="L75" i="56"/>
  <c r="J75" i="56"/>
  <c r="H75" i="56"/>
  <c r="D75" i="56"/>
  <c r="B75" i="56"/>
  <c r="X74" i="56"/>
  <c r="Z74" i="56" s="1"/>
  <c r="V74" i="56"/>
  <c r="N74" i="56"/>
  <c r="L74" i="56"/>
  <c r="B74" i="56"/>
  <c r="V73" i="56"/>
  <c r="T73" i="56"/>
  <c r="P73" i="56"/>
  <c r="X73" i="56" s="1"/>
  <c r="Z73" i="56" s="1"/>
  <c r="L73" i="56"/>
  <c r="H73" i="56"/>
  <c r="D73" i="56"/>
  <c r="B73" i="56"/>
  <c r="X72" i="56"/>
  <c r="Z72" i="56" s="1"/>
  <c r="N72" i="56"/>
  <c r="L72" i="56"/>
  <c r="J72" i="56"/>
  <c r="B72" i="56"/>
  <c r="V71" i="56"/>
  <c r="T71" i="56"/>
  <c r="P71" i="56"/>
  <c r="X71" i="56" s="1"/>
  <c r="Z71" i="56" s="1"/>
  <c r="L71" i="56"/>
  <c r="N71" i="56" s="1"/>
  <c r="H71" i="56"/>
  <c r="D71" i="56"/>
  <c r="B71" i="56"/>
  <c r="Z70" i="56"/>
  <c r="X70" i="56"/>
  <c r="N70" i="56"/>
  <c r="L70" i="56"/>
  <c r="J70" i="56"/>
  <c r="B70" i="56"/>
  <c r="Z69" i="56"/>
  <c r="X69" i="56"/>
  <c r="V69" i="56"/>
  <c r="N69" i="56"/>
  <c r="L69" i="56"/>
  <c r="J69" i="56"/>
  <c r="B69" i="56"/>
  <c r="Z68" i="56"/>
  <c r="X68" i="56"/>
  <c r="V68" i="56"/>
  <c r="L68" i="56"/>
  <c r="N68" i="56" s="1"/>
  <c r="B68" i="56"/>
  <c r="Z67" i="56"/>
  <c r="V67" i="56"/>
  <c r="T67" i="56"/>
  <c r="P67" i="56"/>
  <c r="X67" i="56" s="1"/>
  <c r="N67" i="56"/>
  <c r="L67" i="56"/>
  <c r="J67" i="56"/>
  <c r="H67" i="56"/>
  <c r="D67" i="56"/>
  <c r="B67" i="56"/>
  <c r="X66" i="56"/>
  <c r="Z66" i="56" s="1"/>
  <c r="V66" i="56"/>
  <c r="N66" i="56"/>
  <c r="L66" i="56"/>
  <c r="B66" i="56"/>
  <c r="V65" i="56"/>
  <c r="T65" i="56"/>
  <c r="P65" i="56"/>
  <c r="X65" i="56" s="1"/>
  <c r="Z65" i="56" s="1"/>
  <c r="L65" i="56"/>
  <c r="H65" i="56"/>
  <c r="N65" i="56" s="1"/>
  <c r="D65" i="56"/>
  <c r="B65" i="56"/>
  <c r="Z64" i="56"/>
  <c r="X64" i="56"/>
  <c r="R64" i="56"/>
  <c r="N64" i="56"/>
  <c r="L64" i="56"/>
  <c r="J64" i="56"/>
  <c r="B64" i="56"/>
  <c r="Z63" i="56"/>
  <c r="X63" i="56"/>
  <c r="V63" i="56"/>
  <c r="N63" i="56"/>
  <c r="L63" i="56"/>
  <c r="J63" i="56"/>
  <c r="B63" i="56"/>
  <c r="Z62" i="56"/>
  <c r="X62" i="56"/>
  <c r="N62" i="56"/>
  <c r="L62" i="56"/>
  <c r="B62" i="56"/>
  <c r="T61" i="56"/>
  <c r="X61" i="56" s="1"/>
  <c r="Z61" i="56" s="1"/>
  <c r="P61" i="56"/>
  <c r="J61" i="56"/>
  <c r="H61" i="56"/>
  <c r="D61" i="56"/>
  <c r="L61" i="56" s="1"/>
  <c r="N61" i="56" s="1"/>
  <c r="B61" i="56"/>
  <c r="Z60" i="56"/>
  <c r="X60" i="56"/>
  <c r="V60" i="56"/>
  <c r="N60" i="56"/>
  <c r="L60" i="56"/>
  <c r="B60" i="56"/>
  <c r="Z59" i="56"/>
  <c r="X59" i="56"/>
  <c r="V59" i="56"/>
  <c r="L59" i="56"/>
  <c r="N59" i="56" s="1"/>
  <c r="B59" i="56"/>
  <c r="Z58" i="56"/>
  <c r="X58" i="56"/>
  <c r="N58" i="56"/>
  <c r="L58" i="56"/>
  <c r="J58" i="56"/>
  <c r="B58" i="56"/>
  <c r="Z57" i="56"/>
  <c r="X57" i="56"/>
  <c r="V57" i="56"/>
  <c r="T57" i="56"/>
  <c r="P57" i="56"/>
  <c r="J57" i="56"/>
  <c r="H57" i="56"/>
  <c r="N57" i="56" s="1"/>
  <c r="D57" i="56"/>
  <c r="L57" i="56" s="1"/>
  <c r="B57" i="56"/>
  <c r="X56" i="56"/>
  <c r="Z56" i="56" s="1"/>
  <c r="L56" i="56"/>
  <c r="N56" i="56" s="1"/>
  <c r="B56" i="56"/>
  <c r="X55" i="56"/>
  <c r="T55" i="56"/>
  <c r="Z55" i="56" s="1"/>
  <c r="P55" i="56"/>
  <c r="J55" i="56"/>
  <c r="H55" i="56"/>
  <c r="D55" i="56"/>
  <c r="L55" i="56" s="1"/>
  <c r="N55" i="56" s="1"/>
  <c r="B55" i="56"/>
  <c r="Z54" i="56"/>
  <c r="X54" i="56"/>
  <c r="L54" i="56"/>
  <c r="N54" i="56" s="1"/>
  <c r="B54" i="56"/>
  <c r="X53" i="56"/>
  <c r="T53" i="56"/>
  <c r="Z53" i="56" s="1"/>
  <c r="P53" i="56"/>
  <c r="J53" i="56"/>
  <c r="H53" i="56"/>
  <c r="F53" i="56"/>
  <c r="D53" i="56"/>
  <c r="L53" i="56" s="1"/>
  <c r="N53" i="56" s="1"/>
  <c r="B53" i="56"/>
  <c r="Z52" i="56"/>
  <c r="X52" i="56"/>
  <c r="V52" i="56"/>
  <c r="N52" i="56"/>
  <c r="L52" i="56"/>
  <c r="B52" i="56"/>
  <c r="V51" i="56"/>
  <c r="T51" i="56"/>
  <c r="Z51" i="56" s="1"/>
  <c r="P51" i="56"/>
  <c r="N51" i="56"/>
  <c r="L51" i="56"/>
  <c r="J51" i="56"/>
  <c r="H51" i="56"/>
  <c r="D51" i="56"/>
  <c r="B51" i="56"/>
  <c r="X50" i="56"/>
  <c r="Z50" i="56" s="1"/>
  <c r="V50" i="56"/>
  <c r="N50" i="56"/>
  <c r="L50" i="56"/>
  <c r="B50" i="56"/>
  <c r="Z49" i="56"/>
  <c r="V49" i="56"/>
  <c r="T49" i="56"/>
  <c r="P49" i="56"/>
  <c r="X49" i="56" s="1"/>
  <c r="L49" i="56"/>
  <c r="H49" i="56"/>
  <c r="D49" i="56"/>
  <c r="B49" i="56"/>
  <c r="X48" i="56"/>
  <c r="Z48" i="56" s="1"/>
  <c r="N48" i="56"/>
  <c r="L48" i="56"/>
  <c r="J48" i="56"/>
  <c r="B48" i="56"/>
  <c r="V47" i="56"/>
  <c r="T47" i="56"/>
  <c r="P47" i="56"/>
  <c r="X47" i="56" s="1"/>
  <c r="Z47" i="56" s="1"/>
  <c r="H47" i="56"/>
  <c r="D47" i="56"/>
  <c r="B47" i="56"/>
  <c r="X46" i="56"/>
  <c r="Z46" i="56" s="1"/>
  <c r="L46" i="56"/>
  <c r="N46" i="56" s="1"/>
  <c r="J46" i="56"/>
  <c r="B46" i="56"/>
  <c r="Z45" i="56"/>
  <c r="X45" i="56"/>
  <c r="V45" i="56"/>
  <c r="N45" i="56"/>
  <c r="L45" i="56"/>
  <c r="J45" i="56"/>
  <c r="B45" i="56"/>
  <c r="Z44" i="56"/>
  <c r="V44" i="56"/>
  <c r="T44" i="56"/>
  <c r="P44" i="56"/>
  <c r="X44" i="56" s="1"/>
  <c r="H44" i="56"/>
  <c r="D44" i="56"/>
  <c r="L44" i="56" s="1"/>
  <c r="B44" i="56"/>
  <c r="X43" i="56"/>
  <c r="Z43" i="56" s="1"/>
  <c r="N43" i="56"/>
  <c r="L43" i="56"/>
  <c r="J43" i="56"/>
  <c r="B43" i="56"/>
  <c r="X42" i="56"/>
  <c r="Z42" i="56" s="1"/>
  <c r="V42" i="56"/>
  <c r="T42" i="56"/>
  <c r="P42" i="56"/>
  <c r="H42" i="56"/>
  <c r="D42" i="56"/>
  <c r="L42" i="56" s="1"/>
  <c r="B42" i="56"/>
  <c r="Z41" i="56"/>
  <c r="X41" i="56"/>
  <c r="N41" i="56"/>
  <c r="L41" i="56"/>
  <c r="J41" i="56"/>
  <c r="B41" i="56"/>
  <c r="X40" i="56"/>
  <c r="T40" i="56"/>
  <c r="P40" i="56"/>
  <c r="H40" i="56"/>
  <c r="D40" i="56"/>
  <c r="B40" i="56"/>
  <c r="Z39" i="56"/>
  <c r="X39" i="56"/>
  <c r="V39" i="56"/>
  <c r="N39" i="56"/>
  <c r="L39" i="56"/>
  <c r="B39" i="56"/>
  <c r="Z38" i="56"/>
  <c r="X38" i="56"/>
  <c r="N38" i="56"/>
  <c r="L38" i="56"/>
  <c r="J38" i="56"/>
  <c r="B38" i="56"/>
  <c r="Z37" i="56"/>
  <c r="X37" i="56"/>
  <c r="V37" i="56"/>
  <c r="N37" i="56"/>
  <c r="L37" i="56"/>
  <c r="J37" i="56"/>
  <c r="B37" i="56"/>
  <c r="Z36" i="56"/>
  <c r="X36" i="56"/>
  <c r="V36" i="56"/>
  <c r="N36" i="56"/>
  <c r="L36" i="56"/>
  <c r="B36" i="56"/>
  <c r="Z35" i="56"/>
  <c r="X35" i="56"/>
  <c r="V35" i="56"/>
  <c r="N35" i="56"/>
  <c r="L35" i="56"/>
  <c r="B35" i="56"/>
  <c r="Z34" i="56"/>
  <c r="X34" i="56"/>
  <c r="N34" i="56"/>
  <c r="L34" i="56"/>
  <c r="J34" i="56"/>
  <c r="B34" i="56"/>
  <c r="Z33" i="56"/>
  <c r="X33" i="56"/>
  <c r="V33" i="56"/>
  <c r="N33" i="56"/>
  <c r="L33" i="56"/>
  <c r="J33" i="56"/>
  <c r="B33" i="56"/>
  <c r="Z32" i="56"/>
  <c r="X32" i="56"/>
  <c r="V32" i="56"/>
  <c r="N32" i="56"/>
  <c r="L32" i="56"/>
  <c r="B32" i="56"/>
  <c r="Z31" i="56"/>
  <c r="X31" i="56"/>
  <c r="V31" i="56"/>
  <c r="L31" i="56"/>
  <c r="N31" i="56" s="1"/>
  <c r="B31" i="56"/>
  <c r="X30" i="56"/>
  <c r="Z30" i="56" s="1"/>
  <c r="L30" i="56"/>
  <c r="N30" i="56" s="1"/>
  <c r="J30" i="56"/>
  <c r="B30" i="56"/>
  <c r="V29" i="56"/>
  <c r="T29" i="56"/>
  <c r="P29" i="56"/>
  <c r="X29" i="56" s="1"/>
  <c r="Z29" i="56" s="1"/>
  <c r="J29" i="56"/>
  <c r="H29" i="56"/>
  <c r="D29" i="56"/>
  <c r="B29" i="56"/>
  <c r="Z28" i="56"/>
  <c r="X28" i="56"/>
  <c r="N28" i="56"/>
  <c r="L28" i="56"/>
  <c r="B28" i="56"/>
  <c r="X27" i="56"/>
  <c r="Z27" i="56" s="1"/>
  <c r="V27" i="56"/>
  <c r="N27" i="56"/>
  <c r="L27" i="56"/>
  <c r="J27" i="56"/>
  <c r="B27" i="56"/>
  <c r="X26" i="56"/>
  <c r="Z26" i="56" s="1"/>
  <c r="V26" i="56"/>
  <c r="N26" i="56"/>
  <c r="L26" i="56"/>
  <c r="B26" i="56"/>
  <c r="Z25" i="56"/>
  <c r="X25" i="56"/>
  <c r="V25" i="56"/>
  <c r="N25" i="56"/>
  <c r="L25" i="56"/>
  <c r="B25" i="56"/>
  <c r="X24" i="56"/>
  <c r="Z24" i="56" s="1"/>
  <c r="L24" i="56"/>
  <c r="N24" i="56" s="1"/>
  <c r="B24" i="56"/>
  <c r="X23" i="56"/>
  <c r="Z23" i="56" s="1"/>
  <c r="V23" i="56"/>
  <c r="N23" i="56"/>
  <c r="L23" i="56"/>
  <c r="J23" i="56"/>
  <c r="B23" i="56"/>
  <c r="X22" i="56"/>
  <c r="Z22" i="56" s="1"/>
  <c r="V22" i="56"/>
  <c r="N22" i="56"/>
  <c r="L22" i="56"/>
  <c r="F22" i="56"/>
  <c r="B22" i="56"/>
  <c r="Z21" i="56"/>
  <c r="X21" i="56"/>
  <c r="V21" i="56"/>
  <c r="N21" i="56"/>
  <c r="L21" i="56"/>
  <c r="B21" i="56"/>
  <c r="X20" i="56"/>
  <c r="Z20" i="56" s="1"/>
  <c r="L20" i="56"/>
  <c r="N20" i="56" s="1"/>
  <c r="B20" i="56"/>
  <c r="X19" i="56"/>
  <c r="V19" i="56"/>
  <c r="T19" i="56"/>
  <c r="P19" i="56"/>
  <c r="J19" i="56"/>
  <c r="H19" i="56"/>
  <c r="D19" i="56"/>
  <c r="L19" i="56" s="1"/>
  <c r="N19" i="56" s="1"/>
  <c r="B19" i="56"/>
  <c r="T18" i="56"/>
  <c r="P18" i="56"/>
  <c r="H18" i="56"/>
  <c r="D18" i="56"/>
  <c r="T16" i="56"/>
  <c r="H16" i="56"/>
  <c r="Z14" i="56"/>
  <c r="T14" i="56"/>
  <c r="P14" i="56"/>
  <c r="L14" i="56"/>
  <c r="H14" i="56"/>
  <c r="N14" i="56" s="1"/>
  <c r="D14" i="56"/>
  <c r="Z12" i="56"/>
  <c r="T12" i="56"/>
  <c r="V55" i="56" s="1"/>
  <c r="P12" i="56"/>
  <c r="L12" i="56"/>
  <c r="H12" i="56"/>
  <c r="J73" i="56" s="1"/>
  <c r="D12" i="56"/>
  <c r="F56" i="56" s="1"/>
  <c r="D6" i="56"/>
  <c r="D4" i="56"/>
  <c r="V35" i="55"/>
  <c r="Z33" i="55"/>
  <c r="X33" i="55"/>
  <c r="V33" i="55"/>
  <c r="N33" i="55"/>
  <c r="L33" i="55"/>
  <c r="F33" i="55"/>
  <c r="X29" i="55"/>
  <c r="T29" i="55"/>
  <c r="Z29" i="55" s="1"/>
  <c r="R29" i="55"/>
  <c r="P29" i="55"/>
  <c r="N29" i="55"/>
  <c r="H29" i="55"/>
  <c r="D29" i="55"/>
  <c r="L29" i="55" s="1"/>
  <c r="Z27" i="55"/>
  <c r="X27" i="55"/>
  <c r="R27" i="55"/>
  <c r="N27" i="55"/>
  <c r="L27" i="55"/>
  <c r="J27" i="55"/>
  <c r="F27" i="55"/>
  <c r="B27" i="55"/>
  <c r="Z26" i="55"/>
  <c r="X26" i="55"/>
  <c r="V26" i="55"/>
  <c r="N26" i="55"/>
  <c r="L26" i="55"/>
  <c r="J26" i="55"/>
  <c r="F26" i="55"/>
  <c r="B26" i="55"/>
  <c r="T25" i="55"/>
  <c r="P25" i="55"/>
  <c r="L25" i="55"/>
  <c r="H25" i="55"/>
  <c r="N25" i="55" s="1"/>
  <c r="F25" i="55"/>
  <c r="D25" i="55"/>
  <c r="B25" i="55"/>
  <c r="Z24" i="55"/>
  <c r="X24" i="55"/>
  <c r="V24" i="55"/>
  <c r="N24" i="55"/>
  <c r="L24" i="55"/>
  <c r="J24" i="55"/>
  <c r="B24" i="55"/>
  <c r="Z23" i="55"/>
  <c r="T23" i="55"/>
  <c r="P23" i="55"/>
  <c r="X23" i="55" s="1"/>
  <c r="L23" i="55"/>
  <c r="H23" i="55"/>
  <c r="D23" i="55"/>
  <c r="B23" i="55"/>
  <c r="X22" i="55"/>
  <c r="Z22" i="55" s="1"/>
  <c r="N22" i="55"/>
  <c r="L22" i="55"/>
  <c r="J22" i="55"/>
  <c r="B22" i="55"/>
  <c r="X21" i="55"/>
  <c r="Z21" i="55" s="1"/>
  <c r="V21" i="55"/>
  <c r="T21" i="55"/>
  <c r="R21" i="55"/>
  <c r="P21" i="55"/>
  <c r="H21" i="55"/>
  <c r="D21" i="55"/>
  <c r="B21" i="55"/>
  <c r="Z20" i="55"/>
  <c r="X20" i="55"/>
  <c r="R20" i="55"/>
  <c r="N20" i="55"/>
  <c r="L20" i="55"/>
  <c r="J20" i="55"/>
  <c r="B20" i="55"/>
  <c r="X19" i="55"/>
  <c r="T19" i="55"/>
  <c r="R19" i="55"/>
  <c r="P19" i="55"/>
  <c r="H19" i="55"/>
  <c r="D19" i="55"/>
  <c r="B19" i="55"/>
  <c r="V18" i="55"/>
  <c r="T18" i="55"/>
  <c r="P18" i="55"/>
  <c r="J18" i="55"/>
  <c r="H18" i="55"/>
  <c r="F18" i="55"/>
  <c r="D18" i="55"/>
  <c r="L18" i="55" s="1"/>
  <c r="N18" i="55" s="1"/>
  <c r="V16" i="55"/>
  <c r="P16" i="55"/>
  <c r="J16" i="55"/>
  <c r="F16" i="55"/>
  <c r="V14" i="55"/>
  <c r="T14" i="55"/>
  <c r="Z14" i="55" s="1"/>
  <c r="P14" i="55"/>
  <c r="N14" i="55"/>
  <c r="J14" i="55"/>
  <c r="H14" i="55"/>
  <c r="F14" i="55"/>
  <c r="D14" i="55"/>
  <c r="L14" i="55" s="1"/>
  <c r="Z12" i="55"/>
  <c r="T12" i="55"/>
  <c r="P12" i="55"/>
  <c r="R31" i="55" s="1"/>
  <c r="L12" i="55"/>
  <c r="H12" i="55"/>
  <c r="J31" i="55" s="1"/>
  <c r="D12" i="55"/>
  <c r="F31" i="55" s="1"/>
  <c r="D6" i="55"/>
  <c r="D4" i="55"/>
  <c r="V31" i="54"/>
  <c r="R31" i="54"/>
  <c r="F31" i="54"/>
  <c r="Z29" i="54"/>
  <c r="V29" i="54"/>
  <c r="T29" i="54"/>
  <c r="R29" i="54"/>
  <c r="P29" i="54"/>
  <c r="X29" i="54" s="1"/>
  <c r="L29" i="54"/>
  <c r="H29" i="54"/>
  <c r="F29" i="54"/>
  <c r="D29" i="54"/>
  <c r="V28" i="54"/>
  <c r="T28" i="54"/>
  <c r="R28" i="54"/>
  <c r="P28" i="54"/>
  <c r="X28" i="54" s="1"/>
  <c r="Z28" i="54" s="1"/>
  <c r="L28" i="54"/>
  <c r="H28" i="54"/>
  <c r="F28" i="54"/>
  <c r="D28" i="54"/>
  <c r="V26" i="54"/>
  <c r="R26" i="54"/>
  <c r="F26" i="54"/>
  <c r="Z24" i="54"/>
  <c r="X24" i="54"/>
  <c r="V24" i="54"/>
  <c r="N24" i="54"/>
  <c r="L24" i="54"/>
  <c r="F24" i="54"/>
  <c r="V22" i="54"/>
  <c r="R22" i="54"/>
  <c r="Z20" i="54"/>
  <c r="V20" i="54"/>
  <c r="T20" i="54"/>
  <c r="R20" i="54"/>
  <c r="P20" i="54"/>
  <c r="X20" i="54" s="1"/>
  <c r="N20" i="54"/>
  <c r="H20" i="54"/>
  <c r="D20" i="54"/>
  <c r="L20" i="54" s="1"/>
  <c r="Z18" i="54"/>
  <c r="V18" i="54"/>
  <c r="T18" i="54"/>
  <c r="R18" i="54"/>
  <c r="P18" i="54"/>
  <c r="X18" i="54" s="1"/>
  <c r="N18" i="54"/>
  <c r="J18" i="54"/>
  <c r="H18" i="54"/>
  <c r="D18" i="54"/>
  <c r="L18" i="54" s="1"/>
  <c r="V16" i="54"/>
  <c r="R16" i="54"/>
  <c r="H16" i="54"/>
  <c r="N16" i="54" s="1"/>
  <c r="Z14" i="54"/>
  <c r="V14" i="54"/>
  <c r="T14" i="54"/>
  <c r="R14" i="54"/>
  <c r="P14" i="54"/>
  <c r="X14" i="54" s="1"/>
  <c r="N14" i="54"/>
  <c r="H14" i="54"/>
  <c r="D14" i="54"/>
  <c r="L14" i="54" s="1"/>
  <c r="T12" i="54"/>
  <c r="P12" i="54"/>
  <c r="R24" i="54" s="1"/>
  <c r="H12" i="54"/>
  <c r="D12" i="54"/>
  <c r="F22" i="54" s="1"/>
  <c r="D6" i="54"/>
  <c r="D4" i="54"/>
  <c r="Z108" i="51"/>
  <c r="X108" i="51"/>
  <c r="L108" i="51"/>
  <c r="N108" i="51" s="1"/>
  <c r="P104" i="51"/>
  <c r="X104" i="51" s="1"/>
  <c r="Z104" i="51" s="1"/>
  <c r="D104" i="51"/>
  <c r="L104" i="51" s="1"/>
  <c r="N104" i="51" s="1"/>
  <c r="B104" i="51"/>
  <c r="Z103" i="51"/>
  <c r="X103" i="51"/>
  <c r="P103" i="51"/>
  <c r="N103" i="51"/>
  <c r="D103" i="51"/>
  <c r="L103" i="51" s="1"/>
  <c r="B103" i="51"/>
  <c r="Z102" i="51"/>
  <c r="X102" i="51"/>
  <c r="P102" i="51"/>
  <c r="N102" i="51"/>
  <c r="L102" i="51"/>
  <c r="D102" i="51"/>
  <c r="B102" i="51"/>
  <c r="V101" i="51"/>
  <c r="T101" i="51"/>
  <c r="P101" i="51"/>
  <c r="X101" i="51" s="1"/>
  <c r="Z101" i="51" s="1"/>
  <c r="H101" i="51"/>
  <c r="D101" i="51"/>
  <c r="L101" i="51" s="1"/>
  <c r="Z99" i="51"/>
  <c r="X99" i="51"/>
  <c r="V99" i="51"/>
  <c r="L99" i="51"/>
  <c r="N99" i="51" s="1"/>
  <c r="B99" i="51"/>
  <c r="V98" i="51"/>
  <c r="T98" i="51"/>
  <c r="P98" i="51"/>
  <c r="X98" i="51" s="1"/>
  <c r="N98" i="51"/>
  <c r="L98" i="51"/>
  <c r="H98" i="51"/>
  <c r="D98" i="51"/>
  <c r="B98" i="51"/>
  <c r="Z97" i="51"/>
  <c r="X97" i="51"/>
  <c r="V97" i="51"/>
  <c r="N97" i="51"/>
  <c r="L97" i="51"/>
  <c r="B97" i="51"/>
  <c r="Z96" i="51"/>
  <c r="X96" i="51"/>
  <c r="N96" i="51"/>
  <c r="L96" i="51"/>
  <c r="B96" i="51"/>
  <c r="T95" i="51"/>
  <c r="P95" i="51"/>
  <c r="X95" i="51" s="1"/>
  <c r="L95" i="51"/>
  <c r="N95" i="51" s="1"/>
  <c r="J95" i="51"/>
  <c r="H95" i="51"/>
  <c r="D95" i="51"/>
  <c r="B95" i="51"/>
  <c r="Z94" i="51"/>
  <c r="X94" i="51"/>
  <c r="N94" i="51"/>
  <c r="L94" i="51"/>
  <c r="J94" i="51"/>
  <c r="B94" i="51"/>
  <c r="Z93" i="51"/>
  <c r="X93" i="51"/>
  <c r="L93" i="51"/>
  <c r="N93" i="51" s="1"/>
  <c r="B93" i="51"/>
  <c r="X92" i="51"/>
  <c r="Z92" i="51" s="1"/>
  <c r="T92" i="51"/>
  <c r="P92" i="51"/>
  <c r="H92" i="51"/>
  <c r="D92" i="51"/>
  <c r="L92" i="51" s="1"/>
  <c r="N92" i="51" s="1"/>
  <c r="B92" i="51"/>
  <c r="Z91" i="51"/>
  <c r="X91" i="51"/>
  <c r="V91" i="51"/>
  <c r="N91" i="51"/>
  <c r="L91" i="51"/>
  <c r="B91" i="51"/>
  <c r="V90" i="51"/>
  <c r="T90" i="51"/>
  <c r="Z90" i="51" s="1"/>
  <c r="P90" i="51"/>
  <c r="X90" i="51" s="1"/>
  <c r="N90" i="51"/>
  <c r="L90" i="51"/>
  <c r="H90" i="51"/>
  <c r="D90" i="51"/>
  <c r="B90" i="51"/>
  <c r="X89" i="51"/>
  <c r="Z89" i="51" s="1"/>
  <c r="V89" i="51"/>
  <c r="N89" i="51"/>
  <c r="L89" i="51"/>
  <c r="B89" i="51"/>
  <c r="T88" i="51"/>
  <c r="P88" i="51"/>
  <c r="X88" i="51" s="1"/>
  <c r="Z88" i="51" s="1"/>
  <c r="L88" i="51"/>
  <c r="H88" i="51"/>
  <c r="N88" i="51" s="1"/>
  <c r="D88" i="51"/>
  <c r="B88" i="51"/>
  <c r="X87" i="51"/>
  <c r="Z87" i="51" s="1"/>
  <c r="N87" i="51"/>
  <c r="L87" i="51"/>
  <c r="J87" i="51"/>
  <c r="B87" i="51"/>
  <c r="T86" i="51"/>
  <c r="P86" i="51"/>
  <c r="X86" i="51" s="1"/>
  <c r="Z86" i="51" s="1"/>
  <c r="L86" i="51"/>
  <c r="H86" i="51"/>
  <c r="D86" i="51"/>
  <c r="B86" i="51"/>
  <c r="X85" i="51"/>
  <c r="Z85" i="51" s="1"/>
  <c r="L85" i="51"/>
  <c r="N85" i="51" s="1"/>
  <c r="J85" i="51"/>
  <c r="B85" i="51"/>
  <c r="Z84" i="51"/>
  <c r="X84" i="51"/>
  <c r="T84" i="51"/>
  <c r="P84" i="51"/>
  <c r="J84" i="51"/>
  <c r="H84" i="51"/>
  <c r="D84" i="51"/>
  <c r="B84" i="51"/>
  <c r="Z83" i="51"/>
  <c r="X83" i="51"/>
  <c r="N83" i="51"/>
  <c r="L83" i="51"/>
  <c r="B83" i="51"/>
  <c r="X82" i="51"/>
  <c r="T82" i="51"/>
  <c r="Z82" i="51" s="1"/>
  <c r="P82" i="51"/>
  <c r="N82" i="51"/>
  <c r="H82" i="51"/>
  <c r="D82" i="51"/>
  <c r="L82" i="51" s="1"/>
  <c r="B82" i="51"/>
  <c r="Z81" i="51"/>
  <c r="X81" i="51"/>
  <c r="L81" i="51"/>
  <c r="N81" i="51" s="1"/>
  <c r="B81" i="51"/>
  <c r="Z80" i="51"/>
  <c r="T80" i="51"/>
  <c r="X80" i="51" s="1"/>
  <c r="P80" i="51"/>
  <c r="J80" i="51"/>
  <c r="H80" i="51"/>
  <c r="D80" i="51"/>
  <c r="L80" i="51" s="1"/>
  <c r="N80" i="51" s="1"/>
  <c r="B80" i="51"/>
  <c r="Z79" i="51"/>
  <c r="X79" i="51"/>
  <c r="V79" i="51"/>
  <c r="N79" i="51"/>
  <c r="L79" i="51"/>
  <c r="B79" i="51"/>
  <c r="Z78" i="51"/>
  <c r="X78" i="51"/>
  <c r="V78" i="51"/>
  <c r="N78" i="51"/>
  <c r="L78" i="51"/>
  <c r="B78" i="51"/>
  <c r="X77" i="51"/>
  <c r="Z77" i="51" s="1"/>
  <c r="L77" i="51"/>
  <c r="N77" i="51" s="1"/>
  <c r="J77" i="51"/>
  <c r="B77" i="51"/>
  <c r="Z76" i="51"/>
  <c r="X76" i="51"/>
  <c r="N76" i="51"/>
  <c r="L76" i="51"/>
  <c r="B76" i="51"/>
  <c r="Z75" i="51"/>
  <c r="X75" i="51"/>
  <c r="V75" i="51"/>
  <c r="N75" i="51"/>
  <c r="L75" i="51"/>
  <c r="B75" i="51"/>
  <c r="Z74" i="51"/>
  <c r="X74" i="51"/>
  <c r="V74" i="51"/>
  <c r="N74" i="51"/>
  <c r="L74" i="51"/>
  <c r="B74" i="51"/>
  <c r="X73" i="51"/>
  <c r="Z73" i="51" s="1"/>
  <c r="L73" i="51"/>
  <c r="N73" i="51" s="1"/>
  <c r="J73" i="51"/>
  <c r="B73" i="51"/>
  <c r="Z72" i="51"/>
  <c r="X72" i="51"/>
  <c r="N72" i="51"/>
  <c r="L72" i="51"/>
  <c r="B72" i="51"/>
  <c r="Z71" i="51"/>
  <c r="X71" i="51"/>
  <c r="V71" i="51"/>
  <c r="N71" i="51"/>
  <c r="L71" i="51"/>
  <c r="B71" i="51"/>
  <c r="X70" i="51"/>
  <c r="Z70" i="51" s="1"/>
  <c r="V70" i="51"/>
  <c r="R70" i="51"/>
  <c r="L70" i="51"/>
  <c r="N70" i="51" s="1"/>
  <c r="B70" i="51"/>
  <c r="T69" i="51"/>
  <c r="Z69" i="51" s="1"/>
  <c r="P69" i="51"/>
  <c r="X69" i="51" s="1"/>
  <c r="N69" i="51"/>
  <c r="J69" i="51"/>
  <c r="H69" i="51"/>
  <c r="D69" i="51"/>
  <c r="L69" i="51" s="1"/>
  <c r="B69" i="51"/>
  <c r="Z68" i="51"/>
  <c r="X68" i="51"/>
  <c r="N68" i="51"/>
  <c r="L68" i="51"/>
  <c r="B68" i="51"/>
  <c r="X67" i="51"/>
  <c r="Z67" i="51" s="1"/>
  <c r="L67" i="51"/>
  <c r="N67" i="51" s="1"/>
  <c r="B67" i="51"/>
  <c r="X66" i="51"/>
  <c r="Z66" i="51" s="1"/>
  <c r="N66" i="51"/>
  <c r="L66" i="51"/>
  <c r="J66" i="51"/>
  <c r="B66" i="51"/>
  <c r="Z65" i="51"/>
  <c r="X65" i="51"/>
  <c r="V65" i="51"/>
  <c r="N65" i="51"/>
  <c r="L65" i="51"/>
  <c r="B65" i="51"/>
  <c r="Z64" i="51"/>
  <c r="X64" i="51"/>
  <c r="N64" i="51"/>
  <c r="L64" i="51"/>
  <c r="B64" i="51"/>
  <c r="X63" i="51"/>
  <c r="Z63" i="51" s="1"/>
  <c r="L63" i="51"/>
  <c r="N63" i="51" s="1"/>
  <c r="B63" i="51"/>
  <c r="X62" i="51"/>
  <c r="Z62" i="51" s="1"/>
  <c r="N62" i="51"/>
  <c r="L62" i="51"/>
  <c r="J62" i="51"/>
  <c r="B62" i="51"/>
  <c r="X61" i="51"/>
  <c r="Z61" i="51" s="1"/>
  <c r="V61" i="51"/>
  <c r="N61" i="51"/>
  <c r="L61" i="51"/>
  <c r="B61" i="51"/>
  <c r="Z60" i="51"/>
  <c r="X60" i="51"/>
  <c r="N60" i="51"/>
  <c r="L60" i="51"/>
  <c r="B60" i="51"/>
  <c r="X59" i="51"/>
  <c r="Z59" i="51" s="1"/>
  <c r="L59" i="51"/>
  <c r="N59" i="51" s="1"/>
  <c r="B59" i="51"/>
  <c r="X58" i="51"/>
  <c r="T58" i="51"/>
  <c r="Z58" i="51" s="1"/>
  <c r="P58" i="51"/>
  <c r="H58" i="51"/>
  <c r="D58" i="51"/>
  <c r="L58" i="51" s="1"/>
  <c r="N58" i="51" s="1"/>
  <c r="B58" i="51"/>
  <c r="T57" i="51"/>
  <c r="Z57" i="51" s="1"/>
  <c r="P57" i="51"/>
  <c r="X57" i="51" s="1"/>
  <c r="H57" i="51"/>
  <c r="D57" i="51"/>
  <c r="H55" i="51"/>
  <c r="Z53" i="51"/>
  <c r="X53" i="51"/>
  <c r="N53" i="51"/>
  <c r="L53" i="51"/>
  <c r="B53" i="51"/>
  <c r="Z52" i="51"/>
  <c r="X52" i="51"/>
  <c r="R52" i="51"/>
  <c r="N52" i="51"/>
  <c r="L52" i="51"/>
  <c r="B52" i="51"/>
  <c r="Z51" i="51"/>
  <c r="X51" i="51"/>
  <c r="N51" i="51"/>
  <c r="L51" i="51"/>
  <c r="J51" i="51"/>
  <c r="B51" i="51"/>
  <c r="Z50" i="51"/>
  <c r="X50" i="51"/>
  <c r="V50" i="51"/>
  <c r="N50" i="51"/>
  <c r="L50" i="51"/>
  <c r="J50" i="51"/>
  <c r="B50" i="51"/>
  <c r="Z49" i="51"/>
  <c r="X49" i="51"/>
  <c r="N49" i="51"/>
  <c r="L49" i="51"/>
  <c r="B49" i="51"/>
  <c r="Z48" i="51"/>
  <c r="X48" i="51"/>
  <c r="R48" i="51"/>
  <c r="N48" i="51"/>
  <c r="L48" i="51"/>
  <c r="B48" i="51"/>
  <c r="Z47" i="51"/>
  <c r="X47" i="51"/>
  <c r="N47" i="51"/>
  <c r="L47" i="51"/>
  <c r="J47" i="51"/>
  <c r="B47" i="51"/>
  <c r="Z46" i="51"/>
  <c r="X46" i="51"/>
  <c r="V46" i="51"/>
  <c r="N46" i="51"/>
  <c r="L46" i="51"/>
  <c r="J46" i="51"/>
  <c r="B46" i="51"/>
  <c r="Z45" i="51"/>
  <c r="X45" i="51"/>
  <c r="N45" i="51"/>
  <c r="L45" i="51"/>
  <c r="B45" i="51"/>
  <c r="Z44" i="51"/>
  <c r="X44" i="51"/>
  <c r="N44" i="51"/>
  <c r="L44" i="51"/>
  <c r="B44" i="51"/>
  <c r="Z43" i="51"/>
  <c r="X43" i="51"/>
  <c r="N43" i="51"/>
  <c r="L43" i="51"/>
  <c r="J43" i="51"/>
  <c r="B43" i="51"/>
  <c r="Z42" i="51"/>
  <c r="X42" i="51"/>
  <c r="V42" i="51"/>
  <c r="N42" i="51"/>
  <c r="L42" i="51"/>
  <c r="J42" i="51"/>
  <c r="B42" i="51"/>
  <c r="Z41" i="51"/>
  <c r="X41" i="51"/>
  <c r="N41" i="51"/>
  <c r="L41" i="51"/>
  <c r="B41" i="51"/>
  <c r="X40" i="51"/>
  <c r="Z40" i="51" s="1"/>
  <c r="N40" i="51"/>
  <c r="L40" i="51"/>
  <c r="B40" i="51"/>
  <c r="T39" i="51"/>
  <c r="R39" i="51"/>
  <c r="P39" i="51"/>
  <c r="H39" i="51"/>
  <c r="D39" i="51"/>
  <c r="L39" i="51" s="1"/>
  <c r="N39" i="51" s="1"/>
  <c r="Z37" i="51"/>
  <c r="P37" i="51"/>
  <c r="X37" i="51" s="1"/>
  <c r="N37" i="51"/>
  <c r="L37" i="51"/>
  <c r="D37" i="51"/>
  <c r="B37" i="51"/>
  <c r="Z36" i="51"/>
  <c r="P36" i="51"/>
  <c r="X36" i="51" s="1"/>
  <c r="N36" i="51"/>
  <c r="L36" i="51"/>
  <c r="D36" i="51"/>
  <c r="B36" i="51"/>
  <c r="Z35" i="51"/>
  <c r="X35" i="51"/>
  <c r="P35" i="51"/>
  <c r="N35" i="51"/>
  <c r="L35" i="51"/>
  <c r="D35" i="51"/>
  <c r="B35" i="51"/>
  <c r="Z34" i="51"/>
  <c r="P34" i="51"/>
  <c r="X34" i="51" s="1"/>
  <c r="N34" i="51"/>
  <c r="D34" i="51"/>
  <c r="L34" i="51" s="1"/>
  <c r="B34" i="51"/>
  <c r="Z33" i="51"/>
  <c r="P33" i="51"/>
  <c r="X33" i="51" s="1"/>
  <c r="N33" i="51"/>
  <c r="D33" i="51"/>
  <c r="L33" i="51" s="1"/>
  <c r="B33" i="51"/>
  <c r="Z32" i="51"/>
  <c r="P32" i="51"/>
  <c r="X32" i="51" s="1"/>
  <c r="N32" i="51"/>
  <c r="L32" i="51"/>
  <c r="D32" i="51"/>
  <c r="B32" i="51"/>
  <c r="Z31" i="51"/>
  <c r="X31" i="51"/>
  <c r="P31" i="51"/>
  <c r="N31" i="51"/>
  <c r="D31" i="51"/>
  <c r="L31" i="51" s="1"/>
  <c r="B31" i="51"/>
  <c r="Z30" i="51"/>
  <c r="P30" i="51"/>
  <c r="X30" i="51" s="1"/>
  <c r="N30" i="51"/>
  <c r="D30" i="51"/>
  <c r="L30" i="51" s="1"/>
  <c r="B30" i="51"/>
  <c r="Z29" i="51"/>
  <c r="X29" i="51"/>
  <c r="P29" i="51"/>
  <c r="N29" i="51"/>
  <c r="D29" i="51"/>
  <c r="L29" i="51" s="1"/>
  <c r="B29" i="51"/>
  <c r="Z28" i="51"/>
  <c r="X28" i="51"/>
  <c r="P28" i="51"/>
  <c r="N28" i="51"/>
  <c r="L28" i="51"/>
  <c r="D28" i="51"/>
  <c r="B28" i="51"/>
  <c r="Z27" i="51"/>
  <c r="X27" i="51"/>
  <c r="P27" i="51"/>
  <c r="N27" i="51"/>
  <c r="D27" i="51"/>
  <c r="L27" i="51" s="1"/>
  <c r="B27" i="51"/>
  <c r="Z26" i="51"/>
  <c r="X26" i="51"/>
  <c r="P26" i="51"/>
  <c r="N26" i="51"/>
  <c r="L26" i="51"/>
  <c r="D26" i="51"/>
  <c r="B26" i="51"/>
  <c r="Z25" i="51"/>
  <c r="P25" i="51"/>
  <c r="X25" i="51" s="1"/>
  <c r="N25" i="51"/>
  <c r="L25" i="51"/>
  <c r="D25" i="51"/>
  <c r="B25" i="51"/>
  <c r="Z24" i="51"/>
  <c r="P24" i="51"/>
  <c r="X24" i="51" s="1"/>
  <c r="N24" i="51"/>
  <c r="L24" i="51"/>
  <c r="D24" i="51"/>
  <c r="B24" i="51"/>
  <c r="Z23" i="51"/>
  <c r="X23" i="51"/>
  <c r="P23" i="51"/>
  <c r="N23" i="51"/>
  <c r="L23" i="51"/>
  <c r="D23" i="51"/>
  <c r="B23" i="51"/>
  <c r="Z22" i="51"/>
  <c r="P22" i="51"/>
  <c r="X22" i="51" s="1"/>
  <c r="N22" i="51"/>
  <c r="D22" i="51"/>
  <c r="L22" i="51" s="1"/>
  <c r="B22" i="51"/>
  <c r="P21" i="51"/>
  <c r="X21" i="51" s="1"/>
  <c r="Z21" i="51" s="1"/>
  <c r="D21" i="51"/>
  <c r="L21" i="51" s="1"/>
  <c r="N21" i="51" s="1"/>
  <c r="B21" i="51"/>
  <c r="Z20" i="51"/>
  <c r="P20" i="51"/>
  <c r="X20" i="51" s="1"/>
  <c r="N20" i="51"/>
  <c r="D20" i="51"/>
  <c r="L20" i="51" s="1"/>
  <c r="B20" i="51"/>
  <c r="Z19" i="51"/>
  <c r="X19" i="51"/>
  <c r="P19" i="51"/>
  <c r="N19" i="51"/>
  <c r="D19" i="51"/>
  <c r="L19" i="51" s="1"/>
  <c r="B19" i="51"/>
  <c r="Z18" i="51"/>
  <c r="P18" i="51"/>
  <c r="X18" i="51" s="1"/>
  <c r="N18" i="51"/>
  <c r="D18" i="51"/>
  <c r="L18" i="51" s="1"/>
  <c r="B18" i="51"/>
  <c r="Z17" i="51"/>
  <c r="X17" i="51"/>
  <c r="P17" i="51"/>
  <c r="N17" i="51"/>
  <c r="D17" i="51"/>
  <c r="L17" i="51" s="1"/>
  <c r="B17" i="51"/>
  <c r="Z16" i="51"/>
  <c r="X16" i="51"/>
  <c r="P16" i="51"/>
  <c r="N16" i="51"/>
  <c r="L16" i="51"/>
  <c r="D16" i="51"/>
  <c r="B16" i="51"/>
  <c r="Z15" i="51"/>
  <c r="X15" i="51"/>
  <c r="P15" i="51"/>
  <c r="N15" i="51"/>
  <c r="D15" i="51"/>
  <c r="B15" i="51"/>
  <c r="Z14" i="51"/>
  <c r="X14" i="51"/>
  <c r="P14" i="51"/>
  <c r="N14" i="51"/>
  <c r="L14" i="51"/>
  <c r="D14" i="51"/>
  <c r="B14" i="51"/>
  <c r="P13" i="51"/>
  <c r="P12" i="51" s="1"/>
  <c r="R44" i="51" s="1"/>
  <c r="L13" i="51"/>
  <c r="N13" i="51" s="1"/>
  <c r="D13" i="51"/>
  <c r="B13" i="51"/>
  <c r="T12" i="51"/>
  <c r="V95" i="51" s="1"/>
  <c r="H12" i="51"/>
  <c r="J104" i="51" s="1"/>
  <c r="D4" i="51"/>
  <c r="Z72" i="48"/>
  <c r="X72" i="48"/>
  <c r="L72" i="48"/>
  <c r="N72" i="48" s="1"/>
  <c r="V68" i="48"/>
  <c r="P68" i="48"/>
  <c r="P67" i="48" s="1"/>
  <c r="X67" i="48" s="1"/>
  <c r="D68" i="48"/>
  <c r="B68" i="48"/>
  <c r="V67" i="48"/>
  <c r="T67" i="48"/>
  <c r="H67" i="48"/>
  <c r="Z65" i="48"/>
  <c r="X65" i="48"/>
  <c r="V65" i="48"/>
  <c r="R65" i="48"/>
  <c r="L65" i="48"/>
  <c r="N65" i="48" s="1"/>
  <c r="B65" i="48"/>
  <c r="X64" i="48"/>
  <c r="T64" i="48"/>
  <c r="Z64" i="48" s="1"/>
  <c r="P64" i="48"/>
  <c r="N64" i="48"/>
  <c r="J64" i="48"/>
  <c r="H64" i="48"/>
  <c r="D64" i="48"/>
  <c r="L64" i="48" s="1"/>
  <c r="B64" i="48"/>
  <c r="Z63" i="48"/>
  <c r="X63" i="48"/>
  <c r="N63" i="48"/>
  <c r="L63" i="48"/>
  <c r="B63" i="48"/>
  <c r="Z62" i="48"/>
  <c r="X62" i="48"/>
  <c r="R62" i="48"/>
  <c r="N62" i="48"/>
  <c r="L62" i="48"/>
  <c r="F62" i="48"/>
  <c r="B62" i="48"/>
  <c r="X61" i="48"/>
  <c r="Z61" i="48" s="1"/>
  <c r="N61" i="48"/>
  <c r="L61" i="48"/>
  <c r="J61" i="48"/>
  <c r="B61" i="48"/>
  <c r="X60" i="48"/>
  <c r="Z60" i="48" s="1"/>
  <c r="V60" i="48"/>
  <c r="T60" i="48"/>
  <c r="R60" i="48"/>
  <c r="P60" i="48"/>
  <c r="H60" i="48"/>
  <c r="D60" i="48"/>
  <c r="B60" i="48"/>
  <c r="Z59" i="48"/>
  <c r="X59" i="48"/>
  <c r="R59" i="48"/>
  <c r="N59" i="48"/>
  <c r="L59" i="48"/>
  <c r="B59" i="48"/>
  <c r="X58" i="48"/>
  <c r="Z58" i="48" s="1"/>
  <c r="R58" i="48"/>
  <c r="N58" i="48"/>
  <c r="L58" i="48"/>
  <c r="J58" i="48"/>
  <c r="B58" i="48"/>
  <c r="V57" i="48"/>
  <c r="T57" i="48"/>
  <c r="P57" i="48"/>
  <c r="X57" i="48" s="1"/>
  <c r="Z57" i="48" s="1"/>
  <c r="H57" i="48"/>
  <c r="D57" i="48"/>
  <c r="B57" i="48"/>
  <c r="X56" i="48"/>
  <c r="Z56" i="48" s="1"/>
  <c r="L56" i="48"/>
  <c r="N56" i="48" s="1"/>
  <c r="J56" i="48"/>
  <c r="B56" i="48"/>
  <c r="T55" i="48"/>
  <c r="R55" i="48"/>
  <c r="P55" i="48"/>
  <c r="X55" i="48" s="1"/>
  <c r="Z55" i="48" s="1"/>
  <c r="J55" i="48"/>
  <c r="H55" i="48"/>
  <c r="D55" i="48"/>
  <c r="L55" i="48" s="1"/>
  <c r="B55" i="48"/>
  <c r="X54" i="48"/>
  <c r="Z54" i="48" s="1"/>
  <c r="R54" i="48"/>
  <c r="L54" i="48"/>
  <c r="N54" i="48" s="1"/>
  <c r="F54" i="48"/>
  <c r="B54" i="48"/>
  <c r="X53" i="48"/>
  <c r="T53" i="48"/>
  <c r="P53" i="48"/>
  <c r="H53" i="48"/>
  <c r="D53" i="48"/>
  <c r="L53" i="48" s="1"/>
  <c r="N53" i="48" s="1"/>
  <c r="B53" i="48"/>
  <c r="Z52" i="48"/>
  <c r="X52" i="48"/>
  <c r="L52" i="48"/>
  <c r="N52" i="48" s="1"/>
  <c r="B52" i="48"/>
  <c r="Z51" i="48"/>
  <c r="X51" i="48"/>
  <c r="T51" i="48"/>
  <c r="P51" i="48"/>
  <c r="J51" i="48"/>
  <c r="H51" i="48"/>
  <c r="D51" i="48"/>
  <c r="L51" i="48" s="1"/>
  <c r="N51" i="48" s="1"/>
  <c r="B51" i="48"/>
  <c r="Z50" i="48"/>
  <c r="X50" i="48"/>
  <c r="V50" i="48"/>
  <c r="L50" i="48"/>
  <c r="N50" i="48" s="1"/>
  <c r="F50" i="48"/>
  <c r="B50" i="48"/>
  <c r="T49" i="48"/>
  <c r="P49" i="48"/>
  <c r="H49" i="48"/>
  <c r="D49" i="48"/>
  <c r="L49" i="48" s="1"/>
  <c r="N49" i="48" s="1"/>
  <c r="B49" i="48"/>
  <c r="X48" i="48"/>
  <c r="Z48" i="48" s="1"/>
  <c r="V48" i="48"/>
  <c r="N48" i="48"/>
  <c r="L48" i="48"/>
  <c r="B48" i="48"/>
  <c r="T47" i="48"/>
  <c r="P47" i="48"/>
  <c r="X47" i="48" s="1"/>
  <c r="Z47" i="48" s="1"/>
  <c r="L47" i="48"/>
  <c r="H47" i="48"/>
  <c r="D47" i="48"/>
  <c r="B47" i="48"/>
  <c r="X46" i="48"/>
  <c r="Z46" i="48" s="1"/>
  <c r="R46" i="48"/>
  <c r="N46" i="48"/>
  <c r="L46" i="48"/>
  <c r="J46" i="48"/>
  <c r="B46" i="48"/>
  <c r="V45" i="48"/>
  <c r="T45" i="48"/>
  <c r="P45" i="48"/>
  <c r="X45" i="48" s="1"/>
  <c r="Z45" i="48" s="1"/>
  <c r="H45" i="48"/>
  <c r="D45" i="48"/>
  <c r="B45" i="48"/>
  <c r="X44" i="48"/>
  <c r="Z44" i="48" s="1"/>
  <c r="L44" i="48"/>
  <c r="N44" i="48" s="1"/>
  <c r="J44" i="48"/>
  <c r="B44" i="48"/>
  <c r="T43" i="48"/>
  <c r="R43" i="48"/>
  <c r="P43" i="48"/>
  <c r="X43" i="48" s="1"/>
  <c r="Z43" i="48" s="1"/>
  <c r="J43" i="48"/>
  <c r="H43" i="48"/>
  <c r="D43" i="48"/>
  <c r="L43" i="48" s="1"/>
  <c r="B43" i="48"/>
  <c r="X42" i="48"/>
  <c r="Z42" i="48" s="1"/>
  <c r="R42" i="48"/>
  <c r="L42" i="48"/>
  <c r="N42" i="48" s="1"/>
  <c r="B42" i="48"/>
  <c r="X41" i="48"/>
  <c r="T41" i="48"/>
  <c r="Z41" i="48" s="1"/>
  <c r="P41" i="48"/>
  <c r="H41" i="48"/>
  <c r="D41" i="48"/>
  <c r="B41" i="48"/>
  <c r="Z40" i="48"/>
  <c r="X40" i="48"/>
  <c r="N40" i="48"/>
  <c r="L40" i="48"/>
  <c r="B40" i="48"/>
  <c r="Z39" i="48"/>
  <c r="X39" i="48"/>
  <c r="R39" i="48"/>
  <c r="N39" i="48"/>
  <c r="L39" i="48"/>
  <c r="J39" i="48"/>
  <c r="B39" i="48"/>
  <c r="X38" i="48"/>
  <c r="Z38" i="48" s="1"/>
  <c r="R38" i="48"/>
  <c r="N38" i="48"/>
  <c r="L38" i="48"/>
  <c r="J38" i="48"/>
  <c r="B38" i="48"/>
  <c r="Z37" i="48"/>
  <c r="X37" i="48"/>
  <c r="V37" i="48"/>
  <c r="N37" i="48"/>
  <c r="L37" i="48"/>
  <c r="J37" i="48"/>
  <c r="F37" i="48"/>
  <c r="B37" i="48"/>
  <c r="Z36" i="48"/>
  <c r="X36" i="48"/>
  <c r="N36" i="48"/>
  <c r="L36" i="48"/>
  <c r="B36" i="48"/>
  <c r="Z35" i="48"/>
  <c r="X35" i="48"/>
  <c r="R35" i="48"/>
  <c r="N35" i="48"/>
  <c r="L35" i="48"/>
  <c r="J35" i="48"/>
  <c r="B35" i="48"/>
  <c r="X34" i="48"/>
  <c r="Z34" i="48" s="1"/>
  <c r="R34" i="48"/>
  <c r="N34" i="48"/>
  <c r="L34" i="48"/>
  <c r="J34" i="48"/>
  <c r="B34" i="48"/>
  <c r="Z33" i="48"/>
  <c r="X33" i="48"/>
  <c r="V33" i="48"/>
  <c r="N33" i="48"/>
  <c r="L33" i="48"/>
  <c r="J33" i="48"/>
  <c r="B33" i="48"/>
  <c r="Z32" i="48"/>
  <c r="X32" i="48"/>
  <c r="L32" i="48"/>
  <c r="N32" i="48" s="1"/>
  <c r="B32" i="48"/>
  <c r="Z31" i="48"/>
  <c r="X31" i="48"/>
  <c r="R31" i="48"/>
  <c r="N31" i="48"/>
  <c r="L31" i="48"/>
  <c r="J31" i="48"/>
  <c r="B31" i="48"/>
  <c r="T30" i="48"/>
  <c r="R30" i="48"/>
  <c r="P30" i="48"/>
  <c r="N30" i="48"/>
  <c r="H30" i="48"/>
  <c r="D30" i="48"/>
  <c r="L30" i="48" s="1"/>
  <c r="B30" i="48"/>
  <c r="X29" i="48"/>
  <c r="Z29" i="48" s="1"/>
  <c r="V29" i="48"/>
  <c r="R29" i="48"/>
  <c r="L29" i="48"/>
  <c r="N29" i="48" s="1"/>
  <c r="B29" i="48"/>
  <c r="X28" i="48"/>
  <c r="Z28" i="48" s="1"/>
  <c r="L28" i="48"/>
  <c r="N28" i="48" s="1"/>
  <c r="J28" i="48"/>
  <c r="B28" i="48"/>
  <c r="Z27" i="48"/>
  <c r="X27" i="48"/>
  <c r="V27" i="48"/>
  <c r="N27" i="48"/>
  <c r="L27" i="48"/>
  <c r="B27" i="48"/>
  <c r="Z26" i="48"/>
  <c r="X26" i="48"/>
  <c r="V26" i="48"/>
  <c r="N26" i="48"/>
  <c r="L26" i="48"/>
  <c r="B26" i="48"/>
  <c r="X25" i="48"/>
  <c r="Z25" i="48" s="1"/>
  <c r="V25" i="48"/>
  <c r="R25" i="48"/>
  <c r="L25" i="48"/>
  <c r="N25" i="48" s="1"/>
  <c r="B25" i="48"/>
  <c r="X24" i="48"/>
  <c r="Z24" i="48" s="1"/>
  <c r="L24" i="48"/>
  <c r="N24" i="48" s="1"/>
  <c r="J24" i="48"/>
  <c r="B24" i="48"/>
  <c r="X23" i="48"/>
  <c r="Z23" i="48" s="1"/>
  <c r="V23" i="48"/>
  <c r="N23" i="48"/>
  <c r="L23" i="48"/>
  <c r="B23" i="48"/>
  <c r="Z22" i="48"/>
  <c r="X22" i="48"/>
  <c r="V22" i="48"/>
  <c r="L22" i="48"/>
  <c r="N22" i="48" s="1"/>
  <c r="B22" i="48"/>
  <c r="X21" i="48"/>
  <c r="Z21" i="48" s="1"/>
  <c r="V21" i="48"/>
  <c r="R21" i="48"/>
  <c r="L21" i="48"/>
  <c r="N21" i="48" s="1"/>
  <c r="B21" i="48"/>
  <c r="X20" i="48"/>
  <c r="T20" i="48"/>
  <c r="Z20" i="48" s="1"/>
  <c r="P20" i="48"/>
  <c r="N20" i="48"/>
  <c r="J20" i="48"/>
  <c r="H20" i="48"/>
  <c r="D20" i="48"/>
  <c r="L20" i="48" s="1"/>
  <c r="B20" i="48"/>
  <c r="T19" i="48"/>
  <c r="Z19" i="48" s="1"/>
  <c r="P19" i="48"/>
  <c r="X19" i="48" s="1"/>
  <c r="H19" i="48"/>
  <c r="D19" i="48"/>
  <c r="L19" i="48" s="1"/>
  <c r="Z15" i="48"/>
  <c r="T15" i="48"/>
  <c r="R15" i="48"/>
  <c r="P15" i="48"/>
  <c r="X15" i="48" s="1"/>
  <c r="L15" i="48"/>
  <c r="H15" i="48"/>
  <c r="H17" i="48" s="1"/>
  <c r="D15" i="48"/>
  <c r="Z13" i="48"/>
  <c r="X13" i="48"/>
  <c r="P13" i="48"/>
  <c r="D13" i="48"/>
  <c r="D12" i="48" s="1"/>
  <c r="F53" i="48" s="1"/>
  <c r="B13" i="48"/>
  <c r="T12" i="48"/>
  <c r="V61" i="48" s="1"/>
  <c r="P12" i="48"/>
  <c r="R51" i="48" s="1"/>
  <c r="H12" i="48"/>
  <c r="J65" i="48" s="1"/>
  <c r="D4" i="48"/>
  <c r="X104" i="45"/>
  <c r="Z104" i="45" s="1"/>
  <c r="N104" i="45"/>
  <c r="L104" i="45"/>
  <c r="X100" i="45"/>
  <c r="V100" i="45"/>
  <c r="T100" i="45"/>
  <c r="Z100" i="45" s="1"/>
  <c r="P100" i="45"/>
  <c r="L100" i="45"/>
  <c r="J100" i="45"/>
  <c r="H100" i="45"/>
  <c r="N100" i="45" s="1"/>
  <c r="D100" i="45"/>
  <c r="X98" i="45"/>
  <c r="Z98" i="45" s="1"/>
  <c r="N98" i="45"/>
  <c r="L98" i="45"/>
  <c r="B98" i="45"/>
  <c r="X97" i="45"/>
  <c r="Z97" i="45" s="1"/>
  <c r="V97" i="45"/>
  <c r="N97" i="45"/>
  <c r="L97" i="45"/>
  <c r="B97" i="45"/>
  <c r="X96" i="45"/>
  <c r="Z96" i="45" s="1"/>
  <c r="V96" i="45"/>
  <c r="T96" i="45"/>
  <c r="P96" i="45"/>
  <c r="H96" i="45"/>
  <c r="D96" i="45"/>
  <c r="L96" i="45" s="1"/>
  <c r="B96" i="45"/>
  <c r="X95" i="45"/>
  <c r="Z95" i="45" s="1"/>
  <c r="N95" i="45"/>
  <c r="L95" i="45"/>
  <c r="B95" i="45"/>
  <c r="T94" i="45"/>
  <c r="P94" i="45"/>
  <c r="H94" i="45"/>
  <c r="D94" i="45"/>
  <c r="L94" i="45" s="1"/>
  <c r="N94" i="45" s="1"/>
  <c r="B94" i="45"/>
  <c r="Z93" i="45"/>
  <c r="X93" i="45"/>
  <c r="V93" i="45"/>
  <c r="L93" i="45"/>
  <c r="N93" i="45" s="1"/>
  <c r="B93" i="45"/>
  <c r="V92" i="45"/>
  <c r="T92" i="45"/>
  <c r="P92" i="45"/>
  <c r="X92" i="45" s="1"/>
  <c r="N92" i="45"/>
  <c r="J92" i="45"/>
  <c r="H92" i="45"/>
  <c r="D92" i="45"/>
  <c r="L92" i="45" s="1"/>
  <c r="B92" i="45"/>
  <c r="Z91" i="45"/>
  <c r="X91" i="45"/>
  <c r="V91" i="45"/>
  <c r="L91" i="45"/>
  <c r="N91" i="45" s="1"/>
  <c r="B91" i="45"/>
  <c r="X90" i="45"/>
  <c r="Z90" i="45" s="1"/>
  <c r="N90" i="45"/>
  <c r="L90" i="45"/>
  <c r="B90" i="45"/>
  <c r="X89" i="45"/>
  <c r="Z89" i="45" s="1"/>
  <c r="V89" i="45"/>
  <c r="N89" i="45"/>
  <c r="L89" i="45"/>
  <c r="B89" i="45"/>
  <c r="X88" i="45"/>
  <c r="Z88" i="45" s="1"/>
  <c r="V88" i="45"/>
  <c r="N88" i="45"/>
  <c r="L88" i="45"/>
  <c r="B88" i="45"/>
  <c r="Z87" i="45"/>
  <c r="X87" i="45"/>
  <c r="V87" i="45"/>
  <c r="L87" i="45"/>
  <c r="N87" i="45" s="1"/>
  <c r="B87" i="45"/>
  <c r="X86" i="45"/>
  <c r="Z86" i="45" s="1"/>
  <c r="N86" i="45"/>
  <c r="L86" i="45"/>
  <c r="B86" i="45"/>
  <c r="X85" i="45"/>
  <c r="Z85" i="45" s="1"/>
  <c r="V85" i="45"/>
  <c r="N85" i="45"/>
  <c r="L85" i="45"/>
  <c r="B85" i="45"/>
  <c r="X84" i="45"/>
  <c r="Z84" i="45" s="1"/>
  <c r="V84" i="45"/>
  <c r="N84" i="45"/>
  <c r="L84" i="45"/>
  <c r="B84" i="45"/>
  <c r="Z83" i="45"/>
  <c r="X83" i="45"/>
  <c r="V83" i="45"/>
  <c r="L83" i="45"/>
  <c r="N83" i="45" s="1"/>
  <c r="B83" i="45"/>
  <c r="T82" i="45"/>
  <c r="P82" i="45"/>
  <c r="X82" i="45" s="1"/>
  <c r="L82" i="45"/>
  <c r="N82" i="45" s="1"/>
  <c r="J82" i="45"/>
  <c r="H82" i="45"/>
  <c r="D82" i="45"/>
  <c r="B82" i="45"/>
  <c r="Z81" i="45"/>
  <c r="X81" i="45"/>
  <c r="V81" i="45"/>
  <c r="N81" i="45"/>
  <c r="L81" i="45"/>
  <c r="B81" i="45"/>
  <c r="Z80" i="45"/>
  <c r="X80" i="45"/>
  <c r="V80" i="45"/>
  <c r="L80" i="45"/>
  <c r="N80" i="45" s="1"/>
  <c r="B80" i="45"/>
  <c r="X79" i="45"/>
  <c r="Z79" i="45" s="1"/>
  <c r="N79" i="45"/>
  <c r="L79" i="45"/>
  <c r="B79" i="45"/>
  <c r="X78" i="45"/>
  <c r="Z78" i="45" s="1"/>
  <c r="V78" i="45"/>
  <c r="N78" i="45"/>
  <c r="L78" i="45"/>
  <c r="J78" i="45"/>
  <c r="B78" i="45"/>
  <c r="V77" i="45"/>
  <c r="T77" i="45"/>
  <c r="Z77" i="45" s="1"/>
  <c r="P77" i="45"/>
  <c r="X77" i="45" s="1"/>
  <c r="L77" i="45"/>
  <c r="H77" i="45"/>
  <c r="D77" i="45"/>
  <c r="B77" i="45"/>
  <c r="X76" i="45"/>
  <c r="Z76" i="45" s="1"/>
  <c r="V76" i="45"/>
  <c r="L76" i="45"/>
  <c r="N76" i="45" s="1"/>
  <c r="J76" i="45"/>
  <c r="B76" i="45"/>
  <c r="Z75" i="45"/>
  <c r="X75" i="45"/>
  <c r="V75" i="45"/>
  <c r="N75" i="45"/>
  <c r="L75" i="45"/>
  <c r="B75" i="45"/>
  <c r="Z74" i="45"/>
  <c r="X74" i="45"/>
  <c r="V74" i="45"/>
  <c r="L74" i="45"/>
  <c r="N74" i="45" s="1"/>
  <c r="B74" i="45"/>
  <c r="Z73" i="45"/>
  <c r="X73" i="45"/>
  <c r="V73" i="45"/>
  <c r="L73" i="45"/>
  <c r="N73" i="45" s="1"/>
  <c r="B73" i="45"/>
  <c r="V72" i="45"/>
  <c r="T72" i="45"/>
  <c r="Z72" i="45" s="1"/>
  <c r="P72" i="45"/>
  <c r="X72" i="45" s="1"/>
  <c r="J72" i="45"/>
  <c r="H72" i="45"/>
  <c r="D72" i="45"/>
  <c r="L72" i="45" s="1"/>
  <c r="N72" i="45" s="1"/>
  <c r="B72" i="45"/>
  <c r="Z71" i="45"/>
  <c r="X71" i="45"/>
  <c r="V71" i="45"/>
  <c r="L71" i="45"/>
  <c r="N71" i="45" s="1"/>
  <c r="B71" i="45"/>
  <c r="T70" i="45"/>
  <c r="P70" i="45"/>
  <c r="X70" i="45" s="1"/>
  <c r="L70" i="45"/>
  <c r="N70" i="45" s="1"/>
  <c r="J70" i="45"/>
  <c r="H70" i="45"/>
  <c r="D70" i="45"/>
  <c r="B70" i="45"/>
  <c r="Z69" i="45"/>
  <c r="X69" i="45"/>
  <c r="V69" i="45"/>
  <c r="N69" i="45"/>
  <c r="L69" i="45"/>
  <c r="B69" i="45"/>
  <c r="T68" i="45"/>
  <c r="V68" i="45" s="1"/>
  <c r="P68" i="45"/>
  <c r="X68" i="45" s="1"/>
  <c r="Z68" i="45" s="1"/>
  <c r="H68" i="45"/>
  <c r="D68" i="45"/>
  <c r="B68" i="45"/>
  <c r="Z67" i="45"/>
  <c r="X67" i="45"/>
  <c r="V67" i="45"/>
  <c r="N67" i="45"/>
  <c r="L67" i="45"/>
  <c r="B67" i="45"/>
  <c r="Z66" i="45"/>
  <c r="V66" i="45"/>
  <c r="T66" i="45"/>
  <c r="P66" i="45"/>
  <c r="X66" i="45" s="1"/>
  <c r="H66" i="45"/>
  <c r="N66" i="45" s="1"/>
  <c r="D66" i="45"/>
  <c r="L66" i="45" s="1"/>
  <c r="B66" i="45"/>
  <c r="X65" i="45"/>
  <c r="Z65" i="45" s="1"/>
  <c r="V65" i="45"/>
  <c r="N65" i="45"/>
  <c r="L65" i="45"/>
  <c r="B65" i="45"/>
  <c r="X64" i="45"/>
  <c r="Z64" i="45" s="1"/>
  <c r="V64" i="45"/>
  <c r="T64" i="45"/>
  <c r="P64" i="45"/>
  <c r="H64" i="45"/>
  <c r="N64" i="45" s="1"/>
  <c r="D64" i="45"/>
  <c r="L64" i="45" s="1"/>
  <c r="B64" i="45"/>
  <c r="X63" i="45"/>
  <c r="Z63" i="45" s="1"/>
  <c r="N63" i="45"/>
  <c r="L63" i="45"/>
  <c r="B63" i="45"/>
  <c r="T62" i="45"/>
  <c r="P62" i="45"/>
  <c r="N62" i="45"/>
  <c r="H62" i="45"/>
  <c r="D62" i="45"/>
  <c r="L62" i="45" s="1"/>
  <c r="B62" i="45"/>
  <c r="Z61" i="45"/>
  <c r="X61" i="45"/>
  <c r="V61" i="45"/>
  <c r="L61" i="45"/>
  <c r="N61" i="45" s="1"/>
  <c r="B61" i="45"/>
  <c r="V60" i="45"/>
  <c r="T60" i="45"/>
  <c r="P60" i="45"/>
  <c r="X60" i="45" s="1"/>
  <c r="N60" i="45"/>
  <c r="J60" i="45"/>
  <c r="H60" i="45"/>
  <c r="D60" i="45"/>
  <c r="L60" i="45" s="1"/>
  <c r="B60" i="45"/>
  <c r="Z59" i="45"/>
  <c r="X59" i="45"/>
  <c r="V59" i="45"/>
  <c r="L59" i="45"/>
  <c r="N59" i="45" s="1"/>
  <c r="B59" i="45"/>
  <c r="X58" i="45"/>
  <c r="Z58" i="45" s="1"/>
  <c r="N58" i="45"/>
  <c r="L58" i="45"/>
  <c r="B58" i="45"/>
  <c r="X57" i="45"/>
  <c r="V57" i="45"/>
  <c r="T57" i="45"/>
  <c r="Z57" i="45" s="1"/>
  <c r="P57" i="45"/>
  <c r="H57" i="45"/>
  <c r="D57" i="45"/>
  <c r="L57" i="45" s="1"/>
  <c r="N57" i="45" s="1"/>
  <c r="B57" i="45"/>
  <c r="Z56" i="45"/>
  <c r="X56" i="45"/>
  <c r="V56" i="45"/>
  <c r="L56" i="45"/>
  <c r="N56" i="45" s="1"/>
  <c r="B56" i="45"/>
  <c r="T55" i="45"/>
  <c r="P55" i="45"/>
  <c r="H55" i="45"/>
  <c r="D55" i="45"/>
  <c r="L55" i="45" s="1"/>
  <c r="B55" i="45"/>
  <c r="Z54" i="45"/>
  <c r="X54" i="45"/>
  <c r="V54" i="45"/>
  <c r="L54" i="45"/>
  <c r="N54" i="45" s="1"/>
  <c r="B54" i="45"/>
  <c r="Z53" i="45"/>
  <c r="X53" i="45"/>
  <c r="V53" i="45"/>
  <c r="L53" i="45"/>
  <c r="N53" i="45" s="1"/>
  <c r="B53" i="45"/>
  <c r="V52" i="45"/>
  <c r="T52" i="45"/>
  <c r="Z52" i="45" s="1"/>
  <c r="P52" i="45"/>
  <c r="X52" i="45" s="1"/>
  <c r="N52" i="45"/>
  <c r="J52" i="45"/>
  <c r="H52" i="45"/>
  <c r="D52" i="45"/>
  <c r="L52" i="45" s="1"/>
  <c r="B52" i="45"/>
  <c r="Z51" i="45"/>
  <c r="X51" i="45"/>
  <c r="V51" i="45"/>
  <c r="L51" i="45"/>
  <c r="N51" i="45" s="1"/>
  <c r="B51" i="45"/>
  <c r="T50" i="45"/>
  <c r="P50" i="45"/>
  <c r="L50" i="45"/>
  <c r="N50" i="45" s="1"/>
  <c r="J50" i="45"/>
  <c r="H50" i="45"/>
  <c r="D50" i="45"/>
  <c r="B50" i="45"/>
  <c r="Z49" i="45"/>
  <c r="X49" i="45"/>
  <c r="V49" i="45"/>
  <c r="N49" i="45"/>
  <c r="L49" i="45"/>
  <c r="J49" i="45"/>
  <c r="B49" i="45"/>
  <c r="Z48" i="45"/>
  <c r="X48" i="45"/>
  <c r="V48" i="45"/>
  <c r="N48" i="45"/>
  <c r="L48" i="45"/>
  <c r="B48" i="45"/>
  <c r="X47" i="45"/>
  <c r="Z47" i="45" s="1"/>
  <c r="N47" i="45"/>
  <c r="L47" i="45"/>
  <c r="B47" i="45"/>
  <c r="Z46" i="45"/>
  <c r="X46" i="45"/>
  <c r="V46" i="45"/>
  <c r="N46" i="45"/>
  <c r="L46" i="45"/>
  <c r="J46" i="45"/>
  <c r="B46" i="45"/>
  <c r="Z45" i="45"/>
  <c r="X45" i="45"/>
  <c r="V45" i="45"/>
  <c r="N45" i="45"/>
  <c r="L45" i="45"/>
  <c r="J45" i="45"/>
  <c r="B45" i="45"/>
  <c r="Z44" i="45"/>
  <c r="X44" i="45"/>
  <c r="V44" i="45"/>
  <c r="L44" i="45"/>
  <c r="N44" i="45" s="1"/>
  <c r="B44" i="45"/>
  <c r="X43" i="45"/>
  <c r="Z43" i="45" s="1"/>
  <c r="N43" i="45"/>
  <c r="L43" i="45"/>
  <c r="B43" i="45"/>
  <c r="Z42" i="45"/>
  <c r="X42" i="45"/>
  <c r="V42" i="45"/>
  <c r="N42" i="45"/>
  <c r="L42" i="45"/>
  <c r="J42" i="45"/>
  <c r="B42" i="45"/>
  <c r="Z41" i="45"/>
  <c r="X41" i="45"/>
  <c r="V41" i="45"/>
  <c r="N41" i="45"/>
  <c r="L41" i="45"/>
  <c r="J41" i="45"/>
  <c r="B41" i="45"/>
  <c r="Z40" i="45"/>
  <c r="X40" i="45"/>
  <c r="V40" i="45"/>
  <c r="N40" i="45"/>
  <c r="L40" i="45"/>
  <c r="B40" i="45"/>
  <c r="X39" i="45"/>
  <c r="T39" i="45"/>
  <c r="P39" i="45"/>
  <c r="J39" i="45"/>
  <c r="H39" i="45"/>
  <c r="D39" i="45"/>
  <c r="L39" i="45" s="1"/>
  <c r="B39" i="45"/>
  <c r="Z38" i="45"/>
  <c r="X38" i="45"/>
  <c r="V38" i="45"/>
  <c r="L38" i="45"/>
  <c r="N38" i="45" s="1"/>
  <c r="B38" i="45"/>
  <c r="Z37" i="45"/>
  <c r="X37" i="45"/>
  <c r="V37" i="45"/>
  <c r="L37" i="45"/>
  <c r="N37" i="45" s="1"/>
  <c r="B37" i="45"/>
  <c r="X36" i="45"/>
  <c r="Z36" i="45" s="1"/>
  <c r="V36" i="45"/>
  <c r="L36" i="45"/>
  <c r="N36" i="45" s="1"/>
  <c r="J36" i="45"/>
  <c r="B36" i="45"/>
  <c r="Z35" i="45"/>
  <c r="X35" i="45"/>
  <c r="V35" i="45"/>
  <c r="N35" i="45"/>
  <c r="L35" i="45"/>
  <c r="B35" i="45"/>
  <c r="Z34" i="45"/>
  <c r="X34" i="45"/>
  <c r="V34" i="45"/>
  <c r="N34" i="45"/>
  <c r="L34" i="45"/>
  <c r="B34" i="45"/>
  <c r="Z33" i="45"/>
  <c r="X33" i="45"/>
  <c r="V33" i="45"/>
  <c r="L33" i="45"/>
  <c r="N33" i="45" s="1"/>
  <c r="B33" i="45"/>
  <c r="X32" i="45"/>
  <c r="Z32" i="45" s="1"/>
  <c r="V32" i="45"/>
  <c r="L32" i="45"/>
  <c r="N32" i="45" s="1"/>
  <c r="J32" i="45"/>
  <c r="B32" i="45"/>
  <c r="Z31" i="45"/>
  <c r="X31" i="45"/>
  <c r="V31" i="45"/>
  <c r="N31" i="45"/>
  <c r="L31" i="45"/>
  <c r="B31" i="45"/>
  <c r="Z30" i="45"/>
  <c r="X30" i="45"/>
  <c r="V30" i="45"/>
  <c r="L30" i="45"/>
  <c r="N30" i="45" s="1"/>
  <c r="B30" i="45"/>
  <c r="Z29" i="45"/>
  <c r="X29" i="45"/>
  <c r="V29" i="45"/>
  <c r="L29" i="45"/>
  <c r="N29" i="45" s="1"/>
  <c r="B29" i="45"/>
  <c r="V28" i="45"/>
  <c r="T28" i="45"/>
  <c r="P28" i="45"/>
  <c r="X28" i="45" s="1"/>
  <c r="J28" i="45"/>
  <c r="H28" i="45"/>
  <c r="D28" i="45"/>
  <c r="L28" i="45" s="1"/>
  <c r="N28" i="45" s="1"/>
  <c r="B28" i="45"/>
  <c r="T27" i="45"/>
  <c r="V27" i="45" s="1"/>
  <c r="P27" i="45"/>
  <c r="X27" i="45" s="1"/>
  <c r="Z27" i="45" s="1"/>
  <c r="H27" i="45"/>
  <c r="D27" i="45"/>
  <c r="L27" i="45" s="1"/>
  <c r="T25" i="45"/>
  <c r="V25" i="45" s="1"/>
  <c r="Z23" i="45"/>
  <c r="X23" i="45"/>
  <c r="V23" i="45"/>
  <c r="N23" i="45"/>
  <c r="L23" i="45"/>
  <c r="B23" i="45"/>
  <c r="Z22" i="45"/>
  <c r="X22" i="45"/>
  <c r="N22" i="45"/>
  <c r="L22" i="45"/>
  <c r="B22" i="45"/>
  <c r="X21" i="45"/>
  <c r="Z21" i="45" s="1"/>
  <c r="V21" i="45"/>
  <c r="N21" i="45"/>
  <c r="L21" i="45"/>
  <c r="J21" i="45"/>
  <c r="B21" i="45"/>
  <c r="X20" i="45"/>
  <c r="Z20" i="45" s="1"/>
  <c r="V20" i="45"/>
  <c r="T20" i="45"/>
  <c r="P20" i="45"/>
  <c r="H20" i="45"/>
  <c r="D20" i="45"/>
  <c r="Z18" i="45"/>
  <c r="P18" i="45"/>
  <c r="X18" i="45" s="1"/>
  <c r="N18" i="45"/>
  <c r="L18" i="45"/>
  <c r="D18" i="45"/>
  <c r="B18" i="45"/>
  <c r="Z17" i="45"/>
  <c r="P17" i="45"/>
  <c r="X17" i="45" s="1"/>
  <c r="N17" i="45"/>
  <c r="D17" i="45"/>
  <c r="L17" i="45" s="1"/>
  <c r="B17" i="45"/>
  <c r="Z16" i="45"/>
  <c r="P16" i="45"/>
  <c r="X16" i="45" s="1"/>
  <c r="N16" i="45"/>
  <c r="D16" i="45"/>
  <c r="L16" i="45" s="1"/>
  <c r="B16" i="45"/>
  <c r="Z15" i="45"/>
  <c r="X15" i="45"/>
  <c r="P15" i="45"/>
  <c r="D15" i="45"/>
  <c r="L15" i="45" s="1"/>
  <c r="N15" i="45" s="1"/>
  <c r="B15" i="45"/>
  <c r="Z14" i="45"/>
  <c r="X14" i="45"/>
  <c r="P14" i="45"/>
  <c r="N14" i="45"/>
  <c r="D14" i="45"/>
  <c r="L14" i="45" s="1"/>
  <c r="B14" i="45"/>
  <c r="Z13" i="45"/>
  <c r="P13" i="45"/>
  <c r="N13" i="45"/>
  <c r="D13" i="45"/>
  <c r="B13" i="45"/>
  <c r="T12" i="45"/>
  <c r="V95" i="45" s="1"/>
  <c r="H12" i="45"/>
  <c r="J81" i="45" s="1"/>
  <c r="D4" i="45"/>
  <c r="Z131" i="42"/>
  <c r="X131" i="42"/>
  <c r="N131" i="42"/>
  <c r="L131" i="42"/>
  <c r="Z127" i="42"/>
  <c r="X127" i="42"/>
  <c r="P127" i="42"/>
  <c r="N127" i="42"/>
  <c r="D127" i="42"/>
  <c r="L127" i="42" s="1"/>
  <c r="B127" i="42"/>
  <c r="Z126" i="42"/>
  <c r="P126" i="42"/>
  <c r="X126" i="42" s="1"/>
  <c r="N126" i="42"/>
  <c r="D126" i="42"/>
  <c r="L126" i="42" s="1"/>
  <c r="B126" i="42"/>
  <c r="X125" i="42"/>
  <c r="Z125" i="42" s="1"/>
  <c r="P125" i="42"/>
  <c r="N125" i="42"/>
  <c r="L125" i="42"/>
  <c r="D125" i="42"/>
  <c r="B125" i="42"/>
  <c r="P124" i="42"/>
  <c r="X124" i="42" s="1"/>
  <c r="Z124" i="42" s="1"/>
  <c r="L124" i="42"/>
  <c r="N124" i="42" s="1"/>
  <c r="D124" i="42"/>
  <c r="D123" i="42" s="1"/>
  <c r="L123" i="42" s="1"/>
  <c r="B124" i="42"/>
  <c r="T123" i="42"/>
  <c r="H123" i="42"/>
  <c r="Z121" i="42"/>
  <c r="X121" i="42"/>
  <c r="L121" i="42"/>
  <c r="N121" i="42" s="1"/>
  <c r="B121" i="42"/>
  <c r="T120" i="42"/>
  <c r="P120" i="42"/>
  <c r="X120" i="42" s="1"/>
  <c r="L120" i="42"/>
  <c r="N120" i="42" s="1"/>
  <c r="J120" i="42"/>
  <c r="H120" i="42"/>
  <c r="D120" i="42"/>
  <c r="B120" i="42"/>
  <c r="Z119" i="42"/>
  <c r="X119" i="42"/>
  <c r="N119" i="42"/>
  <c r="L119" i="42"/>
  <c r="B119" i="42"/>
  <c r="Z118" i="42"/>
  <c r="X118" i="42"/>
  <c r="N118" i="42"/>
  <c r="L118" i="42"/>
  <c r="B118" i="42"/>
  <c r="X117" i="42"/>
  <c r="Z117" i="42" s="1"/>
  <c r="N117" i="42"/>
  <c r="L117" i="42"/>
  <c r="B117" i="42"/>
  <c r="T116" i="42"/>
  <c r="P116" i="42"/>
  <c r="H116" i="42"/>
  <c r="D116" i="42"/>
  <c r="L116" i="42" s="1"/>
  <c r="N116" i="42" s="1"/>
  <c r="B116" i="42"/>
  <c r="X115" i="42"/>
  <c r="Z115" i="42" s="1"/>
  <c r="L115" i="42"/>
  <c r="N115" i="42" s="1"/>
  <c r="B115" i="42"/>
  <c r="X114" i="42"/>
  <c r="T114" i="42"/>
  <c r="Z114" i="42" s="1"/>
  <c r="P114" i="42"/>
  <c r="H114" i="42"/>
  <c r="D114" i="42"/>
  <c r="L114" i="42" s="1"/>
  <c r="N114" i="42" s="1"/>
  <c r="B114" i="42"/>
  <c r="Z113" i="42"/>
  <c r="X113" i="42"/>
  <c r="L113" i="42"/>
  <c r="N113" i="42" s="1"/>
  <c r="B113" i="42"/>
  <c r="Z112" i="42"/>
  <c r="X112" i="42"/>
  <c r="N112" i="42"/>
  <c r="L112" i="42"/>
  <c r="B112" i="42"/>
  <c r="X111" i="42"/>
  <c r="T111" i="42"/>
  <c r="P111" i="42"/>
  <c r="H111" i="42"/>
  <c r="D111" i="42"/>
  <c r="L111" i="42" s="1"/>
  <c r="N111" i="42" s="1"/>
  <c r="B111" i="42"/>
  <c r="Z110" i="42"/>
  <c r="X110" i="42"/>
  <c r="L110" i="42"/>
  <c r="N110" i="42" s="1"/>
  <c r="B110" i="42"/>
  <c r="X109" i="42"/>
  <c r="Z109" i="42" s="1"/>
  <c r="N109" i="42"/>
  <c r="L109" i="42"/>
  <c r="B109" i="42"/>
  <c r="Z108" i="42"/>
  <c r="X108" i="42"/>
  <c r="N108" i="42"/>
  <c r="L108" i="42"/>
  <c r="B108" i="42"/>
  <c r="Z107" i="42"/>
  <c r="X107" i="42"/>
  <c r="L107" i="42"/>
  <c r="N107" i="42" s="1"/>
  <c r="B107" i="42"/>
  <c r="Z106" i="42"/>
  <c r="X106" i="42"/>
  <c r="L106" i="42"/>
  <c r="N106" i="42" s="1"/>
  <c r="B106" i="42"/>
  <c r="X105" i="42"/>
  <c r="Z105" i="42" s="1"/>
  <c r="N105" i="42"/>
  <c r="L105" i="42"/>
  <c r="B105" i="42"/>
  <c r="Z104" i="42"/>
  <c r="X104" i="42"/>
  <c r="N104" i="42"/>
  <c r="L104" i="42"/>
  <c r="B104" i="42"/>
  <c r="Z103" i="42"/>
  <c r="X103" i="42"/>
  <c r="L103" i="42"/>
  <c r="N103" i="42" s="1"/>
  <c r="B103" i="42"/>
  <c r="Z102" i="42"/>
  <c r="X102" i="42"/>
  <c r="L102" i="42"/>
  <c r="N102" i="42" s="1"/>
  <c r="B102" i="42"/>
  <c r="X101" i="42"/>
  <c r="Z101" i="42" s="1"/>
  <c r="L101" i="42"/>
  <c r="N101" i="42" s="1"/>
  <c r="B101" i="42"/>
  <c r="T100" i="42"/>
  <c r="P100" i="42"/>
  <c r="N100" i="42"/>
  <c r="H100" i="42"/>
  <c r="D100" i="42"/>
  <c r="L100" i="42" s="1"/>
  <c r="B100" i="42"/>
  <c r="X99" i="42"/>
  <c r="Z99" i="42" s="1"/>
  <c r="L99" i="42"/>
  <c r="N99" i="42" s="1"/>
  <c r="B99" i="42"/>
  <c r="X98" i="42"/>
  <c r="T98" i="42"/>
  <c r="P98" i="42"/>
  <c r="N98" i="42"/>
  <c r="H98" i="42"/>
  <c r="D98" i="42"/>
  <c r="L98" i="42" s="1"/>
  <c r="B98" i="42"/>
  <c r="Z97" i="42"/>
  <c r="X97" i="42"/>
  <c r="L97" i="42"/>
  <c r="N97" i="42" s="1"/>
  <c r="B97" i="42"/>
  <c r="Z96" i="42"/>
  <c r="X96" i="42"/>
  <c r="N96" i="42"/>
  <c r="L96" i="42"/>
  <c r="B96" i="42"/>
  <c r="X95" i="42"/>
  <c r="Z95" i="42" s="1"/>
  <c r="N95" i="42"/>
  <c r="L95" i="42"/>
  <c r="B95" i="42"/>
  <c r="X94" i="42"/>
  <c r="Z94" i="42" s="1"/>
  <c r="N94" i="42"/>
  <c r="L94" i="42"/>
  <c r="B94" i="42"/>
  <c r="Z93" i="42"/>
  <c r="X93" i="42"/>
  <c r="L93" i="42"/>
  <c r="N93" i="42" s="1"/>
  <c r="B93" i="42"/>
  <c r="T92" i="42"/>
  <c r="P92" i="42"/>
  <c r="L92" i="42"/>
  <c r="N92" i="42" s="1"/>
  <c r="H92" i="42"/>
  <c r="D92" i="42"/>
  <c r="B92" i="42"/>
  <c r="Z91" i="42"/>
  <c r="X91" i="42"/>
  <c r="V91" i="42"/>
  <c r="L91" i="42"/>
  <c r="N91" i="42" s="1"/>
  <c r="B91" i="42"/>
  <c r="Z90" i="42"/>
  <c r="X90" i="42"/>
  <c r="N90" i="42"/>
  <c r="L90" i="42"/>
  <c r="B90" i="42"/>
  <c r="X89" i="42"/>
  <c r="Z89" i="42" s="1"/>
  <c r="N89" i="42"/>
  <c r="L89" i="42"/>
  <c r="B89" i="42"/>
  <c r="T88" i="42"/>
  <c r="P88" i="42"/>
  <c r="H88" i="42"/>
  <c r="D88" i="42"/>
  <c r="L88" i="42" s="1"/>
  <c r="N88" i="42" s="1"/>
  <c r="B88" i="42"/>
  <c r="X87" i="42"/>
  <c r="Z87" i="42" s="1"/>
  <c r="L87" i="42"/>
  <c r="N87" i="42" s="1"/>
  <c r="B87" i="42"/>
  <c r="X86" i="42"/>
  <c r="Z86" i="42" s="1"/>
  <c r="L86" i="42"/>
  <c r="N86" i="42" s="1"/>
  <c r="B86" i="42"/>
  <c r="Z85" i="42"/>
  <c r="X85" i="42"/>
  <c r="N85" i="42"/>
  <c r="L85" i="42"/>
  <c r="B85" i="42"/>
  <c r="Z84" i="42"/>
  <c r="X84" i="42"/>
  <c r="V84" i="42"/>
  <c r="N84" i="42"/>
  <c r="L84" i="42"/>
  <c r="B84" i="42"/>
  <c r="T83" i="42"/>
  <c r="P83" i="42"/>
  <c r="X83" i="42" s="1"/>
  <c r="H83" i="42"/>
  <c r="D83" i="42"/>
  <c r="L83" i="42" s="1"/>
  <c r="N83" i="42" s="1"/>
  <c r="B83" i="42"/>
  <c r="X82" i="42"/>
  <c r="Z82" i="42" s="1"/>
  <c r="V82" i="42"/>
  <c r="N82" i="42"/>
  <c r="L82" i="42"/>
  <c r="B82" i="42"/>
  <c r="T81" i="42"/>
  <c r="P81" i="42"/>
  <c r="X81" i="42" s="1"/>
  <c r="Z81" i="42" s="1"/>
  <c r="L81" i="42"/>
  <c r="H81" i="42"/>
  <c r="N81" i="42" s="1"/>
  <c r="D81" i="42"/>
  <c r="B81" i="42"/>
  <c r="Z80" i="42"/>
  <c r="X80" i="42"/>
  <c r="N80" i="42"/>
  <c r="L80" i="42"/>
  <c r="B80" i="42"/>
  <c r="V79" i="42"/>
  <c r="T79" i="42"/>
  <c r="Z79" i="42" s="1"/>
  <c r="P79" i="42"/>
  <c r="X79" i="42" s="1"/>
  <c r="L79" i="42"/>
  <c r="H79" i="42"/>
  <c r="N79" i="42" s="1"/>
  <c r="D79" i="42"/>
  <c r="B79" i="42"/>
  <c r="X78" i="42"/>
  <c r="Z78" i="42" s="1"/>
  <c r="L78" i="42"/>
  <c r="N78" i="42" s="1"/>
  <c r="B78" i="42"/>
  <c r="T77" i="42"/>
  <c r="P77" i="42"/>
  <c r="X77" i="42" s="1"/>
  <c r="Z77" i="42" s="1"/>
  <c r="H77" i="42"/>
  <c r="D77" i="42"/>
  <c r="B77" i="42"/>
  <c r="Z76" i="42"/>
  <c r="X76" i="42"/>
  <c r="N76" i="42"/>
  <c r="L76" i="42"/>
  <c r="B76" i="42"/>
  <c r="X75" i="42"/>
  <c r="T75" i="42"/>
  <c r="P75" i="42"/>
  <c r="N75" i="42"/>
  <c r="H75" i="42"/>
  <c r="D75" i="42"/>
  <c r="L75" i="42" s="1"/>
  <c r="B75" i="42"/>
  <c r="Z74" i="42"/>
  <c r="X74" i="42"/>
  <c r="L74" i="42"/>
  <c r="N74" i="42" s="1"/>
  <c r="B74" i="42"/>
  <c r="Z73" i="42"/>
  <c r="X73" i="42"/>
  <c r="N73" i="42"/>
  <c r="L73" i="42"/>
  <c r="B73" i="42"/>
  <c r="T72" i="42"/>
  <c r="P72" i="42"/>
  <c r="H72" i="42"/>
  <c r="D72" i="42"/>
  <c r="L72" i="42" s="1"/>
  <c r="N72" i="42" s="1"/>
  <c r="B72" i="42"/>
  <c r="X71" i="42"/>
  <c r="Z71" i="42" s="1"/>
  <c r="V71" i="42"/>
  <c r="L71" i="42"/>
  <c r="N71" i="42" s="1"/>
  <c r="B71" i="42"/>
  <c r="T70" i="42"/>
  <c r="P70" i="42"/>
  <c r="X70" i="42" s="1"/>
  <c r="H70" i="42"/>
  <c r="D70" i="42"/>
  <c r="L70" i="42" s="1"/>
  <c r="N70" i="42" s="1"/>
  <c r="B70" i="42"/>
  <c r="Z69" i="42"/>
  <c r="X69" i="42"/>
  <c r="L69" i="42"/>
  <c r="N69" i="42" s="1"/>
  <c r="B69" i="42"/>
  <c r="T68" i="42"/>
  <c r="P68" i="42"/>
  <c r="X68" i="42" s="1"/>
  <c r="L68" i="42"/>
  <c r="N68" i="42" s="1"/>
  <c r="H68" i="42"/>
  <c r="D68" i="42"/>
  <c r="B68" i="42"/>
  <c r="Z67" i="42"/>
  <c r="X67" i="42"/>
  <c r="L67" i="42"/>
  <c r="N67" i="42" s="1"/>
  <c r="B67" i="42"/>
  <c r="Z66" i="42"/>
  <c r="T66" i="42"/>
  <c r="P66" i="42"/>
  <c r="X66" i="42" s="1"/>
  <c r="H66" i="42"/>
  <c r="D66" i="42"/>
  <c r="B66" i="42"/>
  <c r="Z65" i="42"/>
  <c r="X65" i="42"/>
  <c r="N65" i="42"/>
  <c r="L65" i="42"/>
  <c r="B65" i="42"/>
  <c r="Z64" i="42"/>
  <c r="X64" i="42"/>
  <c r="N64" i="42"/>
  <c r="L64" i="42"/>
  <c r="B64" i="42"/>
  <c r="X63" i="42"/>
  <c r="Z63" i="42" s="1"/>
  <c r="L63" i="42"/>
  <c r="N63" i="42" s="1"/>
  <c r="B63" i="42"/>
  <c r="X62" i="42"/>
  <c r="Z62" i="42" s="1"/>
  <c r="L62" i="42"/>
  <c r="N62" i="42" s="1"/>
  <c r="B62" i="42"/>
  <c r="T61" i="42"/>
  <c r="P61" i="42"/>
  <c r="X61" i="42" s="1"/>
  <c r="Z61" i="42" s="1"/>
  <c r="H61" i="42"/>
  <c r="D61" i="42"/>
  <c r="B61" i="42"/>
  <c r="Z60" i="42"/>
  <c r="X60" i="42"/>
  <c r="N60" i="42"/>
  <c r="L60" i="42"/>
  <c r="B60" i="42"/>
  <c r="X59" i="42"/>
  <c r="T59" i="42"/>
  <c r="P59" i="42"/>
  <c r="H59" i="42"/>
  <c r="D59" i="42"/>
  <c r="L59" i="42" s="1"/>
  <c r="N59" i="42" s="1"/>
  <c r="B59" i="42"/>
  <c r="Z58" i="42"/>
  <c r="X58" i="42"/>
  <c r="L58" i="42"/>
  <c r="N58" i="42" s="1"/>
  <c r="B58" i="42"/>
  <c r="T57" i="42"/>
  <c r="P57" i="42"/>
  <c r="H57" i="42"/>
  <c r="N57" i="42" s="1"/>
  <c r="D57" i="42"/>
  <c r="L57" i="42" s="1"/>
  <c r="B57" i="42"/>
  <c r="Z56" i="42"/>
  <c r="X56" i="42"/>
  <c r="V56" i="42"/>
  <c r="N56" i="42"/>
  <c r="L56" i="42"/>
  <c r="B56" i="42"/>
  <c r="T55" i="42"/>
  <c r="P55" i="42"/>
  <c r="X55" i="42" s="1"/>
  <c r="H55" i="42"/>
  <c r="D55" i="42"/>
  <c r="L55" i="42" s="1"/>
  <c r="N55" i="42" s="1"/>
  <c r="B55" i="42"/>
  <c r="Z54" i="42"/>
  <c r="X54" i="42"/>
  <c r="N54" i="42"/>
  <c r="L54" i="42"/>
  <c r="B54" i="42"/>
  <c r="Z53" i="42"/>
  <c r="X53" i="42"/>
  <c r="N53" i="42"/>
  <c r="L53" i="42"/>
  <c r="B53" i="42"/>
  <c r="Z52" i="42"/>
  <c r="X52" i="42"/>
  <c r="N52" i="42"/>
  <c r="L52" i="42"/>
  <c r="B52" i="42"/>
  <c r="X51" i="42"/>
  <c r="Z51" i="42" s="1"/>
  <c r="N51" i="42"/>
  <c r="L51" i="42"/>
  <c r="B51" i="42"/>
  <c r="Z50" i="42"/>
  <c r="X50" i="42"/>
  <c r="N50" i="42"/>
  <c r="L50" i="42"/>
  <c r="B50" i="42"/>
  <c r="Z49" i="42"/>
  <c r="X49" i="42"/>
  <c r="L49" i="42"/>
  <c r="N49" i="42" s="1"/>
  <c r="B49" i="42"/>
  <c r="Z48" i="42"/>
  <c r="X48" i="42"/>
  <c r="N48" i="42"/>
  <c r="L48" i="42"/>
  <c r="B48" i="42"/>
  <c r="Z47" i="42"/>
  <c r="X47" i="42"/>
  <c r="N47" i="42"/>
  <c r="L47" i="42"/>
  <c r="B47" i="42"/>
  <c r="X46" i="42"/>
  <c r="Z46" i="42" s="1"/>
  <c r="N46" i="42"/>
  <c r="L46" i="42"/>
  <c r="B46" i="42"/>
  <c r="Z45" i="42"/>
  <c r="X45" i="42"/>
  <c r="L45" i="42"/>
  <c r="N45" i="42" s="1"/>
  <c r="B45" i="42"/>
  <c r="T44" i="42"/>
  <c r="P44" i="42"/>
  <c r="L44" i="42"/>
  <c r="N44" i="42" s="1"/>
  <c r="H44" i="42"/>
  <c r="D44" i="42"/>
  <c r="B44" i="42"/>
  <c r="Z43" i="42"/>
  <c r="X43" i="42"/>
  <c r="L43" i="42"/>
  <c r="N43" i="42" s="1"/>
  <c r="B43" i="42"/>
  <c r="Z42" i="42"/>
  <c r="X42" i="42"/>
  <c r="L42" i="42"/>
  <c r="N42" i="42" s="1"/>
  <c r="B42" i="42"/>
  <c r="Z41" i="42"/>
  <c r="X41" i="42"/>
  <c r="N41" i="42"/>
  <c r="L41" i="42"/>
  <c r="B41" i="42"/>
  <c r="Z40" i="42"/>
  <c r="X40" i="42"/>
  <c r="N40" i="42"/>
  <c r="L40" i="42"/>
  <c r="B40" i="42"/>
  <c r="Z39" i="42"/>
  <c r="X39" i="42"/>
  <c r="N39" i="42"/>
  <c r="L39" i="42"/>
  <c r="B39" i="42"/>
  <c r="Z38" i="42"/>
  <c r="X38" i="42"/>
  <c r="L38" i="42"/>
  <c r="N38" i="42" s="1"/>
  <c r="B38" i="42"/>
  <c r="X37" i="42"/>
  <c r="Z37" i="42" s="1"/>
  <c r="N37" i="42"/>
  <c r="L37" i="42"/>
  <c r="B37" i="42"/>
  <c r="Z36" i="42"/>
  <c r="X36" i="42"/>
  <c r="N36" i="42"/>
  <c r="L36" i="42"/>
  <c r="B36" i="42"/>
  <c r="Z35" i="42"/>
  <c r="X35" i="42"/>
  <c r="V35" i="42"/>
  <c r="L35" i="42"/>
  <c r="N35" i="42" s="1"/>
  <c r="B35" i="42"/>
  <c r="Z34" i="42"/>
  <c r="X34" i="42"/>
  <c r="L34" i="42"/>
  <c r="N34" i="42" s="1"/>
  <c r="B34" i="42"/>
  <c r="X33" i="42"/>
  <c r="Z33" i="42" s="1"/>
  <c r="T33" i="42"/>
  <c r="P33" i="42"/>
  <c r="H33" i="42"/>
  <c r="D33" i="42"/>
  <c r="L33" i="42" s="1"/>
  <c r="B33" i="42"/>
  <c r="T32" i="42"/>
  <c r="P32" i="42"/>
  <c r="X32" i="42" s="1"/>
  <c r="Z32" i="42" s="1"/>
  <c r="H32" i="42"/>
  <c r="D32" i="42"/>
  <c r="Z28" i="42"/>
  <c r="X28" i="42"/>
  <c r="N28" i="42"/>
  <c r="L28" i="42"/>
  <c r="B28" i="42"/>
  <c r="Z27" i="42"/>
  <c r="X27" i="42"/>
  <c r="N27" i="42"/>
  <c r="L27" i="42"/>
  <c r="B27" i="42"/>
  <c r="X26" i="42"/>
  <c r="Z26" i="42" s="1"/>
  <c r="L26" i="42"/>
  <c r="N26" i="42" s="1"/>
  <c r="B26" i="42"/>
  <c r="V25" i="42"/>
  <c r="T25" i="42"/>
  <c r="P25" i="42"/>
  <c r="X25" i="42" s="1"/>
  <c r="Z25" i="42" s="1"/>
  <c r="H25" i="42"/>
  <c r="D25" i="42"/>
  <c r="L25" i="42" s="1"/>
  <c r="N25" i="42" s="1"/>
  <c r="Z23" i="42"/>
  <c r="P23" i="42"/>
  <c r="X23" i="42" s="1"/>
  <c r="N23" i="42"/>
  <c r="D23" i="42"/>
  <c r="L23" i="42" s="1"/>
  <c r="B23" i="42"/>
  <c r="Z22" i="42"/>
  <c r="X22" i="42"/>
  <c r="P22" i="42"/>
  <c r="N22" i="42"/>
  <c r="D22" i="42"/>
  <c r="L22" i="42" s="1"/>
  <c r="B22" i="42"/>
  <c r="Z21" i="42"/>
  <c r="P21" i="42"/>
  <c r="N21" i="42"/>
  <c r="L21" i="42"/>
  <c r="D21" i="42"/>
  <c r="B21" i="42"/>
  <c r="Z20" i="42"/>
  <c r="P20" i="42"/>
  <c r="X20" i="42" s="1"/>
  <c r="N20" i="42"/>
  <c r="D20" i="42"/>
  <c r="L20" i="42" s="1"/>
  <c r="B20" i="42"/>
  <c r="X19" i="42"/>
  <c r="Z19" i="42" s="1"/>
  <c r="P19" i="42"/>
  <c r="N19" i="42"/>
  <c r="D19" i="42"/>
  <c r="L19" i="42" s="1"/>
  <c r="B19" i="42"/>
  <c r="Z18" i="42"/>
  <c r="X18" i="42"/>
  <c r="P18" i="42"/>
  <c r="N18" i="42"/>
  <c r="D18" i="42"/>
  <c r="L18" i="42" s="1"/>
  <c r="B18" i="42"/>
  <c r="Z17" i="42"/>
  <c r="P17" i="42"/>
  <c r="X17" i="42" s="1"/>
  <c r="N17" i="42"/>
  <c r="D17" i="42"/>
  <c r="L17" i="42" s="1"/>
  <c r="B17" i="42"/>
  <c r="Z16" i="42"/>
  <c r="X16" i="42"/>
  <c r="P16" i="42"/>
  <c r="N16" i="42"/>
  <c r="D16" i="42"/>
  <c r="L16" i="42" s="1"/>
  <c r="B16" i="42"/>
  <c r="Z15" i="42"/>
  <c r="X15" i="42"/>
  <c r="P15" i="42"/>
  <c r="N15" i="42"/>
  <c r="L15" i="42"/>
  <c r="D15" i="42"/>
  <c r="B15" i="42"/>
  <c r="Z14" i="42"/>
  <c r="X14" i="42"/>
  <c r="P14" i="42"/>
  <c r="N14" i="42"/>
  <c r="L14" i="42"/>
  <c r="D14" i="42"/>
  <c r="B14" i="42"/>
  <c r="P13" i="42"/>
  <c r="X13" i="42" s="1"/>
  <c r="Z13" i="42" s="1"/>
  <c r="N13" i="42"/>
  <c r="L13" i="42"/>
  <c r="D13" i="42"/>
  <c r="B13" i="42"/>
  <c r="T12" i="42"/>
  <c r="V64" i="42" s="1"/>
  <c r="H12" i="42"/>
  <c r="J114" i="42" s="1"/>
  <c r="D4" i="42"/>
  <c r="X144" i="39"/>
  <c r="Z144" i="39" s="1"/>
  <c r="V144" i="39"/>
  <c r="N144" i="39"/>
  <c r="L144" i="39"/>
  <c r="Z140" i="39"/>
  <c r="X140" i="39"/>
  <c r="P140" i="39"/>
  <c r="N140" i="39"/>
  <c r="D140" i="39"/>
  <c r="L140" i="39" s="1"/>
  <c r="B140" i="39"/>
  <c r="Z139" i="39"/>
  <c r="X139" i="39"/>
  <c r="P139" i="39"/>
  <c r="N139" i="39"/>
  <c r="D139" i="39"/>
  <c r="L139" i="39" s="1"/>
  <c r="B139" i="39"/>
  <c r="X138" i="39"/>
  <c r="Z138" i="39" s="1"/>
  <c r="V138" i="39"/>
  <c r="P138" i="39"/>
  <c r="L138" i="39"/>
  <c r="N138" i="39" s="1"/>
  <c r="D138" i="39"/>
  <c r="B138" i="39"/>
  <c r="P137" i="39"/>
  <c r="D137" i="39"/>
  <c r="B137" i="39"/>
  <c r="T136" i="39"/>
  <c r="J136" i="39"/>
  <c r="H136" i="39"/>
  <c r="Z134" i="39"/>
  <c r="X134" i="39"/>
  <c r="N134" i="39"/>
  <c r="L134" i="39"/>
  <c r="B134" i="39"/>
  <c r="X133" i="39"/>
  <c r="V133" i="39"/>
  <c r="T133" i="39"/>
  <c r="P133" i="39"/>
  <c r="H133" i="39"/>
  <c r="D133" i="39"/>
  <c r="L133" i="39" s="1"/>
  <c r="N133" i="39" s="1"/>
  <c r="B133" i="39"/>
  <c r="Z132" i="39"/>
  <c r="X132" i="39"/>
  <c r="V132" i="39"/>
  <c r="N132" i="39"/>
  <c r="L132" i="39"/>
  <c r="B132" i="39"/>
  <c r="Z131" i="39"/>
  <c r="X131" i="39"/>
  <c r="N131" i="39"/>
  <c r="L131" i="39"/>
  <c r="J131" i="39"/>
  <c r="B131" i="39"/>
  <c r="Z130" i="39"/>
  <c r="X130" i="39"/>
  <c r="N130" i="39"/>
  <c r="L130" i="39"/>
  <c r="B130" i="39"/>
  <c r="T129" i="39"/>
  <c r="P129" i="39"/>
  <c r="X129" i="39" s="1"/>
  <c r="L129" i="39"/>
  <c r="H129" i="39"/>
  <c r="D129" i="39"/>
  <c r="B129" i="39"/>
  <c r="X128" i="39"/>
  <c r="Z128" i="39" s="1"/>
  <c r="V128" i="39"/>
  <c r="N128" i="39"/>
  <c r="L128" i="39"/>
  <c r="B128" i="39"/>
  <c r="T127" i="39"/>
  <c r="P127" i="39"/>
  <c r="X127" i="39" s="1"/>
  <c r="Z127" i="39" s="1"/>
  <c r="N127" i="39"/>
  <c r="L127" i="39"/>
  <c r="H127" i="39"/>
  <c r="D127" i="39"/>
  <c r="B127" i="39"/>
  <c r="Z126" i="39"/>
  <c r="X126" i="39"/>
  <c r="L126" i="39"/>
  <c r="N126" i="39" s="1"/>
  <c r="J126" i="39"/>
  <c r="B126" i="39"/>
  <c r="Z125" i="39"/>
  <c r="X125" i="39"/>
  <c r="V125" i="39"/>
  <c r="N125" i="39"/>
  <c r="L125" i="39"/>
  <c r="B125" i="39"/>
  <c r="V124" i="39"/>
  <c r="T124" i="39"/>
  <c r="P124" i="39"/>
  <c r="N124" i="39"/>
  <c r="L124" i="39"/>
  <c r="H124" i="39"/>
  <c r="D124" i="39"/>
  <c r="B124" i="39"/>
  <c r="X123" i="39"/>
  <c r="Z123" i="39" s="1"/>
  <c r="L123" i="39"/>
  <c r="N123" i="39" s="1"/>
  <c r="B123" i="39"/>
  <c r="Z122" i="39"/>
  <c r="X122" i="39"/>
  <c r="L122" i="39"/>
  <c r="N122" i="39" s="1"/>
  <c r="B122" i="39"/>
  <c r="Z121" i="39"/>
  <c r="X121" i="39"/>
  <c r="N121" i="39"/>
  <c r="L121" i="39"/>
  <c r="B121" i="39"/>
  <c r="Z120" i="39"/>
  <c r="X120" i="39"/>
  <c r="L120" i="39"/>
  <c r="N120" i="39" s="1"/>
  <c r="J120" i="39"/>
  <c r="B120" i="39"/>
  <c r="X119" i="39"/>
  <c r="Z119" i="39" s="1"/>
  <c r="L119" i="39"/>
  <c r="N119" i="39" s="1"/>
  <c r="B119" i="39"/>
  <c r="Z118" i="39"/>
  <c r="X118" i="39"/>
  <c r="V118" i="39"/>
  <c r="L118" i="39"/>
  <c r="N118" i="39" s="1"/>
  <c r="B118" i="39"/>
  <c r="Z117" i="39"/>
  <c r="X117" i="39"/>
  <c r="N117" i="39"/>
  <c r="L117" i="39"/>
  <c r="B117" i="39"/>
  <c r="Z116" i="39"/>
  <c r="X116" i="39"/>
  <c r="L116" i="39"/>
  <c r="N116" i="39" s="1"/>
  <c r="B116" i="39"/>
  <c r="X115" i="39"/>
  <c r="Z115" i="39" s="1"/>
  <c r="V115" i="39"/>
  <c r="L115" i="39"/>
  <c r="N115" i="39" s="1"/>
  <c r="B115" i="39"/>
  <c r="Z114" i="39"/>
  <c r="X114" i="39"/>
  <c r="L114" i="39"/>
  <c r="N114" i="39" s="1"/>
  <c r="B114" i="39"/>
  <c r="V113" i="39"/>
  <c r="T113" i="39"/>
  <c r="P113" i="39"/>
  <c r="H113" i="39"/>
  <c r="D113" i="39"/>
  <c r="L113" i="39" s="1"/>
  <c r="B113" i="39"/>
  <c r="X112" i="39"/>
  <c r="Z112" i="39" s="1"/>
  <c r="N112" i="39"/>
  <c r="L112" i="39"/>
  <c r="B112" i="39"/>
  <c r="X111" i="39"/>
  <c r="Z111" i="39" s="1"/>
  <c r="V111" i="39"/>
  <c r="T111" i="39"/>
  <c r="P111" i="39"/>
  <c r="N111" i="39"/>
  <c r="L111" i="39"/>
  <c r="H111" i="39"/>
  <c r="D111" i="39"/>
  <c r="B111" i="39"/>
  <c r="X110" i="39"/>
  <c r="Z110" i="39" s="1"/>
  <c r="N110" i="39"/>
  <c r="L110" i="39"/>
  <c r="B110" i="39"/>
  <c r="Z109" i="39"/>
  <c r="X109" i="39"/>
  <c r="N109" i="39"/>
  <c r="L109" i="39"/>
  <c r="B109" i="39"/>
  <c r="Z108" i="39"/>
  <c r="X108" i="39"/>
  <c r="V108" i="39"/>
  <c r="L108" i="39"/>
  <c r="N108" i="39" s="1"/>
  <c r="B108" i="39"/>
  <c r="X107" i="39"/>
  <c r="Z107" i="39" s="1"/>
  <c r="V107" i="39"/>
  <c r="L107" i="39"/>
  <c r="N107" i="39" s="1"/>
  <c r="J107" i="39"/>
  <c r="B107" i="39"/>
  <c r="Z106" i="39"/>
  <c r="X106" i="39"/>
  <c r="L106" i="39"/>
  <c r="N106" i="39" s="1"/>
  <c r="B106" i="39"/>
  <c r="Z105" i="39"/>
  <c r="X105" i="39"/>
  <c r="V105" i="39"/>
  <c r="N105" i="39"/>
  <c r="L105" i="39"/>
  <c r="B105" i="39"/>
  <c r="V104" i="39"/>
  <c r="T104" i="39"/>
  <c r="P104" i="39"/>
  <c r="N104" i="39"/>
  <c r="L104" i="39"/>
  <c r="H104" i="39"/>
  <c r="D104" i="39"/>
  <c r="B104" i="39"/>
  <c r="X103" i="39"/>
  <c r="Z103" i="39" s="1"/>
  <c r="L103" i="39"/>
  <c r="N103" i="39" s="1"/>
  <c r="B103" i="39"/>
  <c r="Z102" i="39"/>
  <c r="X102" i="39"/>
  <c r="N102" i="39"/>
  <c r="L102" i="39"/>
  <c r="B102" i="39"/>
  <c r="Z101" i="39"/>
  <c r="X101" i="39"/>
  <c r="N101" i="39"/>
  <c r="L101" i="39"/>
  <c r="B101" i="39"/>
  <c r="T100" i="39"/>
  <c r="P100" i="39"/>
  <c r="X100" i="39" s="1"/>
  <c r="H100" i="39"/>
  <c r="D100" i="39"/>
  <c r="L100" i="39" s="1"/>
  <c r="N100" i="39" s="1"/>
  <c r="B100" i="39"/>
  <c r="Z99" i="39"/>
  <c r="X99" i="39"/>
  <c r="L99" i="39"/>
  <c r="N99" i="39" s="1"/>
  <c r="J99" i="39"/>
  <c r="B99" i="39"/>
  <c r="Z98" i="39"/>
  <c r="X98" i="39"/>
  <c r="N98" i="39"/>
  <c r="L98" i="39"/>
  <c r="B98" i="39"/>
  <c r="Z97" i="39"/>
  <c r="X97" i="39"/>
  <c r="N97" i="39"/>
  <c r="L97" i="39"/>
  <c r="B97" i="39"/>
  <c r="X96" i="39"/>
  <c r="Z96" i="39" s="1"/>
  <c r="N96" i="39"/>
  <c r="L96" i="39"/>
  <c r="B96" i="39"/>
  <c r="T95" i="39"/>
  <c r="P95" i="39"/>
  <c r="X95" i="39" s="1"/>
  <c r="Z95" i="39" s="1"/>
  <c r="L95" i="39"/>
  <c r="H95" i="39"/>
  <c r="D95" i="39"/>
  <c r="B95" i="39"/>
  <c r="Z94" i="39"/>
  <c r="X94" i="39"/>
  <c r="L94" i="39"/>
  <c r="N94" i="39" s="1"/>
  <c r="B94" i="39"/>
  <c r="Z93" i="39"/>
  <c r="X93" i="39"/>
  <c r="V93" i="39"/>
  <c r="T93" i="39"/>
  <c r="P93" i="39"/>
  <c r="H93" i="39"/>
  <c r="D93" i="39"/>
  <c r="L93" i="39" s="1"/>
  <c r="B93" i="39"/>
  <c r="Z92" i="39"/>
  <c r="X92" i="39"/>
  <c r="V92" i="39"/>
  <c r="N92" i="39"/>
  <c r="L92" i="39"/>
  <c r="B92" i="39"/>
  <c r="T91" i="39"/>
  <c r="Z91" i="39" s="1"/>
  <c r="P91" i="39"/>
  <c r="X91" i="39" s="1"/>
  <c r="N91" i="39"/>
  <c r="J91" i="39"/>
  <c r="H91" i="39"/>
  <c r="D91" i="39"/>
  <c r="L91" i="39" s="1"/>
  <c r="B91" i="39"/>
  <c r="Z90" i="39"/>
  <c r="X90" i="39"/>
  <c r="N90" i="39"/>
  <c r="L90" i="39"/>
  <c r="B90" i="39"/>
  <c r="T89" i="39"/>
  <c r="Z89" i="39" s="1"/>
  <c r="P89" i="39"/>
  <c r="X89" i="39" s="1"/>
  <c r="L89" i="39"/>
  <c r="H89" i="39"/>
  <c r="N89" i="39" s="1"/>
  <c r="D89" i="39"/>
  <c r="B89" i="39"/>
  <c r="Z88" i="39"/>
  <c r="X88" i="39"/>
  <c r="L88" i="39"/>
  <c r="N88" i="39" s="1"/>
  <c r="B88" i="39"/>
  <c r="X87" i="39"/>
  <c r="Z87" i="39" s="1"/>
  <c r="V87" i="39"/>
  <c r="T87" i="39"/>
  <c r="P87" i="39"/>
  <c r="H87" i="39"/>
  <c r="N87" i="39" s="1"/>
  <c r="D87" i="39"/>
  <c r="L87" i="39" s="1"/>
  <c r="B87" i="39"/>
  <c r="X86" i="39"/>
  <c r="Z86" i="39" s="1"/>
  <c r="V86" i="39"/>
  <c r="L86" i="39"/>
  <c r="N86" i="39" s="1"/>
  <c r="B86" i="39"/>
  <c r="X85" i="39"/>
  <c r="V85" i="39"/>
  <c r="T85" i="39"/>
  <c r="P85" i="39"/>
  <c r="H85" i="39"/>
  <c r="D85" i="39"/>
  <c r="L85" i="39" s="1"/>
  <c r="N85" i="39" s="1"/>
  <c r="B85" i="39"/>
  <c r="X84" i="39"/>
  <c r="Z84" i="39" s="1"/>
  <c r="V84" i="39"/>
  <c r="N84" i="39"/>
  <c r="L84" i="39"/>
  <c r="B84" i="39"/>
  <c r="Z83" i="39"/>
  <c r="X83" i="39"/>
  <c r="L83" i="39"/>
  <c r="N83" i="39" s="1"/>
  <c r="B83" i="39"/>
  <c r="T82" i="39"/>
  <c r="Z82" i="39" s="1"/>
  <c r="P82" i="39"/>
  <c r="X82" i="39" s="1"/>
  <c r="N82" i="39"/>
  <c r="L82" i="39"/>
  <c r="J82" i="39"/>
  <c r="H82" i="39"/>
  <c r="D82" i="39"/>
  <c r="B82" i="39"/>
  <c r="Z81" i="39"/>
  <c r="X81" i="39"/>
  <c r="V81" i="39"/>
  <c r="N81" i="39"/>
  <c r="L81" i="39"/>
  <c r="B81" i="39"/>
  <c r="Z80" i="39"/>
  <c r="X80" i="39"/>
  <c r="T80" i="39"/>
  <c r="P80" i="39"/>
  <c r="H80" i="39"/>
  <c r="D80" i="39"/>
  <c r="B80" i="39"/>
  <c r="Z79" i="39"/>
  <c r="X79" i="39"/>
  <c r="N79" i="39"/>
  <c r="L79" i="39"/>
  <c r="B79" i="39"/>
  <c r="Z78" i="39"/>
  <c r="V78" i="39"/>
  <c r="T78" i="39"/>
  <c r="X78" i="39" s="1"/>
  <c r="P78" i="39"/>
  <c r="H78" i="39"/>
  <c r="N78" i="39" s="1"/>
  <c r="D78" i="39"/>
  <c r="L78" i="39" s="1"/>
  <c r="B78" i="39"/>
  <c r="X77" i="39"/>
  <c r="Z77" i="39" s="1"/>
  <c r="V77" i="39"/>
  <c r="N77" i="39"/>
  <c r="L77" i="39"/>
  <c r="B77" i="39"/>
  <c r="Z76" i="39"/>
  <c r="X76" i="39"/>
  <c r="V76" i="39"/>
  <c r="T76" i="39"/>
  <c r="P76" i="39"/>
  <c r="H76" i="39"/>
  <c r="D76" i="39"/>
  <c r="L76" i="39" s="1"/>
  <c r="B76" i="39"/>
  <c r="X75" i="39"/>
  <c r="Z75" i="39" s="1"/>
  <c r="N75" i="39"/>
  <c r="L75" i="39"/>
  <c r="B75" i="39"/>
  <c r="V74" i="39"/>
  <c r="T74" i="39"/>
  <c r="P74" i="39"/>
  <c r="N74" i="39"/>
  <c r="L74" i="39"/>
  <c r="H74" i="39"/>
  <c r="D74" i="39"/>
  <c r="B74" i="39"/>
  <c r="Z73" i="39"/>
  <c r="X73" i="39"/>
  <c r="V73" i="39"/>
  <c r="N73" i="39"/>
  <c r="L73" i="39"/>
  <c r="B73" i="39"/>
  <c r="T72" i="39"/>
  <c r="Z72" i="39" s="1"/>
  <c r="P72" i="39"/>
  <c r="X72" i="39" s="1"/>
  <c r="N72" i="39"/>
  <c r="H72" i="39"/>
  <c r="D72" i="39"/>
  <c r="L72" i="39" s="1"/>
  <c r="B72" i="39"/>
  <c r="Z71" i="39"/>
  <c r="X71" i="39"/>
  <c r="L71" i="39"/>
  <c r="N71" i="39" s="1"/>
  <c r="B71" i="39"/>
  <c r="X70" i="39"/>
  <c r="Z70" i="39" s="1"/>
  <c r="L70" i="39"/>
  <c r="N70" i="39" s="1"/>
  <c r="B70" i="39"/>
  <c r="X69" i="39"/>
  <c r="Z69" i="39" s="1"/>
  <c r="V69" i="39"/>
  <c r="N69" i="39"/>
  <c r="L69" i="39"/>
  <c r="B69" i="39"/>
  <c r="Z68" i="39"/>
  <c r="X68" i="39"/>
  <c r="V68" i="39"/>
  <c r="N68" i="39"/>
  <c r="L68" i="39"/>
  <c r="B68" i="39"/>
  <c r="T67" i="39"/>
  <c r="P67" i="39"/>
  <c r="L67" i="39"/>
  <c r="N67" i="39" s="1"/>
  <c r="H67" i="39"/>
  <c r="D67" i="39"/>
  <c r="B67" i="39"/>
  <c r="X66" i="39"/>
  <c r="Z66" i="39" s="1"/>
  <c r="V66" i="39"/>
  <c r="N66" i="39"/>
  <c r="L66" i="39"/>
  <c r="B66" i="39"/>
  <c r="V65" i="39"/>
  <c r="T65" i="39"/>
  <c r="Z65" i="39" s="1"/>
  <c r="P65" i="39"/>
  <c r="X65" i="39" s="1"/>
  <c r="L65" i="39"/>
  <c r="N65" i="39" s="1"/>
  <c r="H65" i="39"/>
  <c r="D65" i="39"/>
  <c r="B65" i="39"/>
  <c r="X64" i="39"/>
  <c r="Z64" i="39" s="1"/>
  <c r="L64" i="39"/>
  <c r="N64" i="39" s="1"/>
  <c r="J64" i="39"/>
  <c r="B64" i="39"/>
  <c r="T63" i="39"/>
  <c r="P63" i="39"/>
  <c r="X63" i="39" s="1"/>
  <c r="Z63" i="39" s="1"/>
  <c r="L63" i="39"/>
  <c r="J63" i="39"/>
  <c r="H63" i="39"/>
  <c r="D63" i="39"/>
  <c r="B63" i="39"/>
  <c r="X62" i="39"/>
  <c r="Z62" i="39" s="1"/>
  <c r="L62" i="39"/>
  <c r="N62" i="39" s="1"/>
  <c r="B62" i="39"/>
  <c r="X61" i="39"/>
  <c r="Z61" i="39" s="1"/>
  <c r="V61" i="39"/>
  <c r="T61" i="39"/>
  <c r="P61" i="39"/>
  <c r="H61" i="39"/>
  <c r="D61" i="39"/>
  <c r="B61" i="39"/>
  <c r="Z60" i="39"/>
  <c r="X60" i="39"/>
  <c r="N60" i="39"/>
  <c r="L60" i="39"/>
  <c r="B60" i="39"/>
  <c r="Z59" i="39"/>
  <c r="X59" i="39"/>
  <c r="N59" i="39"/>
  <c r="L59" i="39"/>
  <c r="B59" i="39"/>
  <c r="X58" i="39"/>
  <c r="Z58" i="39" s="1"/>
  <c r="V58" i="39"/>
  <c r="N58" i="39"/>
  <c r="L58" i="39"/>
  <c r="B58" i="39"/>
  <c r="Z57" i="39"/>
  <c r="X57" i="39"/>
  <c r="V57" i="39"/>
  <c r="L57" i="39"/>
  <c r="N57" i="39" s="1"/>
  <c r="B57" i="39"/>
  <c r="Z56" i="39"/>
  <c r="X56" i="39"/>
  <c r="N56" i="39"/>
  <c r="L56" i="39"/>
  <c r="B56" i="39"/>
  <c r="Z55" i="39"/>
  <c r="X55" i="39"/>
  <c r="N55" i="39"/>
  <c r="L55" i="39"/>
  <c r="B55" i="39"/>
  <c r="X54" i="39"/>
  <c r="Z54" i="39" s="1"/>
  <c r="V54" i="39"/>
  <c r="N54" i="39"/>
  <c r="L54" i="39"/>
  <c r="J54" i="39"/>
  <c r="B54" i="39"/>
  <c r="Z53" i="39"/>
  <c r="X53" i="39"/>
  <c r="V53" i="39"/>
  <c r="N53" i="39"/>
  <c r="L53" i="39"/>
  <c r="J53" i="39"/>
  <c r="B53" i="39"/>
  <c r="X52" i="39"/>
  <c r="Z52" i="39" s="1"/>
  <c r="L52" i="39"/>
  <c r="N52" i="39" s="1"/>
  <c r="B52" i="39"/>
  <c r="Z51" i="39"/>
  <c r="X51" i="39"/>
  <c r="N51" i="39"/>
  <c r="L51" i="39"/>
  <c r="B51" i="39"/>
  <c r="V50" i="39"/>
  <c r="T50" i="39"/>
  <c r="P50" i="39"/>
  <c r="N50" i="39"/>
  <c r="L50" i="39"/>
  <c r="H50" i="39"/>
  <c r="D50" i="39"/>
  <c r="B50" i="39"/>
  <c r="X49" i="39"/>
  <c r="Z49" i="39" s="1"/>
  <c r="V49" i="39"/>
  <c r="L49" i="39"/>
  <c r="N49" i="39" s="1"/>
  <c r="B49" i="39"/>
  <c r="X48" i="39"/>
  <c r="Z48" i="39" s="1"/>
  <c r="N48" i="39"/>
  <c r="L48" i="39"/>
  <c r="J48" i="39"/>
  <c r="B48" i="39"/>
  <c r="Z47" i="39"/>
  <c r="X47" i="39"/>
  <c r="N47" i="39"/>
  <c r="L47" i="39"/>
  <c r="B47" i="39"/>
  <c r="Z46" i="39"/>
  <c r="X46" i="39"/>
  <c r="V46" i="39"/>
  <c r="N46" i="39"/>
  <c r="L46" i="39"/>
  <c r="B46" i="39"/>
  <c r="X45" i="39"/>
  <c r="Z45" i="39" s="1"/>
  <c r="V45" i="39"/>
  <c r="N45" i="39"/>
  <c r="L45" i="39"/>
  <c r="J45" i="39"/>
  <c r="B45" i="39"/>
  <c r="X44" i="39"/>
  <c r="Z44" i="39" s="1"/>
  <c r="N44" i="39"/>
  <c r="L44" i="39"/>
  <c r="B44" i="39"/>
  <c r="Z43" i="39"/>
  <c r="X43" i="39"/>
  <c r="N43" i="39"/>
  <c r="L43" i="39"/>
  <c r="B43" i="39"/>
  <c r="Z42" i="39"/>
  <c r="X42" i="39"/>
  <c r="V42" i="39"/>
  <c r="L42" i="39"/>
  <c r="N42" i="39" s="1"/>
  <c r="B42" i="39"/>
  <c r="X41" i="39"/>
  <c r="Z41" i="39" s="1"/>
  <c r="V41" i="39"/>
  <c r="L41" i="39"/>
  <c r="N41" i="39" s="1"/>
  <c r="J41" i="39"/>
  <c r="B41" i="39"/>
  <c r="X40" i="39"/>
  <c r="Z40" i="39" s="1"/>
  <c r="N40" i="39"/>
  <c r="L40" i="39"/>
  <c r="B40" i="39"/>
  <c r="Z39" i="39"/>
  <c r="T39" i="39"/>
  <c r="P39" i="39"/>
  <c r="X39" i="39" s="1"/>
  <c r="J39" i="39"/>
  <c r="H39" i="39"/>
  <c r="D39" i="39"/>
  <c r="L39" i="39" s="1"/>
  <c r="B39" i="39"/>
  <c r="T38" i="39"/>
  <c r="P38" i="39"/>
  <c r="H38" i="39"/>
  <c r="J38" i="39" s="1"/>
  <c r="D38" i="39"/>
  <c r="L38" i="39" s="1"/>
  <c r="N38" i="39" s="1"/>
  <c r="T36" i="39"/>
  <c r="Z34" i="39"/>
  <c r="X34" i="39"/>
  <c r="N34" i="39"/>
  <c r="L34" i="39"/>
  <c r="B34" i="39"/>
  <c r="Z33" i="39"/>
  <c r="X33" i="39"/>
  <c r="V33" i="39"/>
  <c r="N33" i="39"/>
  <c r="L33" i="39"/>
  <c r="B33" i="39"/>
  <c r="Z32" i="39"/>
  <c r="X32" i="39"/>
  <c r="V32" i="39"/>
  <c r="L32" i="39"/>
  <c r="N32" i="39" s="1"/>
  <c r="B32" i="39"/>
  <c r="T31" i="39"/>
  <c r="V31" i="39" s="1"/>
  <c r="P31" i="39"/>
  <c r="L31" i="39"/>
  <c r="N31" i="39" s="1"/>
  <c r="J31" i="39"/>
  <c r="H31" i="39"/>
  <c r="D31" i="39"/>
  <c r="Z29" i="39"/>
  <c r="P29" i="39"/>
  <c r="X29" i="39" s="1"/>
  <c r="N29" i="39"/>
  <c r="D29" i="39"/>
  <c r="L29" i="39" s="1"/>
  <c r="B29" i="39"/>
  <c r="Z28" i="39"/>
  <c r="X28" i="39"/>
  <c r="P28" i="39"/>
  <c r="N28" i="39"/>
  <c r="D28" i="39"/>
  <c r="L28" i="39" s="1"/>
  <c r="B28" i="39"/>
  <c r="Z27" i="39"/>
  <c r="P27" i="39"/>
  <c r="X27" i="39" s="1"/>
  <c r="N27" i="39"/>
  <c r="D27" i="39"/>
  <c r="L27" i="39" s="1"/>
  <c r="B27" i="39"/>
  <c r="Z26" i="39"/>
  <c r="X26" i="39"/>
  <c r="P26" i="39"/>
  <c r="N26" i="39"/>
  <c r="D26" i="39"/>
  <c r="L26" i="39" s="1"/>
  <c r="B26" i="39"/>
  <c r="Z25" i="39"/>
  <c r="X25" i="39"/>
  <c r="P25" i="39"/>
  <c r="N25" i="39"/>
  <c r="L25" i="39"/>
  <c r="D25" i="39"/>
  <c r="B25" i="39"/>
  <c r="Z24" i="39"/>
  <c r="X24" i="39"/>
  <c r="P24" i="39"/>
  <c r="N24" i="39"/>
  <c r="D24" i="39"/>
  <c r="L24" i="39" s="1"/>
  <c r="B24" i="39"/>
  <c r="Z23" i="39"/>
  <c r="P23" i="39"/>
  <c r="X23" i="39" s="1"/>
  <c r="N23" i="39"/>
  <c r="L23" i="39"/>
  <c r="D23" i="39"/>
  <c r="B23" i="39"/>
  <c r="Z22" i="39"/>
  <c r="P22" i="39"/>
  <c r="X22" i="39" s="1"/>
  <c r="N22" i="39"/>
  <c r="L22" i="39"/>
  <c r="D22" i="39"/>
  <c r="B22" i="39"/>
  <c r="P21" i="39"/>
  <c r="X21" i="39" s="1"/>
  <c r="Z21" i="39" s="1"/>
  <c r="L21" i="39"/>
  <c r="N21" i="39" s="1"/>
  <c r="D21" i="39"/>
  <c r="B21" i="39"/>
  <c r="Z20" i="39"/>
  <c r="X20" i="39"/>
  <c r="P20" i="39"/>
  <c r="N20" i="39"/>
  <c r="D20" i="39"/>
  <c r="L20" i="39" s="1"/>
  <c r="B20" i="39"/>
  <c r="Z19" i="39"/>
  <c r="P19" i="39"/>
  <c r="X19" i="39" s="1"/>
  <c r="N19" i="39"/>
  <c r="D19" i="39"/>
  <c r="L19" i="39" s="1"/>
  <c r="B19" i="39"/>
  <c r="Z18" i="39"/>
  <c r="P18" i="39"/>
  <c r="X18" i="39" s="1"/>
  <c r="N18" i="39"/>
  <c r="D18" i="39"/>
  <c r="L18" i="39" s="1"/>
  <c r="B18" i="39"/>
  <c r="Z17" i="39"/>
  <c r="P17" i="39"/>
  <c r="X17" i="39" s="1"/>
  <c r="N17" i="39"/>
  <c r="L17" i="39"/>
  <c r="D17" i="39"/>
  <c r="B17" i="39"/>
  <c r="Z16" i="39"/>
  <c r="X16" i="39"/>
  <c r="P16" i="39"/>
  <c r="N16" i="39"/>
  <c r="D16" i="39"/>
  <c r="L16" i="39" s="1"/>
  <c r="B16" i="39"/>
  <c r="Z15" i="39"/>
  <c r="X15" i="39"/>
  <c r="P15" i="39"/>
  <c r="N15" i="39"/>
  <c r="D15" i="39"/>
  <c r="L15" i="39" s="1"/>
  <c r="B15" i="39"/>
  <c r="Z14" i="39"/>
  <c r="X14" i="39"/>
  <c r="P14" i="39"/>
  <c r="N14" i="39"/>
  <c r="D14" i="39"/>
  <c r="L14" i="39" s="1"/>
  <c r="B14" i="39"/>
  <c r="X13" i="39"/>
  <c r="Z13" i="39" s="1"/>
  <c r="P13" i="39"/>
  <c r="N13" i="39"/>
  <c r="L13" i="39"/>
  <c r="D13" i="39"/>
  <c r="B13" i="39"/>
  <c r="T12" i="39"/>
  <c r="V123" i="39" s="1"/>
  <c r="H12" i="39"/>
  <c r="J89" i="39" s="1"/>
  <c r="D4" i="39"/>
  <c r="Z138" i="36"/>
  <c r="X138" i="36"/>
  <c r="N138" i="36"/>
  <c r="L138" i="36"/>
  <c r="Z134" i="36"/>
  <c r="X134" i="36"/>
  <c r="P134" i="36"/>
  <c r="N134" i="36"/>
  <c r="L134" i="36"/>
  <c r="D134" i="36"/>
  <c r="B134" i="36"/>
  <c r="Z133" i="36"/>
  <c r="X133" i="36"/>
  <c r="P133" i="36"/>
  <c r="N133" i="36"/>
  <c r="D133" i="36"/>
  <c r="L133" i="36" s="1"/>
  <c r="B133" i="36"/>
  <c r="P132" i="36"/>
  <c r="X132" i="36" s="1"/>
  <c r="Z132" i="36" s="1"/>
  <c r="D132" i="36"/>
  <c r="L132" i="36" s="1"/>
  <c r="N132" i="36" s="1"/>
  <c r="B132" i="36"/>
  <c r="P131" i="36"/>
  <c r="P130" i="36" s="1"/>
  <c r="X130" i="36" s="1"/>
  <c r="Z130" i="36" s="1"/>
  <c r="D131" i="36"/>
  <c r="B131" i="36"/>
  <c r="T130" i="36"/>
  <c r="H130" i="36"/>
  <c r="X128" i="36"/>
  <c r="Z128" i="36" s="1"/>
  <c r="V128" i="36"/>
  <c r="L128" i="36"/>
  <c r="N128" i="36" s="1"/>
  <c r="B128" i="36"/>
  <c r="T127" i="36"/>
  <c r="P127" i="36"/>
  <c r="X127" i="36" s="1"/>
  <c r="H127" i="36"/>
  <c r="D127" i="36"/>
  <c r="B127" i="36"/>
  <c r="Z126" i="36"/>
  <c r="X126" i="36"/>
  <c r="L126" i="36"/>
  <c r="N126" i="36" s="1"/>
  <c r="B126" i="36"/>
  <c r="Z125" i="36"/>
  <c r="X125" i="36"/>
  <c r="N125" i="36"/>
  <c r="L125" i="36"/>
  <c r="B125" i="36"/>
  <c r="X124" i="36"/>
  <c r="Z124" i="36" s="1"/>
  <c r="N124" i="36"/>
  <c r="L124" i="36"/>
  <c r="B124" i="36"/>
  <c r="Z123" i="36"/>
  <c r="X123" i="36"/>
  <c r="V123" i="36"/>
  <c r="T123" i="36"/>
  <c r="P123" i="36"/>
  <c r="H123" i="36"/>
  <c r="D123" i="36"/>
  <c r="L123" i="36" s="1"/>
  <c r="B123" i="36"/>
  <c r="X122" i="36"/>
  <c r="Z122" i="36" s="1"/>
  <c r="N122" i="36"/>
  <c r="L122" i="36"/>
  <c r="B122" i="36"/>
  <c r="X121" i="36"/>
  <c r="T121" i="36"/>
  <c r="P121" i="36"/>
  <c r="H121" i="36"/>
  <c r="D121" i="36"/>
  <c r="L121" i="36" s="1"/>
  <c r="N121" i="36" s="1"/>
  <c r="B121" i="36"/>
  <c r="X120" i="36"/>
  <c r="Z120" i="36" s="1"/>
  <c r="L120" i="36"/>
  <c r="N120" i="36" s="1"/>
  <c r="B120" i="36"/>
  <c r="X119" i="36"/>
  <c r="Z119" i="36" s="1"/>
  <c r="L119" i="36"/>
  <c r="N119" i="36" s="1"/>
  <c r="J119" i="36"/>
  <c r="B119" i="36"/>
  <c r="Z118" i="36"/>
  <c r="T118" i="36"/>
  <c r="P118" i="36"/>
  <c r="X118" i="36" s="1"/>
  <c r="L118" i="36"/>
  <c r="N118" i="36" s="1"/>
  <c r="H118" i="36"/>
  <c r="D118" i="36"/>
  <c r="B118" i="36"/>
  <c r="X117" i="36"/>
  <c r="Z117" i="36" s="1"/>
  <c r="L117" i="36"/>
  <c r="N117" i="36" s="1"/>
  <c r="B117" i="36"/>
  <c r="X116" i="36"/>
  <c r="Z116" i="36" s="1"/>
  <c r="N116" i="36"/>
  <c r="L116" i="36"/>
  <c r="B116" i="36"/>
  <c r="Z115" i="36"/>
  <c r="X115" i="36"/>
  <c r="V115" i="36"/>
  <c r="N115" i="36"/>
  <c r="L115" i="36"/>
  <c r="B115" i="36"/>
  <c r="Z114" i="36"/>
  <c r="X114" i="36"/>
  <c r="L114" i="36"/>
  <c r="N114" i="36" s="1"/>
  <c r="B114" i="36"/>
  <c r="X113" i="36"/>
  <c r="Z113" i="36" s="1"/>
  <c r="L113" i="36"/>
  <c r="N113" i="36" s="1"/>
  <c r="B113" i="36"/>
  <c r="X112" i="36"/>
  <c r="Z112" i="36" s="1"/>
  <c r="N112" i="36"/>
  <c r="L112" i="36"/>
  <c r="J112" i="36"/>
  <c r="B112" i="36"/>
  <c r="Z111" i="36"/>
  <c r="X111" i="36"/>
  <c r="L111" i="36"/>
  <c r="N111" i="36" s="1"/>
  <c r="B111" i="36"/>
  <c r="Z110" i="36"/>
  <c r="X110" i="36"/>
  <c r="N110" i="36"/>
  <c r="L110" i="36"/>
  <c r="B110" i="36"/>
  <c r="X109" i="36"/>
  <c r="Z109" i="36" s="1"/>
  <c r="L109" i="36"/>
  <c r="N109" i="36" s="1"/>
  <c r="B109" i="36"/>
  <c r="X108" i="36"/>
  <c r="Z108" i="36" s="1"/>
  <c r="V108" i="36"/>
  <c r="N108" i="36"/>
  <c r="L108" i="36"/>
  <c r="J108" i="36"/>
  <c r="B108" i="36"/>
  <c r="T107" i="36"/>
  <c r="P107" i="36"/>
  <c r="H107" i="36"/>
  <c r="D107" i="36"/>
  <c r="L107" i="36" s="1"/>
  <c r="B107" i="36"/>
  <c r="X106" i="36"/>
  <c r="Z106" i="36" s="1"/>
  <c r="N106" i="36"/>
  <c r="L106" i="36"/>
  <c r="B106" i="36"/>
  <c r="T105" i="36"/>
  <c r="P105" i="36"/>
  <c r="X105" i="36" s="1"/>
  <c r="L105" i="36"/>
  <c r="N105" i="36" s="1"/>
  <c r="H105" i="36"/>
  <c r="D105" i="36"/>
  <c r="B105" i="36"/>
  <c r="X104" i="36"/>
  <c r="Z104" i="36" s="1"/>
  <c r="L104" i="36"/>
  <c r="N104" i="36" s="1"/>
  <c r="J104" i="36"/>
  <c r="B104" i="36"/>
  <c r="X103" i="36"/>
  <c r="Z103" i="36" s="1"/>
  <c r="L103" i="36"/>
  <c r="N103" i="36" s="1"/>
  <c r="B103" i="36"/>
  <c r="Z102" i="36"/>
  <c r="X102" i="36"/>
  <c r="N102" i="36"/>
  <c r="L102" i="36"/>
  <c r="J102" i="36"/>
  <c r="B102" i="36"/>
  <c r="X101" i="36"/>
  <c r="Z101" i="36" s="1"/>
  <c r="L101" i="36"/>
  <c r="N101" i="36" s="1"/>
  <c r="B101" i="36"/>
  <c r="Z100" i="36"/>
  <c r="X100" i="36"/>
  <c r="V100" i="36"/>
  <c r="L100" i="36"/>
  <c r="N100" i="36" s="1"/>
  <c r="B100" i="36"/>
  <c r="T99" i="36"/>
  <c r="P99" i="36"/>
  <c r="X99" i="36" s="1"/>
  <c r="L99" i="36"/>
  <c r="N99" i="36" s="1"/>
  <c r="H99" i="36"/>
  <c r="D99" i="36"/>
  <c r="B99" i="36"/>
  <c r="Z98" i="36"/>
  <c r="X98" i="36"/>
  <c r="L98" i="36"/>
  <c r="N98" i="36" s="1"/>
  <c r="B98" i="36"/>
  <c r="X97" i="36"/>
  <c r="Z97" i="36" s="1"/>
  <c r="N97" i="36"/>
  <c r="L97" i="36"/>
  <c r="B97" i="36"/>
  <c r="Z96" i="36"/>
  <c r="X96" i="36"/>
  <c r="N96" i="36"/>
  <c r="L96" i="36"/>
  <c r="B96" i="36"/>
  <c r="T95" i="36"/>
  <c r="P95" i="36"/>
  <c r="X95" i="36" s="1"/>
  <c r="Z95" i="36" s="1"/>
  <c r="H95" i="36"/>
  <c r="D95" i="36"/>
  <c r="L95" i="36" s="1"/>
  <c r="B95" i="36"/>
  <c r="X94" i="36"/>
  <c r="Z94" i="36" s="1"/>
  <c r="N94" i="36"/>
  <c r="L94" i="36"/>
  <c r="B94" i="36"/>
  <c r="Z93" i="36"/>
  <c r="X93" i="36"/>
  <c r="V93" i="36"/>
  <c r="L93" i="36"/>
  <c r="N93" i="36" s="1"/>
  <c r="B93" i="36"/>
  <c r="Z92" i="36"/>
  <c r="X92" i="36"/>
  <c r="V92" i="36"/>
  <c r="L92" i="36"/>
  <c r="N92" i="36" s="1"/>
  <c r="J92" i="36"/>
  <c r="B92" i="36"/>
  <c r="X91" i="36"/>
  <c r="Z91" i="36" s="1"/>
  <c r="L91" i="36"/>
  <c r="N91" i="36" s="1"/>
  <c r="B91" i="36"/>
  <c r="Z90" i="36"/>
  <c r="V90" i="36"/>
  <c r="T90" i="36"/>
  <c r="X90" i="36" s="1"/>
  <c r="P90" i="36"/>
  <c r="H90" i="36"/>
  <c r="D90" i="36"/>
  <c r="B90" i="36"/>
  <c r="Z89" i="36"/>
  <c r="X89" i="36"/>
  <c r="L89" i="36"/>
  <c r="N89" i="36" s="1"/>
  <c r="B89" i="36"/>
  <c r="T88" i="36"/>
  <c r="P88" i="36"/>
  <c r="X88" i="36" s="1"/>
  <c r="Z88" i="36" s="1"/>
  <c r="N88" i="36"/>
  <c r="H88" i="36"/>
  <c r="D88" i="36"/>
  <c r="L88" i="36" s="1"/>
  <c r="B88" i="36"/>
  <c r="X87" i="36"/>
  <c r="Z87" i="36" s="1"/>
  <c r="V87" i="36"/>
  <c r="L87" i="36"/>
  <c r="N87" i="36" s="1"/>
  <c r="B87" i="36"/>
  <c r="V86" i="36"/>
  <c r="T86" i="36"/>
  <c r="X86" i="36" s="1"/>
  <c r="Z86" i="36" s="1"/>
  <c r="P86" i="36"/>
  <c r="L86" i="36"/>
  <c r="N86" i="36" s="1"/>
  <c r="H86" i="36"/>
  <c r="D86" i="36"/>
  <c r="B86" i="36"/>
  <c r="Z85" i="36"/>
  <c r="X85" i="36"/>
  <c r="V85" i="36"/>
  <c r="N85" i="36"/>
  <c r="L85" i="36"/>
  <c r="B85" i="36"/>
  <c r="T84" i="36"/>
  <c r="Z84" i="36" s="1"/>
  <c r="P84" i="36"/>
  <c r="X84" i="36" s="1"/>
  <c r="N84" i="36"/>
  <c r="L84" i="36"/>
  <c r="J84" i="36"/>
  <c r="H84" i="36"/>
  <c r="D84" i="36"/>
  <c r="B84" i="36"/>
  <c r="X83" i="36"/>
  <c r="Z83" i="36" s="1"/>
  <c r="L83" i="36"/>
  <c r="N83" i="36" s="1"/>
  <c r="B83" i="36"/>
  <c r="T82" i="36"/>
  <c r="P82" i="36"/>
  <c r="X82" i="36" s="1"/>
  <c r="Z82" i="36" s="1"/>
  <c r="J82" i="36"/>
  <c r="H82" i="36"/>
  <c r="D82" i="36"/>
  <c r="L82" i="36" s="1"/>
  <c r="B82" i="36"/>
  <c r="X81" i="36"/>
  <c r="Z81" i="36" s="1"/>
  <c r="L81" i="36"/>
  <c r="N81" i="36" s="1"/>
  <c r="B81" i="36"/>
  <c r="Z80" i="36"/>
  <c r="X80" i="36"/>
  <c r="T80" i="36"/>
  <c r="P80" i="36"/>
  <c r="H80" i="36"/>
  <c r="D80" i="36"/>
  <c r="L80" i="36" s="1"/>
  <c r="N80" i="36" s="1"/>
  <c r="B80" i="36"/>
  <c r="Z79" i="36"/>
  <c r="X79" i="36"/>
  <c r="L79" i="36"/>
  <c r="N79" i="36" s="1"/>
  <c r="B79" i="36"/>
  <c r="Z78" i="36"/>
  <c r="X78" i="36"/>
  <c r="N78" i="36"/>
  <c r="L78" i="36"/>
  <c r="B78" i="36"/>
  <c r="T77" i="36"/>
  <c r="P77" i="36"/>
  <c r="X77" i="36" s="1"/>
  <c r="Z77" i="36" s="1"/>
  <c r="H77" i="36"/>
  <c r="D77" i="36"/>
  <c r="B77" i="36"/>
  <c r="Z76" i="36"/>
  <c r="X76" i="36"/>
  <c r="L76" i="36"/>
  <c r="N76" i="36" s="1"/>
  <c r="B76" i="36"/>
  <c r="T75" i="36"/>
  <c r="P75" i="36"/>
  <c r="X75" i="36" s="1"/>
  <c r="H75" i="36"/>
  <c r="D75" i="36"/>
  <c r="L75" i="36" s="1"/>
  <c r="N75" i="36" s="1"/>
  <c r="B75" i="36"/>
  <c r="X74" i="36"/>
  <c r="Z74" i="36" s="1"/>
  <c r="V74" i="36"/>
  <c r="L74" i="36"/>
  <c r="N74" i="36" s="1"/>
  <c r="J74" i="36"/>
  <c r="B74" i="36"/>
  <c r="T73" i="36"/>
  <c r="P73" i="36"/>
  <c r="L73" i="36"/>
  <c r="J73" i="36"/>
  <c r="H73" i="36"/>
  <c r="D73" i="36"/>
  <c r="B73" i="36"/>
  <c r="Z72" i="36"/>
  <c r="X72" i="36"/>
  <c r="V72" i="36"/>
  <c r="L72" i="36"/>
  <c r="N72" i="36" s="1"/>
  <c r="J72" i="36"/>
  <c r="B72" i="36"/>
  <c r="Z71" i="36"/>
  <c r="X71" i="36"/>
  <c r="T71" i="36"/>
  <c r="P71" i="36"/>
  <c r="H71" i="36"/>
  <c r="D71" i="36"/>
  <c r="L71" i="36" s="1"/>
  <c r="N71" i="36" s="1"/>
  <c r="B71" i="36"/>
  <c r="Z70" i="36"/>
  <c r="X70" i="36"/>
  <c r="V70" i="36"/>
  <c r="L70" i="36"/>
  <c r="N70" i="36" s="1"/>
  <c r="B70" i="36"/>
  <c r="X69" i="36"/>
  <c r="Z69" i="36" s="1"/>
  <c r="V69" i="36"/>
  <c r="L69" i="36"/>
  <c r="N69" i="36" s="1"/>
  <c r="B69" i="36"/>
  <c r="T68" i="36"/>
  <c r="P68" i="36"/>
  <c r="J68" i="36"/>
  <c r="H68" i="36"/>
  <c r="D68" i="36"/>
  <c r="L68" i="36" s="1"/>
  <c r="N68" i="36" s="1"/>
  <c r="B68" i="36"/>
  <c r="X67" i="36"/>
  <c r="Z67" i="36" s="1"/>
  <c r="L67" i="36"/>
  <c r="N67" i="36" s="1"/>
  <c r="B67" i="36"/>
  <c r="Z66" i="36"/>
  <c r="X66" i="36"/>
  <c r="V66" i="36"/>
  <c r="L66" i="36"/>
  <c r="N66" i="36" s="1"/>
  <c r="B66" i="36"/>
  <c r="X65" i="36"/>
  <c r="Z65" i="36" s="1"/>
  <c r="L65" i="36"/>
  <c r="N65" i="36" s="1"/>
  <c r="B65" i="36"/>
  <c r="X64" i="36"/>
  <c r="Z64" i="36" s="1"/>
  <c r="N64" i="36"/>
  <c r="L64" i="36"/>
  <c r="B64" i="36"/>
  <c r="V63" i="36"/>
  <c r="T63" i="36"/>
  <c r="X63" i="36" s="1"/>
  <c r="Z63" i="36" s="1"/>
  <c r="P63" i="36"/>
  <c r="H63" i="36"/>
  <c r="D63" i="36"/>
  <c r="B63" i="36"/>
  <c r="Z62" i="36"/>
  <c r="X62" i="36"/>
  <c r="N62" i="36"/>
  <c r="L62" i="36"/>
  <c r="B62" i="36"/>
  <c r="T61" i="36"/>
  <c r="P61" i="36"/>
  <c r="X61" i="36" s="1"/>
  <c r="Z61" i="36" s="1"/>
  <c r="L61" i="36"/>
  <c r="H61" i="36"/>
  <c r="N61" i="36" s="1"/>
  <c r="D61" i="36"/>
  <c r="B61" i="36"/>
  <c r="Z60" i="36"/>
  <c r="X60" i="36"/>
  <c r="L60" i="36"/>
  <c r="N60" i="36" s="1"/>
  <c r="B60" i="36"/>
  <c r="Z59" i="36"/>
  <c r="X59" i="36"/>
  <c r="N59" i="36"/>
  <c r="L59" i="36"/>
  <c r="B59" i="36"/>
  <c r="T58" i="36"/>
  <c r="P58" i="36"/>
  <c r="L58" i="36"/>
  <c r="N58" i="36" s="1"/>
  <c r="J58" i="36"/>
  <c r="H58" i="36"/>
  <c r="D58" i="36"/>
  <c r="B58" i="36"/>
  <c r="X57" i="36"/>
  <c r="Z57" i="36" s="1"/>
  <c r="N57" i="36"/>
  <c r="L57" i="36"/>
  <c r="B57" i="36"/>
  <c r="T56" i="36"/>
  <c r="P56" i="36"/>
  <c r="X56" i="36" s="1"/>
  <c r="Z56" i="36" s="1"/>
  <c r="N56" i="36"/>
  <c r="L56" i="36"/>
  <c r="H56" i="36"/>
  <c r="D56" i="36"/>
  <c r="B56" i="36"/>
  <c r="Z55" i="36"/>
  <c r="X55" i="36"/>
  <c r="V55" i="36"/>
  <c r="N55" i="36"/>
  <c r="L55" i="36"/>
  <c r="J55" i="36"/>
  <c r="B55" i="36"/>
  <c r="Z54" i="36"/>
  <c r="X54" i="36"/>
  <c r="N54" i="36"/>
  <c r="L54" i="36"/>
  <c r="J54" i="36"/>
  <c r="B54" i="36"/>
  <c r="Z53" i="36"/>
  <c r="X53" i="36"/>
  <c r="N53" i="36"/>
  <c r="L53" i="36"/>
  <c r="B53" i="36"/>
  <c r="Z52" i="36"/>
  <c r="X52" i="36"/>
  <c r="V52" i="36"/>
  <c r="L52" i="36"/>
  <c r="N52" i="36" s="1"/>
  <c r="B52" i="36"/>
  <c r="Z51" i="36"/>
  <c r="X51" i="36"/>
  <c r="V51" i="36"/>
  <c r="N51" i="36"/>
  <c r="L51" i="36"/>
  <c r="J51" i="36"/>
  <c r="B51" i="36"/>
  <c r="X50" i="36"/>
  <c r="Z50" i="36" s="1"/>
  <c r="L50" i="36"/>
  <c r="N50" i="36" s="1"/>
  <c r="J50" i="36"/>
  <c r="B50" i="36"/>
  <c r="Z49" i="36"/>
  <c r="X49" i="36"/>
  <c r="N49" i="36"/>
  <c r="L49" i="36"/>
  <c r="B49" i="36"/>
  <c r="Z48" i="36"/>
  <c r="X48" i="36"/>
  <c r="V48" i="36"/>
  <c r="N48" i="36"/>
  <c r="L48" i="36"/>
  <c r="B48" i="36"/>
  <c r="X47" i="36"/>
  <c r="Z47" i="36" s="1"/>
  <c r="V47" i="36"/>
  <c r="L47" i="36"/>
  <c r="N47" i="36" s="1"/>
  <c r="J47" i="36"/>
  <c r="B47" i="36"/>
  <c r="X46" i="36"/>
  <c r="Z46" i="36" s="1"/>
  <c r="L46" i="36"/>
  <c r="N46" i="36" s="1"/>
  <c r="J46" i="36"/>
  <c r="B46" i="36"/>
  <c r="T45" i="36"/>
  <c r="P45" i="36"/>
  <c r="X45" i="36" s="1"/>
  <c r="Z45" i="36" s="1"/>
  <c r="J45" i="36"/>
  <c r="H45" i="36"/>
  <c r="D45" i="36"/>
  <c r="B45" i="36"/>
  <c r="X44" i="36"/>
  <c r="Z44" i="36" s="1"/>
  <c r="N44" i="36"/>
  <c r="L44" i="36"/>
  <c r="B44" i="36"/>
  <c r="X43" i="36"/>
  <c r="Z43" i="36" s="1"/>
  <c r="V43" i="36"/>
  <c r="L43" i="36"/>
  <c r="N43" i="36" s="1"/>
  <c r="J43" i="36"/>
  <c r="B43" i="36"/>
  <c r="X42" i="36"/>
  <c r="Z42" i="36" s="1"/>
  <c r="V42" i="36"/>
  <c r="N42" i="36"/>
  <c r="L42" i="36"/>
  <c r="B42" i="36"/>
  <c r="Z41" i="36"/>
  <c r="X41" i="36"/>
  <c r="N41" i="36"/>
  <c r="L41" i="36"/>
  <c r="B41" i="36"/>
  <c r="X40" i="36"/>
  <c r="Z40" i="36" s="1"/>
  <c r="N40" i="36"/>
  <c r="L40" i="36"/>
  <c r="B40" i="36"/>
  <c r="X39" i="36"/>
  <c r="Z39" i="36" s="1"/>
  <c r="V39" i="36"/>
  <c r="L39" i="36"/>
  <c r="N39" i="36" s="1"/>
  <c r="J39" i="36"/>
  <c r="B39" i="36"/>
  <c r="X38" i="36"/>
  <c r="Z38" i="36" s="1"/>
  <c r="V38" i="36"/>
  <c r="N38" i="36"/>
  <c r="L38" i="36"/>
  <c r="B38" i="36"/>
  <c r="Z37" i="36"/>
  <c r="X37" i="36"/>
  <c r="L37" i="36"/>
  <c r="N37" i="36" s="1"/>
  <c r="B37" i="36"/>
  <c r="X36" i="36"/>
  <c r="Z36" i="36" s="1"/>
  <c r="N36" i="36"/>
  <c r="L36" i="36"/>
  <c r="B36" i="36"/>
  <c r="X35" i="36"/>
  <c r="Z35" i="36" s="1"/>
  <c r="V35" i="36"/>
  <c r="L35" i="36"/>
  <c r="N35" i="36" s="1"/>
  <c r="J35" i="36"/>
  <c r="B35" i="36"/>
  <c r="X34" i="36"/>
  <c r="V34" i="36"/>
  <c r="T34" i="36"/>
  <c r="Z34" i="36" s="1"/>
  <c r="P34" i="36"/>
  <c r="H34" i="36"/>
  <c r="D34" i="36"/>
  <c r="B34" i="36"/>
  <c r="T33" i="36"/>
  <c r="P33" i="36"/>
  <c r="X33" i="36" s="1"/>
  <c r="Z33" i="36" s="1"/>
  <c r="J33" i="36"/>
  <c r="H33" i="36"/>
  <c r="D33" i="36"/>
  <c r="L33" i="36" s="1"/>
  <c r="T31" i="36"/>
  <c r="Z29" i="36"/>
  <c r="X29" i="36"/>
  <c r="N29" i="36"/>
  <c r="L29" i="36"/>
  <c r="B29" i="36"/>
  <c r="Z28" i="36"/>
  <c r="X28" i="36"/>
  <c r="V28" i="36"/>
  <c r="N28" i="36"/>
  <c r="L28" i="36"/>
  <c r="J28" i="36"/>
  <c r="B28" i="36"/>
  <c r="X27" i="36"/>
  <c r="Z27" i="36" s="1"/>
  <c r="V27" i="36"/>
  <c r="L27" i="36"/>
  <c r="N27" i="36" s="1"/>
  <c r="J27" i="36"/>
  <c r="B27" i="36"/>
  <c r="Z26" i="36"/>
  <c r="X26" i="36"/>
  <c r="T26" i="36"/>
  <c r="P26" i="36"/>
  <c r="H26" i="36"/>
  <c r="D26" i="36"/>
  <c r="L26" i="36" s="1"/>
  <c r="Z24" i="36"/>
  <c r="X24" i="36"/>
  <c r="P24" i="36"/>
  <c r="N24" i="36"/>
  <c r="D24" i="36"/>
  <c r="L24" i="36" s="1"/>
  <c r="B24" i="36"/>
  <c r="Z23" i="36"/>
  <c r="P23" i="36"/>
  <c r="X23" i="36" s="1"/>
  <c r="N23" i="36"/>
  <c r="D23" i="36"/>
  <c r="L23" i="36" s="1"/>
  <c r="B23" i="36"/>
  <c r="Z22" i="36"/>
  <c r="P22" i="36"/>
  <c r="X22" i="36" s="1"/>
  <c r="N22" i="36"/>
  <c r="L22" i="36"/>
  <c r="D22" i="36"/>
  <c r="B22" i="36"/>
  <c r="Z21" i="36"/>
  <c r="X21" i="36"/>
  <c r="P21" i="36"/>
  <c r="N21" i="36"/>
  <c r="L21" i="36"/>
  <c r="D21" i="36"/>
  <c r="B21" i="36"/>
  <c r="Z20" i="36"/>
  <c r="X20" i="36"/>
  <c r="P20" i="36"/>
  <c r="N20" i="36"/>
  <c r="D20" i="36"/>
  <c r="L20" i="36" s="1"/>
  <c r="B20" i="36"/>
  <c r="P19" i="36"/>
  <c r="X19" i="36" s="1"/>
  <c r="Z19" i="36" s="1"/>
  <c r="D19" i="36"/>
  <c r="L19" i="36" s="1"/>
  <c r="N19" i="36" s="1"/>
  <c r="B19" i="36"/>
  <c r="Z18" i="36"/>
  <c r="P18" i="36"/>
  <c r="X18" i="36" s="1"/>
  <c r="N18" i="36"/>
  <c r="L18" i="36"/>
  <c r="D18" i="36"/>
  <c r="B18" i="36"/>
  <c r="Z17" i="36"/>
  <c r="X17" i="36"/>
  <c r="P17" i="36"/>
  <c r="N17" i="36"/>
  <c r="L17" i="36"/>
  <c r="D17" i="36"/>
  <c r="B17" i="36"/>
  <c r="Z16" i="36"/>
  <c r="X16" i="36"/>
  <c r="P16" i="36"/>
  <c r="N16" i="36"/>
  <c r="D16" i="36"/>
  <c r="L16" i="36" s="1"/>
  <c r="B16" i="36"/>
  <c r="Z15" i="36"/>
  <c r="P15" i="36"/>
  <c r="X15" i="36" s="1"/>
  <c r="N15" i="36"/>
  <c r="D15" i="36"/>
  <c r="L15" i="36" s="1"/>
  <c r="B15" i="36"/>
  <c r="Z14" i="36"/>
  <c r="P14" i="36"/>
  <c r="N14" i="36"/>
  <c r="L14" i="36"/>
  <c r="D14" i="36"/>
  <c r="B14" i="36"/>
  <c r="Z13" i="36"/>
  <c r="X13" i="36"/>
  <c r="P13" i="36"/>
  <c r="L13" i="36"/>
  <c r="N13" i="36" s="1"/>
  <c r="D13" i="36"/>
  <c r="B13" i="36"/>
  <c r="T12" i="36"/>
  <c r="V133" i="36" s="1"/>
  <c r="H12" i="36"/>
  <c r="J138" i="36" s="1"/>
  <c r="D4" i="36"/>
  <c r="X105" i="33"/>
  <c r="Z105" i="33" s="1"/>
  <c r="L105" i="33"/>
  <c r="N105" i="33" s="1"/>
  <c r="J105" i="33"/>
  <c r="X101" i="33"/>
  <c r="Z101" i="33" s="1"/>
  <c r="V101" i="33"/>
  <c r="P101" i="33"/>
  <c r="L101" i="33"/>
  <c r="N101" i="33" s="1"/>
  <c r="D101" i="33"/>
  <c r="B101" i="33"/>
  <c r="P100" i="33"/>
  <c r="X100" i="33" s="1"/>
  <c r="Z100" i="33" s="1"/>
  <c r="L100" i="33"/>
  <c r="N100" i="33" s="1"/>
  <c r="J100" i="33"/>
  <c r="D100" i="33"/>
  <c r="B100" i="33"/>
  <c r="P99" i="33"/>
  <c r="N99" i="33"/>
  <c r="L99" i="33"/>
  <c r="J99" i="33"/>
  <c r="D99" i="33"/>
  <c r="B99" i="33"/>
  <c r="Z98" i="33"/>
  <c r="X98" i="33"/>
  <c r="P98" i="33"/>
  <c r="N98" i="33"/>
  <c r="L98" i="33"/>
  <c r="D98" i="33"/>
  <c r="B98" i="33"/>
  <c r="Z97" i="33"/>
  <c r="X97" i="33"/>
  <c r="P97" i="33"/>
  <c r="N97" i="33"/>
  <c r="J97" i="33"/>
  <c r="D97" i="33"/>
  <c r="B97" i="33"/>
  <c r="Z96" i="33"/>
  <c r="P96" i="33"/>
  <c r="X96" i="33" s="1"/>
  <c r="N96" i="33"/>
  <c r="L96" i="33"/>
  <c r="J96" i="33"/>
  <c r="D96" i="33"/>
  <c r="B96" i="33"/>
  <c r="T95" i="33"/>
  <c r="J95" i="33"/>
  <c r="H95" i="33"/>
  <c r="Z93" i="33"/>
  <c r="X93" i="33"/>
  <c r="N93" i="33"/>
  <c r="L93" i="33"/>
  <c r="B93" i="33"/>
  <c r="T92" i="33"/>
  <c r="Z92" i="33" s="1"/>
  <c r="P92" i="33"/>
  <c r="N92" i="33"/>
  <c r="H92" i="33"/>
  <c r="D92" i="33"/>
  <c r="L92" i="33" s="1"/>
  <c r="B92" i="33"/>
  <c r="Z91" i="33"/>
  <c r="X91" i="33"/>
  <c r="N91" i="33"/>
  <c r="L91" i="33"/>
  <c r="J91" i="33"/>
  <c r="B91" i="33"/>
  <c r="X90" i="33"/>
  <c r="Z90" i="33" s="1"/>
  <c r="L90" i="33"/>
  <c r="N90" i="33" s="1"/>
  <c r="B90" i="33"/>
  <c r="Z89" i="33"/>
  <c r="T89" i="33"/>
  <c r="P89" i="33"/>
  <c r="X89" i="33" s="1"/>
  <c r="L89" i="33"/>
  <c r="J89" i="33"/>
  <c r="H89" i="33"/>
  <c r="D89" i="33"/>
  <c r="B89" i="33"/>
  <c r="Z88" i="33"/>
  <c r="X88" i="33"/>
  <c r="N88" i="33"/>
  <c r="L88" i="33"/>
  <c r="J88" i="33"/>
  <c r="B88" i="33"/>
  <c r="Z87" i="33"/>
  <c r="X87" i="33"/>
  <c r="V87" i="33"/>
  <c r="N87" i="33"/>
  <c r="L87" i="33"/>
  <c r="J87" i="33"/>
  <c r="B87" i="33"/>
  <c r="Z86" i="33"/>
  <c r="X86" i="33"/>
  <c r="L86" i="33"/>
  <c r="N86" i="33" s="1"/>
  <c r="B86" i="33"/>
  <c r="Z85" i="33"/>
  <c r="X85" i="33"/>
  <c r="N85" i="33"/>
  <c r="L85" i="33"/>
  <c r="B85" i="33"/>
  <c r="Z84" i="33"/>
  <c r="X84" i="33"/>
  <c r="N84" i="33"/>
  <c r="L84" i="33"/>
  <c r="J84" i="33"/>
  <c r="B84" i="33"/>
  <c r="V83" i="33"/>
  <c r="T83" i="33"/>
  <c r="P83" i="33"/>
  <c r="X83" i="33" s="1"/>
  <c r="H83" i="33"/>
  <c r="D83" i="33"/>
  <c r="B83" i="33"/>
  <c r="Z82" i="33"/>
  <c r="X82" i="33"/>
  <c r="N82" i="33"/>
  <c r="L82" i="33"/>
  <c r="J82" i="33"/>
  <c r="B82" i="33"/>
  <c r="Z81" i="33"/>
  <c r="X81" i="33"/>
  <c r="N81" i="33"/>
  <c r="L81" i="33"/>
  <c r="B81" i="33"/>
  <c r="T80" i="33"/>
  <c r="P80" i="33"/>
  <c r="L80" i="33"/>
  <c r="H80" i="33"/>
  <c r="D80" i="33"/>
  <c r="B80" i="33"/>
  <c r="X79" i="33"/>
  <c r="Z79" i="33" s="1"/>
  <c r="L79" i="33"/>
  <c r="N79" i="33" s="1"/>
  <c r="J79" i="33"/>
  <c r="B79" i="33"/>
  <c r="X78" i="33"/>
  <c r="Z78" i="33" s="1"/>
  <c r="V78" i="33"/>
  <c r="T78" i="33"/>
  <c r="P78" i="33"/>
  <c r="H78" i="33"/>
  <c r="D78" i="33"/>
  <c r="L78" i="33" s="1"/>
  <c r="B78" i="33"/>
  <c r="Z77" i="33"/>
  <c r="X77" i="33"/>
  <c r="N77" i="33"/>
  <c r="L77" i="33"/>
  <c r="B77" i="33"/>
  <c r="T76" i="33"/>
  <c r="P76" i="33"/>
  <c r="H76" i="33"/>
  <c r="D76" i="33"/>
  <c r="L76" i="33" s="1"/>
  <c r="N76" i="33" s="1"/>
  <c r="B76" i="33"/>
  <c r="X75" i="33"/>
  <c r="Z75" i="33" s="1"/>
  <c r="L75" i="33"/>
  <c r="N75" i="33" s="1"/>
  <c r="J75" i="33"/>
  <c r="B75" i="33"/>
  <c r="T74" i="33"/>
  <c r="P74" i="33"/>
  <c r="X74" i="33" s="1"/>
  <c r="J74" i="33"/>
  <c r="H74" i="33"/>
  <c r="D74" i="33"/>
  <c r="B74" i="33"/>
  <c r="Z73" i="33"/>
  <c r="X73" i="33"/>
  <c r="N73" i="33"/>
  <c r="L73" i="33"/>
  <c r="B73" i="33"/>
  <c r="X72" i="33"/>
  <c r="Z72" i="33" s="1"/>
  <c r="L72" i="33"/>
  <c r="N72" i="33" s="1"/>
  <c r="B72" i="33"/>
  <c r="X71" i="33"/>
  <c r="T71" i="33"/>
  <c r="Z71" i="33" s="1"/>
  <c r="P71" i="33"/>
  <c r="N71" i="33"/>
  <c r="H71" i="33"/>
  <c r="D71" i="33"/>
  <c r="L71" i="33" s="1"/>
  <c r="B71" i="33"/>
  <c r="Z70" i="33"/>
  <c r="X70" i="33"/>
  <c r="L70" i="33"/>
  <c r="N70" i="33" s="1"/>
  <c r="B70" i="33"/>
  <c r="X69" i="33"/>
  <c r="Z69" i="33" s="1"/>
  <c r="T69" i="33"/>
  <c r="P69" i="33"/>
  <c r="J69" i="33"/>
  <c r="H69" i="33"/>
  <c r="D69" i="33"/>
  <c r="L69" i="33" s="1"/>
  <c r="N69" i="33" s="1"/>
  <c r="B69" i="33"/>
  <c r="Z68" i="33"/>
  <c r="X68" i="33"/>
  <c r="L68" i="33"/>
  <c r="N68" i="33" s="1"/>
  <c r="B68" i="33"/>
  <c r="T67" i="33"/>
  <c r="P67" i="33"/>
  <c r="X67" i="33" s="1"/>
  <c r="N67" i="33"/>
  <c r="H67" i="33"/>
  <c r="D67" i="33"/>
  <c r="L67" i="33" s="1"/>
  <c r="B67" i="33"/>
  <c r="X66" i="33"/>
  <c r="Z66" i="33" s="1"/>
  <c r="V66" i="33"/>
  <c r="L66" i="33"/>
  <c r="N66" i="33" s="1"/>
  <c r="B66" i="33"/>
  <c r="T65" i="33"/>
  <c r="P65" i="33"/>
  <c r="X65" i="33" s="1"/>
  <c r="Z65" i="33" s="1"/>
  <c r="L65" i="33"/>
  <c r="J65" i="33"/>
  <c r="H65" i="33"/>
  <c r="N65" i="33" s="1"/>
  <c r="D65" i="33"/>
  <c r="B65" i="33"/>
  <c r="Z64" i="33"/>
  <c r="X64" i="33"/>
  <c r="N64" i="33"/>
  <c r="L64" i="33"/>
  <c r="J64" i="33"/>
  <c r="B64" i="33"/>
  <c r="T63" i="33"/>
  <c r="Z63" i="33" s="1"/>
  <c r="P63" i="33"/>
  <c r="X63" i="33" s="1"/>
  <c r="N63" i="33"/>
  <c r="H63" i="33"/>
  <c r="L63" i="33" s="1"/>
  <c r="D63" i="33"/>
  <c r="B63" i="33"/>
  <c r="X62" i="33"/>
  <c r="Z62" i="33" s="1"/>
  <c r="L62" i="33"/>
  <c r="N62" i="33" s="1"/>
  <c r="J62" i="33"/>
  <c r="B62" i="33"/>
  <c r="Z61" i="33"/>
  <c r="T61" i="33"/>
  <c r="P61" i="33"/>
  <c r="X61" i="33" s="1"/>
  <c r="J61" i="33"/>
  <c r="H61" i="33"/>
  <c r="D61" i="33"/>
  <c r="L61" i="33" s="1"/>
  <c r="B61" i="33"/>
  <c r="Z60" i="33"/>
  <c r="X60" i="33"/>
  <c r="N60" i="33"/>
  <c r="L60" i="33"/>
  <c r="B60" i="33"/>
  <c r="Z59" i="33"/>
  <c r="X59" i="33"/>
  <c r="N59" i="33"/>
  <c r="L59" i="33"/>
  <c r="J59" i="33"/>
  <c r="B59" i="33"/>
  <c r="X58" i="33"/>
  <c r="Z58" i="33" s="1"/>
  <c r="L58" i="33"/>
  <c r="N58" i="33" s="1"/>
  <c r="B58" i="33"/>
  <c r="Z57" i="33"/>
  <c r="X57" i="33"/>
  <c r="N57" i="33"/>
  <c r="L57" i="33"/>
  <c r="B57" i="33"/>
  <c r="Z56" i="33"/>
  <c r="X56" i="33"/>
  <c r="N56" i="33"/>
  <c r="L56" i="33"/>
  <c r="B56" i="33"/>
  <c r="Z55" i="33"/>
  <c r="X55" i="33"/>
  <c r="N55" i="33"/>
  <c r="L55" i="33"/>
  <c r="J55" i="33"/>
  <c r="B55" i="33"/>
  <c r="X54" i="33"/>
  <c r="Z54" i="33" s="1"/>
  <c r="L54" i="33"/>
  <c r="N54" i="33" s="1"/>
  <c r="B54" i="33"/>
  <c r="Z53" i="33"/>
  <c r="X53" i="33"/>
  <c r="N53" i="33"/>
  <c r="L53" i="33"/>
  <c r="B53" i="33"/>
  <c r="X52" i="33"/>
  <c r="Z52" i="33" s="1"/>
  <c r="L52" i="33"/>
  <c r="N52" i="33" s="1"/>
  <c r="B52" i="33"/>
  <c r="X51" i="33"/>
  <c r="Z51" i="33" s="1"/>
  <c r="V51" i="33"/>
  <c r="L51" i="33"/>
  <c r="N51" i="33" s="1"/>
  <c r="J51" i="33"/>
  <c r="B51" i="33"/>
  <c r="T50" i="33"/>
  <c r="P50" i="33"/>
  <c r="X50" i="33" s="1"/>
  <c r="Z50" i="33" s="1"/>
  <c r="H50" i="33"/>
  <c r="D50" i="33"/>
  <c r="L50" i="33" s="1"/>
  <c r="B50" i="33"/>
  <c r="Z49" i="33"/>
  <c r="X49" i="33"/>
  <c r="N49" i="33"/>
  <c r="L49" i="33"/>
  <c r="B49" i="33"/>
  <c r="X48" i="33"/>
  <c r="Z48" i="33" s="1"/>
  <c r="N48" i="33"/>
  <c r="L48" i="33"/>
  <c r="J48" i="33"/>
  <c r="B48" i="33"/>
  <c r="X47" i="33"/>
  <c r="Z47" i="33" s="1"/>
  <c r="N47" i="33"/>
  <c r="L47" i="33"/>
  <c r="J47" i="33"/>
  <c r="B47" i="33"/>
  <c r="Z46" i="33"/>
  <c r="X46" i="33"/>
  <c r="N46" i="33"/>
  <c r="L46" i="33"/>
  <c r="B46" i="33"/>
  <c r="X45" i="33"/>
  <c r="Z45" i="33" s="1"/>
  <c r="N45" i="33"/>
  <c r="L45" i="33"/>
  <c r="B45" i="33"/>
  <c r="X44" i="33"/>
  <c r="Z44" i="33" s="1"/>
  <c r="N44" i="33"/>
  <c r="L44" i="33"/>
  <c r="J44" i="33"/>
  <c r="B44" i="33"/>
  <c r="X43" i="33"/>
  <c r="Z43" i="33" s="1"/>
  <c r="N43" i="33"/>
  <c r="L43" i="33"/>
  <c r="J43" i="33"/>
  <c r="B43" i="33"/>
  <c r="X42" i="33"/>
  <c r="Z42" i="33" s="1"/>
  <c r="L42" i="33"/>
  <c r="N42" i="33" s="1"/>
  <c r="B42" i="33"/>
  <c r="X41" i="33"/>
  <c r="Z41" i="33" s="1"/>
  <c r="N41" i="33"/>
  <c r="L41" i="33"/>
  <c r="B41" i="33"/>
  <c r="T40" i="33"/>
  <c r="P40" i="33"/>
  <c r="N40" i="33"/>
  <c r="L40" i="33"/>
  <c r="H40" i="33"/>
  <c r="D40" i="33"/>
  <c r="B40" i="33"/>
  <c r="T39" i="33"/>
  <c r="P39" i="33"/>
  <c r="H39" i="33"/>
  <c r="D39" i="33"/>
  <c r="Z35" i="33"/>
  <c r="X35" i="33"/>
  <c r="N35" i="33"/>
  <c r="L35" i="33"/>
  <c r="J35" i="33"/>
  <c r="B35" i="33"/>
  <c r="Z34" i="33"/>
  <c r="X34" i="33"/>
  <c r="N34" i="33"/>
  <c r="L34" i="33"/>
  <c r="J34" i="33"/>
  <c r="B34" i="33"/>
  <c r="Z33" i="33"/>
  <c r="X33" i="33"/>
  <c r="N33" i="33"/>
  <c r="L33" i="33"/>
  <c r="B33" i="33"/>
  <c r="Z32" i="33"/>
  <c r="X32" i="33"/>
  <c r="V32" i="33"/>
  <c r="N32" i="33"/>
  <c r="L32" i="33"/>
  <c r="J32" i="33"/>
  <c r="B32" i="33"/>
  <c r="Z31" i="33"/>
  <c r="X31" i="33"/>
  <c r="N31" i="33"/>
  <c r="L31" i="33"/>
  <c r="J31" i="33"/>
  <c r="B31" i="33"/>
  <c r="Z30" i="33"/>
  <c r="X30" i="33"/>
  <c r="T30" i="33"/>
  <c r="P30" i="33"/>
  <c r="H30" i="33"/>
  <c r="N30" i="33" s="1"/>
  <c r="D30" i="33"/>
  <c r="L30" i="33" s="1"/>
  <c r="Z28" i="33"/>
  <c r="X28" i="33"/>
  <c r="P28" i="33"/>
  <c r="N28" i="33"/>
  <c r="D28" i="33"/>
  <c r="L28" i="33" s="1"/>
  <c r="B28" i="33"/>
  <c r="Z27" i="33"/>
  <c r="X27" i="33"/>
  <c r="P27" i="33"/>
  <c r="N27" i="33"/>
  <c r="D27" i="33"/>
  <c r="L27" i="33" s="1"/>
  <c r="B27" i="33"/>
  <c r="Z26" i="33"/>
  <c r="X26" i="33"/>
  <c r="P26" i="33"/>
  <c r="N26" i="33"/>
  <c r="L26" i="33"/>
  <c r="D26" i="33"/>
  <c r="B26" i="33"/>
  <c r="Z25" i="33"/>
  <c r="P25" i="33"/>
  <c r="X25" i="33" s="1"/>
  <c r="N25" i="33"/>
  <c r="L25" i="33"/>
  <c r="D25" i="33"/>
  <c r="B25" i="33"/>
  <c r="Z24" i="33"/>
  <c r="P24" i="33"/>
  <c r="X24" i="33" s="1"/>
  <c r="N24" i="33"/>
  <c r="D24" i="33"/>
  <c r="L24" i="33" s="1"/>
  <c r="B24" i="33"/>
  <c r="Z23" i="33"/>
  <c r="P23" i="33"/>
  <c r="X23" i="33" s="1"/>
  <c r="N23" i="33"/>
  <c r="L23" i="33"/>
  <c r="D23" i="33"/>
  <c r="B23" i="33"/>
  <c r="Z22" i="33"/>
  <c r="P22" i="33"/>
  <c r="X22" i="33" s="1"/>
  <c r="N22" i="33"/>
  <c r="L22" i="33"/>
  <c r="D22" i="33"/>
  <c r="B22" i="33"/>
  <c r="Z21" i="33"/>
  <c r="X21" i="33"/>
  <c r="P21" i="33"/>
  <c r="N21" i="33"/>
  <c r="L21" i="33"/>
  <c r="D21" i="33"/>
  <c r="B21" i="33"/>
  <c r="X20" i="33"/>
  <c r="Z20" i="33" s="1"/>
  <c r="P20" i="33"/>
  <c r="L20" i="33"/>
  <c r="N20" i="33" s="1"/>
  <c r="D20" i="33"/>
  <c r="B20" i="33"/>
  <c r="Z19" i="33"/>
  <c r="P19" i="33"/>
  <c r="X19" i="33" s="1"/>
  <c r="N19" i="33"/>
  <c r="D19" i="33"/>
  <c r="L19" i="33" s="1"/>
  <c r="B19" i="33"/>
  <c r="Z18" i="33"/>
  <c r="P18" i="33"/>
  <c r="X18" i="33" s="1"/>
  <c r="N18" i="33"/>
  <c r="L18" i="33"/>
  <c r="D18" i="33"/>
  <c r="B18" i="33"/>
  <c r="Z17" i="33"/>
  <c r="X17" i="33"/>
  <c r="P17" i="33"/>
  <c r="N17" i="33"/>
  <c r="L17" i="33"/>
  <c r="D17" i="33"/>
  <c r="B17" i="33"/>
  <c r="Z16" i="33"/>
  <c r="P16" i="33"/>
  <c r="X16" i="33" s="1"/>
  <c r="N16" i="33"/>
  <c r="D16" i="33"/>
  <c r="L16" i="33" s="1"/>
  <c r="B16" i="33"/>
  <c r="Z15" i="33"/>
  <c r="X15" i="33"/>
  <c r="P15" i="33"/>
  <c r="N15" i="33"/>
  <c r="D15" i="33"/>
  <c r="L15" i="33" s="1"/>
  <c r="B15" i="33"/>
  <c r="Z14" i="33"/>
  <c r="X14" i="33"/>
  <c r="P14" i="33"/>
  <c r="N14" i="33"/>
  <c r="L14" i="33"/>
  <c r="D14" i="33"/>
  <c r="B14" i="33"/>
  <c r="Z13" i="33"/>
  <c r="P13" i="33"/>
  <c r="X13" i="33" s="1"/>
  <c r="D13" i="33"/>
  <c r="B13" i="33"/>
  <c r="T12" i="33"/>
  <c r="V91" i="33" s="1"/>
  <c r="H12" i="33"/>
  <c r="J101" i="33" s="1"/>
  <c r="D4" i="33"/>
  <c r="X151" i="30"/>
  <c r="Z151" i="30" s="1"/>
  <c r="L151" i="30"/>
  <c r="N151" i="30" s="1"/>
  <c r="X147" i="30"/>
  <c r="Z147" i="30" s="1"/>
  <c r="P147" i="30"/>
  <c r="J147" i="30"/>
  <c r="D147" i="30"/>
  <c r="L147" i="30" s="1"/>
  <c r="N147" i="30" s="1"/>
  <c r="B147" i="30"/>
  <c r="P146" i="30"/>
  <c r="X146" i="30" s="1"/>
  <c r="Z146" i="30" s="1"/>
  <c r="L146" i="30"/>
  <c r="N146" i="30" s="1"/>
  <c r="D146" i="30"/>
  <c r="B146" i="30"/>
  <c r="P145" i="30"/>
  <c r="X145" i="30" s="1"/>
  <c r="Z145" i="30" s="1"/>
  <c r="D145" i="30"/>
  <c r="B145" i="30"/>
  <c r="T144" i="30"/>
  <c r="P144" i="30"/>
  <c r="X144" i="30" s="1"/>
  <c r="Z144" i="30" s="1"/>
  <c r="H144" i="30"/>
  <c r="Z142" i="30"/>
  <c r="X142" i="30"/>
  <c r="L142" i="30"/>
  <c r="N142" i="30" s="1"/>
  <c r="B142" i="30"/>
  <c r="T141" i="30"/>
  <c r="P141" i="30"/>
  <c r="H141" i="30"/>
  <c r="N141" i="30" s="1"/>
  <c r="D141" i="30"/>
  <c r="L141" i="30" s="1"/>
  <c r="B141" i="30"/>
  <c r="Z140" i="30"/>
  <c r="X140" i="30"/>
  <c r="V140" i="30"/>
  <c r="L140" i="30"/>
  <c r="N140" i="30" s="1"/>
  <c r="B140" i="30"/>
  <c r="T139" i="30"/>
  <c r="P139" i="30"/>
  <c r="H139" i="30"/>
  <c r="D139" i="30"/>
  <c r="L139" i="30" s="1"/>
  <c r="B139" i="30"/>
  <c r="X138" i="30"/>
  <c r="Z138" i="30" s="1"/>
  <c r="V138" i="30"/>
  <c r="N138" i="30"/>
  <c r="L138" i="30"/>
  <c r="B138" i="30"/>
  <c r="T137" i="30"/>
  <c r="P137" i="30"/>
  <c r="X137" i="30" s="1"/>
  <c r="Z137" i="30" s="1"/>
  <c r="N137" i="30"/>
  <c r="L137" i="30"/>
  <c r="H137" i="30"/>
  <c r="D137" i="30"/>
  <c r="B137" i="30"/>
  <c r="Z136" i="30"/>
  <c r="X136" i="30"/>
  <c r="N136" i="30"/>
  <c r="L136" i="30"/>
  <c r="J136" i="30"/>
  <c r="B136" i="30"/>
  <c r="X135" i="30"/>
  <c r="Z135" i="30" s="1"/>
  <c r="V135" i="30"/>
  <c r="L135" i="30"/>
  <c r="N135" i="30" s="1"/>
  <c r="B135" i="30"/>
  <c r="T134" i="30"/>
  <c r="P134" i="30"/>
  <c r="X134" i="30" s="1"/>
  <c r="Z134" i="30" s="1"/>
  <c r="H134" i="30"/>
  <c r="D134" i="30"/>
  <c r="L134" i="30" s="1"/>
  <c r="B134" i="30"/>
  <c r="Z133" i="30"/>
  <c r="X133" i="30"/>
  <c r="N133" i="30"/>
  <c r="L133" i="30"/>
  <c r="B133" i="30"/>
  <c r="Z132" i="30"/>
  <c r="X132" i="30"/>
  <c r="V132" i="30"/>
  <c r="N132" i="30"/>
  <c r="L132" i="30"/>
  <c r="B132" i="30"/>
  <c r="X131" i="30"/>
  <c r="Z131" i="30" s="1"/>
  <c r="L131" i="30"/>
  <c r="N131" i="30" s="1"/>
  <c r="B131" i="30"/>
  <c r="X130" i="30"/>
  <c r="Z130" i="30" s="1"/>
  <c r="L130" i="30"/>
  <c r="N130" i="30" s="1"/>
  <c r="J130" i="30"/>
  <c r="B130" i="30"/>
  <c r="X129" i="30"/>
  <c r="Z129" i="30" s="1"/>
  <c r="N129" i="30"/>
  <c r="L129" i="30"/>
  <c r="B129" i="30"/>
  <c r="Z128" i="30"/>
  <c r="V128" i="30"/>
  <c r="T128" i="30"/>
  <c r="P128" i="30"/>
  <c r="X128" i="30" s="1"/>
  <c r="L128" i="30"/>
  <c r="N128" i="30" s="1"/>
  <c r="H128" i="30"/>
  <c r="D128" i="30"/>
  <c r="B128" i="30"/>
  <c r="X127" i="30"/>
  <c r="Z127" i="30" s="1"/>
  <c r="N127" i="30"/>
  <c r="L127" i="30"/>
  <c r="B127" i="30"/>
  <c r="X126" i="30"/>
  <c r="Z126" i="30" s="1"/>
  <c r="V126" i="30"/>
  <c r="N126" i="30"/>
  <c r="L126" i="30"/>
  <c r="B126" i="30"/>
  <c r="T125" i="30"/>
  <c r="P125" i="30"/>
  <c r="X125" i="30" s="1"/>
  <c r="Z125" i="30" s="1"/>
  <c r="L125" i="30"/>
  <c r="N125" i="30" s="1"/>
  <c r="H125" i="30"/>
  <c r="D125" i="30"/>
  <c r="B125" i="30"/>
  <c r="Z124" i="30"/>
  <c r="X124" i="30"/>
  <c r="N124" i="30"/>
  <c r="L124" i="30"/>
  <c r="J124" i="30"/>
  <c r="B124" i="30"/>
  <c r="X123" i="30"/>
  <c r="Z123" i="30" s="1"/>
  <c r="V123" i="30"/>
  <c r="L123" i="30"/>
  <c r="N123" i="30" s="1"/>
  <c r="B123" i="30"/>
  <c r="Z122" i="30"/>
  <c r="X122" i="30"/>
  <c r="L122" i="30"/>
  <c r="N122" i="30" s="1"/>
  <c r="B122" i="30"/>
  <c r="X121" i="30"/>
  <c r="T121" i="30"/>
  <c r="P121" i="30"/>
  <c r="L121" i="30"/>
  <c r="J121" i="30"/>
  <c r="H121" i="30"/>
  <c r="N121" i="30" s="1"/>
  <c r="D121" i="30"/>
  <c r="B121" i="30"/>
  <c r="Z120" i="30"/>
  <c r="X120" i="30"/>
  <c r="V120" i="30"/>
  <c r="N120" i="30"/>
  <c r="L120" i="30"/>
  <c r="B120" i="30"/>
  <c r="X119" i="30"/>
  <c r="Z119" i="30" s="1"/>
  <c r="L119" i="30"/>
  <c r="N119" i="30" s="1"/>
  <c r="B119" i="30"/>
  <c r="X118" i="30"/>
  <c r="Z118" i="30" s="1"/>
  <c r="L118" i="30"/>
  <c r="N118" i="30" s="1"/>
  <c r="J118" i="30"/>
  <c r="B118" i="30"/>
  <c r="T117" i="30"/>
  <c r="Z117" i="30" s="1"/>
  <c r="P117" i="30"/>
  <c r="X117" i="30" s="1"/>
  <c r="H117" i="30"/>
  <c r="D117" i="30"/>
  <c r="B117" i="30"/>
  <c r="X116" i="30"/>
  <c r="Z116" i="30" s="1"/>
  <c r="N116" i="30"/>
  <c r="L116" i="30"/>
  <c r="B116" i="30"/>
  <c r="X115" i="30"/>
  <c r="Z115" i="30" s="1"/>
  <c r="N115" i="30"/>
  <c r="L115" i="30"/>
  <c r="J115" i="30"/>
  <c r="B115" i="30"/>
  <c r="X114" i="30"/>
  <c r="V114" i="30"/>
  <c r="T114" i="30"/>
  <c r="Z114" i="30" s="1"/>
  <c r="P114" i="30"/>
  <c r="H114" i="30"/>
  <c r="D114" i="30"/>
  <c r="B114" i="30"/>
  <c r="X113" i="30"/>
  <c r="Z113" i="30" s="1"/>
  <c r="L113" i="30"/>
  <c r="N113" i="30" s="1"/>
  <c r="B113" i="30"/>
  <c r="T112" i="30"/>
  <c r="Z112" i="30" s="1"/>
  <c r="P112" i="30"/>
  <c r="X112" i="30" s="1"/>
  <c r="N112" i="30"/>
  <c r="H112" i="30"/>
  <c r="D112" i="30"/>
  <c r="L112" i="30" s="1"/>
  <c r="B112" i="30"/>
  <c r="X111" i="30"/>
  <c r="Z111" i="30" s="1"/>
  <c r="V111" i="30"/>
  <c r="N111" i="30"/>
  <c r="L111" i="30"/>
  <c r="B111" i="30"/>
  <c r="X110" i="30"/>
  <c r="Z110" i="30" s="1"/>
  <c r="T110" i="30"/>
  <c r="P110" i="30"/>
  <c r="N110" i="30"/>
  <c r="J110" i="30"/>
  <c r="H110" i="30"/>
  <c r="D110" i="30"/>
  <c r="L110" i="30" s="1"/>
  <c r="B110" i="30"/>
  <c r="Z109" i="30"/>
  <c r="X109" i="30"/>
  <c r="L109" i="30"/>
  <c r="N109" i="30" s="1"/>
  <c r="B109" i="30"/>
  <c r="T108" i="30"/>
  <c r="P108" i="30"/>
  <c r="L108" i="30"/>
  <c r="N108" i="30" s="1"/>
  <c r="J108" i="30"/>
  <c r="H108" i="30"/>
  <c r="D108" i="30"/>
  <c r="B108" i="30"/>
  <c r="Z107" i="30"/>
  <c r="X107" i="30"/>
  <c r="V107" i="30"/>
  <c r="L107" i="30"/>
  <c r="N107" i="30" s="1"/>
  <c r="B107" i="30"/>
  <c r="T106" i="30"/>
  <c r="P106" i="30"/>
  <c r="X106" i="30" s="1"/>
  <c r="Z106" i="30" s="1"/>
  <c r="H106" i="30"/>
  <c r="D106" i="30"/>
  <c r="L106" i="30" s="1"/>
  <c r="B106" i="30"/>
  <c r="X105" i="30"/>
  <c r="Z105" i="30" s="1"/>
  <c r="N105" i="30"/>
  <c r="L105" i="30"/>
  <c r="B105" i="30"/>
  <c r="V104" i="30"/>
  <c r="T104" i="30"/>
  <c r="P104" i="30"/>
  <c r="X104" i="30" s="1"/>
  <c r="Z104" i="30" s="1"/>
  <c r="L104" i="30"/>
  <c r="N104" i="30" s="1"/>
  <c r="H104" i="30"/>
  <c r="D104" i="30"/>
  <c r="B104" i="30"/>
  <c r="X103" i="30"/>
  <c r="Z103" i="30" s="1"/>
  <c r="N103" i="30"/>
  <c r="L103" i="30"/>
  <c r="J103" i="30"/>
  <c r="B103" i="30"/>
  <c r="X102" i="30"/>
  <c r="Z102" i="30" s="1"/>
  <c r="V102" i="30"/>
  <c r="T102" i="30"/>
  <c r="P102" i="30"/>
  <c r="H102" i="30"/>
  <c r="D102" i="30"/>
  <c r="B102" i="30"/>
  <c r="X101" i="30"/>
  <c r="Z101" i="30" s="1"/>
  <c r="L101" i="30"/>
  <c r="N101" i="30" s="1"/>
  <c r="B101" i="30"/>
  <c r="T100" i="30"/>
  <c r="P100" i="30"/>
  <c r="X100" i="30" s="1"/>
  <c r="H100" i="30"/>
  <c r="D100" i="30"/>
  <c r="L100" i="30" s="1"/>
  <c r="N100" i="30" s="1"/>
  <c r="B100" i="30"/>
  <c r="X99" i="30"/>
  <c r="Z99" i="30" s="1"/>
  <c r="V99" i="30"/>
  <c r="L99" i="30"/>
  <c r="N99" i="30" s="1"/>
  <c r="B99" i="30"/>
  <c r="X98" i="30"/>
  <c r="Z98" i="30" s="1"/>
  <c r="T98" i="30"/>
  <c r="P98" i="30"/>
  <c r="J98" i="30"/>
  <c r="H98" i="30"/>
  <c r="D98" i="30"/>
  <c r="L98" i="30" s="1"/>
  <c r="N98" i="30" s="1"/>
  <c r="B98" i="30"/>
  <c r="Z97" i="30"/>
  <c r="X97" i="30"/>
  <c r="N97" i="30"/>
  <c r="L97" i="30"/>
  <c r="B97" i="30"/>
  <c r="X96" i="30"/>
  <c r="Z96" i="30" s="1"/>
  <c r="N96" i="30"/>
  <c r="L96" i="30"/>
  <c r="B96" i="30"/>
  <c r="X95" i="30"/>
  <c r="Z95" i="30" s="1"/>
  <c r="T95" i="30"/>
  <c r="P95" i="30"/>
  <c r="H95" i="30"/>
  <c r="D95" i="30"/>
  <c r="L95" i="30" s="1"/>
  <c r="N95" i="30" s="1"/>
  <c r="B95" i="30"/>
  <c r="Z94" i="30"/>
  <c r="X94" i="30"/>
  <c r="L94" i="30"/>
  <c r="N94" i="30" s="1"/>
  <c r="B94" i="30"/>
  <c r="T93" i="30"/>
  <c r="P93" i="30"/>
  <c r="J93" i="30"/>
  <c r="H93" i="30"/>
  <c r="D93" i="30"/>
  <c r="L93" i="30" s="1"/>
  <c r="N93" i="30" s="1"/>
  <c r="B93" i="30"/>
  <c r="Z92" i="30"/>
  <c r="X92" i="30"/>
  <c r="V92" i="30"/>
  <c r="L92" i="30"/>
  <c r="N92" i="30" s="1"/>
  <c r="B92" i="30"/>
  <c r="Z91" i="30"/>
  <c r="X91" i="30"/>
  <c r="V91" i="30"/>
  <c r="N91" i="30"/>
  <c r="L91" i="30"/>
  <c r="B91" i="30"/>
  <c r="X90" i="30"/>
  <c r="Z90" i="30" s="1"/>
  <c r="T90" i="30"/>
  <c r="P90" i="30"/>
  <c r="J90" i="30"/>
  <c r="H90" i="30"/>
  <c r="D90" i="30"/>
  <c r="L90" i="30" s="1"/>
  <c r="N90" i="30" s="1"/>
  <c r="B90" i="30"/>
  <c r="Z89" i="30"/>
  <c r="X89" i="30"/>
  <c r="L89" i="30"/>
  <c r="N89" i="30" s="1"/>
  <c r="B89" i="30"/>
  <c r="T88" i="30"/>
  <c r="P88" i="30"/>
  <c r="L88" i="30"/>
  <c r="N88" i="30" s="1"/>
  <c r="J88" i="30"/>
  <c r="H88" i="30"/>
  <c r="F88" i="30"/>
  <c r="D88" i="30"/>
  <c r="B88" i="30"/>
  <c r="Z87" i="30"/>
  <c r="X87" i="30"/>
  <c r="V87" i="30"/>
  <c r="N87" i="30"/>
  <c r="L87" i="30"/>
  <c r="J87" i="30"/>
  <c r="B87" i="30"/>
  <c r="Z86" i="30"/>
  <c r="X86" i="30"/>
  <c r="N86" i="30"/>
  <c r="L86" i="30"/>
  <c r="B86" i="30"/>
  <c r="X85" i="30"/>
  <c r="Z85" i="30" s="1"/>
  <c r="L85" i="30"/>
  <c r="N85" i="30" s="1"/>
  <c r="B85" i="30"/>
  <c r="Z84" i="30"/>
  <c r="X84" i="30"/>
  <c r="N84" i="30"/>
  <c r="L84" i="30"/>
  <c r="J84" i="30"/>
  <c r="B84" i="30"/>
  <c r="Z83" i="30"/>
  <c r="X83" i="30"/>
  <c r="V83" i="30"/>
  <c r="N83" i="30"/>
  <c r="L83" i="30"/>
  <c r="J83" i="30"/>
  <c r="B83" i="30"/>
  <c r="Z82" i="30"/>
  <c r="X82" i="30"/>
  <c r="N82" i="30"/>
  <c r="L82" i="30"/>
  <c r="B82" i="30"/>
  <c r="X81" i="30"/>
  <c r="Z81" i="30" s="1"/>
  <c r="L81" i="30"/>
  <c r="N81" i="30" s="1"/>
  <c r="B81" i="30"/>
  <c r="Z80" i="30"/>
  <c r="X80" i="30"/>
  <c r="N80" i="30"/>
  <c r="L80" i="30"/>
  <c r="J80" i="30"/>
  <c r="B80" i="30"/>
  <c r="Z79" i="30"/>
  <c r="X79" i="30"/>
  <c r="V79" i="30"/>
  <c r="L79" i="30"/>
  <c r="N79" i="30" s="1"/>
  <c r="J79" i="30"/>
  <c r="B79" i="30"/>
  <c r="Z78" i="30"/>
  <c r="X78" i="30"/>
  <c r="N78" i="30"/>
  <c r="L78" i="30"/>
  <c r="B78" i="30"/>
  <c r="X77" i="30"/>
  <c r="T77" i="30"/>
  <c r="P77" i="30"/>
  <c r="J77" i="30"/>
  <c r="H77" i="30"/>
  <c r="D77" i="30"/>
  <c r="L77" i="30" s="1"/>
  <c r="N77" i="30" s="1"/>
  <c r="B77" i="30"/>
  <c r="Z76" i="30"/>
  <c r="X76" i="30"/>
  <c r="V76" i="30"/>
  <c r="N76" i="30"/>
  <c r="L76" i="30"/>
  <c r="B76" i="30"/>
  <c r="X75" i="30"/>
  <c r="Z75" i="30" s="1"/>
  <c r="V75" i="30"/>
  <c r="L75" i="30"/>
  <c r="N75" i="30" s="1"/>
  <c r="B75" i="30"/>
  <c r="X74" i="30"/>
  <c r="Z74" i="30" s="1"/>
  <c r="L74" i="30"/>
  <c r="N74" i="30" s="1"/>
  <c r="J74" i="30"/>
  <c r="B74" i="30"/>
  <c r="Z73" i="30"/>
  <c r="X73" i="30"/>
  <c r="N73" i="30"/>
  <c r="L73" i="30"/>
  <c r="B73" i="30"/>
  <c r="Z72" i="30"/>
  <c r="X72" i="30"/>
  <c r="V72" i="30"/>
  <c r="L72" i="30"/>
  <c r="N72" i="30" s="1"/>
  <c r="B72" i="30"/>
  <c r="X71" i="30"/>
  <c r="Z71" i="30" s="1"/>
  <c r="V71" i="30"/>
  <c r="L71" i="30"/>
  <c r="N71" i="30" s="1"/>
  <c r="B71" i="30"/>
  <c r="X70" i="30"/>
  <c r="Z70" i="30" s="1"/>
  <c r="L70" i="30"/>
  <c r="N70" i="30" s="1"/>
  <c r="J70" i="30"/>
  <c r="B70" i="30"/>
  <c r="X69" i="30"/>
  <c r="Z69" i="30" s="1"/>
  <c r="N69" i="30"/>
  <c r="L69" i="30"/>
  <c r="B69" i="30"/>
  <c r="Z68" i="30"/>
  <c r="X68" i="30"/>
  <c r="V68" i="30"/>
  <c r="L68" i="30"/>
  <c r="N68" i="30" s="1"/>
  <c r="B68" i="30"/>
  <c r="T67" i="30"/>
  <c r="P67" i="30"/>
  <c r="H67" i="30"/>
  <c r="N67" i="30" s="1"/>
  <c r="D67" i="30"/>
  <c r="L67" i="30" s="1"/>
  <c r="B67" i="30"/>
  <c r="X66" i="30"/>
  <c r="Z66" i="30" s="1"/>
  <c r="V66" i="30"/>
  <c r="T66" i="30"/>
  <c r="P66" i="30"/>
  <c r="H66" i="30"/>
  <c r="H149" i="30" s="1"/>
  <c r="D66" i="30"/>
  <c r="H64" i="30"/>
  <c r="Z62" i="30"/>
  <c r="X62" i="30"/>
  <c r="V62" i="30"/>
  <c r="N62" i="30"/>
  <c r="L62" i="30"/>
  <c r="B62" i="30"/>
  <c r="Z61" i="30"/>
  <c r="X61" i="30"/>
  <c r="N61" i="30"/>
  <c r="L61" i="30"/>
  <c r="B61" i="30"/>
  <c r="Z60" i="30"/>
  <c r="X60" i="30"/>
  <c r="N60" i="30"/>
  <c r="L60" i="30"/>
  <c r="B60" i="30"/>
  <c r="Z59" i="30"/>
  <c r="X59" i="30"/>
  <c r="N59" i="30"/>
  <c r="L59" i="30"/>
  <c r="J59" i="30"/>
  <c r="B59" i="30"/>
  <c r="Z58" i="30"/>
  <c r="X58" i="30"/>
  <c r="V58" i="30"/>
  <c r="N58" i="30"/>
  <c r="L58" i="30"/>
  <c r="B58" i="30"/>
  <c r="Z57" i="30"/>
  <c r="X57" i="30"/>
  <c r="N57" i="30"/>
  <c r="L57" i="30"/>
  <c r="B57" i="30"/>
  <c r="Z56" i="30"/>
  <c r="X56" i="30"/>
  <c r="N56" i="30"/>
  <c r="L56" i="30"/>
  <c r="B56" i="30"/>
  <c r="Z55" i="30"/>
  <c r="X55" i="30"/>
  <c r="N55" i="30"/>
  <c r="L55" i="30"/>
  <c r="J55" i="30"/>
  <c r="B55" i="30"/>
  <c r="Z54" i="30"/>
  <c r="X54" i="30"/>
  <c r="V54" i="30"/>
  <c r="N54" i="30"/>
  <c r="L54" i="30"/>
  <c r="B54" i="30"/>
  <c r="Z53" i="30"/>
  <c r="X53" i="30"/>
  <c r="N53" i="30"/>
  <c r="L53" i="30"/>
  <c r="B53" i="30"/>
  <c r="Z52" i="30"/>
  <c r="X52" i="30"/>
  <c r="N52" i="30"/>
  <c r="L52" i="30"/>
  <c r="B52" i="30"/>
  <c r="Z51" i="30"/>
  <c r="X51" i="30"/>
  <c r="N51" i="30"/>
  <c r="L51" i="30"/>
  <c r="J51" i="30"/>
  <c r="B51" i="30"/>
  <c r="Z50" i="30"/>
  <c r="X50" i="30"/>
  <c r="V50" i="30"/>
  <c r="N50" i="30"/>
  <c r="L50" i="30"/>
  <c r="B50" i="30"/>
  <c r="Z49" i="30"/>
  <c r="X49" i="30"/>
  <c r="N49" i="30"/>
  <c r="L49" i="30"/>
  <c r="B49" i="30"/>
  <c r="Z48" i="30"/>
  <c r="X48" i="30"/>
  <c r="N48" i="30"/>
  <c r="L48" i="30"/>
  <c r="B48" i="30"/>
  <c r="Z47" i="30"/>
  <c r="X47" i="30"/>
  <c r="N47" i="30"/>
  <c r="L47" i="30"/>
  <c r="J47" i="30"/>
  <c r="B47" i="30"/>
  <c r="Z46" i="30"/>
  <c r="X46" i="30"/>
  <c r="V46" i="30"/>
  <c r="N46" i="30"/>
  <c r="L46" i="30"/>
  <c r="B46" i="30"/>
  <c r="Z45" i="30"/>
  <c r="X45" i="30"/>
  <c r="N45" i="30"/>
  <c r="L45" i="30"/>
  <c r="B45" i="30"/>
  <c r="Z44" i="30"/>
  <c r="X44" i="30"/>
  <c r="N44" i="30"/>
  <c r="L44" i="30"/>
  <c r="B44" i="30"/>
  <c r="Z43" i="30"/>
  <c r="X43" i="30"/>
  <c r="N43" i="30"/>
  <c r="L43" i="30"/>
  <c r="J43" i="30"/>
  <c r="B43" i="30"/>
  <c r="X42" i="30"/>
  <c r="Z42" i="30" s="1"/>
  <c r="V42" i="30"/>
  <c r="N42" i="30"/>
  <c r="L42" i="30"/>
  <c r="B42" i="30"/>
  <c r="T41" i="30"/>
  <c r="P41" i="30"/>
  <c r="X41" i="30" s="1"/>
  <c r="Z41" i="30" s="1"/>
  <c r="L41" i="30"/>
  <c r="N41" i="30" s="1"/>
  <c r="H41" i="30"/>
  <c r="D41" i="30"/>
  <c r="Z39" i="30"/>
  <c r="P39" i="30"/>
  <c r="X39" i="30" s="1"/>
  <c r="N39" i="30"/>
  <c r="D39" i="30"/>
  <c r="L39" i="30" s="1"/>
  <c r="B39" i="30"/>
  <c r="Z38" i="30"/>
  <c r="X38" i="30"/>
  <c r="P38" i="30"/>
  <c r="N38" i="30"/>
  <c r="D38" i="30"/>
  <c r="L38" i="30" s="1"/>
  <c r="B38" i="30"/>
  <c r="Z37" i="30"/>
  <c r="P37" i="30"/>
  <c r="X37" i="30" s="1"/>
  <c r="N37" i="30"/>
  <c r="D37" i="30"/>
  <c r="L37" i="30" s="1"/>
  <c r="B37" i="30"/>
  <c r="Z36" i="30"/>
  <c r="X36" i="30"/>
  <c r="P36" i="30"/>
  <c r="N36" i="30"/>
  <c r="D36" i="30"/>
  <c r="L36" i="30" s="1"/>
  <c r="B36" i="30"/>
  <c r="Z35" i="30"/>
  <c r="X35" i="30"/>
  <c r="P35" i="30"/>
  <c r="N35" i="30"/>
  <c r="L35" i="30"/>
  <c r="D35" i="30"/>
  <c r="B35" i="30"/>
  <c r="Z34" i="30"/>
  <c r="X34" i="30"/>
  <c r="P34" i="30"/>
  <c r="N34" i="30"/>
  <c r="D34" i="30"/>
  <c r="L34" i="30" s="1"/>
  <c r="B34" i="30"/>
  <c r="Z33" i="30"/>
  <c r="X33" i="30"/>
  <c r="P33" i="30"/>
  <c r="N33" i="30"/>
  <c r="L33" i="30"/>
  <c r="D33" i="30"/>
  <c r="B33" i="30"/>
  <c r="Z32" i="30"/>
  <c r="P32" i="30"/>
  <c r="X32" i="30" s="1"/>
  <c r="N32" i="30"/>
  <c r="L32" i="30"/>
  <c r="D32" i="30"/>
  <c r="B32" i="30"/>
  <c r="Z31" i="30"/>
  <c r="P31" i="30"/>
  <c r="X31" i="30" s="1"/>
  <c r="N31" i="30"/>
  <c r="L31" i="30"/>
  <c r="D31" i="30"/>
  <c r="B31" i="30"/>
  <c r="Z30" i="30"/>
  <c r="X30" i="30"/>
  <c r="P30" i="30"/>
  <c r="N30" i="30"/>
  <c r="L30" i="30"/>
  <c r="D30" i="30"/>
  <c r="B30" i="30"/>
  <c r="Z29" i="30"/>
  <c r="P29" i="30"/>
  <c r="X29" i="30" s="1"/>
  <c r="N29" i="30"/>
  <c r="D29" i="30"/>
  <c r="L29" i="30" s="1"/>
  <c r="B29" i="30"/>
  <c r="Z28" i="30"/>
  <c r="P28" i="30"/>
  <c r="X28" i="30" s="1"/>
  <c r="N28" i="30"/>
  <c r="D28" i="30"/>
  <c r="L28" i="30" s="1"/>
  <c r="B28" i="30"/>
  <c r="Z27" i="30"/>
  <c r="P27" i="30"/>
  <c r="X27" i="30" s="1"/>
  <c r="N27" i="30"/>
  <c r="D27" i="30"/>
  <c r="L27" i="30" s="1"/>
  <c r="B27" i="30"/>
  <c r="Z26" i="30"/>
  <c r="X26" i="30"/>
  <c r="P26" i="30"/>
  <c r="N26" i="30"/>
  <c r="D26" i="30"/>
  <c r="L26" i="30" s="1"/>
  <c r="B26" i="30"/>
  <c r="Z25" i="30"/>
  <c r="P25" i="30"/>
  <c r="X25" i="30" s="1"/>
  <c r="N25" i="30"/>
  <c r="D25" i="30"/>
  <c r="L25" i="30" s="1"/>
  <c r="B25" i="30"/>
  <c r="Z24" i="30"/>
  <c r="X24" i="30"/>
  <c r="P24" i="30"/>
  <c r="N24" i="30"/>
  <c r="D24" i="30"/>
  <c r="L24" i="30" s="1"/>
  <c r="B24" i="30"/>
  <c r="Z23" i="30"/>
  <c r="X23" i="30"/>
  <c r="P23" i="30"/>
  <c r="N23" i="30"/>
  <c r="L23" i="30"/>
  <c r="D23" i="30"/>
  <c r="B23" i="30"/>
  <c r="Z22" i="30"/>
  <c r="X22" i="30"/>
  <c r="P22" i="30"/>
  <c r="N22" i="30"/>
  <c r="D22" i="30"/>
  <c r="L22" i="30" s="1"/>
  <c r="B22" i="30"/>
  <c r="Z21" i="30"/>
  <c r="X21" i="30"/>
  <c r="P21" i="30"/>
  <c r="N21" i="30"/>
  <c r="L21" i="30"/>
  <c r="D21" i="30"/>
  <c r="B21" i="30"/>
  <c r="Z20" i="30"/>
  <c r="P20" i="30"/>
  <c r="X20" i="30" s="1"/>
  <c r="N20" i="30"/>
  <c r="L20" i="30"/>
  <c r="D20" i="30"/>
  <c r="B20" i="30"/>
  <c r="Z19" i="30"/>
  <c r="P19" i="30"/>
  <c r="X19" i="30" s="1"/>
  <c r="N19" i="30"/>
  <c r="L19" i="30"/>
  <c r="D19" i="30"/>
  <c r="B19" i="30"/>
  <c r="Z18" i="30"/>
  <c r="X18" i="30"/>
  <c r="P18" i="30"/>
  <c r="N18" i="30"/>
  <c r="L18" i="30"/>
  <c r="D18" i="30"/>
  <c r="B18" i="30"/>
  <c r="Z17" i="30"/>
  <c r="P17" i="30"/>
  <c r="X17" i="30" s="1"/>
  <c r="N17" i="30"/>
  <c r="D17" i="30"/>
  <c r="L17" i="30" s="1"/>
  <c r="B17" i="30"/>
  <c r="Z16" i="30"/>
  <c r="P16" i="30"/>
  <c r="X16" i="30" s="1"/>
  <c r="N16" i="30"/>
  <c r="D16" i="30"/>
  <c r="L16" i="30" s="1"/>
  <c r="B16" i="30"/>
  <c r="Z15" i="30"/>
  <c r="P15" i="30"/>
  <c r="X15" i="30" s="1"/>
  <c r="N15" i="30"/>
  <c r="D15" i="30"/>
  <c r="L15" i="30" s="1"/>
  <c r="B15" i="30"/>
  <c r="Z14" i="30"/>
  <c r="X14" i="30"/>
  <c r="P14" i="30"/>
  <c r="N14" i="30"/>
  <c r="D14" i="30"/>
  <c r="L14" i="30" s="1"/>
  <c r="B14" i="30"/>
  <c r="P13" i="30"/>
  <c r="N13" i="30"/>
  <c r="D13" i="30"/>
  <c r="L13" i="30" s="1"/>
  <c r="B13" i="30"/>
  <c r="T12" i="30"/>
  <c r="V127" i="30" s="1"/>
  <c r="H12" i="30"/>
  <c r="J151" i="30" s="1"/>
  <c r="D12" i="30"/>
  <c r="D4" i="30"/>
  <c r="Z122" i="27"/>
  <c r="X122" i="27"/>
  <c r="N122" i="27"/>
  <c r="L122" i="27"/>
  <c r="Z118" i="27"/>
  <c r="X118" i="27"/>
  <c r="P118" i="27"/>
  <c r="L118" i="27"/>
  <c r="N118" i="27" s="1"/>
  <c r="D118" i="27"/>
  <c r="B118" i="27"/>
  <c r="Z117" i="27"/>
  <c r="X117" i="27"/>
  <c r="V117" i="27"/>
  <c r="P117" i="27"/>
  <c r="N117" i="27"/>
  <c r="D117" i="27"/>
  <c r="L117" i="27" s="1"/>
  <c r="B117" i="27"/>
  <c r="Z116" i="27"/>
  <c r="X116" i="27"/>
  <c r="P116" i="27"/>
  <c r="N116" i="27"/>
  <c r="L116" i="27"/>
  <c r="D116" i="27"/>
  <c r="B116" i="27"/>
  <c r="Z115" i="27"/>
  <c r="P115" i="27"/>
  <c r="X115" i="27" s="1"/>
  <c r="N115" i="27"/>
  <c r="L115" i="27"/>
  <c r="D115" i="27"/>
  <c r="B115" i="27"/>
  <c r="T114" i="27"/>
  <c r="P114" i="27"/>
  <c r="X114" i="27" s="1"/>
  <c r="Z114" i="27" s="1"/>
  <c r="H114" i="27"/>
  <c r="Z112" i="27"/>
  <c r="X112" i="27"/>
  <c r="N112" i="27"/>
  <c r="L112" i="27"/>
  <c r="B112" i="27"/>
  <c r="T111" i="27"/>
  <c r="P111" i="27"/>
  <c r="X111" i="27" s="1"/>
  <c r="N111" i="27"/>
  <c r="L111" i="27"/>
  <c r="J111" i="27"/>
  <c r="H111" i="27"/>
  <c r="D111" i="27"/>
  <c r="B111" i="27"/>
  <c r="X110" i="27"/>
  <c r="Z110" i="27" s="1"/>
  <c r="N110" i="27"/>
  <c r="L110" i="27"/>
  <c r="J110" i="27"/>
  <c r="B110" i="27"/>
  <c r="Z109" i="27"/>
  <c r="T109" i="27"/>
  <c r="P109" i="27"/>
  <c r="X109" i="27" s="1"/>
  <c r="H109" i="27"/>
  <c r="N109" i="27" s="1"/>
  <c r="D109" i="27"/>
  <c r="L109" i="27" s="1"/>
  <c r="B109" i="27"/>
  <c r="Z108" i="27"/>
  <c r="X108" i="27"/>
  <c r="N108" i="27"/>
  <c r="L108" i="27"/>
  <c r="B108" i="27"/>
  <c r="Z107" i="27"/>
  <c r="X107" i="27"/>
  <c r="L107" i="27"/>
  <c r="N107" i="27" s="1"/>
  <c r="B107" i="27"/>
  <c r="T106" i="27"/>
  <c r="P106" i="27"/>
  <c r="H106" i="27"/>
  <c r="D106" i="27"/>
  <c r="L106" i="27" s="1"/>
  <c r="N106" i="27" s="1"/>
  <c r="B106" i="27"/>
  <c r="X105" i="27"/>
  <c r="Z105" i="27" s="1"/>
  <c r="V105" i="27"/>
  <c r="N105" i="27"/>
  <c r="L105" i="27"/>
  <c r="B105" i="27"/>
  <c r="Z104" i="27"/>
  <c r="X104" i="27"/>
  <c r="N104" i="27"/>
  <c r="L104" i="27"/>
  <c r="B104" i="27"/>
  <c r="X103" i="27"/>
  <c r="Z103" i="27" s="1"/>
  <c r="L103" i="27"/>
  <c r="N103" i="27" s="1"/>
  <c r="B103" i="27"/>
  <c r="X102" i="27"/>
  <c r="T102" i="27"/>
  <c r="P102" i="27"/>
  <c r="H102" i="27"/>
  <c r="D102" i="27"/>
  <c r="L102" i="27" s="1"/>
  <c r="N102" i="27" s="1"/>
  <c r="B102" i="27"/>
  <c r="Z101" i="27"/>
  <c r="X101" i="27"/>
  <c r="L101" i="27"/>
  <c r="N101" i="27" s="1"/>
  <c r="B101" i="27"/>
  <c r="Z100" i="27"/>
  <c r="X100" i="27"/>
  <c r="T100" i="27"/>
  <c r="P100" i="27"/>
  <c r="H100" i="27"/>
  <c r="D100" i="27"/>
  <c r="L100" i="27" s="1"/>
  <c r="B100" i="27"/>
  <c r="Z99" i="27"/>
  <c r="X99" i="27"/>
  <c r="N99" i="27"/>
  <c r="L99" i="27"/>
  <c r="B99" i="27"/>
  <c r="Z98" i="27"/>
  <c r="X98" i="27"/>
  <c r="L98" i="27"/>
  <c r="N98" i="27" s="1"/>
  <c r="B98" i="27"/>
  <c r="T97" i="27"/>
  <c r="P97" i="27"/>
  <c r="X97" i="27" s="1"/>
  <c r="J97" i="27"/>
  <c r="H97" i="27"/>
  <c r="D97" i="27"/>
  <c r="L97" i="27" s="1"/>
  <c r="N97" i="27" s="1"/>
  <c r="B97" i="27"/>
  <c r="Z96" i="27"/>
  <c r="X96" i="27"/>
  <c r="L96" i="27"/>
  <c r="N96" i="27" s="1"/>
  <c r="B96" i="27"/>
  <c r="T95" i="27"/>
  <c r="P95" i="27"/>
  <c r="X95" i="27" s="1"/>
  <c r="L95" i="27"/>
  <c r="N95" i="27" s="1"/>
  <c r="J95" i="27"/>
  <c r="H95" i="27"/>
  <c r="D95" i="27"/>
  <c r="B95" i="27"/>
  <c r="Z94" i="27"/>
  <c r="X94" i="27"/>
  <c r="N94" i="27"/>
  <c r="L94" i="27"/>
  <c r="J94" i="27"/>
  <c r="B94" i="27"/>
  <c r="Z93" i="27"/>
  <c r="T93" i="27"/>
  <c r="P93" i="27"/>
  <c r="X93" i="27" s="1"/>
  <c r="H93" i="27"/>
  <c r="D93" i="27"/>
  <c r="B93" i="27"/>
  <c r="Z92" i="27"/>
  <c r="X92" i="27"/>
  <c r="N92" i="27"/>
  <c r="L92" i="27"/>
  <c r="B92" i="27"/>
  <c r="Z91" i="27"/>
  <c r="X91" i="27"/>
  <c r="L91" i="27"/>
  <c r="N91" i="27" s="1"/>
  <c r="B91" i="27"/>
  <c r="T90" i="27"/>
  <c r="P90" i="27"/>
  <c r="H90" i="27"/>
  <c r="D90" i="27"/>
  <c r="L90" i="27" s="1"/>
  <c r="N90" i="27" s="1"/>
  <c r="B90" i="27"/>
  <c r="X89" i="27"/>
  <c r="Z89" i="27" s="1"/>
  <c r="V89" i="27"/>
  <c r="N89" i="27"/>
  <c r="L89" i="27"/>
  <c r="B89" i="27"/>
  <c r="T88" i="27"/>
  <c r="P88" i="27"/>
  <c r="X88" i="27" s="1"/>
  <c r="Z88" i="27" s="1"/>
  <c r="L88" i="27"/>
  <c r="H88" i="27"/>
  <c r="D88" i="27"/>
  <c r="B88" i="27"/>
  <c r="Z87" i="27"/>
  <c r="X87" i="27"/>
  <c r="N87" i="27"/>
  <c r="L87" i="27"/>
  <c r="J87" i="27"/>
  <c r="B87" i="27"/>
  <c r="T86" i="27"/>
  <c r="P86" i="27"/>
  <c r="H86" i="27"/>
  <c r="D86" i="27"/>
  <c r="B86" i="27"/>
  <c r="Z85" i="27"/>
  <c r="X85" i="27"/>
  <c r="N85" i="27"/>
  <c r="L85" i="27"/>
  <c r="J85" i="27"/>
  <c r="B85" i="27"/>
  <c r="X84" i="27"/>
  <c r="Z84" i="27" s="1"/>
  <c r="N84" i="27"/>
  <c r="L84" i="27"/>
  <c r="B84" i="27"/>
  <c r="V83" i="27"/>
  <c r="T83" i="27"/>
  <c r="P83" i="27"/>
  <c r="X83" i="27" s="1"/>
  <c r="Z83" i="27" s="1"/>
  <c r="H83" i="27"/>
  <c r="D83" i="27"/>
  <c r="L83" i="27" s="1"/>
  <c r="B83" i="27"/>
  <c r="X82" i="27"/>
  <c r="Z82" i="27" s="1"/>
  <c r="L82" i="27"/>
  <c r="N82" i="27" s="1"/>
  <c r="J82" i="27"/>
  <c r="B82" i="27"/>
  <c r="X81" i="27"/>
  <c r="T81" i="27"/>
  <c r="Z81" i="27" s="1"/>
  <c r="P81" i="27"/>
  <c r="H81" i="27"/>
  <c r="D81" i="27"/>
  <c r="L81" i="27" s="1"/>
  <c r="B81" i="27"/>
  <c r="Z80" i="27"/>
  <c r="X80" i="27"/>
  <c r="N80" i="27"/>
  <c r="L80" i="27"/>
  <c r="B80" i="27"/>
  <c r="Z79" i="27"/>
  <c r="X79" i="27"/>
  <c r="N79" i="27"/>
  <c r="L79" i="27"/>
  <c r="J79" i="27"/>
  <c r="B79" i="27"/>
  <c r="X78" i="27"/>
  <c r="Z78" i="27" s="1"/>
  <c r="N78" i="27"/>
  <c r="L78" i="27"/>
  <c r="J78" i="27"/>
  <c r="B78" i="27"/>
  <c r="Z77" i="27"/>
  <c r="X77" i="27"/>
  <c r="N77" i="27"/>
  <c r="L77" i="27"/>
  <c r="B77" i="27"/>
  <c r="Z76" i="27"/>
  <c r="X76" i="27"/>
  <c r="N76" i="27"/>
  <c r="L76" i="27"/>
  <c r="B76" i="27"/>
  <c r="X75" i="27"/>
  <c r="Z75" i="27" s="1"/>
  <c r="N75" i="27"/>
  <c r="L75" i="27"/>
  <c r="J75" i="27"/>
  <c r="B75" i="27"/>
  <c r="X74" i="27"/>
  <c r="Z74" i="27" s="1"/>
  <c r="N74" i="27"/>
  <c r="L74" i="27"/>
  <c r="J74" i="27"/>
  <c r="B74" i="27"/>
  <c r="Z73" i="27"/>
  <c r="X73" i="27"/>
  <c r="N73" i="27"/>
  <c r="L73" i="27"/>
  <c r="B73" i="27"/>
  <c r="X72" i="27"/>
  <c r="Z72" i="27" s="1"/>
  <c r="L72" i="27"/>
  <c r="N72" i="27" s="1"/>
  <c r="B72" i="27"/>
  <c r="Z71" i="27"/>
  <c r="X71" i="27"/>
  <c r="N71" i="27"/>
  <c r="L71" i="27"/>
  <c r="J71" i="27"/>
  <c r="B71" i="27"/>
  <c r="T70" i="27"/>
  <c r="P70" i="27"/>
  <c r="X70" i="27" s="1"/>
  <c r="H70" i="27"/>
  <c r="L70" i="27" s="1"/>
  <c r="N70" i="27" s="1"/>
  <c r="D70" i="27"/>
  <c r="B70" i="27"/>
  <c r="X69" i="27"/>
  <c r="Z69" i="27" s="1"/>
  <c r="L69" i="27"/>
  <c r="N69" i="27" s="1"/>
  <c r="J69" i="27"/>
  <c r="B69" i="27"/>
  <c r="X68" i="27"/>
  <c r="Z68" i="27" s="1"/>
  <c r="N68" i="27"/>
  <c r="L68" i="27"/>
  <c r="B68" i="27"/>
  <c r="Z67" i="27"/>
  <c r="X67" i="27"/>
  <c r="V67" i="27"/>
  <c r="N67" i="27"/>
  <c r="L67" i="27"/>
  <c r="B67" i="27"/>
  <c r="Z66" i="27"/>
  <c r="X66" i="27"/>
  <c r="N66" i="27"/>
  <c r="L66" i="27"/>
  <c r="B66" i="27"/>
  <c r="Z65" i="27"/>
  <c r="X65" i="27"/>
  <c r="N65" i="27"/>
  <c r="L65" i="27"/>
  <c r="J65" i="27"/>
  <c r="B65" i="27"/>
  <c r="X64" i="27"/>
  <c r="Z64" i="27" s="1"/>
  <c r="N64" i="27"/>
  <c r="L64" i="27"/>
  <c r="B64" i="27"/>
  <c r="Z63" i="27"/>
  <c r="X63" i="27"/>
  <c r="N63" i="27"/>
  <c r="L63" i="27"/>
  <c r="B63" i="27"/>
  <c r="X62" i="27"/>
  <c r="Z62" i="27" s="1"/>
  <c r="L62" i="27"/>
  <c r="N62" i="27" s="1"/>
  <c r="B62" i="27"/>
  <c r="X61" i="27"/>
  <c r="Z61" i="27" s="1"/>
  <c r="L61" i="27"/>
  <c r="N61" i="27" s="1"/>
  <c r="J61" i="27"/>
  <c r="B61" i="27"/>
  <c r="X60" i="27"/>
  <c r="Z60" i="27" s="1"/>
  <c r="N60" i="27"/>
  <c r="L60" i="27"/>
  <c r="B60" i="27"/>
  <c r="Z59" i="27"/>
  <c r="T59" i="27"/>
  <c r="P59" i="27"/>
  <c r="X59" i="27" s="1"/>
  <c r="H59" i="27"/>
  <c r="N59" i="27" s="1"/>
  <c r="D59" i="27"/>
  <c r="L59" i="27" s="1"/>
  <c r="B59" i="27"/>
  <c r="T58" i="27"/>
  <c r="P58" i="27"/>
  <c r="X58" i="27" s="1"/>
  <c r="H58" i="27"/>
  <c r="D58" i="27"/>
  <c r="Z54" i="27"/>
  <c r="X54" i="27"/>
  <c r="N54" i="27"/>
  <c r="L54" i="27"/>
  <c r="J54" i="27"/>
  <c r="B54" i="27"/>
  <c r="Z53" i="27"/>
  <c r="X53" i="27"/>
  <c r="V53" i="27"/>
  <c r="N53" i="27"/>
  <c r="L53" i="27"/>
  <c r="B53" i="27"/>
  <c r="Z52" i="27"/>
  <c r="X52" i="27"/>
  <c r="N52" i="27"/>
  <c r="L52" i="27"/>
  <c r="B52" i="27"/>
  <c r="Z51" i="27"/>
  <c r="X51" i="27"/>
  <c r="N51" i="27"/>
  <c r="L51" i="27"/>
  <c r="B51" i="27"/>
  <c r="Z50" i="27"/>
  <c r="X50" i="27"/>
  <c r="N50" i="27"/>
  <c r="L50" i="27"/>
  <c r="J50" i="27"/>
  <c r="B50" i="27"/>
  <c r="Z49" i="27"/>
  <c r="X49" i="27"/>
  <c r="V49" i="27"/>
  <c r="N49" i="27"/>
  <c r="L49" i="27"/>
  <c r="B49" i="27"/>
  <c r="Z48" i="27"/>
  <c r="X48" i="27"/>
  <c r="N48" i="27"/>
  <c r="L48" i="27"/>
  <c r="B48" i="27"/>
  <c r="Z47" i="27"/>
  <c r="X47" i="27"/>
  <c r="N47" i="27"/>
  <c r="L47" i="27"/>
  <c r="B47" i="27"/>
  <c r="Z46" i="27"/>
  <c r="X46" i="27"/>
  <c r="N46" i="27"/>
  <c r="L46" i="27"/>
  <c r="J46" i="27"/>
  <c r="B46" i="27"/>
  <c r="Z45" i="27"/>
  <c r="X45" i="27"/>
  <c r="V45" i="27"/>
  <c r="N45" i="27"/>
  <c r="L45" i="27"/>
  <c r="B45" i="27"/>
  <c r="Z44" i="27"/>
  <c r="X44" i="27"/>
  <c r="N44" i="27"/>
  <c r="L44" i="27"/>
  <c r="B44" i="27"/>
  <c r="Z43" i="27"/>
  <c r="X43" i="27"/>
  <c r="N43" i="27"/>
  <c r="L43" i="27"/>
  <c r="B43" i="27"/>
  <c r="Z42" i="27"/>
  <c r="X42" i="27"/>
  <c r="N42" i="27"/>
  <c r="L42" i="27"/>
  <c r="J42" i="27"/>
  <c r="B42" i="27"/>
  <c r="X41" i="27"/>
  <c r="Z41" i="27" s="1"/>
  <c r="V41" i="27"/>
  <c r="N41" i="27"/>
  <c r="L41" i="27"/>
  <c r="B41" i="27"/>
  <c r="T40" i="27"/>
  <c r="P40" i="27"/>
  <c r="X40" i="27" s="1"/>
  <c r="Z40" i="27" s="1"/>
  <c r="L40" i="27"/>
  <c r="H40" i="27"/>
  <c r="N40" i="27" s="1"/>
  <c r="D40" i="27"/>
  <c r="Z38" i="27"/>
  <c r="P38" i="27"/>
  <c r="X38" i="27" s="1"/>
  <c r="N38" i="27"/>
  <c r="L38" i="27"/>
  <c r="D38" i="27"/>
  <c r="B38" i="27"/>
  <c r="Z37" i="27"/>
  <c r="P37" i="27"/>
  <c r="X37" i="27" s="1"/>
  <c r="N37" i="27"/>
  <c r="D37" i="27"/>
  <c r="L37" i="27" s="1"/>
  <c r="B37" i="27"/>
  <c r="Z36" i="27"/>
  <c r="P36" i="27"/>
  <c r="X36" i="27" s="1"/>
  <c r="N36" i="27"/>
  <c r="D36" i="27"/>
  <c r="L36" i="27" s="1"/>
  <c r="B36" i="27"/>
  <c r="Z35" i="27"/>
  <c r="P35" i="27"/>
  <c r="X35" i="27" s="1"/>
  <c r="N35" i="27"/>
  <c r="D35" i="27"/>
  <c r="L35" i="27" s="1"/>
  <c r="B35" i="27"/>
  <c r="Z34" i="27"/>
  <c r="X34" i="27"/>
  <c r="P34" i="27"/>
  <c r="N34" i="27"/>
  <c r="D34" i="27"/>
  <c r="L34" i="27" s="1"/>
  <c r="B34" i="27"/>
  <c r="Z33" i="27"/>
  <c r="X33" i="27"/>
  <c r="P33" i="27"/>
  <c r="N33" i="27"/>
  <c r="D33" i="27"/>
  <c r="L33" i="27" s="1"/>
  <c r="B33" i="27"/>
  <c r="Z32" i="27"/>
  <c r="X32" i="27"/>
  <c r="P32" i="27"/>
  <c r="N32" i="27"/>
  <c r="D32" i="27"/>
  <c r="L32" i="27" s="1"/>
  <c r="B32" i="27"/>
  <c r="Z31" i="27"/>
  <c r="P31" i="27"/>
  <c r="X31" i="27" s="1"/>
  <c r="N31" i="27"/>
  <c r="L31" i="27"/>
  <c r="D31" i="27"/>
  <c r="B31" i="27"/>
  <c r="Z30" i="27"/>
  <c r="X30" i="27"/>
  <c r="P30" i="27"/>
  <c r="N30" i="27"/>
  <c r="L30" i="27"/>
  <c r="D30" i="27"/>
  <c r="B30" i="27"/>
  <c r="Z29" i="27"/>
  <c r="P29" i="27"/>
  <c r="X29" i="27" s="1"/>
  <c r="N29" i="27"/>
  <c r="L29" i="27"/>
  <c r="D29" i="27"/>
  <c r="B29" i="27"/>
  <c r="Z28" i="27"/>
  <c r="P28" i="27"/>
  <c r="X28" i="27" s="1"/>
  <c r="N28" i="27"/>
  <c r="D28" i="27"/>
  <c r="L28" i="27" s="1"/>
  <c r="B28" i="27"/>
  <c r="Z27" i="27"/>
  <c r="P27" i="27"/>
  <c r="X27" i="27" s="1"/>
  <c r="N27" i="27"/>
  <c r="L27" i="27"/>
  <c r="D27" i="27"/>
  <c r="B27" i="27"/>
  <c r="Z26" i="27"/>
  <c r="P26" i="27"/>
  <c r="X26" i="27" s="1"/>
  <c r="N26" i="27"/>
  <c r="D26" i="27"/>
  <c r="L26" i="27" s="1"/>
  <c r="B26" i="27"/>
  <c r="Z25" i="27"/>
  <c r="X25" i="27"/>
  <c r="P25" i="27"/>
  <c r="N25" i="27"/>
  <c r="D25" i="27"/>
  <c r="L25" i="27" s="1"/>
  <c r="B25" i="27"/>
  <c r="Z24" i="27"/>
  <c r="P24" i="27"/>
  <c r="X24" i="27" s="1"/>
  <c r="N24" i="27"/>
  <c r="D24" i="27"/>
  <c r="L24" i="27" s="1"/>
  <c r="B24" i="27"/>
  <c r="Z23" i="27"/>
  <c r="P23" i="27"/>
  <c r="X23" i="27" s="1"/>
  <c r="N23" i="27"/>
  <c r="D23" i="27"/>
  <c r="L23" i="27" s="1"/>
  <c r="B23" i="27"/>
  <c r="Z22" i="27"/>
  <c r="X22" i="27"/>
  <c r="P22" i="27"/>
  <c r="N22" i="27"/>
  <c r="L22" i="27"/>
  <c r="D22" i="27"/>
  <c r="B22" i="27"/>
  <c r="X21" i="27"/>
  <c r="Z21" i="27" s="1"/>
  <c r="P21" i="27"/>
  <c r="D21" i="27"/>
  <c r="L21" i="27" s="1"/>
  <c r="N21" i="27" s="1"/>
  <c r="B21" i="27"/>
  <c r="Z20" i="27"/>
  <c r="X20" i="27"/>
  <c r="P20" i="27"/>
  <c r="N20" i="27"/>
  <c r="D20" i="27"/>
  <c r="L20" i="27" s="1"/>
  <c r="B20" i="27"/>
  <c r="Z19" i="27"/>
  <c r="P19" i="27"/>
  <c r="X19" i="27" s="1"/>
  <c r="N19" i="27"/>
  <c r="L19" i="27"/>
  <c r="D19" i="27"/>
  <c r="B19" i="27"/>
  <c r="Z18" i="27"/>
  <c r="X18" i="27"/>
  <c r="P18" i="27"/>
  <c r="N18" i="27"/>
  <c r="L18" i="27"/>
  <c r="D18" i="27"/>
  <c r="B18" i="27"/>
  <c r="Z17" i="27"/>
  <c r="X17" i="27"/>
  <c r="P17" i="27"/>
  <c r="N17" i="27"/>
  <c r="L17" i="27"/>
  <c r="D17" i="27"/>
  <c r="B17" i="27"/>
  <c r="Z16" i="27"/>
  <c r="P16" i="27"/>
  <c r="X16" i="27" s="1"/>
  <c r="N16" i="27"/>
  <c r="L16" i="27"/>
  <c r="D16" i="27"/>
  <c r="B16" i="27"/>
  <c r="Z15" i="27"/>
  <c r="P15" i="27"/>
  <c r="X15" i="27" s="1"/>
  <c r="N15" i="27"/>
  <c r="L15" i="27"/>
  <c r="D15" i="27"/>
  <c r="B15" i="27"/>
  <c r="Z14" i="27"/>
  <c r="P14" i="27"/>
  <c r="X14" i="27" s="1"/>
  <c r="N14" i="27"/>
  <c r="D14" i="27"/>
  <c r="L14" i="27" s="1"/>
  <c r="B14" i="27"/>
  <c r="Z13" i="27"/>
  <c r="X13" i="27"/>
  <c r="P13" i="27"/>
  <c r="N13" i="27"/>
  <c r="D13" i="27"/>
  <c r="B13" i="27"/>
  <c r="T12" i="27"/>
  <c r="V63" i="27" s="1"/>
  <c r="H12" i="27"/>
  <c r="J115" i="27" s="1"/>
  <c r="D4" i="27"/>
  <c r="X127" i="24"/>
  <c r="Z127" i="24" s="1"/>
  <c r="N127" i="24"/>
  <c r="L127" i="24"/>
  <c r="J127" i="24"/>
  <c r="T123" i="24"/>
  <c r="Z123" i="24" s="1"/>
  <c r="P123" i="24"/>
  <c r="L123" i="24"/>
  <c r="J123" i="24"/>
  <c r="H123" i="24"/>
  <c r="N123" i="24" s="1"/>
  <c r="D123" i="24"/>
  <c r="X121" i="24"/>
  <c r="Z121" i="24" s="1"/>
  <c r="L121" i="24"/>
  <c r="N121" i="24" s="1"/>
  <c r="B121" i="24"/>
  <c r="X120" i="24"/>
  <c r="V120" i="24"/>
  <c r="T120" i="24"/>
  <c r="P120" i="24"/>
  <c r="H120" i="24"/>
  <c r="F120" i="24"/>
  <c r="D120" i="24"/>
  <c r="L120" i="24" s="1"/>
  <c r="N120" i="24" s="1"/>
  <c r="B120" i="24"/>
  <c r="Z119" i="24"/>
  <c r="X119" i="24"/>
  <c r="L119" i="24"/>
  <c r="N119" i="24" s="1"/>
  <c r="B119" i="24"/>
  <c r="T118" i="24"/>
  <c r="P118" i="24"/>
  <c r="J118" i="24"/>
  <c r="H118" i="24"/>
  <c r="D118" i="24"/>
  <c r="L118" i="24" s="1"/>
  <c r="N118" i="24" s="1"/>
  <c r="B118" i="24"/>
  <c r="Z117" i="24"/>
  <c r="X117" i="24"/>
  <c r="V117" i="24"/>
  <c r="N117" i="24"/>
  <c r="L117" i="24"/>
  <c r="B117" i="24"/>
  <c r="T116" i="24"/>
  <c r="P116" i="24"/>
  <c r="X116" i="24" s="1"/>
  <c r="H116" i="24"/>
  <c r="D116" i="24"/>
  <c r="L116" i="24" s="1"/>
  <c r="N116" i="24" s="1"/>
  <c r="B116" i="24"/>
  <c r="Z115" i="24"/>
  <c r="X115" i="24"/>
  <c r="V115" i="24"/>
  <c r="N115" i="24"/>
  <c r="L115" i="24"/>
  <c r="B115" i="24"/>
  <c r="Z114" i="24"/>
  <c r="T114" i="24"/>
  <c r="P114" i="24"/>
  <c r="X114" i="24" s="1"/>
  <c r="L114" i="24"/>
  <c r="J114" i="24"/>
  <c r="H114" i="24"/>
  <c r="N114" i="24" s="1"/>
  <c r="D114" i="24"/>
  <c r="B114" i="24"/>
  <c r="X113" i="24"/>
  <c r="Z113" i="24" s="1"/>
  <c r="N113" i="24"/>
  <c r="L113" i="24"/>
  <c r="J113" i="24"/>
  <c r="B113" i="24"/>
  <c r="X112" i="24"/>
  <c r="Z112" i="24" s="1"/>
  <c r="V112" i="24"/>
  <c r="N112" i="24"/>
  <c r="L112" i="24"/>
  <c r="J112" i="24"/>
  <c r="B112" i="24"/>
  <c r="T111" i="24"/>
  <c r="P111" i="24"/>
  <c r="X111" i="24" s="1"/>
  <c r="Z111" i="24" s="1"/>
  <c r="H111" i="24"/>
  <c r="D111" i="24"/>
  <c r="B111" i="24"/>
  <c r="Z110" i="24"/>
  <c r="X110" i="24"/>
  <c r="N110" i="24"/>
  <c r="L110" i="24"/>
  <c r="B110" i="24"/>
  <c r="V109" i="24"/>
  <c r="T109" i="24"/>
  <c r="X109" i="24" s="1"/>
  <c r="Z109" i="24" s="1"/>
  <c r="P109" i="24"/>
  <c r="L109" i="24"/>
  <c r="H109" i="24"/>
  <c r="D109" i="24"/>
  <c r="B109" i="24"/>
  <c r="X108" i="24"/>
  <c r="Z108" i="24" s="1"/>
  <c r="V108" i="24"/>
  <c r="L108" i="24"/>
  <c r="N108" i="24" s="1"/>
  <c r="J108" i="24"/>
  <c r="B108" i="24"/>
  <c r="X107" i="24"/>
  <c r="V107" i="24"/>
  <c r="T107" i="24"/>
  <c r="Z107" i="24" s="1"/>
  <c r="P107" i="24"/>
  <c r="H107" i="24"/>
  <c r="D107" i="24"/>
  <c r="L107" i="24" s="1"/>
  <c r="B107" i="24"/>
  <c r="Z106" i="24"/>
  <c r="X106" i="24"/>
  <c r="N106" i="24"/>
  <c r="L106" i="24"/>
  <c r="B106" i="24"/>
  <c r="T105" i="24"/>
  <c r="P105" i="24"/>
  <c r="H105" i="24"/>
  <c r="D105" i="24"/>
  <c r="L105" i="24" s="1"/>
  <c r="N105" i="24" s="1"/>
  <c r="B105" i="24"/>
  <c r="Z104" i="24"/>
  <c r="X104" i="24"/>
  <c r="V104" i="24"/>
  <c r="L104" i="24"/>
  <c r="N104" i="24" s="1"/>
  <c r="J104" i="24"/>
  <c r="B104" i="24"/>
  <c r="T103" i="24"/>
  <c r="P103" i="24"/>
  <c r="X103" i="24" s="1"/>
  <c r="N103" i="24"/>
  <c r="J103" i="24"/>
  <c r="H103" i="24"/>
  <c r="D103" i="24"/>
  <c r="L103" i="24" s="1"/>
  <c r="B103" i="24"/>
  <c r="Z102" i="24"/>
  <c r="X102" i="24"/>
  <c r="N102" i="24"/>
  <c r="L102" i="24"/>
  <c r="B102" i="24"/>
  <c r="X101" i="24"/>
  <c r="Z101" i="24" s="1"/>
  <c r="L101" i="24"/>
  <c r="N101" i="24" s="1"/>
  <c r="B101" i="24"/>
  <c r="X100" i="24"/>
  <c r="Z100" i="24" s="1"/>
  <c r="V100" i="24"/>
  <c r="T100" i="24"/>
  <c r="P100" i="24"/>
  <c r="N100" i="24"/>
  <c r="H100" i="24"/>
  <c r="D100" i="24"/>
  <c r="L100" i="24" s="1"/>
  <c r="B100" i="24"/>
  <c r="Z99" i="24"/>
  <c r="X99" i="24"/>
  <c r="N99" i="24"/>
  <c r="L99" i="24"/>
  <c r="B99" i="24"/>
  <c r="Z98" i="24"/>
  <c r="X98" i="24"/>
  <c r="T98" i="24"/>
  <c r="P98" i="24"/>
  <c r="N98" i="24"/>
  <c r="J98" i="24"/>
  <c r="H98" i="24"/>
  <c r="D98" i="24"/>
  <c r="L98" i="24" s="1"/>
  <c r="B98" i="24"/>
  <c r="Z97" i="24"/>
  <c r="X97" i="24"/>
  <c r="V97" i="24"/>
  <c r="L97" i="24"/>
  <c r="N97" i="24" s="1"/>
  <c r="B97" i="24"/>
  <c r="T96" i="24"/>
  <c r="P96" i="24"/>
  <c r="N96" i="24"/>
  <c r="H96" i="24"/>
  <c r="D96" i="24"/>
  <c r="L96" i="24" s="1"/>
  <c r="B96" i="24"/>
  <c r="Z95" i="24"/>
  <c r="X95" i="24"/>
  <c r="V95" i="24"/>
  <c r="N95" i="24"/>
  <c r="L95" i="24"/>
  <c r="B95" i="24"/>
  <c r="Z94" i="24"/>
  <c r="X94" i="24"/>
  <c r="N94" i="24"/>
  <c r="L94" i="24"/>
  <c r="B94" i="24"/>
  <c r="X93" i="24"/>
  <c r="Z93" i="24" s="1"/>
  <c r="L93" i="24"/>
  <c r="N93" i="24" s="1"/>
  <c r="B93" i="24"/>
  <c r="X92" i="24"/>
  <c r="Z92" i="24" s="1"/>
  <c r="V92" i="24"/>
  <c r="L92" i="24"/>
  <c r="N92" i="24" s="1"/>
  <c r="J92" i="24"/>
  <c r="B92" i="24"/>
  <c r="Z91" i="24"/>
  <c r="X91" i="24"/>
  <c r="V91" i="24"/>
  <c r="N91" i="24"/>
  <c r="L91" i="24"/>
  <c r="B91" i="24"/>
  <c r="Z90" i="24"/>
  <c r="X90" i="24"/>
  <c r="N90" i="24"/>
  <c r="L90" i="24"/>
  <c r="B90" i="24"/>
  <c r="Z89" i="24"/>
  <c r="X89" i="24"/>
  <c r="N89" i="24"/>
  <c r="L89" i="24"/>
  <c r="B89" i="24"/>
  <c r="Z88" i="24"/>
  <c r="X88" i="24"/>
  <c r="V88" i="24"/>
  <c r="N88" i="24"/>
  <c r="L88" i="24"/>
  <c r="J88" i="24"/>
  <c r="B88" i="24"/>
  <c r="Z87" i="24"/>
  <c r="X87" i="24"/>
  <c r="V87" i="24"/>
  <c r="N87" i="24"/>
  <c r="L87" i="24"/>
  <c r="B87" i="24"/>
  <c r="Z86" i="24"/>
  <c r="X86" i="24"/>
  <c r="L86" i="24"/>
  <c r="N86" i="24" s="1"/>
  <c r="B86" i="24"/>
  <c r="T85" i="24"/>
  <c r="P85" i="24"/>
  <c r="J85" i="24"/>
  <c r="H85" i="24"/>
  <c r="D85" i="24"/>
  <c r="L85" i="24" s="1"/>
  <c r="B85" i="24"/>
  <c r="Z84" i="24"/>
  <c r="X84" i="24"/>
  <c r="V84" i="24"/>
  <c r="N84" i="24"/>
  <c r="L84" i="24"/>
  <c r="J84" i="24"/>
  <c r="B84" i="24"/>
  <c r="X83" i="24"/>
  <c r="Z83" i="24" s="1"/>
  <c r="L83" i="24"/>
  <c r="N83" i="24" s="1"/>
  <c r="B83" i="24"/>
  <c r="X82" i="24"/>
  <c r="Z82" i="24" s="1"/>
  <c r="N82" i="24"/>
  <c r="L82" i="24"/>
  <c r="B82" i="24"/>
  <c r="Z81" i="24"/>
  <c r="X81" i="24"/>
  <c r="N81" i="24"/>
  <c r="L81" i="24"/>
  <c r="J81" i="24"/>
  <c r="B81" i="24"/>
  <c r="X80" i="24"/>
  <c r="Z80" i="24" s="1"/>
  <c r="V80" i="24"/>
  <c r="N80" i="24"/>
  <c r="L80" i="24"/>
  <c r="J80" i="24"/>
  <c r="B80" i="24"/>
  <c r="Z79" i="24"/>
  <c r="X79" i="24"/>
  <c r="L79" i="24"/>
  <c r="N79" i="24" s="1"/>
  <c r="B79" i="24"/>
  <c r="Z78" i="24"/>
  <c r="X78" i="24"/>
  <c r="N78" i="24"/>
  <c r="L78" i="24"/>
  <c r="B78" i="24"/>
  <c r="X77" i="24"/>
  <c r="Z77" i="24" s="1"/>
  <c r="N77" i="24"/>
  <c r="L77" i="24"/>
  <c r="J77" i="24"/>
  <c r="B77" i="24"/>
  <c r="X76" i="24"/>
  <c r="Z76" i="24" s="1"/>
  <c r="V76" i="24"/>
  <c r="N76" i="24"/>
  <c r="L76" i="24"/>
  <c r="J76" i="24"/>
  <c r="B76" i="24"/>
  <c r="Z75" i="24"/>
  <c r="X75" i="24"/>
  <c r="T75" i="24"/>
  <c r="P75" i="24"/>
  <c r="H75" i="24"/>
  <c r="D75" i="24"/>
  <c r="B75" i="24"/>
  <c r="T74" i="24"/>
  <c r="P74" i="24"/>
  <c r="X74" i="24" s="1"/>
  <c r="Z74" i="24" s="1"/>
  <c r="H74" i="24"/>
  <c r="J74" i="24" s="1"/>
  <c r="D74" i="24"/>
  <c r="H72" i="24"/>
  <c r="Z70" i="24"/>
  <c r="X70" i="24"/>
  <c r="N70" i="24"/>
  <c r="L70" i="24"/>
  <c r="B70" i="24"/>
  <c r="Z69" i="24"/>
  <c r="X69" i="24"/>
  <c r="V69" i="24"/>
  <c r="N69" i="24"/>
  <c r="L69" i="24"/>
  <c r="J69" i="24"/>
  <c r="B69" i="24"/>
  <c r="Z68" i="24"/>
  <c r="X68" i="24"/>
  <c r="V68" i="24"/>
  <c r="N68" i="24"/>
  <c r="L68" i="24"/>
  <c r="J68" i="24"/>
  <c r="B68" i="24"/>
  <c r="Z67" i="24"/>
  <c r="X67" i="24"/>
  <c r="N67" i="24"/>
  <c r="L67" i="24"/>
  <c r="J67" i="24"/>
  <c r="B67" i="24"/>
  <c r="Z66" i="24"/>
  <c r="X66" i="24"/>
  <c r="N66" i="24"/>
  <c r="L66" i="24"/>
  <c r="B66" i="24"/>
  <c r="Z65" i="24"/>
  <c r="X65" i="24"/>
  <c r="V65" i="24"/>
  <c r="N65" i="24"/>
  <c r="L65" i="24"/>
  <c r="J65" i="24"/>
  <c r="B65" i="24"/>
  <c r="Z64" i="24"/>
  <c r="X64" i="24"/>
  <c r="V64" i="24"/>
  <c r="N64" i="24"/>
  <c r="L64" i="24"/>
  <c r="J64" i="24"/>
  <c r="B64" i="24"/>
  <c r="Z63" i="24"/>
  <c r="X63" i="24"/>
  <c r="N63" i="24"/>
  <c r="L63" i="24"/>
  <c r="J63" i="24"/>
  <c r="B63" i="24"/>
  <c r="Z62" i="24"/>
  <c r="X62" i="24"/>
  <c r="N62" i="24"/>
  <c r="L62" i="24"/>
  <c r="B62" i="24"/>
  <c r="Z61" i="24"/>
  <c r="X61" i="24"/>
  <c r="V61" i="24"/>
  <c r="N61" i="24"/>
  <c r="L61" i="24"/>
  <c r="J61" i="24"/>
  <c r="B61" i="24"/>
  <c r="Z60" i="24"/>
  <c r="X60" i="24"/>
  <c r="V60" i="24"/>
  <c r="N60" i="24"/>
  <c r="L60" i="24"/>
  <c r="J60" i="24"/>
  <c r="B60" i="24"/>
  <c r="Z59" i="24"/>
  <c r="X59" i="24"/>
  <c r="N59" i="24"/>
  <c r="L59" i="24"/>
  <c r="J59" i="24"/>
  <c r="B59" i="24"/>
  <c r="Z58" i="24"/>
  <c r="X58" i="24"/>
  <c r="N58" i="24"/>
  <c r="L58" i="24"/>
  <c r="B58" i="24"/>
  <c r="Z57" i="24"/>
  <c r="X57" i="24"/>
  <c r="V57" i="24"/>
  <c r="N57" i="24"/>
  <c r="L57" i="24"/>
  <c r="J57" i="24"/>
  <c r="B57" i="24"/>
  <c r="Z56" i="24"/>
  <c r="X56" i="24"/>
  <c r="V56" i="24"/>
  <c r="N56" i="24"/>
  <c r="L56" i="24"/>
  <c r="J56" i="24"/>
  <c r="B56" i="24"/>
  <c r="Z55" i="24"/>
  <c r="X55" i="24"/>
  <c r="N55" i="24"/>
  <c r="L55" i="24"/>
  <c r="J55" i="24"/>
  <c r="B55" i="24"/>
  <c r="Z54" i="24"/>
  <c r="X54" i="24"/>
  <c r="N54" i="24"/>
  <c r="L54" i="24"/>
  <c r="B54" i="24"/>
  <c r="Z53" i="24"/>
  <c r="X53" i="24"/>
  <c r="V53" i="24"/>
  <c r="N53" i="24"/>
  <c r="L53" i="24"/>
  <c r="J53" i="24"/>
  <c r="B53" i="24"/>
  <c r="Z52" i="24"/>
  <c r="X52" i="24"/>
  <c r="V52" i="24"/>
  <c r="N52" i="24"/>
  <c r="L52" i="24"/>
  <c r="J52" i="24"/>
  <c r="B52" i="24"/>
  <c r="Z51" i="24"/>
  <c r="X51" i="24"/>
  <c r="N51" i="24"/>
  <c r="L51" i="24"/>
  <c r="J51" i="24"/>
  <c r="B51" i="24"/>
  <c r="Z50" i="24"/>
  <c r="X50" i="24"/>
  <c r="N50" i="24"/>
  <c r="L50" i="24"/>
  <c r="B50" i="24"/>
  <c r="Z49" i="24"/>
  <c r="X49" i="24"/>
  <c r="V49" i="24"/>
  <c r="L49" i="24"/>
  <c r="N49" i="24" s="1"/>
  <c r="J49" i="24"/>
  <c r="B49" i="24"/>
  <c r="T48" i="24"/>
  <c r="P48" i="24"/>
  <c r="X48" i="24" s="1"/>
  <c r="H48" i="24"/>
  <c r="D48" i="24"/>
  <c r="L48" i="24" s="1"/>
  <c r="N48" i="24" s="1"/>
  <c r="Z46" i="24"/>
  <c r="P46" i="24"/>
  <c r="X46" i="24" s="1"/>
  <c r="N46" i="24"/>
  <c r="D46" i="24"/>
  <c r="L46" i="24" s="1"/>
  <c r="B46" i="24"/>
  <c r="Z45" i="24"/>
  <c r="P45" i="24"/>
  <c r="X45" i="24" s="1"/>
  <c r="N45" i="24"/>
  <c r="L45" i="24"/>
  <c r="D45" i="24"/>
  <c r="B45" i="24"/>
  <c r="Z44" i="24"/>
  <c r="X44" i="24"/>
  <c r="P44" i="24"/>
  <c r="N44" i="24"/>
  <c r="L44" i="24"/>
  <c r="D44" i="24"/>
  <c r="B44" i="24"/>
  <c r="Z43" i="24"/>
  <c r="X43" i="24"/>
  <c r="P43" i="24"/>
  <c r="N43" i="24"/>
  <c r="D43" i="24"/>
  <c r="L43" i="24" s="1"/>
  <c r="B43" i="24"/>
  <c r="Z42" i="24"/>
  <c r="X42" i="24"/>
  <c r="P42" i="24"/>
  <c r="N42" i="24"/>
  <c r="D42" i="24"/>
  <c r="L42" i="24" s="1"/>
  <c r="B42" i="24"/>
  <c r="Z41" i="24"/>
  <c r="P41" i="24"/>
  <c r="X41" i="24" s="1"/>
  <c r="N41" i="24"/>
  <c r="L41" i="24"/>
  <c r="D41" i="24"/>
  <c r="B41" i="24"/>
  <c r="Z40" i="24"/>
  <c r="P40" i="24"/>
  <c r="X40" i="24" s="1"/>
  <c r="N40" i="24"/>
  <c r="L40" i="24"/>
  <c r="D40" i="24"/>
  <c r="B40" i="24"/>
  <c r="Z39" i="24"/>
  <c r="X39" i="24"/>
  <c r="P39" i="24"/>
  <c r="N39" i="24"/>
  <c r="D39" i="24"/>
  <c r="L39" i="24" s="1"/>
  <c r="B39" i="24"/>
  <c r="Z38" i="24"/>
  <c r="P38" i="24"/>
  <c r="X38" i="24" s="1"/>
  <c r="N38" i="24"/>
  <c r="L38" i="24"/>
  <c r="D38" i="24"/>
  <c r="B38" i="24"/>
  <c r="Z37" i="24"/>
  <c r="P37" i="24"/>
  <c r="X37" i="24" s="1"/>
  <c r="N37" i="24"/>
  <c r="D37" i="24"/>
  <c r="L37" i="24" s="1"/>
  <c r="B37" i="24"/>
  <c r="Z36" i="24"/>
  <c r="X36" i="24"/>
  <c r="P36" i="24"/>
  <c r="N36" i="24"/>
  <c r="L36" i="24"/>
  <c r="D36" i="24"/>
  <c r="B36" i="24"/>
  <c r="Z35" i="24"/>
  <c r="X35" i="24"/>
  <c r="P35" i="24"/>
  <c r="N35" i="24"/>
  <c r="D35" i="24"/>
  <c r="L35" i="24" s="1"/>
  <c r="B35" i="24"/>
  <c r="Z34" i="24"/>
  <c r="P34" i="24"/>
  <c r="X34" i="24" s="1"/>
  <c r="N34" i="24"/>
  <c r="D34" i="24"/>
  <c r="L34" i="24" s="1"/>
  <c r="B34" i="24"/>
  <c r="Z33" i="24"/>
  <c r="P33" i="24"/>
  <c r="X33" i="24" s="1"/>
  <c r="N33" i="24"/>
  <c r="L33" i="24"/>
  <c r="D33" i="24"/>
  <c r="B33" i="24"/>
  <c r="Z32" i="24"/>
  <c r="X32" i="24"/>
  <c r="P32" i="24"/>
  <c r="N32" i="24"/>
  <c r="L32" i="24"/>
  <c r="D32" i="24"/>
  <c r="B32" i="24"/>
  <c r="Z31" i="24"/>
  <c r="X31" i="24"/>
  <c r="P31" i="24"/>
  <c r="N31" i="24"/>
  <c r="D31" i="24"/>
  <c r="L31" i="24" s="1"/>
  <c r="B31" i="24"/>
  <c r="X30" i="24"/>
  <c r="Z30" i="24" s="1"/>
  <c r="P30" i="24"/>
  <c r="D30" i="24"/>
  <c r="L30" i="24" s="1"/>
  <c r="N30" i="24" s="1"/>
  <c r="B30" i="24"/>
  <c r="Z29" i="24"/>
  <c r="X29" i="24"/>
  <c r="P29" i="24"/>
  <c r="N29" i="24"/>
  <c r="L29" i="24"/>
  <c r="D29" i="24"/>
  <c r="B29" i="24"/>
  <c r="Z28" i="24"/>
  <c r="P28" i="24"/>
  <c r="X28" i="24" s="1"/>
  <c r="N28" i="24"/>
  <c r="L28" i="24"/>
  <c r="D28" i="24"/>
  <c r="B28" i="24"/>
  <c r="Z27" i="24"/>
  <c r="X27" i="24"/>
  <c r="P27" i="24"/>
  <c r="N27" i="24"/>
  <c r="D27" i="24"/>
  <c r="L27" i="24" s="1"/>
  <c r="B27" i="24"/>
  <c r="Z26" i="24"/>
  <c r="P26" i="24"/>
  <c r="X26" i="24" s="1"/>
  <c r="N26" i="24"/>
  <c r="L26" i="24"/>
  <c r="D26" i="24"/>
  <c r="B26" i="24"/>
  <c r="Z25" i="24"/>
  <c r="P25" i="24"/>
  <c r="X25" i="24" s="1"/>
  <c r="N25" i="24"/>
  <c r="D25" i="24"/>
  <c r="L25" i="24" s="1"/>
  <c r="B25" i="24"/>
  <c r="Z24" i="24"/>
  <c r="X24" i="24"/>
  <c r="P24" i="24"/>
  <c r="N24" i="24"/>
  <c r="L24" i="24"/>
  <c r="D24" i="24"/>
  <c r="B24" i="24"/>
  <c r="Z23" i="24"/>
  <c r="X23" i="24"/>
  <c r="P23" i="24"/>
  <c r="N23" i="24"/>
  <c r="D23" i="24"/>
  <c r="L23" i="24" s="1"/>
  <c r="B23" i="24"/>
  <c r="Z22" i="24"/>
  <c r="P22" i="24"/>
  <c r="X22" i="24" s="1"/>
  <c r="N22" i="24"/>
  <c r="D22" i="24"/>
  <c r="L22" i="24" s="1"/>
  <c r="B22" i="24"/>
  <c r="Z21" i="24"/>
  <c r="P21" i="24"/>
  <c r="X21" i="24" s="1"/>
  <c r="N21" i="24"/>
  <c r="L21" i="24"/>
  <c r="D21" i="24"/>
  <c r="B21" i="24"/>
  <c r="Z20" i="24"/>
  <c r="X20" i="24"/>
  <c r="P20" i="24"/>
  <c r="N20" i="24"/>
  <c r="L20" i="24"/>
  <c r="D20" i="24"/>
  <c r="B20" i="24"/>
  <c r="Z19" i="24"/>
  <c r="X19" i="24"/>
  <c r="P19" i="24"/>
  <c r="N19" i="24"/>
  <c r="D19" i="24"/>
  <c r="L19" i="24" s="1"/>
  <c r="B19" i="24"/>
  <c r="Z18" i="24"/>
  <c r="P18" i="24"/>
  <c r="X18" i="24" s="1"/>
  <c r="N18" i="24"/>
  <c r="D18" i="24"/>
  <c r="L18" i="24" s="1"/>
  <c r="B18" i="24"/>
  <c r="Z17" i="24"/>
  <c r="X17" i="24"/>
  <c r="P17" i="24"/>
  <c r="N17" i="24"/>
  <c r="L17" i="24"/>
  <c r="D17" i="24"/>
  <c r="B17" i="24"/>
  <c r="Z16" i="24"/>
  <c r="P16" i="24"/>
  <c r="X16" i="24" s="1"/>
  <c r="N16" i="24"/>
  <c r="L16" i="24"/>
  <c r="D16" i="24"/>
  <c r="B16" i="24"/>
  <c r="Z15" i="24"/>
  <c r="P15" i="24"/>
  <c r="X15" i="24" s="1"/>
  <c r="N15" i="24"/>
  <c r="L15" i="24"/>
  <c r="D15" i="24"/>
  <c r="B15" i="24"/>
  <c r="Z14" i="24"/>
  <c r="P14" i="24"/>
  <c r="X14" i="24" s="1"/>
  <c r="N14" i="24"/>
  <c r="L14" i="24"/>
  <c r="D14" i="24"/>
  <c r="B14" i="24"/>
  <c r="P13" i="24"/>
  <c r="D13" i="24"/>
  <c r="L13" i="24" s="1"/>
  <c r="N13" i="24" s="1"/>
  <c r="B13" i="24"/>
  <c r="T12" i="24"/>
  <c r="V119" i="24" s="1"/>
  <c r="H12" i="24"/>
  <c r="D12" i="24"/>
  <c r="D72" i="24" s="1"/>
  <c r="D4" i="24"/>
  <c r="X115" i="21"/>
  <c r="Z115" i="21" s="1"/>
  <c r="L115" i="21"/>
  <c r="N115" i="21" s="1"/>
  <c r="Z111" i="21"/>
  <c r="X111" i="21"/>
  <c r="T111" i="21"/>
  <c r="P111" i="21"/>
  <c r="H111" i="21"/>
  <c r="D111" i="21"/>
  <c r="X109" i="21"/>
  <c r="Z109" i="21" s="1"/>
  <c r="L109" i="21"/>
  <c r="N109" i="21" s="1"/>
  <c r="B109" i="21"/>
  <c r="X108" i="21"/>
  <c r="Z108" i="21" s="1"/>
  <c r="T108" i="21"/>
  <c r="P108" i="21"/>
  <c r="L108" i="21"/>
  <c r="N108" i="21" s="1"/>
  <c r="J108" i="21"/>
  <c r="H108" i="21"/>
  <c r="D108" i="21"/>
  <c r="B108" i="21"/>
  <c r="Z107" i="21"/>
  <c r="X107" i="21"/>
  <c r="V107" i="21"/>
  <c r="N107" i="21"/>
  <c r="L107" i="21"/>
  <c r="B107" i="21"/>
  <c r="T106" i="21"/>
  <c r="P106" i="21"/>
  <c r="N106" i="21"/>
  <c r="H106" i="21"/>
  <c r="D106" i="21"/>
  <c r="L106" i="21" s="1"/>
  <c r="B106" i="21"/>
  <c r="X105" i="21"/>
  <c r="Z105" i="21" s="1"/>
  <c r="L105" i="21"/>
  <c r="N105" i="21" s="1"/>
  <c r="B105" i="21"/>
  <c r="T104" i="21"/>
  <c r="P104" i="21"/>
  <c r="X104" i="21" s="1"/>
  <c r="Z104" i="21" s="1"/>
  <c r="L104" i="21"/>
  <c r="N104" i="21" s="1"/>
  <c r="J104" i="21"/>
  <c r="H104" i="21"/>
  <c r="D104" i="21"/>
  <c r="B104" i="21"/>
  <c r="X103" i="21"/>
  <c r="Z103" i="21" s="1"/>
  <c r="N103" i="21"/>
  <c r="L103" i="21"/>
  <c r="B103" i="21"/>
  <c r="X102" i="21"/>
  <c r="Z102" i="21" s="1"/>
  <c r="V102" i="21"/>
  <c r="N102" i="21"/>
  <c r="L102" i="21"/>
  <c r="B102" i="21"/>
  <c r="Z101" i="21"/>
  <c r="X101" i="21"/>
  <c r="N101" i="21"/>
  <c r="L101" i="21"/>
  <c r="B101" i="21"/>
  <c r="X100" i="21"/>
  <c r="Z100" i="21" s="1"/>
  <c r="N100" i="21"/>
  <c r="L100" i="21"/>
  <c r="B100" i="21"/>
  <c r="Z99" i="21"/>
  <c r="X99" i="21"/>
  <c r="N99" i="21"/>
  <c r="L99" i="21"/>
  <c r="B99" i="21"/>
  <c r="X98" i="21"/>
  <c r="Z98" i="21" s="1"/>
  <c r="N98" i="21"/>
  <c r="L98" i="21"/>
  <c r="B98" i="21"/>
  <c r="X97" i="21"/>
  <c r="Z97" i="21" s="1"/>
  <c r="L97" i="21"/>
  <c r="N97" i="21" s="1"/>
  <c r="B97" i="21"/>
  <c r="X96" i="21"/>
  <c r="Z96" i="21" s="1"/>
  <c r="N96" i="21"/>
  <c r="L96" i="21"/>
  <c r="B96" i="21"/>
  <c r="T95" i="21"/>
  <c r="P95" i="21"/>
  <c r="H95" i="21"/>
  <c r="D95" i="21"/>
  <c r="L95" i="21" s="1"/>
  <c r="N95" i="21" s="1"/>
  <c r="B95" i="21"/>
  <c r="Z94" i="21"/>
  <c r="X94" i="21"/>
  <c r="L94" i="21"/>
  <c r="N94" i="21" s="1"/>
  <c r="B94" i="21"/>
  <c r="X93" i="21"/>
  <c r="Z93" i="21" s="1"/>
  <c r="T93" i="21"/>
  <c r="P93" i="21"/>
  <c r="N93" i="21"/>
  <c r="J93" i="21"/>
  <c r="H93" i="21"/>
  <c r="L93" i="21" s="1"/>
  <c r="D93" i="21"/>
  <c r="B93" i="21"/>
  <c r="Z92" i="21"/>
  <c r="X92" i="21"/>
  <c r="N92" i="21"/>
  <c r="L92" i="21"/>
  <c r="B92" i="21"/>
  <c r="X91" i="21"/>
  <c r="Z91" i="21" s="1"/>
  <c r="V91" i="21"/>
  <c r="L91" i="21"/>
  <c r="N91" i="21" s="1"/>
  <c r="B91" i="21"/>
  <c r="X90" i="21"/>
  <c r="Z90" i="21" s="1"/>
  <c r="L90" i="21"/>
  <c r="N90" i="21" s="1"/>
  <c r="B90" i="21"/>
  <c r="X89" i="21"/>
  <c r="Z89" i="21" s="1"/>
  <c r="L89" i="21"/>
  <c r="N89" i="21" s="1"/>
  <c r="B89" i="21"/>
  <c r="Z88" i="21"/>
  <c r="X88" i="21"/>
  <c r="N88" i="21"/>
  <c r="L88" i="21"/>
  <c r="B88" i="21"/>
  <c r="T87" i="21"/>
  <c r="P87" i="21"/>
  <c r="L87" i="21"/>
  <c r="J87" i="21"/>
  <c r="H87" i="21"/>
  <c r="D87" i="21"/>
  <c r="B87" i="21"/>
  <c r="X86" i="21"/>
  <c r="Z86" i="21" s="1"/>
  <c r="N86" i="21"/>
  <c r="L86" i="21"/>
  <c r="B86" i="21"/>
  <c r="Z85" i="21"/>
  <c r="X85" i="21"/>
  <c r="N85" i="21"/>
  <c r="L85" i="21"/>
  <c r="B85" i="21"/>
  <c r="Z84" i="21"/>
  <c r="X84" i="21"/>
  <c r="T84" i="21"/>
  <c r="P84" i="21"/>
  <c r="L84" i="21"/>
  <c r="N84" i="21" s="1"/>
  <c r="J84" i="21"/>
  <c r="H84" i="21"/>
  <c r="D84" i="21"/>
  <c r="B84" i="21"/>
  <c r="Z83" i="21"/>
  <c r="X83" i="21"/>
  <c r="L83" i="21"/>
  <c r="N83" i="21" s="1"/>
  <c r="B83" i="21"/>
  <c r="Z82" i="21"/>
  <c r="X82" i="21"/>
  <c r="N82" i="21"/>
  <c r="L82" i="21"/>
  <c r="J82" i="21"/>
  <c r="B82" i="21"/>
  <c r="X81" i="21"/>
  <c r="Z81" i="21" s="1"/>
  <c r="T81" i="21"/>
  <c r="P81" i="21"/>
  <c r="N81" i="21"/>
  <c r="J81" i="21"/>
  <c r="H81" i="21"/>
  <c r="L81" i="21" s="1"/>
  <c r="D81" i="21"/>
  <c r="B81" i="21"/>
  <c r="Z80" i="21"/>
  <c r="X80" i="21"/>
  <c r="N80" i="21"/>
  <c r="L80" i="21"/>
  <c r="B80" i="21"/>
  <c r="T79" i="21"/>
  <c r="P79" i="21"/>
  <c r="X79" i="21" s="1"/>
  <c r="H79" i="21"/>
  <c r="D79" i="21"/>
  <c r="L79" i="21" s="1"/>
  <c r="B79" i="21"/>
  <c r="Z78" i="21"/>
  <c r="X78" i="21"/>
  <c r="N78" i="21"/>
  <c r="L78" i="21"/>
  <c r="J78" i="21"/>
  <c r="B78" i="21"/>
  <c r="Z77" i="21"/>
  <c r="X77" i="21"/>
  <c r="T77" i="21"/>
  <c r="P77" i="21"/>
  <c r="H77" i="21"/>
  <c r="N77" i="21" s="1"/>
  <c r="D77" i="21"/>
  <c r="B77" i="21"/>
  <c r="Z76" i="21"/>
  <c r="X76" i="21"/>
  <c r="N76" i="21"/>
  <c r="L76" i="21"/>
  <c r="B76" i="21"/>
  <c r="Z75" i="21"/>
  <c r="T75" i="21"/>
  <c r="X75" i="21" s="1"/>
  <c r="P75" i="21"/>
  <c r="N75" i="21"/>
  <c r="L75" i="21"/>
  <c r="H75" i="21"/>
  <c r="D75" i="21"/>
  <c r="B75" i="21"/>
  <c r="X74" i="21"/>
  <c r="Z74" i="21" s="1"/>
  <c r="L74" i="21"/>
  <c r="N74" i="21" s="1"/>
  <c r="B74" i="21"/>
  <c r="V73" i="21"/>
  <c r="T73" i="21"/>
  <c r="P73" i="21"/>
  <c r="X73" i="21" s="1"/>
  <c r="H73" i="21"/>
  <c r="D73" i="21"/>
  <c r="L73" i="21" s="1"/>
  <c r="B73" i="21"/>
  <c r="X72" i="21"/>
  <c r="Z72" i="21" s="1"/>
  <c r="N72" i="21"/>
  <c r="L72" i="21"/>
  <c r="B72" i="21"/>
  <c r="T71" i="21"/>
  <c r="P71" i="21"/>
  <c r="N71" i="21"/>
  <c r="L71" i="21"/>
  <c r="H71" i="21"/>
  <c r="D71" i="21"/>
  <c r="B71" i="21"/>
  <c r="Z70" i="21"/>
  <c r="X70" i="21"/>
  <c r="N70" i="21"/>
  <c r="L70" i="21"/>
  <c r="B70" i="21"/>
  <c r="Z69" i="21"/>
  <c r="T69" i="21"/>
  <c r="P69" i="21"/>
  <c r="X69" i="21" s="1"/>
  <c r="N69" i="21"/>
  <c r="H69" i="21"/>
  <c r="L69" i="21" s="1"/>
  <c r="D69" i="21"/>
  <c r="B69" i="21"/>
  <c r="Z68" i="21"/>
  <c r="X68" i="21"/>
  <c r="L68" i="21"/>
  <c r="N68" i="21" s="1"/>
  <c r="B68" i="21"/>
  <c r="T67" i="21"/>
  <c r="P67" i="21"/>
  <c r="X67" i="21" s="1"/>
  <c r="L67" i="21"/>
  <c r="J67" i="21"/>
  <c r="H67" i="21"/>
  <c r="D67" i="21"/>
  <c r="B67" i="21"/>
  <c r="X66" i="21"/>
  <c r="Z66" i="21" s="1"/>
  <c r="V66" i="21"/>
  <c r="N66" i="21"/>
  <c r="L66" i="21"/>
  <c r="B66" i="21"/>
  <c r="T65" i="21"/>
  <c r="P65" i="21"/>
  <c r="X65" i="21" s="1"/>
  <c r="Z65" i="21" s="1"/>
  <c r="H65" i="21"/>
  <c r="D65" i="21"/>
  <c r="L65" i="21" s="1"/>
  <c r="B65" i="21"/>
  <c r="Z64" i="21"/>
  <c r="X64" i="21"/>
  <c r="N64" i="21"/>
  <c r="L64" i="21"/>
  <c r="B64" i="21"/>
  <c r="X63" i="21"/>
  <c r="V63" i="21"/>
  <c r="T63" i="21"/>
  <c r="Z63" i="21" s="1"/>
  <c r="P63" i="21"/>
  <c r="H63" i="21"/>
  <c r="N63" i="21" s="1"/>
  <c r="D63" i="21"/>
  <c r="B63" i="21"/>
  <c r="X62" i="21"/>
  <c r="Z62" i="21" s="1"/>
  <c r="L62" i="21"/>
  <c r="N62" i="21" s="1"/>
  <c r="B62" i="21"/>
  <c r="X61" i="21"/>
  <c r="Z61" i="21" s="1"/>
  <c r="N61" i="21"/>
  <c r="L61" i="21"/>
  <c r="B61" i="21"/>
  <c r="Z60" i="21"/>
  <c r="X60" i="21"/>
  <c r="V60" i="21"/>
  <c r="N60" i="21"/>
  <c r="L60" i="21"/>
  <c r="B60" i="21"/>
  <c r="T59" i="21"/>
  <c r="P59" i="21"/>
  <c r="X59" i="21" s="1"/>
  <c r="H59" i="21"/>
  <c r="D59" i="21"/>
  <c r="B59" i="21"/>
  <c r="X58" i="21"/>
  <c r="Z58" i="21" s="1"/>
  <c r="N58" i="21"/>
  <c r="L58" i="21"/>
  <c r="J58" i="21"/>
  <c r="B58" i="21"/>
  <c r="T57" i="21"/>
  <c r="P57" i="21"/>
  <c r="X57" i="21" s="1"/>
  <c r="Z57" i="21" s="1"/>
  <c r="L57" i="21"/>
  <c r="H57" i="21"/>
  <c r="D57" i="21"/>
  <c r="B57" i="21"/>
  <c r="Z56" i="21"/>
  <c r="X56" i="21"/>
  <c r="V56" i="21"/>
  <c r="N56" i="21"/>
  <c r="L56" i="21"/>
  <c r="B56" i="21"/>
  <c r="T55" i="21"/>
  <c r="P55" i="21"/>
  <c r="L55" i="21"/>
  <c r="N55" i="21" s="1"/>
  <c r="H55" i="21"/>
  <c r="D55" i="21"/>
  <c r="B55" i="21"/>
  <c r="X54" i="21"/>
  <c r="Z54" i="21" s="1"/>
  <c r="L54" i="21"/>
  <c r="N54" i="21" s="1"/>
  <c r="J54" i="21"/>
  <c r="B54" i="21"/>
  <c r="X53" i="21"/>
  <c r="V53" i="21"/>
  <c r="T53" i="21"/>
  <c r="P53" i="21"/>
  <c r="L53" i="21"/>
  <c r="N53" i="21" s="1"/>
  <c r="H53" i="21"/>
  <c r="D53" i="21"/>
  <c r="B53" i="21"/>
  <c r="Z52" i="21"/>
  <c r="X52" i="21"/>
  <c r="V52" i="21"/>
  <c r="N52" i="21"/>
  <c r="L52" i="21"/>
  <c r="B52" i="21"/>
  <c r="Z51" i="21"/>
  <c r="X51" i="21"/>
  <c r="N51" i="21"/>
  <c r="L51" i="21"/>
  <c r="B51" i="21"/>
  <c r="X50" i="21"/>
  <c r="Z50" i="21" s="1"/>
  <c r="L50" i="21"/>
  <c r="N50" i="21" s="1"/>
  <c r="B50" i="21"/>
  <c r="Z49" i="21"/>
  <c r="X49" i="21"/>
  <c r="N49" i="21"/>
  <c r="L49" i="21"/>
  <c r="B49" i="21"/>
  <c r="Z48" i="21"/>
  <c r="X48" i="21"/>
  <c r="V48" i="21"/>
  <c r="N48" i="21"/>
  <c r="L48" i="21"/>
  <c r="B48" i="21"/>
  <c r="X47" i="21"/>
  <c r="Z47" i="21" s="1"/>
  <c r="V47" i="21"/>
  <c r="L47" i="21"/>
  <c r="N47" i="21" s="1"/>
  <c r="B47" i="21"/>
  <c r="X46" i="21"/>
  <c r="Z46" i="21" s="1"/>
  <c r="L46" i="21"/>
  <c r="N46" i="21" s="1"/>
  <c r="B46" i="21"/>
  <c r="Z45" i="21"/>
  <c r="X45" i="21"/>
  <c r="N45" i="21"/>
  <c r="L45" i="21"/>
  <c r="B45" i="21"/>
  <c r="X44" i="21"/>
  <c r="Z44" i="21" s="1"/>
  <c r="V44" i="21"/>
  <c r="L44" i="21"/>
  <c r="N44" i="21" s="1"/>
  <c r="B44" i="21"/>
  <c r="X43" i="21"/>
  <c r="Z43" i="21" s="1"/>
  <c r="V43" i="21"/>
  <c r="L43" i="21"/>
  <c r="N43" i="21" s="1"/>
  <c r="B43" i="21"/>
  <c r="X42" i="21"/>
  <c r="Z42" i="21" s="1"/>
  <c r="T42" i="21"/>
  <c r="P42" i="21"/>
  <c r="L42" i="21"/>
  <c r="J42" i="21"/>
  <c r="H42" i="21"/>
  <c r="N42" i="21" s="1"/>
  <c r="D42" i="21"/>
  <c r="B42" i="21"/>
  <c r="Z41" i="21"/>
  <c r="X41" i="21"/>
  <c r="N41" i="21"/>
  <c r="L41" i="21"/>
  <c r="J41" i="21"/>
  <c r="B41" i="21"/>
  <c r="X40" i="21"/>
  <c r="Z40" i="21" s="1"/>
  <c r="N40" i="21"/>
  <c r="L40" i="21"/>
  <c r="B40" i="21"/>
  <c r="X39" i="21"/>
  <c r="Z39" i="21" s="1"/>
  <c r="L39" i="21"/>
  <c r="N39" i="21" s="1"/>
  <c r="J39" i="21"/>
  <c r="B39" i="21"/>
  <c r="Z38" i="21"/>
  <c r="X38" i="21"/>
  <c r="N38" i="21"/>
  <c r="L38" i="21"/>
  <c r="B38" i="21"/>
  <c r="Z37" i="21"/>
  <c r="X37" i="21"/>
  <c r="N37" i="21"/>
  <c r="L37" i="21"/>
  <c r="J37" i="21"/>
  <c r="B37" i="21"/>
  <c r="X36" i="21"/>
  <c r="Z36" i="21" s="1"/>
  <c r="N36" i="21"/>
  <c r="L36" i="21"/>
  <c r="B36" i="21"/>
  <c r="X35" i="21"/>
  <c r="Z35" i="21" s="1"/>
  <c r="L35" i="21"/>
  <c r="N35" i="21" s="1"/>
  <c r="J35" i="21"/>
  <c r="B35" i="21"/>
  <c r="X34" i="21"/>
  <c r="Z34" i="21" s="1"/>
  <c r="N34" i="21"/>
  <c r="L34" i="21"/>
  <c r="B34" i="21"/>
  <c r="Z33" i="21"/>
  <c r="X33" i="21"/>
  <c r="N33" i="21"/>
  <c r="L33" i="21"/>
  <c r="J33" i="21"/>
  <c r="B33" i="21"/>
  <c r="T32" i="21"/>
  <c r="P32" i="21"/>
  <c r="H32" i="21"/>
  <c r="D32" i="21"/>
  <c r="B32" i="21"/>
  <c r="T31" i="21"/>
  <c r="V31" i="21" s="1"/>
  <c r="P31" i="21"/>
  <c r="X31" i="21" s="1"/>
  <c r="H31" i="21"/>
  <c r="D31" i="21"/>
  <c r="H29" i="21"/>
  <c r="Z27" i="21"/>
  <c r="X27" i="21"/>
  <c r="V27" i="21"/>
  <c r="N27" i="21"/>
  <c r="L27" i="21"/>
  <c r="J27" i="21"/>
  <c r="B27" i="21"/>
  <c r="Z26" i="21"/>
  <c r="X26" i="21"/>
  <c r="N26" i="21"/>
  <c r="L26" i="21"/>
  <c r="J26" i="21"/>
  <c r="B26" i="21"/>
  <c r="Z25" i="21"/>
  <c r="X25" i="21"/>
  <c r="V25" i="21"/>
  <c r="R25" i="21"/>
  <c r="L25" i="21"/>
  <c r="N25" i="21" s="1"/>
  <c r="B25" i="21"/>
  <c r="T24" i="21"/>
  <c r="P24" i="21"/>
  <c r="X24" i="21" s="1"/>
  <c r="N24" i="21"/>
  <c r="J24" i="21"/>
  <c r="H24" i="21"/>
  <c r="D24" i="21"/>
  <c r="L24" i="21" s="1"/>
  <c r="Z22" i="21"/>
  <c r="P22" i="21"/>
  <c r="X22" i="21" s="1"/>
  <c r="N22" i="21"/>
  <c r="D22" i="21"/>
  <c r="L22" i="21" s="1"/>
  <c r="B22" i="21"/>
  <c r="Z21" i="21"/>
  <c r="X21" i="21"/>
  <c r="P21" i="21"/>
  <c r="N21" i="21"/>
  <c r="L21" i="21"/>
  <c r="D21" i="21"/>
  <c r="B21" i="21"/>
  <c r="Z20" i="21"/>
  <c r="X20" i="21"/>
  <c r="P20" i="21"/>
  <c r="N20" i="21"/>
  <c r="L20" i="21"/>
  <c r="D20" i="21"/>
  <c r="B20" i="21"/>
  <c r="Z19" i="21"/>
  <c r="P19" i="21"/>
  <c r="X19" i="21" s="1"/>
  <c r="N19" i="21"/>
  <c r="D19" i="21"/>
  <c r="L19" i="21" s="1"/>
  <c r="B19" i="21"/>
  <c r="Z18" i="21"/>
  <c r="P18" i="21"/>
  <c r="X18" i="21" s="1"/>
  <c r="N18" i="21"/>
  <c r="L18" i="21"/>
  <c r="D18" i="21"/>
  <c r="B18" i="21"/>
  <c r="Z17" i="21"/>
  <c r="X17" i="21"/>
  <c r="P17" i="21"/>
  <c r="L17" i="21"/>
  <c r="N17" i="21" s="1"/>
  <c r="D17" i="21"/>
  <c r="B17" i="21"/>
  <c r="Z16" i="21"/>
  <c r="P16" i="21"/>
  <c r="X16" i="21" s="1"/>
  <c r="N16" i="21"/>
  <c r="D16" i="21"/>
  <c r="L16" i="21" s="1"/>
  <c r="B16" i="21"/>
  <c r="Z15" i="21"/>
  <c r="P15" i="21"/>
  <c r="X15" i="21" s="1"/>
  <c r="N15" i="21"/>
  <c r="D15" i="21"/>
  <c r="B15" i="21"/>
  <c r="Z14" i="21"/>
  <c r="P14" i="21"/>
  <c r="X14" i="21" s="1"/>
  <c r="N14" i="21"/>
  <c r="L14" i="21"/>
  <c r="D14" i="21"/>
  <c r="B14" i="21"/>
  <c r="P13" i="21"/>
  <c r="P12" i="21" s="1"/>
  <c r="D13" i="21"/>
  <c r="L13" i="21" s="1"/>
  <c r="N13" i="21" s="1"/>
  <c r="B13" i="21"/>
  <c r="T12" i="21"/>
  <c r="V68" i="21" s="1"/>
  <c r="H12" i="21"/>
  <c r="D4" i="21"/>
  <c r="X284" i="18"/>
  <c r="Z284" i="18" s="1"/>
  <c r="L284" i="18"/>
  <c r="N284" i="18" s="1"/>
  <c r="X280" i="18"/>
  <c r="Z280" i="18" s="1"/>
  <c r="P280" i="18"/>
  <c r="L280" i="18"/>
  <c r="N280" i="18" s="1"/>
  <c r="D280" i="18"/>
  <c r="B280" i="18"/>
  <c r="Z279" i="18"/>
  <c r="X279" i="18"/>
  <c r="V279" i="18"/>
  <c r="P279" i="18"/>
  <c r="N279" i="18"/>
  <c r="L279" i="18"/>
  <c r="D279" i="18"/>
  <c r="B279" i="18"/>
  <c r="Z278" i="18"/>
  <c r="X278" i="18"/>
  <c r="P278" i="18"/>
  <c r="L278" i="18"/>
  <c r="N278" i="18" s="1"/>
  <c r="D278" i="18"/>
  <c r="B278" i="18"/>
  <c r="P277" i="18"/>
  <c r="X277" i="18" s="1"/>
  <c r="Z277" i="18" s="1"/>
  <c r="D277" i="18"/>
  <c r="L277" i="18" s="1"/>
  <c r="N277" i="18" s="1"/>
  <c r="B277" i="18"/>
  <c r="Z276" i="18"/>
  <c r="P276" i="18"/>
  <c r="N276" i="18"/>
  <c r="D276" i="18"/>
  <c r="L276" i="18" s="1"/>
  <c r="B276" i="18"/>
  <c r="Z275" i="18"/>
  <c r="X275" i="18"/>
  <c r="P275" i="18"/>
  <c r="N275" i="18"/>
  <c r="L275" i="18"/>
  <c r="D275" i="18"/>
  <c r="B275" i="18"/>
  <c r="Z274" i="18"/>
  <c r="P274" i="18"/>
  <c r="X274" i="18" s="1"/>
  <c r="N274" i="18"/>
  <c r="L274" i="18"/>
  <c r="J274" i="18"/>
  <c r="D274" i="18"/>
  <c r="B274" i="18"/>
  <c r="Z273" i="18"/>
  <c r="X273" i="18"/>
  <c r="P273" i="18"/>
  <c r="N273" i="18"/>
  <c r="D273" i="18"/>
  <c r="L273" i="18" s="1"/>
  <c r="B273" i="18"/>
  <c r="Z272" i="18"/>
  <c r="X272" i="18"/>
  <c r="P272" i="18"/>
  <c r="N272" i="18"/>
  <c r="D272" i="18"/>
  <c r="B272" i="18"/>
  <c r="T271" i="18"/>
  <c r="H271" i="18"/>
  <c r="X269" i="18"/>
  <c r="Z269" i="18" s="1"/>
  <c r="L269" i="18"/>
  <c r="N269" i="18" s="1"/>
  <c r="B269" i="18"/>
  <c r="X268" i="18"/>
  <c r="Z268" i="18" s="1"/>
  <c r="T268" i="18"/>
  <c r="P268" i="18"/>
  <c r="H268" i="18"/>
  <c r="D268" i="18"/>
  <c r="L268" i="18" s="1"/>
  <c r="N268" i="18" s="1"/>
  <c r="B268" i="18"/>
  <c r="Z267" i="18"/>
  <c r="X267" i="18"/>
  <c r="N267" i="18"/>
  <c r="L267" i="18"/>
  <c r="B267" i="18"/>
  <c r="Z266" i="18"/>
  <c r="X266" i="18"/>
  <c r="L266" i="18"/>
  <c r="N266" i="18" s="1"/>
  <c r="B266" i="18"/>
  <c r="Z265" i="18"/>
  <c r="X265" i="18"/>
  <c r="N265" i="18"/>
  <c r="L265" i="18"/>
  <c r="J265" i="18"/>
  <c r="B265" i="18"/>
  <c r="T264" i="18"/>
  <c r="P264" i="18"/>
  <c r="X264" i="18" s="1"/>
  <c r="H264" i="18"/>
  <c r="D264" i="18"/>
  <c r="B264" i="18"/>
  <c r="X263" i="18"/>
  <c r="Z263" i="18" s="1"/>
  <c r="N263" i="18"/>
  <c r="L263" i="18"/>
  <c r="B263" i="18"/>
  <c r="X262" i="18"/>
  <c r="Z262" i="18" s="1"/>
  <c r="T262" i="18"/>
  <c r="P262" i="18"/>
  <c r="H262" i="18"/>
  <c r="D262" i="18"/>
  <c r="L262" i="18" s="1"/>
  <c r="B262" i="18"/>
  <c r="Z261" i="18"/>
  <c r="X261" i="18"/>
  <c r="L261" i="18"/>
  <c r="N261" i="18" s="1"/>
  <c r="B261" i="18"/>
  <c r="X260" i="18"/>
  <c r="Z260" i="18" s="1"/>
  <c r="N260" i="18"/>
  <c r="L260" i="18"/>
  <c r="B260" i="18"/>
  <c r="T259" i="18"/>
  <c r="P259" i="18"/>
  <c r="X259" i="18" s="1"/>
  <c r="H259" i="18"/>
  <c r="D259" i="18"/>
  <c r="L259" i="18" s="1"/>
  <c r="B259" i="18"/>
  <c r="X258" i="18"/>
  <c r="Z258" i="18" s="1"/>
  <c r="N258" i="18"/>
  <c r="L258" i="18"/>
  <c r="B258" i="18"/>
  <c r="X257" i="18"/>
  <c r="Z257" i="18" s="1"/>
  <c r="L257" i="18"/>
  <c r="N257" i="18" s="1"/>
  <c r="J257" i="18"/>
  <c r="B257" i="18"/>
  <c r="Z256" i="18"/>
  <c r="X256" i="18"/>
  <c r="L256" i="18"/>
  <c r="N256" i="18" s="1"/>
  <c r="B256" i="18"/>
  <c r="Z255" i="18"/>
  <c r="X255" i="18"/>
  <c r="L255" i="18"/>
  <c r="N255" i="18" s="1"/>
  <c r="B255" i="18"/>
  <c r="X254" i="18"/>
  <c r="Z254" i="18" s="1"/>
  <c r="L254" i="18"/>
  <c r="N254" i="18" s="1"/>
  <c r="B254" i="18"/>
  <c r="Z253" i="18"/>
  <c r="X253" i="18"/>
  <c r="L253" i="18"/>
  <c r="N253" i="18" s="1"/>
  <c r="J253" i="18"/>
  <c r="B253" i="18"/>
  <c r="X252" i="18"/>
  <c r="Z252" i="18" s="1"/>
  <c r="L252" i="18"/>
  <c r="N252" i="18" s="1"/>
  <c r="B252" i="18"/>
  <c r="Z251" i="18"/>
  <c r="T251" i="18"/>
  <c r="P251" i="18"/>
  <c r="X251" i="18" s="1"/>
  <c r="H251" i="18"/>
  <c r="N251" i="18" s="1"/>
  <c r="D251" i="18"/>
  <c r="L251" i="18" s="1"/>
  <c r="B251" i="18"/>
  <c r="X250" i="18"/>
  <c r="Z250" i="18" s="1"/>
  <c r="N250" i="18"/>
  <c r="L250" i="18"/>
  <c r="B250" i="18"/>
  <c r="X249" i="18"/>
  <c r="Z249" i="18" s="1"/>
  <c r="V249" i="18"/>
  <c r="N249" i="18"/>
  <c r="L249" i="18"/>
  <c r="B249" i="18"/>
  <c r="T248" i="18"/>
  <c r="Z248" i="18" s="1"/>
  <c r="P248" i="18"/>
  <c r="X248" i="18" s="1"/>
  <c r="L248" i="18"/>
  <c r="H248" i="18"/>
  <c r="N248" i="18" s="1"/>
  <c r="D248" i="18"/>
  <c r="B248" i="18"/>
  <c r="X247" i="18"/>
  <c r="Z247" i="18" s="1"/>
  <c r="N247" i="18"/>
  <c r="L247" i="18"/>
  <c r="B247" i="18"/>
  <c r="Z246" i="18"/>
  <c r="X246" i="18"/>
  <c r="N246" i="18"/>
  <c r="L246" i="18"/>
  <c r="B246" i="18"/>
  <c r="Z245" i="18"/>
  <c r="X245" i="18"/>
  <c r="N245" i="18"/>
  <c r="L245" i="18"/>
  <c r="B245" i="18"/>
  <c r="X244" i="18"/>
  <c r="Z244" i="18" s="1"/>
  <c r="N244" i="18"/>
  <c r="L244" i="18"/>
  <c r="B244" i="18"/>
  <c r="T243" i="18"/>
  <c r="P243" i="18"/>
  <c r="X243" i="18" s="1"/>
  <c r="H243" i="18"/>
  <c r="N243" i="18" s="1"/>
  <c r="D243" i="18"/>
  <c r="L243" i="18" s="1"/>
  <c r="B243" i="18"/>
  <c r="Z242" i="18"/>
  <c r="X242" i="18"/>
  <c r="N242" i="18"/>
  <c r="L242" i="18"/>
  <c r="B242" i="18"/>
  <c r="X241" i="18"/>
  <c r="Z241" i="18" s="1"/>
  <c r="L241" i="18"/>
  <c r="N241" i="18" s="1"/>
  <c r="J241" i="18"/>
  <c r="B241" i="18"/>
  <c r="X240" i="18"/>
  <c r="Z240" i="18" s="1"/>
  <c r="L240" i="18"/>
  <c r="N240" i="18" s="1"/>
  <c r="B240" i="18"/>
  <c r="Z239" i="18"/>
  <c r="X239" i="18"/>
  <c r="L239" i="18"/>
  <c r="N239" i="18" s="1"/>
  <c r="B239" i="18"/>
  <c r="T238" i="18"/>
  <c r="P238" i="18"/>
  <c r="H238" i="18"/>
  <c r="D238" i="18"/>
  <c r="L238" i="18" s="1"/>
  <c r="B238" i="18"/>
  <c r="X237" i="18"/>
  <c r="Z237" i="18" s="1"/>
  <c r="V237" i="18"/>
  <c r="N237" i="18"/>
  <c r="L237" i="18"/>
  <c r="B237" i="18"/>
  <c r="X236" i="18"/>
  <c r="Z236" i="18" s="1"/>
  <c r="L236" i="18"/>
  <c r="N236" i="18" s="1"/>
  <c r="B236" i="18"/>
  <c r="X235" i="18"/>
  <c r="Z235" i="18" s="1"/>
  <c r="N235" i="18"/>
  <c r="L235" i="18"/>
  <c r="B235" i="18"/>
  <c r="X234" i="18"/>
  <c r="T234" i="18"/>
  <c r="Z234" i="18" s="1"/>
  <c r="P234" i="18"/>
  <c r="H234" i="18"/>
  <c r="D234" i="18"/>
  <c r="L234" i="18" s="1"/>
  <c r="B234" i="18"/>
  <c r="Z233" i="18"/>
  <c r="X233" i="18"/>
  <c r="N233" i="18"/>
  <c r="L233" i="18"/>
  <c r="B233" i="18"/>
  <c r="X232" i="18"/>
  <c r="Z232" i="18" s="1"/>
  <c r="T232" i="18"/>
  <c r="P232" i="18"/>
  <c r="H232" i="18"/>
  <c r="D232" i="18"/>
  <c r="L232" i="18" s="1"/>
  <c r="N232" i="18" s="1"/>
  <c r="B232" i="18"/>
  <c r="Z231" i="18"/>
  <c r="X231" i="18"/>
  <c r="L231" i="18"/>
  <c r="N231" i="18" s="1"/>
  <c r="B231" i="18"/>
  <c r="T230" i="18"/>
  <c r="P230" i="18"/>
  <c r="H230" i="18"/>
  <c r="N230" i="18" s="1"/>
  <c r="D230" i="18"/>
  <c r="L230" i="18" s="1"/>
  <c r="B230" i="18"/>
  <c r="X229" i="18"/>
  <c r="Z229" i="18" s="1"/>
  <c r="V229" i="18"/>
  <c r="N229" i="18"/>
  <c r="L229" i="18"/>
  <c r="B229" i="18"/>
  <c r="T228" i="18"/>
  <c r="Z228" i="18" s="1"/>
  <c r="P228" i="18"/>
  <c r="X228" i="18" s="1"/>
  <c r="H228" i="18"/>
  <c r="D228" i="18"/>
  <c r="L228" i="18" s="1"/>
  <c r="N228" i="18" s="1"/>
  <c r="B228" i="18"/>
  <c r="Z227" i="18"/>
  <c r="X227" i="18"/>
  <c r="N227" i="18"/>
  <c r="L227" i="18"/>
  <c r="B227" i="18"/>
  <c r="T226" i="18"/>
  <c r="P226" i="18"/>
  <c r="X226" i="18" s="1"/>
  <c r="Z226" i="18" s="1"/>
  <c r="L226" i="18"/>
  <c r="N226" i="18" s="1"/>
  <c r="H226" i="18"/>
  <c r="D226" i="18"/>
  <c r="B226" i="18"/>
  <c r="Z225" i="18"/>
  <c r="X225" i="18"/>
  <c r="L225" i="18"/>
  <c r="N225" i="18" s="1"/>
  <c r="J225" i="18"/>
  <c r="B225" i="18"/>
  <c r="X224" i="18"/>
  <c r="T224" i="18"/>
  <c r="Z224" i="18" s="1"/>
  <c r="P224" i="18"/>
  <c r="H224" i="18"/>
  <c r="D224" i="18"/>
  <c r="B224" i="18"/>
  <c r="X223" i="18"/>
  <c r="Z223" i="18" s="1"/>
  <c r="L223" i="18"/>
  <c r="N223" i="18" s="1"/>
  <c r="B223" i="18"/>
  <c r="Z222" i="18"/>
  <c r="X222" i="18"/>
  <c r="N222" i="18"/>
  <c r="L222" i="18"/>
  <c r="B222" i="18"/>
  <c r="X221" i="18"/>
  <c r="V221" i="18"/>
  <c r="T221" i="18"/>
  <c r="Z221" i="18" s="1"/>
  <c r="P221" i="18"/>
  <c r="L221" i="18"/>
  <c r="N221" i="18" s="1"/>
  <c r="H221" i="18"/>
  <c r="D221" i="18"/>
  <c r="B221" i="18"/>
  <c r="X220" i="18"/>
  <c r="Z220" i="18" s="1"/>
  <c r="L220" i="18"/>
  <c r="N220" i="18" s="1"/>
  <c r="B220" i="18"/>
  <c r="T219" i="18"/>
  <c r="P219" i="18"/>
  <c r="H219" i="18"/>
  <c r="D219" i="18"/>
  <c r="L219" i="18" s="1"/>
  <c r="B219" i="18"/>
  <c r="Z218" i="18"/>
  <c r="X218" i="18"/>
  <c r="L218" i="18"/>
  <c r="N218" i="18" s="1"/>
  <c r="B218" i="18"/>
  <c r="T217" i="18"/>
  <c r="Z217" i="18" s="1"/>
  <c r="P217" i="18"/>
  <c r="X217" i="18" s="1"/>
  <c r="H217" i="18"/>
  <c r="D217" i="18"/>
  <c r="L217" i="18" s="1"/>
  <c r="N217" i="18" s="1"/>
  <c r="B217" i="18"/>
  <c r="Z216" i="18"/>
  <c r="X216" i="18"/>
  <c r="N216" i="18"/>
  <c r="L216" i="18"/>
  <c r="B216" i="18"/>
  <c r="X215" i="18"/>
  <c r="Z215" i="18" s="1"/>
  <c r="L215" i="18"/>
  <c r="N215" i="18" s="1"/>
  <c r="B215" i="18"/>
  <c r="T214" i="18"/>
  <c r="P214" i="18"/>
  <c r="X214" i="18" s="1"/>
  <c r="H214" i="18"/>
  <c r="D214" i="18"/>
  <c r="L214" i="18" s="1"/>
  <c r="N214" i="18" s="1"/>
  <c r="B214" i="18"/>
  <c r="Z213" i="18"/>
  <c r="X213" i="18"/>
  <c r="N213" i="18"/>
  <c r="L213" i="18"/>
  <c r="B213" i="18"/>
  <c r="X212" i="18"/>
  <c r="Z212" i="18" s="1"/>
  <c r="N212" i="18"/>
  <c r="L212" i="18"/>
  <c r="B212" i="18"/>
  <c r="T211" i="18"/>
  <c r="P211" i="18"/>
  <c r="X211" i="18" s="1"/>
  <c r="H211" i="18"/>
  <c r="N211" i="18" s="1"/>
  <c r="D211" i="18"/>
  <c r="L211" i="18" s="1"/>
  <c r="B211" i="18"/>
  <c r="X210" i="18"/>
  <c r="Z210" i="18" s="1"/>
  <c r="N210" i="18"/>
  <c r="L210" i="18"/>
  <c r="B210" i="18"/>
  <c r="X209" i="18"/>
  <c r="Z209" i="18" s="1"/>
  <c r="L209" i="18"/>
  <c r="N209" i="18" s="1"/>
  <c r="J209" i="18"/>
  <c r="B209" i="18"/>
  <c r="X208" i="18"/>
  <c r="Z208" i="18" s="1"/>
  <c r="N208" i="18"/>
  <c r="L208" i="18"/>
  <c r="B208" i="18"/>
  <c r="Z207" i="18"/>
  <c r="T207" i="18"/>
  <c r="P207" i="18"/>
  <c r="X207" i="18" s="1"/>
  <c r="H207" i="18"/>
  <c r="D207" i="18"/>
  <c r="L207" i="18" s="1"/>
  <c r="B207" i="18"/>
  <c r="Z206" i="18"/>
  <c r="X206" i="18"/>
  <c r="N206" i="18"/>
  <c r="L206" i="18"/>
  <c r="B206" i="18"/>
  <c r="X205" i="18"/>
  <c r="V205" i="18"/>
  <c r="T205" i="18"/>
  <c r="Z205" i="18" s="1"/>
  <c r="P205" i="18"/>
  <c r="L205" i="18"/>
  <c r="H205" i="18"/>
  <c r="N205" i="18" s="1"/>
  <c r="D205" i="18"/>
  <c r="B205" i="18"/>
  <c r="X204" i="18"/>
  <c r="Z204" i="18" s="1"/>
  <c r="L204" i="18"/>
  <c r="N204" i="18" s="1"/>
  <c r="B204" i="18"/>
  <c r="X203" i="18"/>
  <c r="Z203" i="18" s="1"/>
  <c r="N203" i="18"/>
  <c r="L203" i="18"/>
  <c r="B203" i="18"/>
  <c r="T202" i="18"/>
  <c r="P202" i="18"/>
  <c r="X202" i="18" s="1"/>
  <c r="Z202" i="18" s="1"/>
  <c r="L202" i="18"/>
  <c r="N202" i="18" s="1"/>
  <c r="H202" i="18"/>
  <c r="D202" i="18"/>
  <c r="B202" i="18"/>
  <c r="X201" i="18"/>
  <c r="Z201" i="18" s="1"/>
  <c r="L201" i="18"/>
  <c r="N201" i="18" s="1"/>
  <c r="J201" i="18"/>
  <c r="B201" i="18"/>
  <c r="X200" i="18"/>
  <c r="T200" i="18"/>
  <c r="Z200" i="18" s="1"/>
  <c r="P200" i="18"/>
  <c r="H200" i="18"/>
  <c r="D200" i="18"/>
  <c r="L200" i="18" s="1"/>
  <c r="B200" i="18"/>
  <c r="Z199" i="18"/>
  <c r="X199" i="18"/>
  <c r="N199" i="18"/>
  <c r="L199" i="18"/>
  <c r="B199" i="18"/>
  <c r="Z198" i="18"/>
  <c r="X198" i="18"/>
  <c r="N198" i="18"/>
  <c r="L198" i="18"/>
  <c r="B198" i="18"/>
  <c r="X197" i="18"/>
  <c r="Z197" i="18" s="1"/>
  <c r="V197" i="18"/>
  <c r="L197" i="18"/>
  <c r="N197" i="18" s="1"/>
  <c r="B197" i="18"/>
  <c r="X196" i="18"/>
  <c r="Z196" i="18" s="1"/>
  <c r="L196" i="18"/>
  <c r="N196" i="18" s="1"/>
  <c r="B196" i="18"/>
  <c r="Z195" i="18"/>
  <c r="X195" i="18"/>
  <c r="N195" i="18"/>
  <c r="L195" i="18"/>
  <c r="B195" i="18"/>
  <c r="X194" i="18"/>
  <c r="Z194" i="18" s="1"/>
  <c r="N194" i="18"/>
  <c r="L194" i="18"/>
  <c r="B194" i="18"/>
  <c r="X193" i="18"/>
  <c r="Z193" i="18" s="1"/>
  <c r="V193" i="18"/>
  <c r="L193" i="18"/>
  <c r="N193" i="18" s="1"/>
  <c r="B193" i="18"/>
  <c r="Z192" i="18"/>
  <c r="X192" i="18"/>
  <c r="N192" i="18"/>
  <c r="L192" i="18"/>
  <c r="B192" i="18"/>
  <c r="X191" i="18"/>
  <c r="Z191" i="18" s="1"/>
  <c r="L191" i="18"/>
  <c r="N191" i="18" s="1"/>
  <c r="B191" i="18"/>
  <c r="X190" i="18"/>
  <c r="Z190" i="18" s="1"/>
  <c r="N190" i="18"/>
  <c r="L190" i="18"/>
  <c r="B190" i="18"/>
  <c r="X189" i="18"/>
  <c r="V189" i="18"/>
  <c r="T189" i="18"/>
  <c r="Z189" i="18" s="1"/>
  <c r="P189" i="18"/>
  <c r="L189" i="18"/>
  <c r="H189" i="18"/>
  <c r="N189" i="18" s="1"/>
  <c r="D189" i="18"/>
  <c r="B189" i="18"/>
  <c r="X188" i="18"/>
  <c r="Z188" i="18" s="1"/>
  <c r="N188" i="18"/>
  <c r="L188" i="18"/>
  <c r="B188" i="18"/>
  <c r="X187" i="18"/>
  <c r="Z187" i="18" s="1"/>
  <c r="N187" i="18"/>
  <c r="L187" i="18"/>
  <c r="B187" i="18"/>
  <c r="Z186" i="18"/>
  <c r="X186" i="18"/>
  <c r="N186" i="18"/>
  <c r="L186" i="18"/>
  <c r="B186" i="18"/>
  <c r="Z185" i="18"/>
  <c r="X185" i="18"/>
  <c r="N185" i="18"/>
  <c r="L185" i="18"/>
  <c r="B185" i="18"/>
  <c r="Z184" i="18"/>
  <c r="X184" i="18"/>
  <c r="N184" i="18"/>
  <c r="L184" i="18"/>
  <c r="B184" i="18"/>
  <c r="X183" i="18"/>
  <c r="Z183" i="18" s="1"/>
  <c r="N183" i="18"/>
  <c r="L183" i="18"/>
  <c r="B183" i="18"/>
  <c r="Z182" i="18"/>
  <c r="X182" i="18"/>
  <c r="N182" i="18"/>
  <c r="L182" i="18"/>
  <c r="B182" i="18"/>
  <c r="X181" i="18"/>
  <c r="Z181" i="18" s="1"/>
  <c r="N181" i="18"/>
  <c r="L181" i="18"/>
  <c r="B181" i="18"/>
  <c r="X180" i="18"/>
  <c r="Z180" i="18" s="1"/>
  <c r="L180" i="18"/>
  <c r="N180" i="18" s="1"/>
  <c r="B180" i="18"/>
  <c r="X179" i="18"/>
  <c r="Z179" i="18" s="1"/>
  <c r="N179" i="18"/>
  <c r="L179" i="18"/>
  <c r="B179" i="18"/>
  <c r="T178" i="18"/>
  <c r="P178" i="18"/>
  <c r="X178" i="18" s="1"/>
  <c r="Z178" i="18" s="1"/>
  <c r="L178" i="18"/>
  <c r="N178" i="18" s="1"/>
  <c r="H178" i="18"/>
  <c r="D178" i="18"/>
  <c r="B178" i="18"/>
  <c r="T177" i="18"/>
  <c r="P177" i="18"/>
  <c r="X177" i="18" s="1"/>
  <c r="N177" i="18"/>
  <c r="H177" i="18"/>
  <c r="D177" i="18"/>
  <c r="L177" i="18" s="1"/>
  <c r="Z173" i="18"/>
  <c r="X173" i="18"/>
  <c r="N173" i="18"/>
  <c r="L173" i="18"/>
  <c r="J173" i="18"/>
  <c r="B173" i="18"/>
  <c r="Z172" i="18"/>
  <c r="X172" i="18"/>
  <c r="N172" i="18"/>
  <c r="L172" i="18"/>
  <c r="B172" i="18"/>
  <c r="Z171" i="18"/>
  <c r="X171" i="18"/>
  <c r="N171" i="18"/>
  <c r="L171" i="18"/>
  <c r="B171" i="18"/>
  <c r="Z170" i="18"/>
  <c r="X170" i="18"/>
  <c r="N170" i="18"/>
  <c r="L170" i="18"/>
  <c r="B170" i="18"/>
  <c r="Z169" i="18"/>
  <c r="X169" i="18"/>
  <c r="N169" i="18"/>
  <c r="L169" i="18"/>
  <c r="J169" i="18"/>
  <c r="B169" i="18"/>
  <c r="Z168" i="18"/>
  <c r="X168" i="18"/>
  <c r="N168" i="18"/>
  <c r="L168" i="18"/>
  <c r="B168" i="18"/>
  <c r="Z167" i="18"/>
  <c r="X167" i="18"/>
  <c r="N167" i="18"/>
  <c r="L167" i="18"/>
  <c r="B167" i="18"/>
  <c r="Z166" i="18"/>
  <c r="X166" i="18"/>
  <c r="N166" i="18"/>
  <c r="L166" i="18"/>
  <c r="B166" i="18"/>
  <c r="Z165" i="18"/>
  <c r="X165" i="18"/>
  <c r="N165" i="18"/>
  <c r="L165" i="18"/>
  <c r="J165" i="18"/>
  <c r="B165" i="18"/>
  <c r="Z164" i="18"/>
  <c r="X164" i="18"/>
  <c r="N164" i="18"/>
  <c r="L164" i="18"/>
  <c r="B164" i="18"/>
  <c r="Z163" i="18"/>
  <c r="X163" i="18"/>
  <c r="N163" i="18"/>
  <c r="L163" i="18"/>
  <c r="B163" i="18"/>
  <c r="Z162" i="18"/>
  <c r="X162" i="18"/>
  <c r="N162" i="18"/>
  <c r="L162" i="18"/>
  <c r="B162" i="18"/>
  <c r="Z161" i="18"/>
  <c r="X161" i="18"/>
  <c r="N161" i="18"/>
  <c r="L161" i="18"/>
  <c r="J161" i="18"/>
  <c r="B161" i="18"/>
  <c r="Z160" i="18"/>
  <c r="X160" i="18"/>
  <c r="N160" i="18"/>
  <c r="L160" i="18"/>
  <c r="B160" i="18"/>
  <c r="Z159" i="18"/>
  <c r="X159" i="18"/>
  <c r="N159" i="18"/>
  <c r="L159" i="18"/>
  <c r="B159" i="18"/>
  <c r="Z158" i="18"/>
  <c r="X158" i="18"/>
  <c r="N158" i="18"/>
  <c r="L158" i="18"/>
  <c r="B158" i="18"/>
  <c r="Z157" i="18"/>
  <c r="X157" i="18"/>
  <c r="N157" i="18"/>
  <c r="L157" i="18"/>
  <c r="J157" i="18"/>
  <c r="B157" i="18"/>
  <c r="Z156" i="18"/>
  <c r="X156" i="18"/>
  <c r="N156" i="18"/>
  <c r="L156" i="18"/>
  <c r="B156" i="18"/>
  <c r="Z155" i="18"/>
  <c r="X155" i="18"/>
  <c r="N155" i="18"/>
  <c r="L155" i="18"/>
  <c r="B155" i="18"/>
  <c r="Z154" i="18"/>
  <c r="X154" i="18"/>
  <c r="N154" i="18"/>
  <c r="L154" i="18"/>
  <c r="B154" i="18"/>
  <c r="Z153" i="18"/>
  <c r="X153" i="18"/>
  <c r="N153" i="18"/>
  <c r="L153" i="18"/>
  <c r="J153" i="18"/>
  <c r="B153" i="18"/>
  <c r="Z152" i="18"/>
  <c r="X152" i="18"/>
  <c r="N152" i="18"/>
  <c r="L152" i="18"/>
  <c r="B152" i="18"/>
  <c r="Z151" i="18"/>
  <c r="X151" i="18"/>
  <c r="N151" i="18"/>
  <c r="L151" i="18"/>
  <c r="B151" i="18"/>
  <c r="Z150" i="18"/>
  <c r="X150" i="18"/>
  <c r="N150" i="18"/>
  <c r="L150" i="18"/>
  <c r="B150" i="18"/>
  <c r="Z149" i="18"/>
  <c r="X149" i="18"/>
  <c r="N149" i="18"/>
  <c r="L149" i="18"/>
  <c r="J149" i="18"/>
  <c r="B149" i="18"/>
  <c r="Z148" i="18"/>
  <c r="X148" i="18"/>
  <c r="N148" i="18"/>
  <c r="L148" i="18"/>
  <c r="B148" i="18"/>
  <c r="Z147" i="18"/>
  <c r="X147" i="18"/>
  <c r="N147" i="18"/>
  <c r="L147" i="18"/>
  <c r="B147" i="18"/>
  <c r="Z146" i="18"/>
  <c r="X146" i="18"/>
  <c r="N146" i="18"/>
  <c r="L146" i="18"/>
  <c r="B146" i="18"/>
  <c r="Z145" i="18"/>
  <c r="X145" i="18"/>
  <c r="N145" i="18"/>
  <c r="L145" i="18"/>
  <c r="J145" i="18"/>
  <c r="B145" i="18"/>
  <c r="Z144" i="18"/>
  <c r="X144" i="18"/>
  <c r="N144" i="18"/>
  <c r="L144" i="18"/>
  <c r="B144" i="18"/>
  <c r="Z143" i="18"/>
  <c r="X143" i="18"/>
  <c r="N143" i="18"/>
  <c r="L143" i="18"/>
  <c r="B143" i="18"/>
  <c r="Z142" i="18"/>
  <c r="X142" i="18"/>
  <c r="N142" i="18"/>
  <c r="L142" i="18"/>
  <c r="B142" i="18"/>
  <c r="Z141" i="18"/>
  <c r="X141" i="18"/>
  <c r="N141" i="18"/>
  <c r="L141" i="18"/>
  <c r="J141" i="18"/>
  <c r="B141" i="18"/>
  <c r="Z140" i="18"/>
  <c r="X140" i="18"/>
  <c r="N140" i="18"/>
  <c r="L140" i="18"/>
  <c r="B140" i="18"/>
  <c r="Z139" i="18"/>
  <c r="X139" i="18"/>
  <c r="N139" i="18"/>
  <c r="L139" i="18"/>
  <c r="B139" i="18"/>
  <c r="Z138" i="18"/>
  <c r="X138" i="18"/>
  <c r="N138" i="18"/>
  <c r="L138" i="18"/>
  <c r="B138" i="18"/>
  <c r="Z137" i="18"/>
  <c r="X137" i="18"/>
  <c r="N137" i="18"/>
  <c r="L137" i="18"/>
  <c r="J137" i="18"/>
  <c r="B137" i="18"/>
  <c r="Z136" i="18"/>
  <c r="X136" i="18"/>
  <c r="N136" i="18"/>
  <c r="L136" i="18"/>
  <c r="B136" i="18"/>
  <c r="Z135" i="18"/>
  <c r="X135" i="18"/>
  <c r="N135" i="18"/>
  <c r="L135" i="18"/>
  <c r="B135" i="18"/>
  <c r="Z134" i="18"/>
  <c r="X134" i="18"/>
  <c r="N134" i="18"/>
  <c r="L134" i="18"/>
  <c r="B134" i="18"/>
  <c r="Z133" i="18"/>
  <c r="X133" i="18"/>
  <c r="N133" i="18"/>
  <c r="L133" i="18"/>
  <c r="J133" i="18"/>
  <c r="B133" i="18"/>
  <c r="Z132" i="18"/>
  <c r="X132" i="18"/>
  <c r="N132" i="18"/>
  <c r="L132" i="18"/>
  <c r="B132" i="18"/>
  <c r="Z131" i="18"/>
  <c r="X131" i="18"/>
  <c r="N131" i="18"/>
  <c r="L131" i="18"/>
  <c r="B131" i="18"/>
  <c r="Z130" i="18"/>
  <c r="X130" i="18"/>
  <c r="N130" i="18"/>
  <c r="L130" i="18"/>
  <c r="B130" i="18"/>
  <c r="Z129" i="18"/>
  <c r="X129" i="18"/>
  <c r="N129" i="18"/>
  <c r="L129" i="18"/>
  <c r="J129" i="18"/>
  <c r="B129" i="18"/>
  <c r="Z128" i="18"/>
  <c r="X128" i="18"/>
  <c r="N128" i="18"/>
  <c r="L128" i="18"/>
  <c r="B128" i="18"/>
  <c r="Z127" i="18"/>
  <c r="X127" i="18"/>
  <c r="N127" i="18"/>
  <c r="L127" i="18"/>
  <c r="B127" i="18"/>
  <c r="Z126" i="18"/>
  <c r="X126" i="18"/>
  <c r="N126" i="18"/>
  <c r="L126" i="18"/>
  <c r="B126" i="18"/>
  <c r="Z125" i="18"/>
  <c r="X125" i="18"/>
  <c r="N125" i="18"/>
  <c r="L125" i="18"/>
  <c r="J125" i="18"/>
  <c r="B125" i="18"/>
  <c r="Z124" i="18"/>
  <c r="X124" i="18"/>
  <c r="N124" i="18"/>
  <c r="L124" i="18"/>
  <c r="B124" i="18"/>
  <c r="Z123" i="18"/>
  <c r="X123" i="18"/>
  <c r="N123" i="18"/>
  <c r="L123" i="18"/>
  <c r="B123" i="18"/>
  <c r="Z122" i="18"/>
  <c r="X122" i="18"/>
  <c r="N122" i="18"/>
  <c r="L122" i="18"/>
  <c r="B122" i="18"/>
  <c r="Z121" i="18"/>
  <c r="X121" i="18"/>
  <c r="N121" i="18"/>
  <c r="L121" i="18"/>
  <c r="J121" i="18"/>
  <c r="B121" i="18"/>
  <c r="Z120" i="18"/>
  <c r="X120" i="18"/>
  <c r="N120" i="18"/>
  <c r="L120" i="18"/>
  <c r="B120" i="18"/>
  <c r="Z119" i="18"/>
  <c r="X119" i="18"/>
  <c r="L119" i="18"/>
  <c r="N119" i="18" s="1"/>
  <c r="B119" i="18"/>
  <c r="T118" i="18"/>
  <c r="P118" i="18"/>
  <c r="X118" i="18" s="1"/>
  <c r="H118" i="18"/>
  <c r="N118" i="18" s="1"/>
  <c r="D118" i="18"/>
  <c r="L118" i="18" s="1"/>
  <c r="Z116" i="18"/>
  <c r="P116" i="18"/>
  <c r="X116" i="18" s="1"/>
  <c r="N116" i="18"/>
  <c r="D116" i="18"/>
  <c r="L116" i="18" s="1"/>
  <c r="B116" i="18"/>
  <c r="Z115" i="18"/>
  <c r="X115" i="18"/>
  <c r="P115" i="18"/>
  <c r="N115" i="18"/>
  <c r="L115" i="18"/>
  <c r="D115" i="18"/>
  <c r="B115" i="18"/>
  <c r="Z114" i="18"/>
  <c r="X114" i="18"/>
  <c r="P114" i="18"/>
  <c r="N114" i="18"/>
  <c r="L114" i="18"/>
  <c r="D114" i="18"/>
  <c r="B114" i="18"/>
  <c r="Z113" i="18"/>
  <c r="P113" i="18"/>
  <c r="X113" i="18" s="1"/>
  <c r="N113" i="18"/>
  <c r="D113" i="18"/>
  <c r="L113" i="18" s="1"/>
  <c r="B113" i="18"/>
  <c r="Z112" i="18"/>
  <c r="X112" i="18"/>
  <c r="P112" i="18"/>
  <c r="N112" i="18"/>
  <c r="L112" i="18"/>
  <c r="D112" i="18"/>
  <c r="B112" i="18"/>
  <c r="Z111" i="18"/>
  <c r="X111" i="18"/>
  <c r="P111" i="18"/>
  <c r="N111" i="18"/>
  <c r="L111" i="18"/>
  <c r="D111" i="18"/>
  <c r="B111" i="18"/>
  <c r="Z110" i="18"/>
  <c r="P110" i="18"/>
  <c r="X110" i="18" s="1"/>
  <c r="N110" i="18"/>
  <c r="D110" i="18"/>
  <c r="L110" i="18" s="1"/>
  <c r="B110" i="18"/>
  <c r="Z109" i="18"/>
  <c r="P109" i="18"/>
  <c r="X109" i="18" s="1"/>
  <c r="N109" i="18"/>
  <c r="L109" i="18"/>
  <c r="D109" i="18"/>
  <c r="B109" i="18"/>
  <c r="Z108" i="18"/>
  <c r="X108" i="18"/>
  <c r="P108" i="18"/>
  <c r="N108" i="18"/>
  <c r="L108" i="18"/>
  <c r="D108" i="18"/>
  <c r="B108" i="18"/>
  <c r="Z107" i="18"/>
  <c r="P107" i="18"/>
  <c r="X107" i="18" s="1"/>
  <c r="N107" i="18"/>
  <c r="D107" i="18"/>
  <c r="L107" i="18" s="1"/>
  <c r="B107" i="18"/>
  <c r="Z106" i="18"/>
  <c r="X106" i="18"/>
  <c r="P106" i="18"/>
  <c r="N106" i="18"/>
  <c r="D106" i="18"/>
  <c r="L106" i="18" s="1"/>
  <c r="B106" i="18"/>
  <c r="Z105" i="18"/>
  <c r="P105" i="18"/>
  <c r="X105" i="18" s="1"/>
  <c r="N105" i="18"/>
  <c r="L105" i="18"/>
  <c r="D105" i="18"/>
  <c r="B105" i="18"/>
  <c r="Z104" i="18"/>
  <c r="P104" i="18"/>
  <c r="X104" i="18" s="1"/>
  <c r="N104" i="18"/>
  <c r="D104" i="18"/>
  <c r="L104" i="18" s="1"/>
  <c r="B104" i="18"/>
  <c r="Z103" i="18"/>
  <c r="X103" i="18"/>
  <c r="P103" i="18"/>
  <c r="N103" i="18"/>
  <c r="L103" i="18"/>
  <c r="D103" i="18"/>
  <c r="B103" i="18"/>
  <c r="Z102" i="18"/>
  <c r="X102" i="18"/>
  <c r="P102" i="18"/>
  <c r="N102" i="18"/>
  <c r="L102" i="18"/>
  <c r="D102" i="18"/>
  <c r="B102" i="18"/>
  <c r="Z101" i="18"/>
  <c r="P101" i="18"/>
  <c r="X101" i="18" s="1"/>
  <c r="N101" i="18"/>
  <c r="D101" i="18"/>
  <c r="L101" i="18" s="1"/>
  <c r="B101" i="18"/>
  <c r="Z100" i="18"/>
  <c r="X100" i="18"/>
  <c r="P100" i="18"/>
  <c r="N100" i="18"/>
  <c r="L100" i="18"/>
  <c r="D100" i="18"/>
  <c r="B100" i="18"/>
  <c r="Z99" i="18"/>
  <c r="X99" i="18"/>
  <c r="P99" i="18"/>
  <c r="N99" i="18"/>
  <c r="L99" i="18"/>
  <c r="D99" i="18"/>
  <c r="B99" i="18"/>
  <c r="Z98" i="18"/>
  <c r="P98" i="18"/>
  <c r="X98" i="18" s="1"/>
  <c r="N98" i="18"/>
  <c r="D98" i="18"/>
  <c r="L98" i="18" s="1"/>
  <c r="B98" i="18"/>
  <c r="Z97" i="18"/>
  <c r="P97" i="18"/>
  <c r="X97" i="18" s="1"/>
  <c r="N97" i="18"/>
  <c r="L97" i="18"/>
  <c r="D97" i="18"/>
  <c r="B97" i="18"/>
  <c r="Z96" i="18"/>
  <c r="P96" i="18"/>
  <c r="X96" i="18" s="1"/>
  <c r="N96" i="18"/>
  <c r="L96" i="18"/>
  <c r="D96" i="18"/>
  <c r="B96" i="18"/>
  <c r="Z95" i="18"/>
  <c r="P95" i="18"/>
  <c r="X95" i="18" s="1"/>
  <c r="N95" i="18"/>
  <c r="D95" i="18"/>
  <c r="L95" i="18" s="1"/>
  <c r="B95" i="18"/>
  <c r="Z94" i="18"/>
  <c r="X94" i="18"/>
  <c r="P94" i="18"/>
  <c r="N94" i="18"/>
  <c r="D94" i="18"/>
  <c r="L94" i="18" s="1"/>
  <c r="B94" i="18"/>
  <c r="Z93" i="18"/>
  <c r="P93" i="18"/>
  <c r="X93" i="18" s="1"/>
  <c r="N93" i="18"/>
  <c r="L93" i="18"/>
  <c r="D93" i="18"/>
  <c r="B93" i="18"/>
  <c r="Z92" i="18"/>
  <c r="P92" i="18"/>
  <c r="X92" i="18" s="1"/>
  <c r="N92" i="18"/>
  <c r="D92" i="18"/>
  <c r="L92" i="18" s="1"/>
  <c r="B92" i="18"/>
  <c r="Z91" i="18"/>
  <c r="X91" i="18"/>
  <c r="P91" i="18"/>
  <c r="N91" i="18"/>
  <c r="L91" i="18"/>
  <c r="D91" i="18"/>
  <c r="B91" i="18"/>
  <c r="Z90" i="18"/>
  <c r="X90" i="18"/>
  <c r="P90" i="18"/>
  <c r="N90" i="18"/>
  <c r="L90" i="18"/>
  <c r="D90" i="18"/>
  <c r="B90" i="18"/>
  <c r="Z89" i="18"/>
  <c r="P89" i="18"/>
  <c r="X89" i="18" s="1"/>
  <c r="N89" i="18"/>
  <c r="D89" i="18"/>
  <c r="L89" i="18" s="1"/>
  <c r="B89" i="18"/>
  <c r="Z88" i="18"/>
  <c r="X88" i="18"/>
  <c r="P88" i="18"/>
  <c r="N88" i="18"/>
  <c r="L88" i="18"/>
  <c r="D88" i="18"/>
  <c r="B88" i="18"/>
  <c r="Z87" i="18"/>
  <c r="P87" i="18"/>
  <c r="X87" i="18" s="1"/>
  <c r="N87" i="18"/>
  <c r="L87" i="18"/>
  <c r="D87" i="18"/>
  <c r="B87" i="18"/>
  <c r="Z86" i="18"/>
  <c r="P86" i="18"/>
  <c r="X86" i="18" s="1"/>
  <c r="N86" i="18"/>
  <c r="D86" i="18"/>
  <c r="L86" i="18" s="1"/>
  <c r="B86" i="18"/>
  <c r="Z85" i="18"/>
  <c r="P85" i="18"/>
  <c r="X85" i="18" s="1"/>
  <c r="N85" i="18"/>
  <c r="L85" i="18"/>
  <c r="D85" i="18"/>
  <c r="B85" i="18"/>
  <c r="Z84" i="18"/>
  <c r="X84" i="18"/>
  <c r="P84" i="18"/>
  <c r="N84" i="18"/>
  <c r="L84" i="18"/>
  <c r="D84" i="18"/>
  <c r="B84" i="18"/>
  <c r="Z83" i="18"/>
  <c r="P83" i="18"/>
  <c r="X83" i="18" s="1"/>
  <c r="N83" i="18"/>
  <c r="D83" i="18"/>
  <c r="L83" i="18" s="1"/>
  <c r="B83" i="18"/>
  <c r="Z82" i="18"/>
  <c r="X82" i="18"/>
  <c r="P82" i="18"/>
  <c r="N82" i="18"/>
  <c r="D82" i="18"/>
  <c r="L82" i="18" s="1"/>
  <c r="B82" i="18"/>
  <c r="Z81" i="18"/>
  <c r="P81" i="18"/>
  <c r="X81" i="18" s="1"/>
  <c r="N81" i="18"/>
  <c r="L81" i="18"/>
  <c r="D81" i="18"/>
  <c r="B81" i="18"/>
  <c r="Z80" i="18"/>
  <c r="P80" i="18"/>
  <c r="X80" i="18" s="1"/>
  <c r="N80" i="18"/>
  <c r="D80" i="18"/>
  <c r="L80" i="18" s="1"/>
  <c r="B80" i="18"/>
  <c r="Z79" i="18"/>
  <c r="X79" i="18"/>
  <c r="P79" i="18"/>
  <c r="N79" i="18"/>
  <c r="L79" i="18"/>
  <c r="D79" i="18"/>
  <c r="B79" i="18"/>
  <c r="Z78" i="18"/>
  <c r="X78" i="18"/>
  <c r="P78" i="18"/>
  <c r="N78" i="18"/>
  <c r="L78" i="18"/>
  <c r="D78" i="18"/>
  <c r="B78" i="18"/>
  <c r="Z77" i="18"/>
  <c r="P77" i="18"/>
  <c r="X77" i="18" s="1"/>
  <c r="N77" i="18"/>
  <c r="D77" i="18"/>
  <c r="L77" i="18" s="1"/>
  <c r="B77" i="18"/>
  <c r="Z76" i="18"/>
  <c r="X76" i="18"/>
  <c r="P76" i="18"/>
  <c r="N76" i="18"/>
  <c r="L76" i="18"/>
  <c r="D76" i="18"/>
  <c r="B76" i="18"/>
  <c r="Z75" i="18"/>
  <c r="X75" i="18"/>
  <c r="P75" i="18"/>
  <c r="N75" i="18"/>
  <c r="L75" i="18"/>
  <c r="D75" i="18"/>
  <c r="B75" i="18"/>
  <c r="Z74" i="18"/>
  <c r="P74" i="18"/>
  <c r="X74" i="18" s="1"/>
  <c r="N74" i="18"/>
  <c r="D74" i="18"/>
  <c r="L74" i="18" s="1"/>
  <c r="B74" i="18"/>
  <c r="Z73" i="18"/>
  <c r="P73" i="18"/>
  <c r="X73" i="18" s="1"/>
  <c r="N73" i="18"/>
  <c r="L73" i="18"/>
  <c r="D73" i="18"/>
  <c r="B73" i="18"/>
  <c r="Z72" i="18"/>
  <c r="X72" i="18"/>
  <c r="P72" i="18"/>
  <c r="N72" i="18"/>
  <c r="L72" i="18"/>
  <c r="D72" i="18"/>
  <c r="B72" i="18"/>
  <c r="Z71" i="18"/>
  <c r="P71" i="18"/>
  <c r="X71" i="18" s="1"/>
  <c r="N71" i="18"/>
  <c r="D71" i="18"/>
  <c r="L71" i="18" s="1"/>
  <c r="B71" i="18"/>
  <c r="Z70" i="18"/>
  <c r="X70" i="18"/>
  <c r="P70" i="18"/>
  <c r="N70" i="18"/>
  <c r="D70" i="18"/>
  <c r="L70" i="18" s="1"/>
  <c r="B70" i="18"/>
  <c r="Z69" i="18"/>
  <c r="X69" i="18"/>
  <c r="P69" i="18"/>
  <c r="N69" i="18"/>
  <c r="L69" i="18"/>
  <c r="D69" i="18"/>
  <c r="B69" i="18"/>
  <c r="Z68" i="18"/>
  <c r="P68" i="18"/>
  <c r="X68" i="18" s="1"/>
  <c r="N68" i="18"/>
  <c r="L68" i="18"/>
  <c r="D68" i="18"/>
  <c r="B68" i="18"/>
  <c r="Z67" i="18"/>
  <c r="X67" i="18"/>
  <c r="P67" i="18"/>
  <c r="N67" i="18"/>
  <c r="L67" i="18"/>
  <c r="D67" i="18"/>
  <c r="B67" i="18"/>
  <c r="Z66" i="18"/>
  <c r="X66" i="18"/>
  <c r="P66" i="18"/>
  <c r="N66" i="18"/>
  <c r="L66" i="18"/>
  <c r="D66" i="18"/>
  <c r="B66" i="18"/>
  <c r="Z65" i="18"/>
  <c r="P65" i="18"/>
  <c r="X65" i="18" s="1"/>
  <c r="N65" i="18"/>
  <c r="D65" i="18"/>
  <c r="L65" i="18" s="1"/>
  <c r="B65" i="18"/>
  <c r="Z64" i="18"/>
  <c r="X64" i="18"/>
  <c r="P64" i="18"/>
  <c r="N64" i="18"/>
  <c r="L64" i="18"/>
  <c r="D64" i="18"/>
  <c r="B64" i="18"/>
  <c r="Z63" i="18"/>
  <c r="X63" i="18"/>
  <c r="P63" i="18"/>
  <c r="N63" i="18"/>
  <c r="L63" i="18"/>
  <c r="D63" i="18"/>
  <c r="B63" i="18"/>
  <c r="Z62" i="18"/>
  <c r="P62" i="18"/>
  <c r="X62" i="18" s="1"/>
  <c r="N62" i="18"/>
  <c r="D62" i="18"/>
  <c r="L62" i="18" s="1"/>
  <c r="B62" i="18"/>
  <c r="Z61" i="18"/>
  <c r="P61" i="18"/>
  <c r="X61" i="18" s="1"/>
  <c r="N61" i="18"/>
  <c r="L61" i="18"/>
  <c r="D61" i="18"/>
  <c r="B61" i="18"/>
  <c r="Z60" i="18"/>
  <c r="X60" i="18"/>
  <c r="P60" i="18"/>
  <c r="N60" i="18"/>
  <c r="L60" i="18"/>
  <c r="D60" i="18"/>
  <c r="B60" i="18"/>
  <c r="Z59" i="18"/>
  <c r="P59" i="18"/>
  <c r="X59" i="18" s="1"/>
  <c r="N59" i="18"/>
  <c r="D59" i="18"/>
  <c r="L59" i="18" s="1"/>
  <c r="B59" i="18"/>
  <c r="Z58" i="18"/>
  <c r="P58" i="18"/>
  <c r="X58" i="18" s="1"/>
  <c r="N58" i="18"/>
  <c r="D58" i="18"/>
  <c r="L58" i="18" s="1"/>
  <c r="B58" i="18"/>
  <c r="Z57" i="18"/>
  <c r="X57" i="18"/>
  <c r="P57" i="18"/>
  <c r="N57" i="18"/>
  <c r="L57" i="18"/>
  <c r="D57" i="18"/>
  <c r="B57" i="18"/>
  <c r="Z56" i="18"/>
  <c r="P56" i="18"/>
  <c r="X56" i="18" s="1"/>
  <c r="N56" i="18"/>
  <c r="L56" i="18"/>
  <c r="D56" i="18"/>
  <c r="B56" i="18"/>
  <c r="Z55" i="18"/>
  <c r="X55" i="18"/>
  <c r="P55" i="18"/>
  <c r="N55" i="18"/>
  <c r="L55" i="18"/>
  <c r="D55" i="18"/>
  <c r="B55" i="18"/>
  <c r="Z54" i="18"/>
  <c r="X54" i="18"/>
  <c r="P54" i="18"/>
  <c r="N54" i="18"/>
  <c r="L54" i="18"/>
  <c r="D54" i="18"/>
  <c r="B54" i="18"/>
  <c r="Z53" i="18"/>
  <c r="P53" i="18"/>
  <c r="X53" i="18" s="1"/>
  <c r="N53" i="18"/>
  <c r="D53" i="18"/>
  <c r="L53" i="18" s="1"/>
  <c r="B53" i="18"/>
  <c r="Z52" i="18"/>
  <c r="X52" i="18"/>
  <c r="P52" i="18"/>
  <c r="N52" i="18"/>
  <c r="L52" i="18"/>
  <c r="D52" i="18"/>
  <c r="B52" i="18"/>
  <c r="Z51" i="18"/>
  <c r="X51" i="18"/>
  <c r="P51" i="18"/>
  <c r="N51" i="18"/>
  <c r="L51" i="18"/>
  <c r="D51" i="18"/>
  <c r="B51" i="18"/>
  <c r="P50" i="18"/>
  <c r="X50" i="18" s="1"/>
  <c r="Z50" i="18" s="1"/>
  <c r="D50" i="18"/>
  <c r="L50" i="18" s="1"/>
  <c r="N50" i="18" s="1"/>
  <c r="B50" i="18"/>
  <c r="Z49" i="18"/>
  <c r="P49" i="18"/>
  <c r="X49" i="18" s="1"/>
  <c r="N49" i="18"/>
  <c r="L49" i="18"/>
  <c r="D49" i="18"/>
  <c r="B49" i="18"/>
  <c r="Z48" i="18"/>
  <c r="P48" i="18"/>
  <c r="X48" i="18" s="1"/>
  <c r="N48" i="18"/>
  <c r="L48" i="18"/>
  <c r="D48" i="18"/>
  <c r="B48" i="18"/>
  <c r="Z47" i="18"/>
  <c r="X47" i="18"/>
  <c r="P47" i="18"/>
  <c r="N47" i="18"/>
  <c r="D47" i="18"/>
  <c r="L47" i="18" s="1"/>
  <c r="B47" i="18"/>
  <c r="Z46" i="18"/>
  <c r="P46" i="18"/>
  <c r="X46" i="18" s="1"/>
  <c r="N46" i="18"/>
  <c r="D46" i="18"/>
  <c r="L46" i="18" s="1"/>
  <c r="B46" i="18"/>
  <c r="Z45" i="18"/>
  <c r="X45" i="18"/>
  <c r="P45" i="18"/>
  <c r="N45" i="18"/>
  <c r="D45" i="18"/>
  <c r="L45" i="18" s="1"/>
  <c r="B45" i="18"/>
  <c r="Z44" i="18"/>
  <c r="P44" i="18"/>
  <c r="X44" i="18" s="1"/>
  <c r="N44" i="18"/>
  <c r="L44" i="18"/>
  <c r="D44" i="18"/>
  <c r="B44" i="18"/>
  <c r="Z43" i="18"/>
  <c r="X43" i="18"/>
  <c r="P43" i="18"/>
  <c r="N43" i="18"/>
  <c r="L43" i="18"/>
  <c r="D43" i="18"/>
  <c r="B43" i="18"/>
  <c r="Z42" i="18"/>
  <c r="X42" i="18"/>
  <c r="P42" i="18"/>
  <c r="N42" i="18"/>
  <c r="L42" i="18"/>
  <c r="D42" i="18"/>
  <c r="B42" i="18"/>
  <c r="Z41" i="18"/>
  <c r="P41" i="18"/>
  <c r="X41" i="18" s="1"/>
  <c r="N41" i="18"/>
  <c r="D41" i="18"/>
  <c r="L41" i="18" s="1"/>
  <c r="B41" i="18"/>
  <c r="Z40" i="18"/>
  <c r="X40" i="18"/>
  <c r="P40" i="18"/>
  <c r="N40" i="18"/>
  <c r="L40" i="18"/>
  <c r="D40" i="18"/>
  <c r="B40" i="18"/>
  <c r="Z39" i="18"/>
  <c r="P39" i="18"/>
  <c r="X39" i="18" s="1"/>
  <c r="N39" i="18"/>
  <c r="L39" i="18"/>
  <c r="D39" i="18"/>
  <c r="B39" i="18"/>
  <c r="Z38" i="18"/>
  <c r="P38" i="18"/>
  <c r="X38" i="18" s="1"/>
  <c r="N38" i="18"/>
  <c r="L38" i="18"/>
  <c r="D38" i="18"/>
  <c r="B38" i="18"/>
  <c r="Z37" i="18"/>
  <c r="P37" i="18"/>
  <c r="X37" i="18" s="1"/>
  <c r="N37" i="18"/>
  <c r="L37" i="18"/>
  <c r="D37" i="18"/>
  <c r="B37" i="18"/>
  <c r="Z36" i="18"/>
  <c r="P36" i="18"/>
  <c r="X36" i="18" s="1"/>
  <c r="N36" i="18"/>
  <c r="D36" i="18"/>
  <c r="L36" i="18" s="1"/>
  <c r="B36" i="18"/>
  <c r="Z35" i="18"/>
  <c r="P35" i="18"/>
  <c r="X35" i="18" s="1"/>
  <c r="N35" i="18"/>
  <c r="D35" i="18"/>
  <c r="L35" i="18" s="1"/>
  <c r="B35" i="18"/>
  <c r="Z34" i="18"/>
  <c r="P34" i="18"/>
  <c r="X34" i="18" s="1"/>
  <c r="N34" i="18"/>
  <c r="D34" i="18"/>
  <c r="L34" i="18" s="1"/>
  <c r="B34" i="18"/>
  <c r="Z33" i="18"/>
  <c r="P33" i="18"/>
  <c r="X33" i="18" s="1"/>
  <c r="N33" i="18"/>
  <c r="L33" i="18"/>
  <c r="D33" i="18"/>
  <c r="B33" i="18"/>
  <c r="Z32" i="18"/>
  <c r="P32" i="18"/>
  <c r="X32" i="18" s="1"/>
  <c r="N32" i="18"/>
  <c r="L32" i="18"/>
  <c r="D32" i="18"/>
  <c r="B32" i="18"/>
  <c r="Z31" i="18"/>
  <c r="X31" i="18"/>
  <c r="P31" i="18"/>
  <c r="N31" i="18"/>
  <c r="L31" i="18"/>
  <c r="D31" i="18"/>
  <c r="B31" i="18"/>
  <c r="Z30" i="18"/>
  <c r="X30" i="18"/>
  <c r="P30" i="18"/>
  <c r="N30" i="18"/>
  <c r="L30" i="18"/>
  <c r="D30" i="18"/>
  <c r="B30" i="18"/>
  <c r="Z29" i="18"/>
  <c r="P29" i="18"/>
  <c r="X29" i="18" s="1"/>
  <c r="N29" i="18"/>
  <c r="D29" i="18"/>
  <c r="L29" i="18" s="1"/>
  <c r="B29" i="18"/>
  <c r="Z28" i="18"/>
  <c r="P28" i="18"/>
  <c r="X28" i="18" s="1"/>
  <c r="N28" i="18"/>
  <c r="L28" i="18"/>
  <c r="D28" i="18"/>
  <c r="B28" i="18"/>
  <c r="Z27" i="18"/>
  <c r="P27" i="18"/>
  <c r="X27" i="18" s="1"/>
  <c r="N27" i="18"/>
  <c r="L27" i="18"/>
  <c r="D27" i="18"/>
  <c r="B27" i="18"/>
  <c r="Z26" i="18"/>
  <c r="P26" i="18"/>
  <c r="X26" i="18" s="1"/>
  <c r="N26" i="18"/>
  <c r="D26" i="18"/>
  <c r="L26" i="18" s="1"/>
  <c r="B26" i="18"/>
  <c r="Z25" i="18"/>
  <c r="P25" i="18"/>
  <c r="X25" i="18" s="1"/>
  <c r="N25" i="18"/>
  <c r="L25" i="18"/>
  <c r="D25" i="18"/>
  <c r="B25" i="18"/>
  <c r="Z24" i="18"/>
  <c r="X24" i="18"/>
  <c r="P24" i="18"/>
  <c r="N24" i="18"/>
  <c r="L24" i="18"/>
  <c r="D24" i="18"/>
  <c r="B24" i="18"/>
  <c r="Z23" i="18"/>
  <c r="P23" i="18"/>
  <c r="X23" i="18" s="1"/>
  <c r="N23" i="18"/>
  <c r="D23" i="18"/>
  <c r="L23" i="18" s="1"/>
  <c r="B23" i="18"/>
  <c r="Z22" i="18"/>
  <c r="P22" i="18"/>
  <c r="X22" i="18" s="1"/>
  <c r="N22" i="18"/>
  <c r="D22" i="18"/>
  <c r="L22" i="18" s="1"/>
  <c r="B22" i="18"/>
  <c r="Z21" i="18"/>
  <c r="P21" i="18"/>
  <c r="X21" i="18" s="1"/>
  <c r="N21" i="18"/>
  <c r="L21" i="18"/>
  <c r="D21" i="18"/>
  <c r="B21" i="18"/>
  <c r="Z20" i="18"/>
  <c r="P20" i="18"/>
  <c r="X20" i="18" s="1"/>
  <c r="N20" i="18"/>
  <c r="L20" i="18"/>
  <c r="D20" i="18"/>
  <c r="B20" i="18"/>
  <c r="Z19" i="18"/>
  <c r="X19" i="18"/>
  <c r="P19" i="18"/>
  <c r="N19" i="18"/>
  <c r="D19" i="18"/>
  <c r="L19" i="18" s="1"/>
  <c r="B19" i="18"/>
  <c r="Z18" i="18"/>
  <c r="X18" i="18"/>
  <c r="P18" i="18"/>
  <c r="N18" i="18"/>
  <c r="L18" i="18"/>
  <c r="D18" i="18"/>
  <c r="B18" i="18"/>
  <c r="Z17" i="18"/>
  <c r="P17" i="18"/>
  <c r="X17" i="18" s="1"/>
  <c r="N17" i="18"/>
  <c r="D17" i="18"/>
  <c r="L17" i="18" s="1"/>
  <c r="B17" i="18"/>
  <c r="Z16" i="18"/>
  <c r="P16" i="18"/>
  <c r="X16" i="18" s="1"/>
  <c r="N16" i="18"/>
  <c r="L16" i="18"/>
  <c r="D16" i="18"/>
  <c r="B16" i="18"/>
  <c r="Z15" i="18"/>
  <c r="X15" i="18"/>
  <c r="P15" i="18"/>
  <c r="N15" i="18"/>
  <c r="L15" i="18"/>
  <c r="D15" i="18"/>
  <c r="B15" i="18"/>
  <c r="Z14" i="18"/>
  <c r="P14" i="18"/>
  <c r="X14" i="18" s="1"/>
  <c r="N14" i="18"/>
  <c r="D14" i="18"/>
  <c r="L14" i="18" s="1"/>
  <c r="B14" i="18"/>
  <c r="P13" i="18"/>
  <c r="D13" i="18"/>
  <c r="L13" i="18" s="1"/>
  <c r="N13" i="18" s="1"/>
  <c r="B13" i="18"/>
  <c r="T12" i="18"/>
  <c r="H12" i="18"/>
  <c r="J275" i="18" s="1"/>
  <c r="D4" i="18"/>
  <c r="X258" i="15"/>
  <c r="Z258" i="15" s="1"/>
  <c r="L258" i="15"/>
  <c r="N258" i="15" s="1"/>
  <c r="P254" i="15"/>
  <c r="X254" i="15" s="1"/>
  <c r="Z254" i="15" s="1"/>
  <c r="D254" i="15"/>
  <c r="L254" i="15" s="1"/>
  <c r="N254" i="15" s="1"/>
  <c r="B254" i="15"/>
  <c r="Z253" i="15"/>
  <c r="X253" i="15"/>
  <c r="P253" i="15"/>
  <c r="N253" i="15"/>
  <c r="L253" i="15"/>
  <c r="D253" i="15"/>
  <c r="B253" i="15"/>
  <c r="X252" i="15"/>
  <c r="Z252" i="15" s="1"/>
  <c r="P252" i="15"/>
  <c r="D252" i="15"/>
  <c r="L252" i="15" s="1"/>
  <c r="N252" i="15" s="1"/>
  <c r="B252" i="15"/>
  <c r="Z251" i="15"/>
  <c r="X251" i="15"/>
  <c r="P251" i="15"/>
  <c r="L251" i="15"/>
  <c r="N251" i="15" s="1"/>
  <c r="D251" i="15"/>
  <c r="B251" i="15"/>
  <c r="Z250" i="15"/>
  <c r="P250" i="15"/>
  <c r="X250" i="15" s="1"/>
  <c r="N250" i="15"/>
  <c r="D250" i="15"/>
  <c r="L250" i="15" s="1"/>
  <c r="B250" i="15"/>
  <c r="Z249" i="15"/>
  <c r="P249" i="15"/>
  <c r="X249" i="15" s="1"/>
  <c r="N249" i="15"/>
  <c r="L249" i="15"/>
  <c r="D249" i="15"/>
  <c r="B249" i="15"/>
  <c r="Z248" i="15"/>
  <c r="X248" i="15"/>
  <c r="P248" i="15"/>
  <c r="N248" i="15"/>
  <c r="L248" i="15"/>
  <c r="D248" i="15"/>
  <c r="B248" i="15"/>
  <c r="T247" i="15"/>
  <c r="H247" i="15"/>
  <c r="Z245" i="15"/>
  <c r="X245" i="15"/>
  <c r="L245" i="15"/>
  <c r="N245" i="15" s="1"/>
  <c r="B245" i="15"/>
  <c r="T244" i="15"/>
  <c r="P244" i="15"/>
  <c r="X244" i="15" s="1"/>
  <c r="H244" i="15"/>
  <c r="D244" i="15"/>
  <c r="L244" i="15" s="1"/>
  <c r="B244" i="15"/>
  <c r="X243" i="15"/>
  <c r="Z243" i="15" s="1"/>
  <c r="N243" i="15"/>
  <c r="L243" i="15"/>
  <c r="B243" i="15"/>
  <c r="Z242" i="15"/>
  <c r="X242" i="15"/>
  <c r="L242" i="15"/>
  <c r="N242" i="15" s="1"/>
  <c r="B242" i="15"/>
  <c r="Z241" i="15"/>
  <c r="X241" i="15"/>
  <c r="N241" i="15"/>
  <c r="L241" i="15"/>
  <c r="B241" i="15"/>
  <c r="T240" i="15"/>
  <c r="P240" i="15"/>
  <c r="X240" i="15" s="1"/>
  <c r="N240" i="15"/>
  <c r="H240" i="15"/>
  <c r="D240" i="15"/>
  <c r="L240" i="15" s="1"/>
  <c r="B240" i="15"/>
  <c r="X239" i="15"/>
  <c r="Z239" i="15" s="1"/>
  <c r="L239" i="15"/>
  <c r="N239" i="15" s="1"/>
  <c r="B239" i="15"/>
  <c r="X238" i="15"/>
  <c r="T238" i="15"/>
  <c r="Z238" i="15" s="1"/>
  <c r="P238" i="15"/>
  <c r="L238" i="15"/>
  <c r="H238" i="15"/>
  <c r="N238" i="15" s="1"/>
  <c r="D238" i="15"/>
  <c r="B238" i="15"/>
  <c r="Z237" i="15"/>
  <c r="X237" i="15"/>
  <c r="L237" i="15"/>
  <c r="N237" i="15" s="1"/>
  <c r="B237" i="15"/>
  <c r="X236" i="15"/>
  <c r="Z236" i="15" s="1"/>
  <c r="N236" i="15"/>
  <c r="L236" i="15"/>
  <c r="B236" i="15"/>
  <c r="X235" i="15"/>
  <c r="Z235" i="15" s="1"/>
  <c r="T235" i="15"/>
  <c r="P235" i="15"/>
  <c r="H235" i="15"/>
  <c r="D235" i="15"/>
  <c r="L235" i="15" s="1"/>
  <c r="N235" i="15" s="1"/>
  <c r="B235" i="15"/>
  <c r="Z234" i="15"/>
  <c r="X234" i="15"/>
  <c r="L234" i="15"/>
  <c r="N234" i="15" s="1"/>
  <c r="B234" i="15"/>
  <c r="X233" i="15"/>
  <c r="Z233" i="15" s="1"/>
  <c r="N233" i="15"/>
  <c r="L233" i="15"/>
  <c r="B233" i="15"/>
  <c r="X232" i="15"/>
  <c r="Z232" i="15" s="1"/>
  <c r="L232" i="15"/>
  <c r="N232" i="15" s="1"/>
  <c r="B232" i="15"/>
  <c r="Z231" i="15"/>
  <c r="X231" i="15"/>
  <c r="L231" i="15"/>
  <c r="N231" i="15" s="1"/>
  <c r="B231" i="15"/>
  <c r="Z230" i="15"/>
  <c r="X230" i="15"/>
  <c r="L230" i="15"/>
  <c r="N230" i="15" s="1"/>
  <c r="B230" i="15"/>
  <c r="X229" i="15"/>
  <c r="Z229" i="15" s="1"/>
  <c r="L229" i="15"/>
  <c r="N229" i="15" s="1"/>
  <c r="B229" i="15"/>
  <c r="X228" i="15"/>
  <c r="Z228" i="15" s="1"/>
  <c r="L228" i="15"/>
  <c r="N228" i="15" s="1"/>
  <c r="B228" i="15"/>
  <c r="T227" i="15"/>
  <c r="P227" i="15"/>
  <c r="X227" i="15" s="1"/>
  <c r="Z227" i="15" s="1"/>
  <c r="H227" i="15"/>
  <c r="D227" i="15"/>
  <c r="L227" i="15" s="1"/>
  <c r="B227" i="15"/>
  <c r="X226" i="15"/>
  <c r="Z226" i="15" s="1"/>
  <c r="N226" i="15"/>
  <c r="L226" i="15"/>
  <c r="B226" i="15"/>
  <c r="X225" i="15"/>
  <c r="Z225" i="15" s="1"/>
  <c r="N225" i="15"/>
  <c r="L225" i="15"/>
  <c r="B225" i="15"/>
  <c r="X224" i="15"/>
  <c r="T224" i="15"/>
  <c r="Z224" i="15" s="1"/>
  <c r="P224" i="15"/>
  <c r="L224" i="15"/>
  <c r="H224" i="15"/>
  <c r="N224" i="15" s="1"/>
  <c r="D224" i="15"/>
  <c r="B224" i="15"/>
  <c r="X223" i="15"/>
  <c r="Z223" i="15" s="1"/>
  <c r="L223" i="15"/>
  <c r="N223" i="15" s="1"/>
  <c r="B223" i="15"/>
  <c r="X222" i="15"/>
  <c r="Z222" i="15" s="1"/>
  <c r="N222" i="15"/>
  <c r="L222" i="15"/>
  <c r="B222" i="15"/>
  <c r="Z221" i="15"/>
  <c r="X221" i="15"/>
  <c r="N221" i="15"/>
  <c r="L221" i="15"/>
  <c r="B221" i="15"/>
  <c r="Z220" i="15"/>
  <c r="X220" i="15"/>
  <c r="L220" i="15"/>
  <c r="N220" i="15" s="1"/>
  <c r="B220" i="15"/>
  <c r="X219" i="15"/>
  <c r="Z219" i="15" s="1"/>
  <c r="T219" i="15"/>
  <c r="P219" i="15"/>
  <c r="H219" i="15"/>
  <c r="D219" i="15"/>
  <c r="L219" i="15" s="1"/>
  <c r="N219" i="15" s="1"/>
  <c r="B219" i="15"/>
  <c r="Z218" i="15"/>
  <c r="X218" i="15"/>
  <c r="N218" i="15"/>
  <c r="L218" i="15"/>
  <c r="B218" i="15"/>
  <c r="X217" i="15"/>
  <c r="Z217" i="15" s="1"/>
  <c r="L217" i="15"/>
  <c r="N217" i="15" s="1"/>
  <c r="B217" i="15"/>
  <c r="Z216" i="15"/>
  <c r="X216" i="15"/>
  <c r="L216" i="15"/>
  <c r="N216" i="15" s="1"/>
  <c r="B216" i="15"/>
  <c r="X215" i="15"/>
  <c r="Z215" i="15" s="1"/>
  <c r="L215" i="15"/>
  <c r="N215" i="15" s="1"/>
  <c r="B215" i="15"/>
  <c r="Z214" i="15"/>
  <c r="T214" i="15"/>
  <c r="P214" i="15"/>
  <c r="X214" i="15" s="1"/>
  <c r="H214" i="15"/>
  <c r="D214" i="15"/>
  <c r="L214" i="15" s="1"/>
  <c r="B214" i="15"/>
  <c r="X213" i="15"/>
  <c r="Z213" i="15" s="1"/>
  <c r="N213" i="15"/>
  <c r="L213" i="15"/>
  <c r="B213" i="15"/>
  <c r="X212" i="15"/>
  <c r="Z212" i="15" s="1"/>
  <c r="N212" i="15"/>
  <c r="L212" i="15"/>
  <c r="B212" i="15"/>
  <c r="X211" i="15"/>
  <c r="Z211" i="15" s="1"/>
  <c r="N211" i="15"/>
  <c r="L211" i="15"/>
  <c r="B211" i="15"/>
  <c r="X210" i="15"/>
  <c r="T210" i="15"/>
  <c r="Z210" i="15" s="1"/>
  <c r="P210" i="15"/>
  <c r="L210" i="15"/>
  <c r="H210" i="15"/>
  <c r="N210" i="15" s="1"/>
  <c r="D210" i="15"/>
  <c r="B210" i="15"/>
  <c r="Z209" i="15"/>
  <c r="X209" i="15"/>
  <c r="N209" i="15"/>
  <c r="L209" i="15"/>
  <c r="B209" i="15"/>
  <c r="T208" i="15"/>
  <c r="Z208" i="15" s="1"/>
  <c r="P208" i="15"/>
  <c r="X208" i="15" s="1"/>
  <c r="H208" i="15"/>
  <c r="N208" i="15" s="1"/>
  <c r="D208" i="15"/>
  <c r="L208" i="15" s="1"/>
  <c r="B208" i="15"/>
  <c r="X207" i="15"/>
  <c r="Z207" i="15" s="1"/>
  <c r="N207" i="15"/>
  <c r="L207" i="15"/>
  <c r="B207" i="15"/>
  <c r="T206" i="15"/>
  <c r="P206" i="15"/>
  <c r="X206" i="15" s="1"/>
  <c r="Z206" i="15" s="1"/>
  <c r="H206" i="15"/>
  <c r="D206" i="15"/>
  <c r="L206" i="15" s="1"/>
  <c r="B206" i="15"/>
  <c r="X205" i="15"/>
  <c r="Z205" i="15" s="1"/>
  <c r="N205" i="15"/>
  <c r="L205" i="15"/>
  <c r="B205" i="15"/>
  <c r="X204" i="15"/>
  <c r="T204" i="15"/>
  <c r="Z204" i="15" s="1"/>
  <c r="P204" i="15"/>
  <c r="L204" i="15"/>
  <c r="H204" i="15"/>
  <c r="N204" i="15" s="1"/>
  <c r="D204" i="15"/>
  <c r="B204" i="15"/>
  <c r="X203" i="15"/>
  <c r="Z203" i="15" s="1"/>
  <c r="N203" i="15"/>
  <c r="L203" i="15"/>
  <c r="B203" i="15"/>
  <c r="T202" i="15"/>
  <c r="Z202" i="15" s="1"/>
  <c r="P202" i="15"/>
  <c r="X202" i="15" s="1"/>
  <c r="H202" i="15"/>
  <c r="D202" i="15"/>
  <c r="L202" i="15" s="1"/>
  <c r="B202" i="15"/>
  <c r="Z201" i="15"/>
  <c r="X201" i="15"/>
  <c r="L201" i="15"/>
  <c r="N201" i="15" s="1"/>
  <c r="B201" i="15"/>
  <c r="T200" i="15"/>
  <c r="P200" i="15"/>
  <c r="X200" i="15" s="1"/>
  <c r="N200" i="15"/>
  <c r="H200" i="15"/>
  <c r="D200" i="15"/>
  <c r="L200" i="15" s="1"/>
  <c r="B200" i="15"/>
  <c r="Z199" i="15"/>
  <c r="X199" i="15"/>
  <c r="L199" i="15"/>
  <c r="N199" i="15" s="1"/>
  <c r="B199" i="15"/>
  <c r="X198" i="15"/>
  <c r="Z198" i="15" s="1"/>
  <c r="L198" i="15"/>
  <c r="N198" i="15" s="1"/>
  <c r="B198" i="15"/>
  <c r="X197" i="15"/>
  <c r="Z197" i="15" s="1"/>
  <c r="T197" i="15"/>
  <c r="P197" i="15"/>
  <c r="H197" i="15"/>
  <c r="D197" i="15"/>
  <c r="L197" i="15" s="1"/>
  <c r="B197" i="15"/>
  <c r="Z196" i="15"/>
  <c r="X196" i="15"/>
  <c r="N196" i="15"/>
  <c r="L196" i="15"/>
  <c r="B196" i="15"/>
  <c r="X195" i="15"/>
  <c r="Z195" i="15" s="1"/>
  <c r="T195" i="15"/>
  <c r="P195" i="15"/>
  <c r="H195" i="15"/>
  <c r="D195" i="15"/>
  <c r="L195" i="15" s="1"/>
  <c r="N195" i="15" s="1"/>
  <c r="B195" i="15"/>
  <c r="Z194" i="15"/>
  <c r="X194" i="15"/>
  <c r="L194" i="15"/>
  <c r="N194" i="15" s="1"/>
  <c r="B194" i="15"/>
  <c r="T193" i="15"/>
  <c r="P193" i="15"/>
  <c r="H193" i="15"/>
  <c r="D193" i="15"/>
  <c r="L193" i="15" s="1"/>
  <c r="N193" i="15" s="1"/>
  <c r="B193" i="15"/>
  <c r="Z192" i="15"/>
  <c r="X192" i="15"/>
  <c r="N192" i="15"/>
  <c r="L192" i="15"/>
  <c r="B192" i="15"/>
  <c r="X191" i="15"/>
  <c r="Z191" i="15" s="1"/>
  <c r="L191" i="15"/>
  <c r="N191" i="15" s="1"/>
  <c r="B191" i="15"/>
  <c r="X190" i="15"/>
  <c r="T190" i="15"/>
  <c r="Z190" i="15" s="1"/>
  <c r="P190" i="15"/>
  <c r="L190" i="15"/>
  <c r="N190" i="15" s="1"/>
  <c r="H190" i="15"/>
  <c r="D190" i="15"/>
  <c r="B190" i="15"/>
  <c r="Z189" i="15"/>
  <c r="X189" i="15"/>
  <c r="N189" i="15"/>
  <c r="L189" i="15"/>
  <c r="B189" i="15"/>
  <c r="X188" i="15"/>
  <c r="Z188" i="15" s="1"/>
  <c r="L188" i="15"/>
  <c r="N188" i="15" s="1"/>
  <c r="B188" i="15"/>
  <c r="X187" i="15"/>
  <c r="Z187" i="15" s="1"/>
  <c r="T187" i="15"/>
  <c r="P187" i="15"/>
  <c r="H187" i="15"/>
  <c r="D187" i="15"/>
  <c r="L187" i="15" s="1"/>
  <c r="N187" i="15" s="1"/>
  <c r="B187" i="15"/>
  <c r="Z186" i="15"/>
  <c r="X186" i="15"/>
  <c r="L186" i="15"/>
  <c r="N186" i="15" s="1"/>
  <c r="B186" i="15"/>
  <c r="X185" i="15"/>
  <c r="Z185" i="15" s="1"/>
  <c r="L185" i="15"/>
  <c r="N185" i="15" s="1"/>
  <c r="B185" i="15"/>
  <c r="X184" i="15"/>
  <c r="Z184" i="15" s="1"/>
  <c r="L184" i="15"/>
  <c r="N184" i="15" s="1"/>
  <c r="B184" i="15"/>
  <c r="T183" i="15"/>
  <c r="P183" i="15"/>
  <c r="X183" i="15" s="1"/>
  <c r="H183" i="15"/>
  <c r="D183" i="15"/>
  <c r="L183" i="15" s="1"/>
  <c r="B183" i="15"/>
  <c r="X182" i="15"/>
  <c r="Z182" i="15" s="1"/>
  <c r="N182" i="15"/>
  <c r="L182" i="15"/>
  <c r="B182" i="15"/>
  <c r="X181" i="15"/>
  <c r="T181" i="15"/>
  <c r="Z181" i="15" s="1"/>
  <c r="P181" i="15"/>
  <c r="H181" i="15"/>
  <c r="D181" i="15"/>
  <c r="L181" i="15" s="1"/>
  <c r="B181" i="15"/>
  <c r="Z180" i="15"/>
  <c r="X180" i="15"/>
  <c r="L180" i="15"/>
  <c r="N180" i="15" s="1"/>
  <c r="B180" i="15"/>
  <c r="X179" i="15"/>
  <c r="Z179" i="15" s="1"/>
  <c r="L179" i="15"/>
  <c r="N179" i="15" s="1"/>
  <c r="B179" i="15"/>
  <c r="T178" i="15"/>
  <c r="Z178" i="15" s="1"/>
  <c r="P178" i="15"/>
  <c r="X178" i="15" s="1"/>
  <c r="H178" i="15"/>
  <c r="D178" i="15"/>
  <c r="L178" i="15" s="1"/>
  <c r="B178" i="15"/>
  <c r="X177" i="15"/>
  <c r="Z177" i="15" s="1"/>
  <c r="N177" i="15"/>
  <c r="L177" i="15"/>
  <c r="B177" i="15"/>
  <c r="T176" i="15"/>
  <c r="Z176" i="15" s="1"/>
  <c r="P176" i="15"/>
  <c r="X176" i="15" s="1"/>
  <c r="H176" i="15"/>
  <c r="D176" i="15"/>
  <c r="L176" i="15" s="1"/>
  <c r="N176" i="15" s="1"/>
  <c r="B176" i="15"/>
  <c r="Z175" i="15"/>
  <c r="X175" i="15"/>
  <c r="N175" i="15"/>
  <c r="L175" i="15"/>
  <c r="B175" i="15"/>
  <c r="Z174" i="15"/>
  <c r="X174" i="15"/>
  <c r="N174" i="15"/>
  <c r="L174" i="15"/>
  <c r="B174" i="15"/>
  <c r="Z173" i="15"/>
  <c r="X173" i="15"/>
  <c r="N173" i="15"/>
  <c r="L173" i="15"/>
  <c r="B173" i="15"/>
  <c r="X172" i="15"/>
  <c r="Z172" i="15" s="1"/>
  <c r="L172" i="15"/>
  <c r="N172" i="15" s="1"/>
  <c r="B172" i="15"/>
  <c r="Z171" i="15"/>
  <c r="X171" i="15"/>
  <c r="N171" i="15"/>
  <c r="L171" i="15"/>
  <c r="B171" i="15"/>
  <c r="X170" i="15"/>
  <c r="Z170" i="15" s="1"/>
  <c r="L170" i="15"/>
  <c r="N170" i="15" s="1"/>
  <c r="B170" i="15"/>
  <c r="Z169" i="15"/>
  <c r="X169" i="15"/>
  <c r="N169" i="15"/>
  <c r="L169" i="15"/>
  <c r="B169" i="15"/>
  <c r="Z168" i="15"/>
  <c r="X168" i="15"/>
  <c r="N168" i="15"/>
  <c r="L168" i="15"/>
  <c r="B168" i="15"/>
  <c r="Z167" i="15"/>
  <c r="X167" i="15"/>
  <c r="L167" i="15"/>
  <c r="N167" i="15" s="1"/>
  <c r="B167" i="15"/>
  <c r="X166" i="15"/>
  <c r="Z166" i="15" s="1"/>
  <c r="L166" i="15"/>
  <c r="N166" i="15" s="1"/>
  <c r="B166" i="15"/>
  <c r="T165" i="15"/>
  <c r="Z165" i="15" s="1"/>
  <c r="P165" i="15"/>
  <c r="X165" i="15" s="1"/>
  <c r="H165" i="15"/>
  <c r="D165" i="15"/>
  <c r="L165" i="15" s="1"/>
  <c r="B165" i="15"/>
  <c r="X164" i="15"/>
  <c r="Z164" i="15" s="1"/>
  <c r="N164" i="15"/>
  <c r="L164" i="15"/>
  <c r="B164" i="15"/>
  <c r="X163" i="15"/>
  <c r="Z163" i="15" s="1"/>
  <c r="N163" i="15"/>
  <c r="L163" i="15"/>
  <c r="B163" i="15"/>
  <c r="X162" i="15"/>
  <c r="Z162" i="15" s="1"/>
  <c r="N162" i="15"/>
  <c r="L162" i="15"/>
  <c r="B162" i="15"/>
  <c r="Z161" i="15"/>
  <c r="X161" i="15"/>
  <c r="N161" i="15"/>
  <c r="L161" i="15"/>
  <c r="B161" i="15"/>
  <c r="Z160" i="15"/>
  <c r="X160" i="15"/>
  <c r="N160" i="15"/>
  <c r="L160" i="15"/>
  <c r="B160" i="15"/>
  <c r="X159" i="15"/>
  <c r="Z159" i="15" s="1"/>
  <c r="N159" i="15"/>
  <c r="L159" i="15"/>
  <c r="B159" i="15"/>
  <c r="X158" i="15"/>
  <c r="Z158" i="15" s="1"/>
  <c r="N158" i="15"/>
  <c r="L158" i="15"/>
  <c r="B158" i="15"/>
  <c r="Z157" i="15"/>
  <c r="X157" i="15"/>
  <c r="L157" i="15"/>
  <c r="N157" i="15" s="1"/>
  <c r="B157" i="15"/>
  <c r="X156" i="15"/>
  <c r="Z156" i="15" s="1"/>
  <c r="L156" i="15"/>
  <c r="N156" i="15" s="1"/>
  <c r="B156" i="15"/>
  <c r="X155" i="15"/>
  <c r="Z155" i="15" s="1"/>
  <c r="L155" i="15"/>
  <c r="N155" i="15" s="1"/>
  <c r="B155" i="15"/>
  <c r="T154" i="15"/>
  <c r="P154" i="15"/>
  <c r="X154" i="15" s="1"/>
  <c r="H154" i="15"/>
  <c r="D154" i="15"/>
  <c r="L154" i="15" s="1"/>
  <c r="B154" i="15"/>
  <c r="T153" i="15"/>
  <c r="P153" i="15"/>
  <c r="H153" i="15"/>
  <c r="D153" i="15"/>
  <c r="L153" i="15" s="1"/>
  <c r="Z149" i="15"/>
  <c r="X149" i="15"/>
  <c r="N149" i="15"/>
  <c r="L149" i="15"/>
  <c r="B149" i="15"/>
  <c r="Z148" i="15"/>
  <c r="X148" i="15"/>
  <c r="N148" i="15"/>
  <c r="L148" i="15"/>
  <c r="B148" i="15"/>
  <c r="Z147" i="15"/>
  <c r="X147" i="15"/>
  <c r="N147" i="15"/>
  <c r="L147" i="15"/>
  <c r="B147" i="15"/>
  <c r="Z146" i="15"/>
  <c r="X146" i="15"/>
  <c r="N146" i="15"/>
  <c r="L146" i="15"/>
  <c r="B146" i="15"/>
  <c r="Z145" i="15"/>
  <c r="X145" i="15"/>
  <c r="N145" i="15"/>
  <c r="L145" i="15"/>
  <c r="B145" i="15"/>
  <c r="Z144" i="15"/>
  <c r="X144" i="15"/>
  <c r="N144" i="15"/>
  <c r="L144" i="15"/>
  <c r="B144" i="15"/>
  <c r="Z143" i="15"/>
  <c r="X143" i="15"/>
  <c r="N143" i="15"/>
  <c r="L143" i="15"/>
  <c r="B143" i="15"/>
  <c r="Z142" i="15"/>
  <c r="X142" i="15"/>
  <c r="N142" i="15"/>
  <c r="L142" i="15"/>
  <c r="B142" i="15"/>
  <c r="Z141" i="15"/>
  <c r="X141" i="15"/>
  <c r="N141" i="15"/>
  <c r="L141" i="15"/>
  <c r="B141" i="15"/>
  <c r="Z140" i="15"/>
  <c r="X140" i="15"/>
  <c r="N140" i="15"/>
  <c r="L140" i="15"/>
  <c r="B140" i="15"/>
  <c r="Z139" i="15"/>
  <c r="X139" i="15"/>
  <c r="N139" i="15"/>
  <c r="L139" i="15"/>
  <c r="B139" i="15"/>
  <c r="Z138" i="15"/>
  <c r="X138" i="15"/>
  <c r="N138" i="15"/>
  <c r="L138" i="15"/>
  <c r="B138" i="15"/>
  <c r="Z137" i="15"/>
  <c r="X137" i="15"/>
  <c r="N137" i="15"/>
  <c r="L137" i="15"/>
  <c r="B137" i="15"/>
  <c r="Z136" i="15"/>
  <c r="X136" i="15"/>
  <c r="N136" i="15"/>
  <c r="L136" i="15"/>
  <c r="B136" i="15"/>
  <c r="Z135" i="15"/>
  <c r="X135" i="15"/>
  <c r="N135" i="15"/>
  <c r="L135" i="15"/>
  <c r="B135" i="15"/>
  <c r="Z134" i="15"/>
  <c r="X134" i="15"/>
  <c r="N134" i="15"/>
  <c r="L134" i="15"/>
  <c r="B134" i="15"/>
  <c r="Z133" i="15"/>
  <c r="X133" i="15"/>
  <c r="N133" i="15"/>
  <c r="L133" i="15"/>
  <c r="B133" i="15"/>
  <c r="Z132" i="15"/>
  <c r="X132" i="15"/>
  <c r="N132" i="15"/>
  <c r="L132" i="15"/>
  <c r="B132" i="15"/>
  <c r="Z131" i="15"/>
  <c r="X131" i="15"/>
  <c r="N131" i="15"/>
  <c r="L131" i="15"/>
  <c r="B131" i="15"/>
  <c r="Z130" i="15"/>
  <c r="X130" i="15"/>
  <c r="N130" i="15"/>
  <c r="L130" i="15"/>
  <c r="B130" i="15"/>
  <c r="Z129" i="15"/>
  <c r="X129" i="15"/>
  <c r="N129" i="15"/>
  <c r="L129" i="15"/>
  <c r="B129" i="15"/>
  <c r="Z128" i="15"/>
  <c r="X128" i="15"/>
  <c r="N128" i="15"/>
  <c r="L128" i="15"/>
  <c r="B128" i="15"/>
  <c r="Z127" i="15"/>
  <c r="X127" i="15"/>
  <c r="N127" i="15"/>
  <c r="L127" i="15"/>
  <c r="B127" i="15"/>
  <c r="Z126" i="15"/>
  <c r="X126" i="15"/>
  <c r="N126" i="15"/>
  <c r="L126" i="15"/>
  <c r="B126" i="15"/>
  <c r="Z125" i="15"/>
  <c r="X125" i="15"/>
  <c r="N125" i="15"/>
  <c r="L125" i="15"/>
  <c r="B125" i="15"/>
  <c r="Z124" i="15"/>
  <c r="X124" i="15"/>
  <c r="N124" i="15"/>
  <c r="L124" i="15"/>
  <c r="B124" i="15"/>
  <c r="Z123" i="15"/>
  <c r="X123" i="15"/>
  <c r="N123" i="15"/>
  <c r="L123" i="15"/>
  <c r="B123" i="15"/>
  <c r="Z122" i="15"/>
  <c r="X122" i="15"/>
  <c r="N122" i="15"/>
  <c r="L122" i="15"/>
  <c r="B122" i="15"/>
  <c r="Z121" i="15"/>
  <c r="X121" i="15"/>
  <c r="N121" i="15"/>
  <c r="L121" i="15"/>
  <c r="B121" i="15"/>
  <c r="Z120" i="15"/>
  <c r="X120" i="15"/>
  <c r="N120" i="15"/>
  <c r="L120" i="15"/>
  <c r="B120" i="15"/>
  <c r="Z119" i="15"/>
  <c r="X119" i="15"/>
  <c r="N119" i="15"/>
  <c r="L119" i="15"/>
  <c r="B119" i="15"/>
  <c r="Z118" i="15"/>
  <c r="X118" i="15"/>
  <c r="N118" i="15"/>
  <c r="L118" i="15"/>
  <c r="B118" i="15"/>
  <c r="Z117" i="15"/>
  <c r="X117" i="15"/>
  <c r="N117" i="15"/>
  <c r="L117" i="15"/>
  <c r="B117" i="15"/>
  <c r="Z116" i="15"/>
  <c r="X116" i="15"/>
  <c r="N116" i="15"/>
  <c r="L116" i="15"/>
  <c r="B116" i="15"/>
  <c r="Z115" i="15"/>
  <c r="X115" i="15"/>
  <c r="N115" i="15"/>
  <c r="L115" i="15"/>
  <c r="B115" i="15"/>
  <c r="Z114" i="15"/>
  <c r="X114" i="15"/>
  <c r="N114" i="15"/>
  <c r="L114" i="15"/>
  <c r="B114" i="15"/>
  <c r="Z113" i="15"/>
  <c r="X113" i="15"/>
  <c r="N113" i="15"/>
  <c r="L113" i="15"/>
  <c r="B113" i="15"/>
  <c r="Z112" i="15"/>
  <c r="X112" i="15"/>
  <c r="N112" i="15"/>
  <c r="L112" i="15"/>
  <c r="B112" i="15"/>
  <c r="Z111" i="15"/>
  <c r="X111" i="15"/>
  <c r="N111" i="15"/>
  <c r="L111" i="15"/>
  <c r="B111" i="15"/>
  <c r="Z110" i="15"/>
  <c r="X110" i="15"/>
  <c r="N110" i="15"/>
  <c r="L110" i="15"/>
  <c r="B110" i="15"/>
  <c r="Z109" i="15"/>
  <c r="X109" i="15"/>
  <c r="N109" i="15"/>
  <c r="L109" i="15"/>
  <c r="B109" i="15"/>
  <c r="Z108" i="15"/>
  <c r="X108" i="15"/>
  <c r="N108" i="15"/>
  <c r="L108" i="15"/>
  <c r="B108" i="15"/>
  <c r="Z107" i="15"/>
  <c r="X107" i="15"/>
  <c r="N107" i="15"/>
  <c r="L107" i="15"/>
  <c r="B107" i="15"/>
  <c r="Z106" i="15"/>
  <c r="X106" i="15"/>
  <c r="N106" i="15"/>
  <c r="L106" i="15"/>
  <c r="B106" i="15"/>
  <c r="Z105" i="15"/>
  <c r="X105" i="15"/>
  <c r="N105" i="15"/>
  <c r="L105" i="15"/>
  <c r="B105" i="15"/>
  <c r="Z104" i="15"/>
  <c r="X104" i="15"/>
  <c r="N104" i="15"/>
  <c r="L104" i="15"/>
  <c r="B104" i="15"/>
  <c r="Z103" i="15"/>
  <c r="X103" i="15"/>
  <c r="N103" i="15"/>
  <c r="L103" i="15"/>
  <c r="B103" i="15"/>
  <c r="Z102" i="15"/>
  <c r="X102" i="15"/>
  <c r="L102" i="15"/>
  <c r="N102" i="15" s="1"/>
  <c r="B102" i="15"/>
  <c r="T101" i="15"/>
  <c r="P101" i="15"/>
  <c r="H101" i="15"/>
  <c r="D101" i="15"/>
  <c r="L101" i="15" s="1"/>
  <c r="Z99" i="15"/>
  <c r="P99" i="15"/>
  <c r="X99" i="15" s="1"/>
  <c r="N99" i="15"/>
  <c r="D99" i="15"/>
  <c r="L99" i="15" s="1"/>
  <c r="B99" i="15"/>
  <c r="Z98" i="15"/>
  <c r="X98" i="15"/>
  <c r="P98" i="15"/>
  <c r="N98" i="15"/>
  <c r="L98" i="15"/>
  <c r="D98" i="15"/>
  <c r="B98" i="15"/>
  <c r="Z97" i="15"/>
  <c r="X97" i="15"/>
  <c r="P97" i="15"/>
  <c r="N97" i="15"/>
  <c r="L97" i="15"/>
  <c r="D97" i="15"/>
  <c r="B97" i="15"/>
  <c r="Z96" i="15"/>
  <c r="P96" i="15"/>
  <c r="X96" i="15" s="1"/>
  <c r="N96" i="15"/>
  <c r="D96" i="15"/>
  <c r="L96" i="15" s="1"/>
  <c r="B96" i="15"/>
  <c r="Z95" i="15"/>
  <c r="X95" i="15"/>
  <c r="P95" i="15"/>
  <c r="N95" i="15"/>
  <c r="L95" i="15"/>
  <c r="D95" i="15"/>
  <c r="B95" i="15"/>
  <c r="Z94" i="15"/>
  <c r="X94" i="15"/>
  <c r="P94" i="15"/>
  <c r="N94" i="15"/>
  <c r="L94" i="15"/>
  <c r="D94" i="15"/>
  <c r="B94" i="15"/>
  <c r="Z93" i="15"/>
  <c r="P93" i="15"/>
  <c r="X93" i="15" s="1"/>
  <c r="N93" i="15"/>
  <c r="D93" i="15"/>
  <c r="L93" i="15" s="1"/>
  <c r="B93" i="15"/>
  <c r="Z92" i="15"/>
  <c r="P92" i="15"/>
  <c r="X92" i="15" s="1"/>
  <c r="N92" i="15"/>
  <c r="L92" i="15"/>
  <c r="D92" i="15"/>
  <c r="B92" i="15"/>
  <c r="Z91" i="15"/>
  <c r="P91" i="15"/>
  <c r="X91" i="15" s="1"/>
  <c r="N91" i="15"/>
  <c r="L91" i="15"/>
  <c r="D91" i="15"/>
  <c r="B91" i="15"/>
  <c r="Z90" i="15"/>
  <c r="P90" i="15"/>
  <c r="X90" i="15" s="1"/>
  <c r="N90" i="15"/>
  <c r="D90" i="15"/>
  <c r="L90" i="15" s="1"/>
  <c r="B90" i="15"/>
  <c r="Z89" i="15"/>
  <c r="X89" i="15"/>
  <c r="P89" i="15"/>
  <c r="N89" i="15"/>
  <c r="D89" i="15"/>
  <c r="L89" i="15" s="1"/>
  <c r="B89" i="15"/>
  <c r="Z88" i="15"/>
  <c r="P88" i="15"/>
  <c r="X88" i="15" s="1"/>
  <c r="N88" i="15"/>
  <c r="D88" i="15"/>
  <c r="L88" i="15" s="1"/>
  <c r="B88" i="15"/>
  <c r="Z87" i="15"/>
  <c r="P87" i="15"/>
  <c r="X87" i="15" s="1"/>
  <c r="N87" i="15"/>
  <c r="D87" i="15"/>
  <c r="L87" i="15" s="1"/>
  <c r="B87" i="15"/>
  <c r="Z86" i="15"/>
  <c r="X86" i="15"/>
  <c r="P86" i="15"/>
  <c r="N86" i="15"/>
  <c r="L86" i="15"/>
  <c r="D86" i="15"/>
  <c r="B86" i="15"/>
  <c r="Z85" i="15"/>
  <c r="X85" i="15"/>
  <c r="P85" i="15"/>
  <c r="N85" i="15"/>
  <c r="L85" i="15"/>
  <c r="D85" i="15"/>
  <c r="B85" i="15"/>
  <c r="Z84" i="15"/>
  <c r="P84" i="15"/>
  <c r="X84" i="15" s="1"/>
  <c r="N84" i="15"/>
  <c r="D84" i="15"/>
  <c r="L84" i="15" s="1"/>
  <c r="B84" i="15"/>
  <c r="Z83" i="15"/>
  <c r="X83" i="15"/>
  <c r="P83" i="15"/>
  <c r="N83" i="15"/>
  <c r="L83" i="15"/>
  <c r="D83" i="15"/>
  <c r="B83" i="15"/>
  <c r="Z82" i="15"/>
  <c r="X82" i="15"/>
  <c r="P82" i="15"/>
  <c r="N82" i="15"/>
  <c r="L82" i="15"/>
  <c r="D82" i="15"/>
  <c r="B82" i="15"/>
  <c r="Z81" i="15"/>
  <c r="P81" i="15"/>
  <c r="X81" i="15" s="1"/>
  <c r="N81" i="15"/>
  <c r="D81" i="15"/>
  <c r="L81" i="15" s="1"/>
  <c r="B81" i="15"/>
  <c r="Z80" i="15"/>
  <c r="P80" i="15"/>
  <c r="X80" i="15" s="1"/>
  <c r="N80" i="15"/>
  <c r="L80" i="15"/>
  <c r="D80" i="15"/>
  <c r="B80" i="15"/>
  <c r="Z79" i="15"/>
  <c r="X79" i="15"/>
  <c r="P79" i="15"/>
  <c r="N79" i="15"/>
  <c r="L79" i="15"/>
  <c r="D79" i="15"/>
  <c r="B79" i="15"/>
  <c r="Z78" i="15"/>
  <c r="P78" i="15"/>
  <c r="X78" i="15" s="1"/>
  <c r="N78" i="15"/>
  <c r="D78" i="15"/>
  <c r="L78" i="15" s="1"/>
  <c r="B78" i="15"/>
  <c r="Z77" i="15"/>
  <c r="X77" i="15"/>
  <c r="P77" i="15"/>
  <c r="N77" i="15"/>
  <c r="D77" i="15"/>
  <c r="L77" i="15" s="1"/>
  <c r="B77" i="15"/>
  <c r="Z76" i="15"/>
  <c r="P76" i="15"/>
  <c r="X76" i="15" s="1"/>
  <c r="N76" i="15"/>
  <c r="L76" i="15"/>
  <c r="D76" i="15"/>
  <c r="B76" i="15"/>
  <c r="Z75" i="15"/>
  <c r="P75" i="15"/>
  <c r="X75" i="15" s="1"/>
  <c r="N75" i="15"/>
  <c r="D75" i="15"/>
  <c r="L75" i="15" s="1"/>
  <c r="B75" i="15"/>
  <c r="Z74" i="15"/>
  <c r="X74" i="15"/>
  <c r="P74" i="15"/>
  <c r="N74" i="15"/>
  <c r="L74" i="15"/>
  <c r="D74" i="15"/>
  <c r="B74" i="15"/>
  <c r="Z73" i="15"/>
  <c r="X73" i="15"/>
  <c r="P73" i="15"/>
  <c r="N73" i="15"/>
  <c r="L73" i="15"/>
  <c r="D73" i="15"/>
  <c r="B73" i="15"/>
  <c r="Z72" i="15"/>
  <c r="P72" i="15"/>
  <c r="X72" i="15" s="1"/>
  <c r="N72" i="15"/>
  <c r="D72" i="15"/>
  <c r="L72" i="15" s="1"/>
  <c r="B72" i="15"/>
  <c r="Z71" i="15"/>
  <c r="P71" i="15"/>
  <c r="X71" i="15" s="1"/>
  <c r="N71" i="15"/>
  <c r="L71" i="15"/>
  <c r="D71" i="15"/>
  <c r="B71" i="15"/>
  <c r="Z70" i="15"/>
  <c r="X70" i="15"/>
  <c r="P70" i="15"/>
  <c r="N70" i="15"/>
  <c r="L70" i="15"/>
  <c r="D70" i="15"/>
  <c r="B70" i="15"/>
  <c r="Z69" i="15"/>
  <c r="P69" i="15"/>
  <c r="X69" i="15" s="1"/>
  <c r="N69" i="15"/>
  <c r="D69" i="15"/>
  <c r="L69" i="15" s="1"/>
  <c r="B69" i="15"/>
  <c r="Z68" i="15"/>
  <c r="P68" i="15"/>
  <c r="X68" i="15" s="1"/>
  <c r="N68" i="15"/>
  <c r="D68" i="15"/>
  <c r="L68" i="15" s="1"/>
  <c r="B68" i="15"/>
  <c r="Z67" i="15"/>
  <c r="X67" i="15"/>
  <c r="P67" i="15"/>
  <c r="N67" i="15"/>
  <c r="L67" i="15"/>
  <c r="D67" i="15"/>
  <c r="B67" i="15"/>
  <c r="Z66" i="15"/>
  <c r="P66" i="15"/>
  <c r="X66" i="15" s="1"/>
  <c r="N66" i="15"/>
  <c r="D66" i="15"/>
  <c r="L66" i="15" s="1"/>
  <c r="B66" i="15"/>
  <c r="Z65" i="15"/>
  <c r="X65" i="15"/>
  <c r="P65" i="15"/>
  <c r="N65" i="15"/>
  <c r="D65" i="15"/>
  <c r="L65" i="15" s="1"/>
  <c r="B65" i="15"/>
  <c r="Z64" i="15"/>
  <c r="X64" i="15"/>
  <c r="P64" i="15"/>
  <c r="N64" i="15"/>
  <c r="L64" i="15"/>
  <c r="D64" i="15"/>
  <c r="B64" i="15"/>
  <c r="Z63" i="15"/>
  <c r="P63" i="15"/>
  <c r="X63" i="15" s="1"/>
  <c r="N63" i="15"/>
  <c r="D63" i="15"/>
  <c r="L63" i="15" s="1"/>
  <c r="B63" i="15"/>
  <c r="Z62" i="15"/>
  <c r="X62" i="15"/>
  <c r="P62" i="15"/>
  <c r="N62" i="15"/>
  <c r="L62" i="15"/>
  <c r="D62" i="15"/>
  <c r="B62" i="15"/>
  <c r="Z61" i="15"/>
  <c r="X61" i="15"/>
  <c r="P61" i="15"/>
  <c r="N61" i="15"/>
  <c r="L61" i="15"/>
  <c r="D61" i="15"/>
  <c r="B61" i="15"/>
  <c r="Z60" i="15"/>
  <c r="P60" i="15"/>
  <c r="X60" i="15" s="1"/>
  <c r="N60" i="15"/>
  <c r="D60" i="15"/>
  <c r="L60" i="15" s="1"/>
  <c r="B60" i="15"/>
  <c r="Z59" i="15"/>
  <c r="P59" i="15"/>
  <c r="X59" i="15" s="1"/>
  <c r="N59" i="15"/>
  <c r="L59" i="15"/>
  <c r="D59" i="15"/>
  <c r="B59" i="15"/>
  <c r="Z58" i="15"/>
  <c r="X58" i="15"/>
  <c r="P58" i="15"/>
  <c r="N58" i="15"/>
  <c r="L58" i="15"/>
  <c r="D58" i="15"/>
  <c r="B58" i="15"/>
  <c r="Z57" i="15"/>
  <c r="P57" i="15"/>
  <c r="X57" i="15" s="1"/>
  <c r="N57" i="15"/>
  <c r="D57" i="15"/>
  <c r="L57" i="15" s="1"/>
  <c r="B57" i="15"/>
  <c r="Z56" i="15"/>
  <c r="P56" i="15"/>
  <c r="X56" i="15" s="1"/>
  <c r="N56" i="15"/>
  <c r="D56" i="15"/>
  <c r="L56" i="15" s="1"/>
  <c r="B56" i="15"/>
  <c r="Z55" i="15"/>
  <c r="X55" i="15"/>
  <c r="P55" i="15"/>
  <c r="N55" i="15"/>
  <c r="L55" i="15"/>
  <c r="D55" i="15"/>
  <c r="B55" i="15"/>
  <c r="Z54" i="15"/>
  <c r="P54" i="15"/>
  <c r="X54" i="15" s="1"/>
  <c r="N54" i="15"/>
  <c r="D54" i="15"/>
  <c r="L54" i="15" s="1"/>
  <c r="B54" i="15"/>
  <c r="Z53" i="15"/>
  <c r="X53" i="15"/>
  <c r="P53" i="15"/>
  <c r="N53" i="15"/>
  <c r="D53" i="15"/>
  <c r="L53" i="15" s="1"/>
  <c r="B53" i="15"/>
  <c r="Z52" i="15"/>
  <c r="X52" i="15"/>
  <c r="P52" i="15"/>
  <c r="N52" i="15"/>
  <c r="L52" i="15"/>
  <c r="D52" i="15"/>
  <c r="B52" i="15"/>
  <c r="Z51" i="15"/>
  <c r="P51" i="15"/>
  <c r="X51" i="15" s="1"/>
  <c r="N51" i="15"/>
  <c r="D51" i="15"/>
  <c r="L51" i="15" s="1"/>
  <c r="B51" i="15"/>
  <c r="Z50" i="15"/>
  <c r="X50" i="15"/>
  <c r="P50" i="15"/>
  <c r="N50" i="15"/>
  <c r="L50" i="15"/>
  <c r="D50" i="15"/>
  <c r="B50" i="15"/>
  <c r="Z49" i="15"/>
  <c r="X49" i="15"/>
  <c r="P49" i="15"/>
  <c r="N49" i="15"/>
  <c r="L49" i="15"/>
  <c r="D49" i="15"/>
  <c r="B49" i="15"/>
  <c r="Z48" i="15"/>
  <c r="P48" i="15"/>
  <c r="X48" i="15" s="1"/>
  <c r="N48" i="15"/>
  <c r="L48" i="15"/>
  <c r="D48" i="15"/>
  <c r="B48" i="15"/>
  <c r="P47" i="15"/>
  <c r="X47" i="15" s="1"/>
  <c r="Z47" i="15" s="1"/>
  <c r="L47" i="15"/>
  <c r="N47" i="15" s="1"/>
  <c r="D47" i="15"/>
  <c r="B47" i="15"/>
  <c r="Z46" i="15"/>
  <c r="P46" i="15"/>
  <c r="X46" i="15" s="1"/>
  <c r="N46" i="15"/>
  <c r="L46" i="15"/>
  <c r="D46" i="15"/>
  <c r="B46" i="15"/>
  <c r="Z45" i="15"/>
  <c r="P45" i="15"/>
  <c r="X45" i="15" s="1"/>
  <c r="N45" i="15"/>
  <c r="D45" i="15"/>
  <c r="L45" i="15" s="1"/>
  <c r="B45" i="15"/>
  <c r="Z44" i="15"/>
  <c r="P44" i="15"/>
  <c r="X44" i="15" s="1"/>
  <c r="N44" i="15"/>
  <c r="L44" i="15"/>
  <c r="D44" i="15"/>
  <c r="B44" i="15"/>
  <c r="Z43" i="15"/>
  <c r="P43" i="15"/>
  <c r="X43" i="15" s="1"/>
  <c r="N43" i="15"/>
  <c r="L43" i="15"/>
  <c r="D43" i="15"/>
  <c r="B43" i="15"/>
  <c r="Z42" i="15"/>
  <c r="P42" i="15"/>
  <c r="X42" i="15" s="1"/>
  <c r="N42" i="15"/>
  <c r="D42" i="15"/>
  <c r="L42" i="15" s="1"/>
  <c r="B42" i="15"/>
  <c r="Z41" i="15"/>
  <c r="X41" i="15"/>
  <c r="P41" i="15"/>
  <c r="N41" i="15"/>
  <c r="D41" i="15"/>
  <c r="L41" i="15" s="1"/>
  <c r="B41" i="15"/>
  <c r="Z40" i="15"/>
  <c r="X40" i="15"/>
  <c r="P40" i="15"/>
  <c r="N40" i="15"/>
  <c r="L40" i="15"/>
  <c r="D40" i="15"/>
  <c r="B40" i="15"/>
  <c r="Z39" i="15"/>
  <c r="P39" i="15"/>
  <c r="X39" i="15" s="1"/>
  <c r="N39" i="15"/>
  <c r="D39" i="15"/>
  <c r="L39" i="15" s="1"/>
  <c r="B39" i="15"/>
  <c r="Z38" i="15"/>
  <c r="X38" i="15"/>
  <c r="P38" i="15"/>
  <c r="N38" i="15"/>
  <c r="L38" i="15"/>
  <c r="D38" i="15"/>
  <c r="B38" i="15"/>
  <c r="Z37" i="15"/>
  <c r="X37" i="15"/>
  <c r="P37" i="15"/>
  <c r="N37" i="15"/>
  <c r="L37" i="15"/>
  <c r="D37" i="15"/>
  <c r="B37" i="15"/>
  <c r="Z36" i="15"/>
  <c r="P36" i="15"/>
  <c r="X36" i="15" s="1"/>
  <c r="N36" i="15"/>
  <c r="D36" i="15"/>
  <c r="L36" i="15" s="1"/>
  <c r="B36" i="15"/>
  <c r="Z35" i="15"/>
  <c r="P35" i="15"/>
  <c r="X35" i="15" s="1"/>
  <c r="N35" i="15"/>
  <c r="L35" i="15"/>
  <c r="D35" i="15"/>
  <c r="B35" i="15"/>
  <c r="Z34" i="15"/>
  <c r="P34" i="15"/>
  <c r="X34" i="15" s="1"/>
  <c r="N34" i="15"/>
  <c r="L34" i="15"/>
  <c r="D34" i="15"/>
  <c r="B34" i="15"/>
  <c r="Z33" i="15"/>
  <c r="P33" i="15"/>
  <c r="X33" i="15" s="1"/>
  <c r="N33" i="15"/>
  <c r="L33" i="15"/>
  <c r="D33" i="15"/>
  <c r="B33" i="15"/>
  <c r="Z32" i="15"/>
  <c r="P32" i="15"/>
  <c r="X32" i="15" s="1"/>
  <c r="N32" i="15"/>
  <c r="L32" i="15"/>
  <c r="D32" i="15"/>
  <c r="B32" i="15"/>
  <c r="Z31" i="15"/>
  <c r="P31" i="15"/>
  <c r="X31" i="15" s="1"/>
  <c r="N31" i="15"/>
  <c r="L31" i="15"/>
  <c r="D31" i="15"/>
  <c r="B31" i="15"/>
  <c r="Z30" i="15"/>
  <c r="P30" i="15"/>
  <c r="X30" i="15" s="1"/>
  <c r="N30" i="15"/>
  <c r="D30" i="15"/>
  <c r="L30" i="15" s="1"/>
  <c r="B30" i="15"/>
  <c r="Z29" i="15"/>
  <c r="X29" i="15"/>
  <c r="P29" i="15"/>
  <c r="N29" i="15"/>
  <c r="D29" i="15"/>
  <c r="L29" i="15" s="1"/>
  <c r="B29" i="15"/>
  <c r="Z28" i="15"/>
  <c r="X28" i="15"/>
  <c r="P28" i="15"/>
  <c r="N28" i="15"/>
  <c r="D28" i="15"/>
  <c r="L28" i="15" s="1"/>
  <c r="B28" i="15"/>
  <c r="Z27" i="15"/>
  <c r="P27" i="15"/>
  <c r="X27" i="15" s="1"/>
  <c r="N27" i="15"/>
  <c r="L27" i="15"/>
  <c r="D27" i="15"/>
  <c r="B27" i="15"/>
  <c r="Z26" i="15"/>
  <c r="X26" i="15"/>
  <c r="P26" i="15"/>
  <c r="N26" i="15"/>
  <c r="L26" i="15"/>
  <c r="D26" i="15"/>
  <c r="B26" i="15"/>
  <c r="Z25" i="15"/>
  <c r="X25" i="15"/>
  <c r="P25" i="15"/>
  <c r="N25" i="15"/>
  <c r="L25" i="15"/>
  <c r="D25" i="15"/>
  <c r="B25" i="15"/>
  <c r="Z24" i="15"/>
  <c r="P24" i="15"/>
  <c r="X24" i="15" s="1"/>
  <c r="N24" i="15"/>
  <c r="L24" i="15"/>
  <c r="D24" i="15"/>
  <c r="B24" i="15"/>
  <c r="Z23" i="15"/>
  <c r="P23" i="15"/>
  <c r="X23" i="15" s="1"/>
  <c r="N23" i="15"/>
  <c r="D23" i="15"/>
  <c r="L23" i="15" s="1"/>
  <c r="B23" i="15"/>
  <c r="Z22" i="15"/>
  <c r="P22" i="15"/>
  <c r="X22" i="15" s="1"/>
  <c r="N22" i="15"/>
  <c r="D22" i="15"/>
  <c r="L22" i="15" s="1"/>
  <c r="B22" i="15"/>
  <c r="Z21" i="15"/>
  <c r="P21" i="15"/>
  <c r="X21" i="15" s="1"/>
  <c r="N21" i="15"/>
  <c r="D21" i="15"/>
  <c r="L21" i="15" s="1"/>
  <c r="B21" i="15"/>
  <c r="Z20" i="15"/>
  <c r="P20" i="15"/>
  <c r="X20" i="15" s="1"/>
  <c r="N20" i="15"/>
  <c r="D20" i="15"/>
  <c r="L20" i="15" s="1"/>
  <c r="B20" i="15"/>
  <c r="Z19" i="15"/>
  <c r="P19" i="15"/>
  <c r="X19" i="15" s="1"/>
  <c r="N19" i="15"/>
  <c r="L19" i="15"/>
  <c r="D19" i="15"/>
  <c r="B19" i="15"/>
  <c r="Z18" i="15"/>
  <c r="X18" i="15"/>
  <c r="P18" i="15"/>
  <c r="N18" i="15"/>
  <c r="L18" i="15"/>
  <c r="D18" i="15"/>
  <c r="B18" i="15"/>
  <c r="Z17" i="15"/>
  <c r="P17" i="15"/>
  <c r="X17" i="15" s="1"/>
  <c r="N17" i="15"/>
  <c r="D17" i="15"/>
  <c r="L17" i="15" s="1"/>
  <c r="B17" i="15"/>
  <c r="Z16" i="15"/>
  <c r="P16" i="15"/>
  <c r="X16" i="15" s="1"/>
  <c r="N16" i="15"/>
  <c r="D16" i="15"/>
  <c r="L16" i="15" s="1"/>
  <c r="B16" i="15"/>
  <c r="Z15" i="15"/>
  <c r="P15" i="15"/>
  <c r="X15" i="15" s="1"/>
  <c r="N15" i="15"/>
  <c r="L15" i="15"/>
  <c r="D15" i="15"/>
  <c r="B15" i="15"/>
  <c r="Z14" i="15"/>
  <c r="P14" i="15"/>
  <c r="X14" i="15" s="1"/>
  <c r="N14" i="15"/>
  <c r="D14" i="15"/>
  <c r="L14" i="15" s="1"/>
  <c r="B14" i="15"/>
  <c r="P13" i="15"/>
  <c r="D13" i="15"/>
  <c r="L13" i="15" s="1"/>
  <c r="N13" i="15" s="1"/>
  <c r="B13" i="15"/>
  <c r="T12" i="15"/>
  <c r="V192" i="15" s="1"/>
  <c r="H12" i="15"/>
  <c r="D12" i="15"/>
  <c r="D4" i="15"/>
  <c r="X271" i="12"/>
  <c r="Z271" i="12" s="1"/>
  <c r="N271" i="12"/>
  <c r="L271" i="12"/>
  <c r="P267" i="12"/>
  <c r="X267" i="12" s="1"/>
  <c r="Z267" i="12" s="1"/>
  <c r="L267" i="12"/>
  <c r="N267" i="12" s="1"/>
  <c r="D267" i="12"/>
  <c r="B267" i="12"/>
  <c r="Z266" i="12"/>
  <c r="X266" i="12"/>
  <c r="P266" i="12"/>
  <c r="N266" i="12"/>
  <c r="D266" i="12"/>
  <c r="L266" i="12" s="1"/>
  <c r="B266" i="12"/>
  <c r="X265" i="12"/>
  <c r="Z265" i="12" s="1"/>
  <c r="V265" i="12"/>
  <c r="P265" i="12"/>
  <c r="N265" i="12"/>
  <c r="L265" i="12"/>
  <c r="D265" i="12"/>
  <c r="B265" i="12"/>
  <c r="X264" i="12"/>
  <c r="Z264" i="12" s="1"/>
  <c r="P264" i="12"/>
  <c r="D264" i="12"/>
  <c r="L264" i="12" s="1"/>
  <c r="N264" i="12" s="1"/>
  <c r="B264" i="12"/>
  <c r="Z263" i="12"/>
  <c r="P263" i="12"/>
  <c r="X263" i="12" s="1"/>
  <c r="N263" i="12"/>
  <c r="D263" i="12"/>
  <c r="L263" i="12" s="1"/>
  <c r="B263" i="12"/>
  <c r="Z262" i="12"/>
  <c r="X262" i="12"/>
  <c r="P262" i="12"/>
  <c r="P260" i="12" s="1"/>
  <c r="X260" i="12" s="1"/>
  <c r="N262" i="12"/>
  <c r="D262" i="12"/>
  <c r="L262" i="12" s="1"/>
  <c r="B262" i="12"/>
  <c r="Z261" i="12"/>
  <c r="P261" i="12"/>
  <c r="X261" i="12" s="1"/>
  <c r="N261" i="12"/>
  <c r="L261" i="12"/>
  <c r="D261" i="12"/>
  <c r="D260" i="12" s="1"/>
  <c r="L260" i="12" s="1"/>
  <c r="N260" i="12" s="1"/>
  <c r="B261" i="12"/>
  <c r="T260" i="12"/>
  <c r="H260" i="12"/>
  <c r="X258" i="12"/>
  <c r="Z258" i="12" s="1"/>
  <c r="L258" i="12"/>
  <c r="N258" i="12" s="1"/>
  <c r="B258" i="12"/>
  <c r="T257" i="12"/>
  <c r="P257" i="12"/>
  <c r="H257" i="12"/>
  <c r="D257" i="12"/>
  <c r="L257" i="12" s="1"/>
  <c r="N257" i="12" s="1"/>
  <c r="B257" i="12"/>
  <c r="Z256" i="12"/>
  <c r="X256" i="12"/>
  <c r="N256" i="12"/>
  <c r="L256" i="12"/>
  <c r="B256" i="12"/>
  <c r="Z255" i="12"/>
  <c r="X255" i="12"/>
  <c r="L255" i="12"/>
  <c r="N255" i="12" s="1"/>
  <c r="B255" i="12"/>
  <c r="Z254" i="12"/>
  <c r="X254" i="12"/>
  <c r="N254" i="12"/>
  <c r="L254" i="12"/>
  <c r="B254" i="12"/>
  <c r="T253" i="12"/>
  <c r="P253" i="12"/>
  <c r="X253" i="12" s="1"/>
  <c r="Z253" i="12" s="1"/>
  <c r="N253" i="12"/>
  <c r="H253" i="12"/>
  <c r="D253" i="12"/>
  <c r="L253" i="12" s="1"/>
  <c r="B253" i="12"/>
  <c r="X252" i="12"/>
  <c r="Z252" i="12" s="1"/>
  <c r="L252" i="12"/>
  <c r="N252" i="12" s="1"/>
  <c r="B252" i="12"/>
  <c r="X251" i="12"/>
  <c r="T251" i="12"/>
  <c r="Z251" i="12" s="1"/>
  <c r="P251" i="12"/>
  <c r="L251" i="12"/>
  <c r="N251" i="12" s="1"/>
  <c r="J251" i="12"/>
  <c r="H251" i="12"/>
  <c r="D251" i="12"/>
  <c r="B251" i="12"/>
  <c r="X250" i="12"/>
  <c r="Z250" i="12" s="1"/>
  <c r="L250" i="12"/>
  <c r="N250" i="12" s="1"/>
  <c r="B250" i="12"/>
  <c r="X249" i="12"/>
  <c r="Z249" i="12" s="1"/>
  <c r="N249" i="12"/>
  <c r="L249" i="12"/>
  <c r="B249" i="12"/>
  <c r="X248" i="12"/>
  <c r="Z248" i="12" s="1"/>
  <c r="T248" i="12"/>
  <c r="P248" i="12"/>
  <c r="L248" i="12"/>
  <c r="H248" i="12"/>
  <c r="N248" i="12" s="1"/>
  <c r="D248" i="12"/>
  <c r="B248" i="12"/>
  <c r="Z247" i="12"/>
  <c r="X247" i="12"/>
  <c r="L247" i="12"/>
  <c r="N247" i="12" s="1"/>
  <c r="B247" i="12"/>
  <c r="X246" i="12"/>
  <c r="Z246" i="12" s="1"/>
  <c r="N246" i="12"/>
  <c r="L246" i="12"/>
  <c r="B246" i="12"/>
  <c r="Z245" i="12"/>
  <c r="X245" i="12"/>
  <c r="L245" i="12"/>
  <c r="N245" i="12" s="1"/>
  <c r="J245" i="12"/>
  <c r="B245" i="12"/>
  <c r="Z244" i="12"/>
  <c r="X244" i="12"/>
  <c r="N244" i="12"/>
  <c r="L244" i="12"/>
  <c r="B244" i="12"/>
  <c r="Z243" i="12"/>
  <c r="X243" i="12"/>
  <c r="L243" i="12"/>
  <c r="N243" i="12" s="1"/>
  <c r="B243" i="12"/>
  <c r="X242" i="12"/>
  <c r="Z242" i="12" s="1"/>
  <c r="L242" i="12"/>
  <c r="N242" i="12" s="1"/>
  <c r="B242" i="12"/>
  <c r="Z241" i="12"/>
  <c r="X241" i="12"/>
  <c r="L241" i="12"/>
  <c r="N241" i="12" s="1"/>
  <c r="J241" i="12"/>
  <c r="B241" i="12"/>
  <c r="Z240" i="12"/>
  <c r="X240" i="12"/>
  <c r="L240" i="12"/>
  <c r="N240" i="12" s="1"/>
  <c r="B240" i="12"/>
  <c r="T239" i="12"/>
  <c r="P239" i="12"/>
  <c r="X239" i="12" s="1"/>
  <c r="Z239" i="12" s="1"/>
  <c r="H239" i="12"/>
  <c r="D239" i="12"/>
  <c r="L239" i="12" s="1"/>
  <c r="N239" i="12" s="1"/>
  <c r="B239" i="12"/>
  <c r="X238" i="12"/>
  <c r="Z238" i="12" s="1"/>
  <c r="L238" i="12"/>
  <c r="N238" i="12" s="1"/>
  <c r="B238" i="12"/>
  <c r="X237" i="12"/>
  <c r="Z237" i="12" s="1"/>
  <c r="V237" i="12"/>
  <c r="L237" i="12"/>
  <c r="N237" i="12" s="1"/>
  <c r="B237" i="12"/>
  <c r="T236" i="12"/>
  <c r="P236" i="12"/>
  <c r="X236" i="12" s="1"/>
  <c r="H236" i="12"/>
  <c r="D236" i="12"/>
  <c r="L236" i="12" s="1"/>
  <c r="B236" i="12"/>
  <c r="Z235" i="12"/>
  <c r="X235" i="12"/>
  <c r="N235" i="12"/>
  <c r="L235" i="12"/>
  <c r="B235" i="12"/>
  <c r="X234" i="12"/>
  <c r="Z234" i="12" s="1"/>
  <c r="L234" i="12"/>
  <c r="N234" i="12" s="1"/>
  <c r="B234" i="12"/>
  <c r="X233" i="12"/>
  <c r="Z233" i="12" s="1"/>
  <c r="N233" i="12"/>
  <c r="L233" i="12"/>
  <c r="B233" i="12"/>
  <c r="X232" i="12"/>
  <c r="Z232" i="12" s="1"/>
  <c r="N232" i="12"/>
  <c r="L232" i="12"/>
  <c r="B232" i="12"/>
  <c r="Z231" i="12"/>
  <c r="X231" i="12"/>
  <c r="N231" i="12"/>
  <c r="L231" i="12"/>
  <c r="B231" i="12"/>
  <c r="Z230" i="12"/>
  <c r="X230" i="12"/>
  <c r="N230" i="12"/>
  <c r="L230" i="12"/>
  <c r="B230" i="12"/>
  <c r="T229" i="12"/>
  <c r="P229" i="12"/>
  <c r="X229" i="12" s="1"/>
  <c r="H229" i="12"/>
  <c r="D229" i="12"/>
  <c r="L229" i="12" s="1"/>
  <c r="B229" i="12"/>
  <c r="X228" i="12"/>
  <c r="Z228" i="12" s="1"/>
  <c r="L228" i="12"/>
  <c r="N228" i="12" s="1"/>
  <c r="B228" i="12"/>
  <c r="Z227" i="12"/>
  <c r="X227" i="12"/>
  <c r="L227" i="12"/>
  <c r="N227" i="12" s="1"/>
  <c r="B227" i="12"/>
  <c r="X226" i="12"/>
  <c r="Z226" i="12" s="1"/>
  <c r="N226" i="12"/>
  <c r="L226" i="12"/>
  <c r="B226" i="12"/>
  <c r="Z225" i="12"/>
  <c r="X225" i="12"/>
  <c r="L225" i="12"/>
  <c r="N225" i="12" s="1"/>
  <c r="J225" i="12"/>
  <c r="B225" i="12"/>
  <c r="T224" i="12"/>
  <c r="P224" i="12"/>
  <c r="X224" i="12" s="1"/>
  <c r="H224" i="12"/>
  <c r="D224" i="12"/>
  <c r="B224" i="12"/>
  <c r="X223" i="12"/>
  <c r="Z223" i="12" s="1"/>
  <c r="N223" i="12"/>
  <c r="L223" i="12"/>
  <c r="B223" i="12"/>
  <c r="X222" i="12"/>
  <c r="Z222" i="12" s="1"/>
  <c r="L222" i="12"/>
  <c r="N222" i="12" s="1"/>
  <c r="B222" i="12"/>
  <c r="X221" i="12"/>
  <c r="Z221" i="12" s="1"/>
  <c r="V221" i="12"/>
  <c r="N221" i="12"/>
  <c r="L221" i="12"/>
  <c r="B221" i="12"/>
  <c r="T220" i="12"/>
  <c r="P220" i="12"/>
  <c r="X220" i="12" s="1"/>
  <c r="H220" i="12"/>
  <c r="D220" i="12"/>
  <c r="L220" i="12" s="1"/>
  <c r="B220" i="12"/>
  <c r="Z219" i="12"/>
  <c r="X219" i="12"/>
  <c r="N219" i="12"/>
  <c r="L219" i="12"/>
  <c r="B219" i="12"/>
  <c r="X218" i="12"/>
  <c r="T218" i="12"/>
  <c r="Z218" i="12" s="1"/>
  <c r="P218" i="12"/>
  <c r="L218" i="12"/>
  <c r="N218" i="12" s="1"/>
  <c r="H218" i="12"/>
  <c r="D218" i="12"/>
  <c r="B218" i="12"/>
  <c r="Z217" i="12"/>
  <c r="X217" i="12"/>
  <c r="N217" i="12"/>
  <c r="L217" i="12"/>
  <c r="J217" i="12"/>
  <c r="B217" i="12"/>
  <c r="T216" i="12"/>
  <c r="Z216" i="12" s="1"/>
  <c r="P216" i="12"/>
  <c r="X216" i="12" s="1"/>
  <c r="H216" i="12"/>
  <c r="N216" i="12" s="1"/>
  <c r="D216" i="12"/>
  <c r="B216" i="12"/>
  <c r="X215" i="12"/>
  <c r="Z215" i="12" s="1"/>
  <c r="N215" i="12"/>
  <c r="L215" i="12"/>
  <c r="B215" i="12"/>
  <c r="T214" i="12"/>
  <c r="P214" i="12"/>
  <c r="X214" i="12" s="1"/>
  <c r="H214" i="12"/>
  <c r="D214" i="12"/>
  <c r="L214" i="12" s="1"/>
  <c r="B214" i="12"/>
  <c r="Z213" i="12"/>
  <c r="X213" i="12"/>
  <c r="N213" i="12"/>
  <c r="L213" i="12"/>
  <c r="B213" i="12"/>
  <c r="X212" i="12"/>
  <c r="T212" i="12"/>
  <c r="Z212" i="12" s="1"/>
  <c r="P212" i="12"/>
  <c r="L212" i="12"/>
  <c r="N212" i="12" s="1"/>
  <c r="H212" i="12"/>
  <c r="D212" i="12"/>
  <c r="B212" i="12"/>
  <c r="Z211" i="12"/>
  <c r="X211" i="12"/>
  <c r="L211" i="12"/>
  <c r="N211" i="12" s="1"/>
  <c r="B211" i="12"/>
  <c r="T210" i="12"/>
  <c r="P210" i="12"/>
  <c r="H210" i="12"/>
  <c r="N210" i="12" s="1"/>
  <c r="D210" i="12"/>
  <c r="L210" i="12" s="1"/>
  <c r="B210" i="12"/>
  <c r="X209" i="12"/>
  <c r="Z209" i="12" s="1"/>
  <c r="V209" i="12"/>
  <c r="N209" i="12"/>
  <c r="L209" i="12"/>
  <c r="B209" i="12"/>
  <c r="T208" i="12"/>
  <c r="Z208" i="12" s="1"/>
  <c r="P208" i="12"/>
  <c r="X208" i="12" s="1"/>
  <c r="H208" i="12"/>
  <c r="D208" i="12"/>
  <c r="L208" i="12" s="1"/>
  <c r="B208" i="12"/>
  <c r="Z207" i="12"/>
  <c r="X207" i="12"/>
  <c r="N207" i="12"/>
  <c r="L207" i="12"/>
  <c r="B207" i="12"/>
  <c r="X206" i="12"/>
  <c r="T206" i="12"/>
  <c r="Z206" i="12" s="1"/>
  <c r="P206" i="12"/>
  <c r="L206" i="12"/>
  <c r="H206" i="12"/>
  <c r="D206" i="12"/>
  <c r="B206" i="12"/>
  <c r="Z205" i="12"/>
  <c r="X205" i="12"/>
  <c r="L205" i="12"/>
  <c r="N205" i="12" s="1"/>
  <c r="J205" i="12"/>
  <c r="B205" i="12"/>
  <c r="X204" i="12"/>
  <c r="Z204" i="12" s="1"/>
  <c r="L204" i="12"/>
  <c r="N204" i="12" s="1"/>
  <c r="B204" i="12"/>
  <c r="Z203" i="12"/>
  <c r="T203" i="12"/>
  <c r="P203" i="12"/>
  <c r="X203" i="12" s="1"/>
  <c r="H203" i="12"/>
  <c r="D203" i="12"/>
  <c r="L203" i="12" s="1"/>
  <c r="N203" i="12" s="1"/>
  <c r="B203" i="12"/>
  <c r="X202" i="12"/>
  <c r="Z202" i="12" s="1"/>
  <c r="L202" i="12"/>
  <c r="N202" i="12" s="1"/>
  <c r="B202" i="12"/>
  <c r="X201" i="12"/>
  <c r="Z201" i="12" s="1"/>
  <c r="V201" i="12"/>
  <c r="T201" i="12"/>
  <c r="P201" i="12"/>
  <c r="L201" i="12"/>
  <c r="N201" i="12" s="1"/>
  <c r="H201" i="12"/>
  <c r="D201" i="12"/>
  <c r="B201" i="12"/>
  <c r="X200" i="12"/>
  <c r="Z200" i="12" s="1"/>
  <c r="L200" i="12"/>
  <c r="N200" i="12" s="1"/>
  <c r="B200" i="12"/>
  <c r="T199" i="12"/>
  <c r="P199" i="12"/>
  <c r="H199" i="12"/>
  <c r="N199" i="12" s="1"/>
  <c r="D199" i="12"/>
  <c r="L199" i="12" s="1"/>
  <c r="B199" i="12"/>
  <c r="Z198" i="12"/>
  <c r="X198" i="12"/>
  <c r="N198" i="12"/>
  <c r="L198" i="12"/>
  <c r="B198" i="12"/>
  <c r="Z197" i="12"/>
  <c r="X197" i="12"/>
  <c r="L197" i="12"/>
  <c r="N197" i="12" s="1"/>
  <c r="J197" i="12"/>
  <c r="B197" i="12"/>
  <c r="T196" i="12"/>
  <c r="Z196" i="12" s="1"/>
  <c r="P196" i="12"/>
  <c r="X196" i="12" s="1"/>
  <c r="H196" i="12"/>
  <c r="D196" i="12"/>
  <c r="B196" i="12"/>
  <c r="Z195" i="12"/>
  <c r="X195" i="12"/>
  <c r="N195" i="12"/>
  <c r="L195" i="12"/>
  <c r="B195" i="12"/>
  <c r="X194" i="12"/>
  <c r="Z194" i="12" s="1"/>
  <c r="L194" i="12"/>
  <c r="N194" i="12" s="1"/>
  <c r="B194" i="12"/>
  <c r="X193" i="12"/>
  <c r="Z193" i="12" s="1"/>
  <c r="V193" i="12"/>
  <c r="T193" i="12"/>
  <c r="P193" i="12"/>
  <c r="H193" i="12"/>
  <c r="D193" i="12"/>
  <c r="L193" i="12" s="1"/>
  <c r="B193" i="12"/>
  <c r="X192" i="12"/>
  <c r="Z192" i="12" s="1"/>
  <c r="N192" i="12"/>
  <c r="L192" i="12"/>
  <c r="B192" i="12"/>
  <c r="X191" i="12"/>
  <c r="Z191" i="12" s="1"/>
  <c r="N191" i="12"/>
  <c r="L191" i="12"/>
  <c r="B191" i="12"/>
  <c r="X190" i="12"/>
  <c r="Z190" i="12" s="1"/>
  <c r="N190" i="12"/>
  <c r="L190" i="12"/>
  <c r="B190" i="12"/>
  <c r="T189" i="12"/>
  <c r="P189" i="12"/>
  <c r="X189" i="12" s="1"/>
  <c r="L189" i="12"/>
  <c r="N189" i="12" s="1"/>
  <c r="H189" i="12"/>
  <c r="D189" i="12"/>
  <c r="B189" i="12"/>
  <c r="X188" i="12"/>
  <c r="Z188" i="12" s="1"/>
  <c r="L188" i="12"/>
  <c r="N188" i="12" s="1"/>
  <c r="B188" i="12"/>
  <c r="T187" i="12"/>
  <c r="P187" i="12"/>
  <c r="X187" i="12" s="1"/>
  <c r="Z187" i="12" s="1"/>
  <c r="H187" i="12"/>
  <c r="D187" i="12"/>
  <c r="L187" i="12" s="1"/>
  <c r="N187" i="12" s="1"/>
  <c r="B187" i="12"/>
  <c r="X186" i="12"/>
  <c r="Z186" i="12" s="1"/>
  <c r="L186" i="12"/>
  <c r="N186" i="12" s="1"/>
  <c r="B186" i="12"/>
  <c r="X185" i="12"/>
  <c r="Z185" i="12" s="1"/>
  <c r="V185" i="12"/>
  <c r="N185" i="12"/>
  <c r="L185" i="12"/>
  <c r="B185" i="12"/>
  <c r="T184" i="12"/>
  <c r="P184" i="12"/>
  <c r="X184" i="12" s="1"/>
  <c r="H184" i="12"/>
  <c r="D184" i="12"/>
  <c r="L184" i="12" s="1"/>
  <c r="B184" i="12"/>
  <c r="X183" i="12"/>
  <c r="Z183" i="12" s="1"/>
  <c r="N183" i="12"/>
  <c r="L183" i="12"/>
  <c r="B183" i="12"/>
  <c r="X182" i="12"/>
  <c r="Z182" i="12" s="1"/>
  <c r="T182" i="12"/>
  <c r="P182" i="12"/>
  <c r="L182" i="12"/>
  <c r="N182" i="12" s="1"/>
  <c r="H182" i="12"/>
  <c r="D182" i="12"/>
  <c r="B182" i="12"/>
  <c r="Z181" i="12"/>
  <c r="X181" i="12"/>
  <c r="N181" i="12"/>
  <c r="L181" i="12"/>
  <c r="J181" i="12"/>
  <c r="B181" i="12"/>
  <c r="Z180" i="12"/>
  <c r="X180" i="12"/>
  <c r="N180" i="12"/>
  <c r="L180" i="12"/>
  <c r="B180" i="12"/>
  <c r="Z179" i="12"/>
  <c r="X179" i="12"/>
  <c r="L179" i="12"/>
  <c r="N179" i="12" s="1"/>
  <c r="B179" i="12"/>
  <c r="Z178" i="12"/>
  <c r="X178" i="12"/>
  <c r="L178" i="12"/>
  <c r="N178" i="12" s="1"/>
  <c r="B178" i="12"/>
  <c r="Z177" i="12"/>
  <c r="X177" i="12"/>
  <c r="N177" i="12"/>
  <c r="L177" i="12"/>
  <c r="J177" i="12"/>
  <c r="B177" i="12"/>
  <c r="X176" i="12"/>
  <c r="Z176" i="12" s="1"/>
  <c r="L176" i="12"/>
  <c r="N176" i="12" s="1"/>
  <c r="B176" i="12"/>
  <c r="Z175" i="12"/>
  <c r="X175" i="12"/>
  <c r="L175" i="12"/>
  <c r="N175" i="12" s="1"/>
  <c r="B175" i="12"/>
  <c r="Z174" i="12"/>
  <c r="X174" i="12"/>
  <c r="N174" i="12"/>
  <c r="L174" i="12"/>
  <c r="B174" i="12"/>
  <c r="Z173" i="12"/>
  <c r="X173" i="12"/>
  <c r="L173" i="12"/>
  <c r="N173" i="12" s="1"/>
  <c r="J173" i="12"/>
  <c r="B173" i="12"/>
  <c r="X172" i="12"/>
  <c r="Z172" i="12" s="1"/>
  <c r="L172" i="12"/>
  <c r="N172" i="12" s="1"/>
  <c r="B172" i="12"/>
  <c r="Z171" i="12"/>
  <c r="T171" i="12"/>
  <c r="P171" i="12"/>
  <c r="X171" i="12" s="1"/>
  <c r="H171" i="12"/>
  <c r="D171" i="12"/>
  <c r="L171" i="12" s="1"/>
  <c r="N171" i="12" s="1"/>
  <c r="B171" i="12"/>
  <c r="X170" i="12"/>
  <c r="Z170" i="12" s="1"/>
  <c r="L170" i="12"/>
  <c r="N170" i="12" s="1"/>
  <c r="B170" i="12"/>
  <c r="X169" i="12"/>
  <c r="Z169" i="12" s="1"/>
  <c r="V169" i="12"/>
  <c r="N169" i="12"/>
  <c r="L169" i="12"/>
  <c r="B169" i="12"/>
  <c r="X168" i="12"/>
  <c r="Z168" i="12" s="1"/>
  <c r="L168" i="12"/>
  <c r="N168" i="12" s="1"/>
  <c r="B168" i="12"/>
  <c r="Z167" i="12"/>
  <c r="X167" i="12"/>
  <c r="N167" i="12"/>
  <c r="L167" i="12"/>
  <c r="B167" i="12"/>
  <c r="Z166" i="12"/>
  <c r="X166" i="12"/>
  <c r="N166" i="12"/>
  <c r="L166" i="12"/>
  <c r="B166" i="12"/>
  <c r="X165" i="12"/>
  <c r="Z165" i="12" s="1"/>
  <c r="V165" i="12"/>
  <c r="N165" i="12"/>
  <c r="L165" i="12"/>
  <c r="B165" i="12"/>
  <c r="X164" i="12"/>
  <c r="Z164" i="12" s="1"/>
  <c r="L164" i="12"/>
  <c r="N164" i="12" s="1"/>
  <c r="B164" i="12"/>
  <c r="X163" i="12"/>
  <c r="Z163" i="12" s="1"/>
  <c r="L163" i="12"/>
  <c r="N163" i="12" s="1"/>
  <c r="B163" i="12"/>
  <c r="X162" i="12"/>
  <c r="Z162" i="12" s="1"/>
  <c r="L162" i="12"/>
  <c r="N162" i="12" s="1"/>
  <c r="B162" i="12"/>
  <c r="X161" i="12"/>
  <c r="Z161" i="12" s="1"/>
  <c r="V161" i="12"/>
  <c r="N161" i="12"/>
  <c r="L161" i="12"/>
  <c r="B161" i="12"/>
  <c r="T160" i="12"/>
  <c r="Z160" i="12" s="1"/>
  <c r="P160" i="12"/>
  <c r="X160" i="12" s="1"/>
  <c r="H160" i="12"/>
  <c r="D160" i="12"/>
  <c r="L160" i="12" s="1"/>
  <c r="B160" i="12"/>
  <c r="T159" i="12"/>
  <c r="P159" i="12"/>
  <c r="X159" i="12" s="1"/>
  <c r="H159" i="12"/>
  <c r="D159" i="12"/>
  <c r="L159" i="12" s="1"/>
  <c r="Z155" i="12"/>
  <c r="X155" i="12"/>
  <c r="N155" i="12"/>
  <c r="L155" i="12"/>
  <c r="B155" i="12"/>
  <c r="Z154" i="12"/>
  <c r="X154" i="12"/>
  <c r="N154" i="12"/>
  <c r="L154" i="12"/>
  <c r="B154" i="12"/>
  <c r="Z153" i="12"/>
  <c r="X153" i="12"/>
  <c r="N153" i="12"/>
  <c r="L153" i="12"/>
  <c r="B153" i="12"/>
  <c r="Z152" i="12"/>
  <c r="X152" i="12"/>
  <c r="N152" i="12"/>
  <c r="L152" i="12"/>
  <c r="B152" i="12"/>
  <c r="Z151" i="12"/>
  <c r="X151" i="12"/>
  <c r="N151" i="12"/>
  <c r="L151" i="12"/>
  <c r="B151" i="12"/>
  <c r="Z150" i="12"/>
  <c r="X150" i="12"/>
  <c r="N150" i="12"/>
  <c r="L150" i="12"/>
  <c r="B150" i="12"/>
  <c r="Z149" i="12"/>
  <c r="X149" i="12"/>
  <c r="N149" i="12"/>
  <c r="L149" i="12"/>
  <c r="B149" i="12"/>
  <c r="Z148" i="12"/>
  <c r="X148" i="12"/>
  <c r="N148" i="12"/>
  <c r="L148" i="12"/>
  <c r="B148" i="12"/>
  <c r="Z147" i="12"/>
  <c r="X147" i="12"/>
  <c r="N147" i="12"/>
  <c r="L147" i="12"/>
  <c r="B147" i="12"/>
  <c r="Z146" i="12"/>
  <c r="X146" i="12"/>
  <c r="N146" i="12"/>
  <c r="L146" i="12"/>
  <c r="B146" i="12"/>
  <c r="Z145" i="12"/>
  <c r="X145" i="12"/>
  <c r="N145" i="12"/>
  <c r="L145" i="12"/>
  <c r="B145" i="12"/>
  <c r="Z144" i="12"/>
  <c r="X144" i="12"/>
  <c r="N144" i="12"/>
  <c r="L144" i="12"/>
  <c r="B144" i="12"/>
  <c r="Z143" i="12"/>
  <c r="X143" i="12"/>
  <c r="N143" i="12"/>
  <c r="L143" i="12"/>
  <c r="B143" i="12"/>
  <c r="Z142" i="12"/>
  <c r="X142" i="12"/>
  <c r="N142" i="12"/>
  <c r="L142" i="12"/>
  <c r="B142" i="12"/>
  <c r="Z141" i="12"/>
  <c r="X141" i="12"/>
  <c r="N141" i="12"/>
  <c r="L141" i="12"/>
  <c r="B141" i="12"/>
  <c r="Z140" i="12"/>
  <c r="X140" i="12"/>
  <c r="N140" i="12"/>
  <c r="L140" i="12"/>
  <c r="B140" i="12"/>
  <c r="Z139" i="12"/>
  <c r="X139" i="12"/>
  <c r="N139" i="12"/>
  <c r="L139" i="12"/>
  <c r="B139" i="12"/>
  <c r="Z138" i="12"/>
  <c r="X138" i="12"/>
  <c r="N138" i="12"/>
  <c r="L138" i="12"/>
  <c r="B138" i="12"/>
  <c r="Z137" i="12"/>
  <c r="X137" i="12"/>
  <c r="N137" i="12"/>
  <c r="L137" i="12"/>
  <c r="B137" i="12"/>
  <c r="Z136" i="12"/>
  <c r="X136" i="12"/>
  <c r="N136" i="12"/>
  <c r="L136" i="12"/>
  <c r="B136" i="12"/>
  <c r="Z135" i="12"/>
  <c r="X135" i="12"/>
  <c r="N135" i="12"/>
  <c r="L135" i="12"/>
  <c r="B135" i="12"/>
  <c r="Z134" i="12"/>
  <c r="X134" i="12"/>
  <c r="N134" i="12"/>
  <c r="L134" i="12"/>
  <c r="B134" i="12"/>
  <c r="Z133" i="12"/>
  <c r="X133" i="12"/>
  <c r="N133" i="12"/>
  <c r="L133" i="12"/>
  <c r="B133" i="12"/>
  <c r="Z132" i="12"/>
  <c r="X132" i="12"/>
  <c r="N132" i="12"/>
  <c r="L132" i="12"/>
  <c r="B132" i="12"/>
  <c r="Z131" i="12"/>
  <c r="X131" i="12"/>
  <c r="N131" i="12"/>
  <c r="L131" i="12"/>
  <c r="B131" i="12"/>
  <c r="Z130" i="12"/>
  <c r="X130" i="12"/>
  <c r="N130" i="12"/>
  <c r="L130" i="12"/>
  <c r="B130" i="12"/>
  <c r="Z129" i="12"/>
  <c r="X129" i="12"/>
  <c r="N129" i="12"/>
  <c r="L129" i="12"/>
  <c r="B129" i="12"/>
  <c r="Z128" i="12"/>
  <c r="X128" i="12"/>
  <c r="N128" i="12"/>
  <c r="L128" i="12"/>
  <c r="B128" i="12"/>
  <c r="Z127" i="12"/>
  <c r="X127" i="12"/>
  <c r="N127" i="12"/>
  <c r="L127" i="12"/>
  <c r="B127" i="12"/>
  <c r="Z126" i="12"/>
  <c r="X126" i="12"/>
  <c r="N126" i="12"/>
  <c r="L126" i="12"/>
  <c r="B126" i="12"/>
  <c r="Z125" i="12"/>
  <c r="X125" i="12"/>
  <c r="N125" i="12"/>
  <c r="L125" i="12"/>
  <c r="B125" i="12"/>
  <c r="Z124" i="12"/>
  <c r="X124" i="12"/>
  <c r="N124" i="12"/>
  <c r="L124" i="12"/>
  <c r="B124" i="12"/>
  <c r="Z123" i="12"/>
  <c r="X123" i="12"/>
  <c r="N123" i="12"/>
  <c r="L123" i="12"/>
  <c r="B123" i="12"/>
  <c r="Z122" i="12"/>
  <c r="X122" i="12"/>
  <c r="N122" i="12"/>
  <c r="L122" i="12"/>
  <c r="B122" i="12"/>
  <c r="Z121" i="12"/>
  <c r="X121" i="12"/>
  <c r="N121" i="12"/>
  <c r="L121" i="12"/>
  <c r="B121" i="12"/>
  <c r="Z120" i="12"/>
  <c r="X120" i="12"/>
  <c r="N120" i="12"/>
  <c r="L120" i="12"/>
  <c r="B120" i="12"/>
  <c r="Z119" i="12"/>
  <c r="X119" i="12"/>
  <c r="N119" i="12"/>
  <c r="L119" i="12"/>
  <c r="B119" i="12"/>
  <c r="Z118" i="12"/>
  <c r="X118" i="12"/>
  <c r="N118" i="12"/>
  <c r="L118" i="12"/>
  <c r="B118" i="12"/>
  <c r="Z117" i="12"/>
  <c r="X117" i="12"/>
  <c r="N117" i="12"/>
  <c r="L117" i="12"/>
  <c r="B117" i="12"/>
  <c r="Z116" i="12"/>
  <c r="X116" i="12"/>
  <c r="N116" i="12"/>
  <c r="L116" i="12"/>
  <c r="B116" i="12"/>
  <c r="Z115" i="12"/>
  <c r="X115" i="12"/>
  <c r="N115" i="12"/>
  <c r="L115" i="12"/>
  <c r="B115" i="12"/>
  <c r="Z114" i="12"/>
  <c r="X114" i="12"/>
  <c r="N114" i="12"/>
  <c r="L114" i="12"/>
  <c r="B114" i="12"/>
  <c r="Z113" i="12"/>
  <c r="X113" i="12"/>
  <c r="N113" i="12"/>
  <c r="L113" i="12"/>
  <c r="B113" i="12"/>
  <c r="Z112" i="12"/>
  <c r="X112" i="12"/>
  <c r="N112" i="12"/>
  <c r="L112" i="12"/>
  <c r="B112" i="12"/>
  <c r="Z111" i="12"/>
  <c r="X111" i="12"/>
  <c r="N111" i="12"/>
  <c r="L111" i="12"/>
  <c r="B111" i="12"/>
  <c r="Z110" i="12"/>
  <c r="X110" i="12"/>
  <c r="N110" i="12"/>
  <c r="L110" i="12"/>
  <c r="B110" i="12"/>
  <c r="Z109" i="12"/>
  <c r="X109" i="12"/>
  <c r="N109" i="12"/>
  <c r="L109" i="12"/>
  <c r="B109" i="12"/>
  <c r="Z108" i="12"/>
  <c r="X108" i="12"/>
  <c r="N108" i="12"/>
  <c r="L108" i="12"/>
  <c r="B108" i="12"/>
  <c r="Z107" i="12"/>
  <c r="X107" i="12"/>
  <c r="N107" i="12"/>
  <c r="L107" i="12"/>
  <c r="B107" i="12"/>
  <c r="X106" i="12"/>
  <c r="Z106" i="12" s="1"/>
  <c r="L106" i="12"/>
  <c r="N106" i="12" s="1"/>
  <c r="B106" i="12"/>
  <c r="T105" i="12"/>
  <c r="P105" i="12"/>
  <c r="X105" i="12" s="1"/>
  <c r="H105" i="12"/>
  <c r="D105" i="12"/>
  <c r="L105" i="12" s="1"/>
  <c r="Z103" i="12"/>
  <c r="P103" i="12"/>
  <c r="X103" i="12" s="1"/>
  <c r="N103" i="12"/>
  <c r="L103" i="12"/>
  <c r="D103" i="12"/>
  <c r="B103" i="12"/>
  <c r="Z102" i="12"/>
  <c r="X102" i="12"/>
  <c r="P102" i="12"/>
  <c r="N102" i="12"/>
  <c r="L102" i="12"/>
  <c r="D102" i="12"/>
  <c r="B102" i="12"/>
  <c r="Z101" i="12"/>
  <c r="P101" i="12"/>
  <c r="X101" i="12" s="1"/>
  <c r="N101" i="12"/>
  <c r="D101" i="12"/>
  <c r="L101" i="12" s="1"/>
  <c r="B101" i="12"/>
  <c r="Z100" i="12"/>
  <c r="X100" i="12"/>
  <c r="P100" i="12"/>
  <c r="N100" i="12"/>
  <c r="D100" i="12"/>
  <c r="L100" i="12" s="1"/>
  <c r="B100" i="12"/>
  <c r="Z99" i="12"/>
  <c r="X99" i="12"/>
  <c r="P99" i="12"/>
  <c r="N99" i="12"/>
  <c r="L99" i="12"/>
  <c r="D99" i="12"/>
  <c r="B99" i="12"/>
  <c r="Z98" i="12"/>
  <c r="P98" i="12"/>
  <c r="X98" i="12" s="1"/>
  <c r="N98" i="12"/>
  <c r="D98" i="12"/>
  <c r="L98" i="12" s="1"/>
  <c r="B98" i="12"/>
  <c r="Z97" i="12"/>
  <c r="P97" i="12"/>
  <c r="X97" i="12" s="1"/>
  <c r="N97" i="12"/>
  <c r="L97" i="12"/>
  <c r="D97" i="12"/>
  <c r="B97" i="12"/>
  <c r="Z96" i="12"/>
  <c r="X96" i="12"/>
  <c r="P96" i="12"/>
  <c r="N96" i="12"/>
  <c r="L96" i="12"/>
  <c r="D96" i="12"/>
  <c r="B96" i="12"/>
  <c r="Z95" i="12"/>
  <c r="P95" i="12"/>
  <c r="X95" i="12" s="1"/>
  <c r="N95" i="12"/>
  <c r="D95" i="12"/>
  <c r="L95" i="12" s="1"/>
  <c r="B95" i="12"/>
  <c r="Z94" i="12"/>
  <c r="X94" i="12"/>
  <c r="P94" i="12"/>
  <c r="N94" i="12"/>
  <c r="D94" i="12"/>
  <c r="L94" i="12" s="1"/>
  <c r="B94" i="12"/>
  <c r="Z93" i="12"/>
  <c r="X93" i="12"/>
  <c r="P93" i="12"/>
  <c r="N93" i="12"/>
  <c r="L93" i="12"/>
  <c r="D93" i="12"/>
  <c r="B93" i="12"/>
  <c r="Z92" i="12"/>
  <c r="P92" i="12"/>
  <c r="X92" i="12" s="1"/>
  <c r="N92" i="12"/>
  <c r="D92" i="12"/>
  <c r="L92" i="12" s="1"/>
  <c r="B92" i="12"/>
  <c r="Z91" i="12"/>
  <c r="P91" i="12"/>
  <c r="X91" i="12" s="1"/>
  <c r="N91" i="12"/>
  <c r="L91" i="12"/>
  <c r="D91" i="12"/>
  <c r="B91" i="12"/>
  <c r="Z90" i="12"/>
  <c r="X90" i="12"/>
  <c r="P90" i="12"/>
  <c r="N90" i="12"/>
  <c r="L90" i="12"/>
  <c r="D90" i="12"/>
  <c r="B90" i="12"/>
  <c r="Z89" i="12"/>
  <c r="P89" i="12"/>
  <c r="X89" i="12" s="1"/>
  <c r="N89" i="12"/>
  <c r="D89" i="12"/>
  <c r="L89" i="12" s="1"/>
  <c r="B89" i="12"/>
  <c r="Z88" i="12"/>
  <c r="X88" i="12"/>
  <c r="P88" i="12"/>
  <c r="N88" i="12"/>
  <c r="D88" i="12"/>
  <c r="L88" i="12" s="1"/>
  <c r="B88" i="12"/>
  <c r="Z87" i="12"/>
  <c r="X87" i="12"/>
  <c r="P87" i="12"/>
  <c r="N87" i="12"/>
  <c r="L87" i="12"/>
  <c r="D87" i="12"/>
  <c r="B87" i="12"/>
  <c r="Z86" i="12"/>
  <c r="P86" i="12"/>
  <c r="X86" i="12" s="1"/>
  <c r="N86" i="12"/>
  <c r="D86" i="12"/>
  <c r="L86" i="12" s="1"/>
  <c r="B86" i="12"/>
  <c r="Z85" i="12"/>
  <c r="P85" i="12"/>
  <c r="X85" i="12" s="1"/>
  <c r="N85" i="12"/>
  <c r="L85" i="12"/>
  <c r="D85" i="12"/>
  <c r="B85" i="12"/>
  <c r="Z84" i="12"/>
  <c r="X84" i="12"/>
  <c r="P84" i="12"/>
  <c r="N84" i="12"/>
  <c r="L84" i="12"/>
  <c r="D84" i="12"/>
  <c r="B84" i="12"/>
  <c r="Z83" i="12"/>
  <c r="P83" i="12"/>
  <c r="X83" i="12" s="1"/>
  <c r="N83" i="12"/>
  <c r="D83" i="12"/>
  <c r="L83" i="12" s="1"/>
  <c r="B83" i="12"/>
  <c r="Z82" i="12"/>
  <c r="X82" i="12"/>
  <c r="P82" i="12"/>
  <c r="N82" i="12"/>
  <c r="D82" i="12"/>
  <c r="L82" i="12" s="1"/>
  <c r="B82" i="12"/>
  <c r="Z81" i="12"/>
  <c r="X81" i="12"/>
  <c r="P81" i="12"/>
  <c r="N81" i="12"/>
  <c r="L81" i="12"/>
  <c r="D81" i="12"/>
  <c r="B81" i="12"/>
  <c r="Z80" i="12"/>
  <c r="P80" i="12"/>
  <c r="X80" i="12" s="1"/>
  <c r="N80" i="12"/>
  <c r="D80" i="12"/>
  <c r="L80" i="12" s="1"/>
  <c r="B80" i="12"/>
  <c r="Z79" i="12"/>
  <c r="P79" i="12"/>
  <c r="X79" i="12" s="1"/>
  <c r="N79" i="12"/>
  <c r="L79" i="12"/>
  <c r="D79" i="12"/>
  <c r="B79" i="12"/>
  <c r="Z78" i="12"/>
  <c r="X78" i="12"/>
  <c r="P78" i="12"/>
  <c r="N78" i="12"/>
  <c r="L78" i="12"/>
  <c r="D78" i="12"/>
  <c r="B78" i="12"/>
  <c r="Z77" i="12"/>
  <c r="P77" i="12"/>
  <c r="X77" i="12" s="1"/>
  <c r="N77" i="12"/>
  <c r="D77" i="12"/>
  <c r="L77" i="12" s="1"/>
  <c r="B77" i="12"/>
  <c r="Z76" i="12"/>
  <c r="X76" i="12"/>
  <c r="P76" i="12"/>
  <c r="N76" i="12"/>
  <c r="D76" i="12"/>
  <c r="L76" i="12" s="1"/>
  <c r="B76" i="12"/>
  <c r="Z75" i="12"/>
  <c r="X75" i="12"/>
  <c r="P75" i="12"/>
  <c r="N75" i="12"/>
  <c r="L75" i="12"/>
  <c r="D75" i="12"/>
  <c r="B75" i="12"/>
  <c r="Z74" i="12"/>
  <c r="P74" i="12"/>
  <c r="X74" i="12" s="1"/>
  <c r="N74" i="12"/>
  <c r="D74" i="12"/>
  <c r="L74" i="12" s="1"/>
  <c r="B74" i="12"/>
  <c r="Z73" i="12"/>
  <c r="P73" i="12"/>
  <c r="X73" i="12" s="1"/>
  <c r="N73" i="12"/>
  <c r="L73" i="12"/>
  <c r="D73" i="12"/>
  <c r="B73" i="12"/>
  <c r="Z72" i="12"/>
  <c r="P72" i="12"/>
  <c r="X72" i="12" s="1"/>
  <c r="N72" i="12"/>
  <c r="L72" i="12"/>
  <c r="D72" i="12"/>
  <c r="B72" i="12"/>
  <c r="Z71" i="12"/>
  <c r="P71" i="12"/>
  <c r="X71" i="12" s="1"/>
  <c r="N71" i="12"/>
  <c r="D71" i="12"/>
  <c r="L71" i="12" s="1"/>
  <c r="B71" i="12"/>
  <c r="Z70" i="12"/>
  <c r="X70" i="12"/>
  <c r="P70" i="12"/>
  <c r="N70" i="12"/>
  <c r="D70" i="12"/>
  <c r="L70" i="12" s="1"/>
  <c r="B70" i="12"/>
  <c r="Z69" i="12"/>
  <c r="X69" i="12"/>
  <c r="P69" i="12"/>
  <c r="N69" i="12"/>
  <c r="L69" i="12"/>
  <c r="D69" i="12"/>
  <c r="B69" i="12"/>
  <c r="Z68" i="12"/>
  <c r="P68" i="12"/>
  <c r="X68" i="12" s="1"/>
  <c r="N68" i="12"/>
  <c r="D68" i="12"/>
  <c r="L68" i="12" s="1"/>
  <c r="B68" i="12"/>
  <c r="Z67" i="12"/>
  <c r="P67" i="12"/>
  <c r="X67" i="12" s="1"/>
  <c r="N67" i="12"/>
  <c r="L67" i="12"/>
  <c r="D67" i="12"/>
  <c r="B67" i="12"/>
  <c r="Z66" i="12"/>
  <c r="X66" i="12"/>
  <c r="P66" i="12"/>
  <c r="N66" i="12"/>
  <c r="L66" i="12"/>
  <c r="D66" i="12"/>
  <c r="B66" i="12"/>
  <c r="Z65" i="12"/>
  <c r="P65" i="12"/>
  <c r="X65" i="12" s="1"/>
  <c r="N65" i="12"/>
  <c r="D65" i="12"/>
  <c r="L65" i="12" s="1"/>
  <c r="B65" i="12"/>
  <c r="Z64" i="12"/>
  <c r="X64" i="12"/>
  <c r="P64" i="12"/>
  <c r="N64" i="12"/>
  <c r="D64" i="12"/>
  <c r="L64" i="12" s="1"/>
  <c r="B64" i="12"/>
  <c r="Z63" i="12"/>
  <c r="X63" i="12"/>
  <c r="P63" i="12"/>
  <c r="N63" i="12"/>
  <c r="L63" i="12"/>
  <c r="D63" i="12"/>
  <c r="B63" i="12"/>
  <c r="Z62" i="12"/>
  <c r="P62" i="12"/>
  <c r="X62" i="12" s="1"/>
  <c r="N62" i="12"/>
  <c r="D62" i="12"/>
  <c r="L62" i="12" s="1"/>
  <c r="B62" i="12"/>
  <c r="Z61" i="12"/>
  <c r="P61" i="12"/>
  <c r="X61" i="12" s="1"/>
  <c r="N61" i="12"/>
  <c r="L61" i="12"/>
  <c r="D61" i="12"/>
  <c r="B61" i="12"/>
  <c r="Z60" i="12"/>
  <c r="P60" i="12"/>
  <c r="X60" i="12" s="1"/>
  <c r="N60" i="12"/>
  <c r="L60" i="12"/>
  <c r="D60" i="12"/>
  <c r="B60" i="12"/>
  <c r="Z59" i="12"/>
  <c r="P59" i="12"/>
  <c r="X59" i="12" s="1"/>
  <c r="N59" i="12"/>
  <c r="D59" i="12"/>
  <c r="L59" i="12" s="1"/>
  <c r="B59" i="12"/>
  <c r="Z58" i="12"/>
  <c r="X58" i="12"/>
  <c r="P58" i="12"/>
  <c r="N58" i="12"/>
  <c r="D58" i="12"/>
  <c r="L58" i="12" s="1"/>
  <c r="B58" i="12"/>
  <c r="Z57" i="12"/>
  <c r="X57" i="12"/>
  <c r="P57" i="12"/>
  <c r="N57" i="12"/>
  <c r="D57" i="12"/>
  <c r="L57" i="12" s="1"/>
  <c r="B57" i="12"/>
  <c r="Z56" i="12"/>
  <c r="P56" i="12"/>
  <c r="X56" i="12" s="1"/>
  <c r="N56" i="12"/>
  <c r="D56" i="12"/>
  <c r="L56" i="12" s="1"/>
  <c r="B56" i="12"/>
  <c r="Z55" i="12"/>
  <c r="P55" i="12"/>
  <c r="X55" i="12" s="1"/>
  <c r="N55" i="12"/>
  <c r="L55" i="12"/>
  <c r="D55" i="12"/>
  <c r="B55" i="12"/>
  <c r="Z54" i="12"/>
  <c r="X54" i="12"/>
  <c r="P54" i="12"/>
  <c r="N54" i="12"/>
  <c r="L54" i="12"/>
  <c r="D54" i="12"/>
  <c r="B54" i="12"/>
  <c r="Z53" i="12"/>
  <c r="P53" i="12"/>
  <c r="X53" i="12" s="1"/>
  <c r="N53" i="12"/>
  <c r="D53" i="12"/>
  <c r="L53" i="12" s="1"/>
  <c r="B53" i="12"/>
  <c r="Z52" i="12"/>
  <c r="X52" i="12"/>
  <c r="P52" i="12"/>
  <c r="N52" i="12"/>
  <c r="D52" i="12"/>
  <c r="L52" i="12" s="1"/>
  <c r="B52" i="12"/>
  <c r="Z51" i="12"/>
  <c r="X51" i="12"/>
  <c r="P51" i="12"/>
  <c r="N51" i="12"/>
  <c r="L51" i="12"/>
  <c r="D51" i="12"/>
  <c r="B51" i="12"/>
  <c r="Z50" i="12"/>
  <c r="P50" i="12"/>
  <c r="X50" i="12" s="1"/>
  <c r="N50" i="12"/>
  <c r="D50" i="12"/>
  <c r="L50" i="12" s="1"/>
  <c r="B50" i="12"/>
  <c r="Z49" i="12"/>
  <c r="P49" i="12"/>
  <c r="X49" i="12" s="1"/>
  <c r="N49" i="12"/>
  <c r="L49" i="12"/>
  <c r="D49" i="12"/>
  <c r="B49" i="12"/>
  <c r="P48" i="12"/>
  <c r="X48" i="12" s="1"/>
  <c r="Z48" i="12" s="1"/>
  <c r="N48" i="12"/>
  <c r="L48" i="12"/>
  <c r="D48" i="12"/>
  <c r="B48" i="12"/>
  <c r="Z47" i="12"/>
  <c r="P47" i="12"/>
  <c r="X47" i="12" s="1"/>
  <c r="N47" i="12"/>
  <c r="D47" i="12"/>
  <c r="L47" i="12" s="1"/>
  <c r="B47" i="12"/>
  <c r="Z46" i="12"/>
  <c r="X46" i="12"/>
  <c r="P46" i="12"/>
  <c r="N46" i="12"/>
  <c r="D46" i="12"/>
  <c r="L46" i="12" s="1"/>
  <c r="B46" i="12"/>
  <c r="Z45" i="12"/>
  <c r="X45" i="12"/>
  <c r="P45" i="12"/>
  <c r="N45" i="12"/>
  <c r="D45" i="12"/>
  <c r="L45" i="12" s="1"/>
  <c r="B45" i="12"/>
  <c r="Z44" i="12"/>
  <c r="P44" i="12"/>
  <c r="X44" i="12" s="1"/>
  <c r="N44" i="12"/>
  <c r="D44" i="12"/>
  <c r="L44" i="12" s="1"/>
  <c r="B44" i="12"/>
  <c r="Z43" i="12"/>
  <c r="P43" i="12"/>
  <c r="X43" i="12" s="1"/>
  <c r="N43" i="12"/>
  <c r="L43" i="12"/>
  <c r="D43" i="12"/>
  <c r="B43" i="12"/>
  <c r="Z42" i="12"/>
  <c r="X42" i="12"/>
  <c r="P42" i="12"/>
  <c r="N42" i="12"/>
  <c r="L42" i="12"/>
  <c r="D42" i="12"/>
  <c r="B42" i="12"/>
  <c r="Z41" i="12"/>
  <c r="P41" i="12"/>
  <c r="X41" i="12" s="1"/>
  <c r="N41" i="12"/>
  <c r="D41" i="12"/>
  <c r="L41" i="12" s="1"/>
  <c r="B41" i="12"/>
  <c r="Z40" i="12"/>
  <c r="X40" i="12"/>
  <c r="P40" i="12"/>
  <c r="N40" i="12"/>
  <c r="D40" i="12"/>
  <c r="L40" i="12" s="1"/>
  <c r="B40" i="12"/>
  <c r="Z39" i="12"/>
  <c r="X39" i="12"/>
  <c r="P39" i="12"/>
  <c r="N39" i="12"/>
  <c r="L39" i="12"/>
  <c r="D39" i="12"/>
  <c r="B39" i="12"/>
  <c r="Z38" i="12"/>
  <c r="P38" i="12"/>
  <c r="X38" i="12" s="1"/>
  <c r="N38" i="12"/>
  <c r="D38" i="12"/>
  <c r="L38" i="12" s="1"/>
  <c r="B38" i="12"/>
  <c r="Z37" i="12"/>
  <c r="P37" i="12"/>
  <c r="X37" i="12" s="1"/>
  <c r="N37" i="12"/>
  <c r="L37" i="12"/>
  <c r="D37" i="12"/>
  <c r="B37" i="12"/>
  <c r="Z36" i="12"/>
  <c r="P36" i="12"/>
  <c r="X36" i="12" s="1"/>
  <c r="N36" i="12"/>
  <c r="L36" i="12"/>
  <c r="D36" i="12"/>
  <c r="B36" i="12"/>
  <c r="Z35" i="12"/>
  <c r="P35" i="12"/>
  <c r="X35" i="12" s="1"/>
  <c r="N35" i="12"/>
  <c r="D35" i="12"/>
  <c r="L35" i="12" s="1"/>
  <c r="B35" i="12"/>
  <c r="Z34" i="12"/>
  <c r="X34" i="12"/>
  <c r="P34" i="12"/>
  <c r="N34" i="12"/>
  <c r="D34" i="12"/>
  <c r="L34" i="12" s="1"/>
  <c r="B34" i="12"/>
  <c r="Z33" i="12"/>
  <c r="X33" i="12"/>
  <c r="P33" i="12"/>
  <c r="N33" i="12"/>
  <c r="D33" i="12"/>
  <c r="L33" i="12" s="1"/>
  <c r="B33" i="12"/>
  <c r="Z32" i="12"/>
  <c r="P32" i="12"/>
  <c r="X32" i="12" s="1"/>
  <c r="N32" i="12"/>
  <c r="D32" i="12"/>
  <c r="L32" i="12" s="1"/>
  <c r="B32" i="12"/>
  <c r="Z31" i="12"/>
  <c r="P31" i="12"/>
  <c r="X31" i="12" s="1"/>
  <c r="N31" i="12"/>
  <c r="L31" i="12"/>
  <c r="D31" i="12"/>
  <c r="B31" i="12"/>
  <c r="Z30" i="12"/>
  <c r="X30" i="12"/>
  <c r="P30" i="12"/>
  <c r="N30" i="12"/>
  <c r="L30" i="12"/>
  <c r="D30" i="12"/>
  <c r="B30" i="12"/>
  <c r="Z29" i="12"/>
  <c r="P29" i="12"/>
  <c r="X29" i="12" s="1"/>
  <c r="N29" i="12"/>
  <c r="D29" i="12"/>
  <c r="L29" i="12" s="1"/>
  <c r="B29" i="12"/>
  <c r="Z28" i="12"/>
  <c r="X28" i="12"/>
  <c r="P28" i="12"/>
  <c r="N28" i="12"/>
  <c r="D28" i="12"/>
  <c r="L28" i="12" s="1"/>
  <c r="B28" i="12"/>
  <c r="Z27" i="12"/>
  <c r="X27" i="12"/>
  <c r="P27" i="12"/>
  <c r="N27" i="12"/>
  <c r="L27" i="12"/>
  <c r="D27" i="12"/>
  <c r="B27" i="12"/>
  <c r="Z26" i="12"/>
  <c r="P26" i="12"/>
  <c r="X26" i="12" s="1"/>
  <c r="N26" i="12"/>
  <c r="D26" i="12"/>
  <c r="L26" i="12" s="1"/>
  <c r="B26" i="12"/>
  <c r="Z25" i="12"/>
  <c r="P25" i="12"/>
  <c r="X25" i="12" s="1"/>
  <c r="N25" i="12"/>
  <c r="L25" i="12"/>
  <c r="D25" i="12"/>
  <c r="B25" i="12"/>
  <c r="Z24" i="12"/>
  <c r="P24" i="12"/>
  <c r="X24" i="12" s="1"/>
  <c r="N24" i="12"/>
  <c r="L24" i="12"/>
  <c r="D24" i="12"/>
  <c r="B24" i="12"/>
  <c r="Z23" i="12"/>
  <c r="P23" i="12"/>
  <c r="N23" i="12"/>
  <c r="D23" i="12"/>
  <c r="L23" i="12" s="1"/>
  <c r="B23" i="12"/>
  <c r="Z22" i="12"/>
  <c r="X22" i="12"/>
  <c r="P22" i="12"/>
  <c r="N22" i="12"/>
  <c r="D22" i="12"/>
  <c r="L22" i="12" s="1"/>
  <c r="B22" i="12"/>
  <c r="Z21" i="12"/>
  <c r="X21" i="12"/>
  <c r="P21" i="12"/>
  <c r="N21" i="12"/>
  <c r="D21" i="12"/>
  <c r="L21" i="12" s="1"/>
  <c r="B21" i="12"/>
  <c r="Z20" i="12"/>
  <c r="P20" i="12"/>
  <c r="X20" i="12" s="1"/>
  <c r="N20" i="12"/>
  <c r="D20" i="12"/>
  <c r="L20" i="12" s="1"/>
  <c r="B20" i="12"/>
  <c r="Z19" i="12"/>
  <c r="P19" i="12"/>
  <c r="X19" i="12" s="1"/>
  <c r="N19" i="12"/>
  <c r="L19" i="12"/>
  <c r="D19" i="12"/>
  <c r="B19" i="12"/>
  <c r="Z18" i="12"/>
  <c r="X18" i="12"/>
  <c r="P18" i="12"/>
  <c r="N18" i="12"/>
  <c r="L18" i="12"/>
  <c r="D18" i="12"/>
  <c r="B18" i="12"/>
  <c r="Z17" i="12"/>
  <c r="P17" i="12"/>
  <c r="X17" i="12" s="1"/>
  <c r="N17" i="12"/>
  <c r="D17" i="12"/>
  <c r="L17" i="12" s="1"/>
  <c r="B17" i="12"/>
  <c r="Z16" i="12"/>
  <c r="X16" i="12"/>
  <c r="P16" i="12"/>
  <c r="N16" i="12"/>
  <c r="D16" i="12"/>
  <c r="L16" i="12" s="1"/>
  <c r="B16" i="12"/>
  <c r="Z15" i="12"/>
  <c r="X15" i="12"/>
  <c r="P15" i="12"/>
  <c r="N15" i="12"/>
  <c r="L15" i="12"/>
  <c r="D15" i="12"/>
  <c r="B15" i="12"/>
  <c r="Z14" i="12"/>
  <c r="P14" i="12"/>
  <c r="X14" i="12" s="1"/>
  <c r="N14" i="12"/>
  <c r="D14" i="12"/>
  <c r="L14" i="12" s="1"/>
  <c r="B14" i="12"/>
  <c r="P13" i="12"/>
  <c r="X13" i="12" s="1"/>
  <c r="Z13" i="12" s="1"/>
  <c r="L13" i="12"/>
  <c r="N13" i="12" s="1"/>
  <c r="D13" i="12"/>
  <c r="B13" i="12"/>
  <c r="T12" i="12"/>
  <c r="V266" i="12" s="1"/>
  <c r="H12" i="12"/>
  <c r="J261" i="12" s="1"/>
  <c r="D4" i="12"/>
  <c r="F106" i="9"/>
  <c r="F103" i="9"/>
  <c r="Z101" i="9"/>
  <c r="X101" i="9"/>
  <c r="N101" i="9"/>
  <c r="L101" i="9"/>
  <c r="V99" i="9"/>
  <c r="V97" i="9"/>
  <c r="T97" i="9"/>
  <c r="Z97" i="9" s="1"/>
  <c r="P97" i="9"/>
  <c r="H97" i="9"/>
  <c r="N97" i="9" s="1"/>
  <c r="D97" i="9"/>
  <c r="Z95" i="9"/>
  <c r="X95" i="9"/>
  <c r="V95" i="9"/>
  <c r="N95" i="9"/>
  <c r="L95" i="9"/>
  <c r="B95" i="9"/>
  <c r="Z94" i="9"/>
  <c r="X94" i="9"/>
  <c r="L94" i="9"/>
  <c r="N94" i="9" s="1"/>
  <c r="B94" i="9"/>
  <c r="T93" i="9"/>
  <c r="P93" i="9"/>
  <c r="J93" i="9"/>
  <c r="H93" i="9"/>
  <c r="D93" i="9"/>
  <c r="B93" i="9"/>
  <c r="X92" i="9"/>
  <c r="Z92" i="9" s="1"/>
  <c r="L92" i="9"/>
  <c r="N92" i="9" s="1"/>
  <c r="F92" i="9"/>
  <c r="B92" i="9"/>
  <c r="T91" i="9"/>
  <c r="Z91" i="9" s="1"/>
  <c r="P91" i="9"/>
  <c r="X91" i="9" s="1"/>
  <c r="H91" i="9"/>
  <c r="N91" i="9" s="1"/>
  <c r="F91" i="9"/>
  <c r="D91" i="9"/>
  <c r="L91" i="9" s="1"/>
  <c r="B91" i="9"/>
  <c r="Z90" i="9"/>
  <c r="X90" i="9"/>
  <c r="N90" i="9"/>
  <c r="L90" i="9"/>
  <c r="B90" i="9"/>
  <c r="Z89" i="9"/>
  <c r="X89" i="9"/>
  <c r="L89" i="9"/>
  <c r="N89" i="9" s="1"/>
  <c r="B89" i="9"/>
  <c r="T88" i="9"/>
  <c r="P88" i="9"/>
  <c r="H88" i="9"/>
  <c r="D88" i="9"/>
  <c r="L88" i="9" s="1"/>
  <c r="B88" i="9"/>
  <c r="Z87" i="9"/>
  <c r="X87" i="9"/>
  <c r="V87" i="9"/>
  <c r="N87" i="9"/>
  <c r="L87" i="9"/>
  <c r="B87" i="9"/>
  <c r="Z86" i="9"/>
  <c r="X86" i="9"/>
  <c r="L86" i="9"/>
  <c r="N86" i="9" s="1"/>
  <c r="B86" i="9"/>
  <c r="X85" i="9"/>
  <c r="Z85" i="9" s="1"/>
  <c r="V85" i="9"/>
  <c r="N85" i="9"/>
  <c r="L85" i="9"/>
  <c r="B85" i="9"/>
  <c r="Z84" i="9"/>
  <c r="X84" i="9"/>
  <c r="L84" i="9"/>
  <c r="N84" i="9" s="1"/>
  <c r="B84" i="9"/>
  <c r="V83" i="9"/>
  <c r="T83" i="9"/>
  <c r="Z83" i="9" s="1"/>
  <c r="P83" i="9"/>
  <c r="X83" i="9" s="1"/>
  <c r="J83" i="9"/>
  <c r="H83" i="9"/>
  <c r="D83" i="9"/>
  <c r="B83" i="9"/>
  <c r="X82" i="9"/>
  <c r="Z82" i="9" s="1"/>
  <c r="N82" i="9"/>
  <c r="L82" i="9"/>
  <c r="F82" i="9"/>
  <c r="B82" i="9"/>
  <c r="X81" i="9"/>
  <c r="Z81" i="9" s="1"/>
  <c r="N81" i="9"/>
  <c r="L81" i="9"/>
  <c r="B81" i="9"/>
  <c r="X80" i="9"/>
  <c r="Z80" i="9" s="1"/>
  <c r="T80" i="9"/>
  <c r="P80" i="9"/>
  <c r="L80" i="9"/>
  <c r="N80" i="9" s="1"/>
  <c r="H80" i="9"/>
  <c r="D80" i="9"/>
  <c r="B80" i="9"/>
  <c r="Z79" i="9"/>
  <c r="X79" i="9"/>
  <c r="N79" i="9"/>
  <c r="L79" i="9"/>
  <c r="J79" i="9"/>
  <c r="B79" i="9"/>
  <c r="Z78" i="9"/>
  <c r="X78" i="9"/>
  <c r="N78" i="9"/>
  <c r="L78" i="9"/>
  <c r="B78" i="9"/>
  <c r="Z77" i="9"/>
  <c r="X77" i="9"/>
  <c r="T77" i="9"/>
  <c r="P77" i="9"/>
  <c r="N77" i="9"/>
  <c r="L77" i="9"/>
  <c r="H77" i="9"/>
  <c r="D77" i="9"/>
  <c r="B77" i="9"/>
  <c r="Z76" i="9"/>
  <c r="X76" i="9"/>
  <c r="N76" i="9"/>
  <c r="L76" i="9"/>
  <c r="B76" i="9"/>
  <c r="Z75" i="9"/>
  <c r="X75" i="9"/>
  <c r="V75" i="9"/>
  <c r="L75" i="9"/>
  <c r="N75" i="9" s="1"/>
  <c r="B75" i="9"/>
  <c r="Z74" i="9"/>
  <c r="X74" i="9"/>
  <c r="L74" i="9"/>
  <c r="N74" i="9" s="1"/>
  <c r="B74" i="9"/>
  <c r="X73" i="9"/>
  <c r="Z73" i="9" s="1"/>
  <c r="V73" i="9"/>
  <c r="L73" i="9"/>
  <c r="N73" i="9" s="1"/>
  <c r="B73" i="9"/>
  <c r="T72" i="9"/>
  <c r="P72" i="9"/>
  <c r="X72" i="9" s="1"/>
  <c r="Z72" i="9" s="1"/>
  <c r="H72" i="9"/>
  <c r="D72" i="9"/>
  <c r="L72" i="9" s="1"/>
  <c r="N72" i="9" s="1"/>
  <c r="B72" i="9"/>
  <c r="X71" i="9"/>
  <c r="Z71" i="9" s="1"/>
  <c r="N71" i="9"/>
  <c r="L71" i="9"/>
  <c r="B71" i="9"/>
  <c r="X70" i="9"/>
  <c r="Z70" i="9" s="1"/>
  <c r="L70" i="9"/>
  <c r="N70" i="9" s="1"/>
  <c r="F70" i="9"/>
  <c r="B70" i="9"/>
  <c r="Z69" i="9"/>
  <c r="X69" i="9"/>
  <c r="N69" i="9"/>
  <c r="L69" i="9"/>
  <c r="B69" i="9"/>
  <c r="X68" i="9"/>
  <c r="Z68" i="9" s="1"/>
  <c r="N68" i="9"/>
  <c r="L68" i="9"/>
  <c r="F68" i="9"/>
  <c r="B68" i="9"/>
  <c r="T67" i="9"/>
  <c r="Z67" i="9" s="1"/>
  <c r="P67" i="9"/>
  <c r="X67" i="9" s="1"/>
  <c r="H67" i="9"/>
  <c r="F67" i="9"/>
  <c r="D67" i="9"/>
  <c r="L67" i="9" s="1"/>
  <c r="B67" i="9"/>
  <c r="Z66" i="9"/>
  <c r="X66" i="9"/>
  <c r="N66" i="9"/>
  <c r="L66" i="9"/>
  <c r="B66" i="9"/>
  <c r="Z65" i="9"/>
  <c r="X65" i="9"/>
  <c r="N65" i="9"/>
  <c r="L65" i="9"/>
  <c r="J65" i="9"/>
  <c r="B65" i="9"/>
  <c r="Z64" i="9"/>
  <c r="X64" i="9"/>
  <c r="R64" i="9"/>
  <c r="N64" i="9"/>
  <c r="L64" i="9"/>
  <c r="B64" i="9"/>
  <c r="Z63" i="9"/>
  <c r="X63" i="9"/>
  <c r="T63" i="9"/>
  <c r="P63" i="9"/>
  <c r="N63" i="9"/>
  <c r="L63" i="9"/>
  <c r="H63" i="9"/>
  <c r="D63" i="9"/>
  <c r="B63" i="9"/>
  <c r="Z62" i="9"/>
  <c r="X62" i="9"/>
  <c r="L62" i="9"/>
  <c r="N62" i="9" s="1"/>
  <c r="B62" i="9"/>
  <c r="V61" i="9"/>
  <c r="T61" i="9"/>
  <c r="P61" i="9"/>
  <c r="J61" i="9"/>
  <c r="H61" i="9"/>
  <c r="N61" i="9" s="1"/>
  <c r="D61" i="9"/>
  <c r="L61" i="9" s="1"/>
  <c r="B61" i="9"/>
  <c r="X60" i="9"/>
  <c r="Z60" i="9" s="1"/>
  <c r="L60" i="9"/>
  <c r="N60" i="9" s="1"/>
  <c r="F60" i="9"/>
  <c r="B60" i="9"/>
  <c r="T59" i="9"/>
  <c r="R59" i="9"/>
  <c r="P59" i="9"/>
  <c r="X59" i="9" s="1"/>
  <c r="H59" i="9"/>
  <c r="F59" i="9"/>
  <c r="D59" i="9"/>
  <c r="L59" i="9" s="1"/>
  <c r="B59" i="9"/>
  <c r="Z58" i="9"/>
  <c r="X58" i="9"/>
  <c r="R58" i="9"/>
  <c r="N58" i="9"/>
  <c r="L58" i="9"/>
  <c r="B58" i="9"/>
  <c r="Z57" i="9"/>
  <c r="X57" i="9"/>
  <c r="T57" i="9"/>
  <c r="P57" i="9"/>
  <c r="N57" i="9"/>
  <c r="L57" i="9"/>
  <c r="H57" i="9"/>
  <c r="D57" i="9"/>
  <c r="B57" i="9"/>
  <c r="Z56" i="9"/>
  <c r="X56" i="9"/>
  <c r="L56" i="9"/>
  <c r="N56" i="9" s="1"/>
  <c r="B56" i="9"/>
  <c r="V55" i="9"/>
  <c r="T55" i="9"/>
  <c r="Z55" i="9" s="1"/>
  <c r="P55" i="9"/>
  <c r="X55" i="9" s="1"/>
  <c r="J55" i="9"/>
  <c r="H55" i="9"/>
  <c r="D55" i="9"/>
  <c r="L55" i="9" s="1"/>
  <c r="B55" i="9"/>
  <c r="X54" i="9"/>
  <c r="Z54" i="9" s="1"/>
  <c r="N54" i="9"/>
  <c r="L54" i="9"/>
  <c r="F54" i="9"/>
  <c r="B54" i="9"/>
  <c r="T53" i="9"/>
  <c r="Z53" i="9" s="1"/>
  <c r="R53" i="9"/>
  <c r="P53" i="9"/>
  <c r="X53" i="9" s="1"/>
  <c r="H53" i="9"/>
  <c r="F53" i="9"/>
  <c r="D53" i="9"/>
  <c r="L53" i="9" s="1"/>
  <c r="B53" i="9"/>
  <c r="Z52" i="9"/>
  <c r="X52" i="9"/>
  <c r="R52" i="9"/>
  <c r="N52" i="9"/>
  <c r="L52" i="9"/>
  <c r="B52" i="9"/>
  <c r="Z51" i="9"/>
  <c r="X51" i="9"/>
  <c r="L51" i="9"/>
  <c r="N51" i="9" s="1"/>
  <c r="J51" i="9"/>
  <c r="B51" i="9"/>
  <c r="T50" i="9"/>
  <c r="Z50" i="9" s="1"/>
  <c r="P50" i="9"/>
  <c r="X50" i="9" s="1"/>
  <c r="H50" i="9"/>
  <c r="D50" i="9"/>
  <c r="B50" i="9"/>
  <c r="X49" i="9"/>
  <c r="Z49" i="9" s="1"/>
  <c r="V49" i="9"/>
  <c r="L49" i="9"/>
  <c r="N49" i="9" s="1"/>
  <c r="B49" i="9"/>
  <c r="T48" i="9"/>
  <c r="P48" i="9"/>
  <c r="X48" i="9" s="1"/>
  <c r="Z48" i="9" s="1"/>
  <c r="H48" i="9"/>
  <c r="D48" i="9"/>
  <c r="L48" i="9" s="1"/>
  <c r="N48" i="9" s="1"/>
  <c r="B48" i="9"/>
  <c r="X47" i="9"/>
  <c r="Z47" i="9" s="1"/>
  <c r="N47" i="9"/>
  <c r="L47" i="9"/>
  <c r="B47" i="9"/>
  <c r="X46" i="9"/>
  <c r="Z46" i="9" s="1"/>
  <c r="T46" i="9"/>
  <c r="P46" i="9"/>
  <c r="L46" i="9"/>
  <c r="N46" i="9" s="1"/>
  <c r="H46" i="9"/>
  <c r="D46" i="9"/>
  <c r="B46" i="9"/>
  <c r="Z45" i="9"/>
  <c r="X45" i="9"/>
  <c r="L45" i="9"/>
  <c r="N45" i="9" s="1"/>
  <c r="J45" i="9"/>
  <c r="B45" i="9"/>
  <c r="T44" i="9"/>
  <c r="P44" i="9"/>
  <c r="H44" i="9"/>
  <c r="N44" i="9" s="1"/>
  <c r="D44" i="9"/>
  <c r="L44" i="9" s="1"/>
  <c r="B44" i="9"/>
  <c r="X43" i="9"/>
  <c r="Z43" i="9" s="1"/>
  <c r="V43" i="9"/>
  <c r="L43" i="9"/>
  <c r="N43" i="9" s="1"/>
  <c r="B43" i="9"/>
  <c r="T42" i="9"/>
  <c r="P42" i="9"/>
  <c r="X42" i="9" s="1"/>
  <c r="Z42" i="9" s="1"/>
  <c r="H42" i="9"/>
  <c r="D42" i="9"/>
  <c r="L42" i="9" s="1"/>
  <c r="N42" i="9" s="1"/>
  <c r="B42" i="9"/>
  <c r="Z41" i="9"/>
  <c r="X41" i="9"/>
  <c r="N41" i="9"/>
  <c r="L41" i="9"/>
  <c r="B41" i="9"/>
  <c r="Z40" i="9"/>
  <c r="X40" i="9"/>
  <c r="N40" i="9"/>
  <c r="L40" i="9"/>
  <c r="F40" i="9"/>
  <c r="B40" i="9"/>
  <c r="X39" i="9"/>
  <c r="Z39" i="9" s="1"/>
  <c r="N39" i="9"/>
  <c r="L39" i="9"/>
  <c r="B39" i="9"/>
  <c r="X38" i="9"/>
  <c r="Z38" i="9" s="1"/>
  <c r="N38" i="9"/>
  <c r="L38" i="9"/>
  <c r="F38" i="9"/>
  <c r="B38" i="9"/>
  <c r="Z37" i="9"/>
  <c r="X37" i="9"/>
  <c r="N37" i="9"/>
  <c r="L37" i="9"/>
  <c r="B37" i="9"/>
  <c r="X36" i="9"/>
  <c r="Z36" i="9" s="1"/>
  <c r="L36" i="9"/>
  <c r="N36" i="9" s="1"/>
  <c r="F36" i="9"/>
  <c r="B36" i="9"/>
  <c r="X35" i="9"/>
  <c r="Z35" i="9" s="1"/>
  <c r="N35" i="9"/>
  <c r="L35" i="9"/>
  <c r="B35" i="9"/>
  <c r="Z34" i="9"/>
  <c r="X34" i="9"/>
  <c r="N34" i="9"/>
  <c r="L34" i="9"/>
  <c r="F34" i="9"/>
  <c r="B34" i="9"/>
  <c r="X33" i="9"/>
  <c r="Z33" i="9" s="1"/>
  <c r="N33" i="9"/>
  <c r="L33" i="9"/>
  <c r="B33" i="9"/>
  <c r="X32" i="9"/>
  <c r="Z32" i="9" s="1"/>
  <c r="L32" i="9"/>
  <c r="N32" i="9" s="1"/>
  <c r="F32" i="9"/>
  <c r="B32" i="9"/>
  <c r="T31" i="9"/>
  <c r="R31" i="9"/>
  <c r="P31" i="9"/>
  <c r="X31" i="9" s="1"/>
  <c r="H31" i="9"/>
  <c r="F31" i="9"/>
  <c r="D31" i="9"/>
  <c r="L31" i="9" s="1"/>
  <c r="B31" i="9"/>
  <c r="X30" i="9"/>
  <c r="Z30" i="9" s="1"/>
  <c r="R30" i="9"/>
  <c r="N30" i="9"/>
  <c r="L30" i="9"/>
  <c r="B30" i="9"/>
  <c r="Z29" i="9"/>
  <c r="X29" i="9"/>
  <c r="L29" i="9"/>
  <c r="N29" i="9" s="1"/>
  <c r="J29" i="9"/>
  <c r="B29" i="9"/>
  <c r="X28" i="9"/>
  <c r="Z28" i="9" s="1"/>
  <c r="R28" i="9"/>
  <c r="N28" i="9"/>
  <c r="L28" i="9"/>
  <c r="B28" i="9"/>
  <c r="Z27" i="9"/>
  <c r="X27" i="9"/>
  <c r="L27" i="9"/>
  <c r="N27" i="9" s="1"/>
  <c r="J27" i="9"/>
  <c r="F27" i="9"/>
  <c r="B27" i="9"/>
  <c r="Z26" i="9"/>
  <c r="X26" i="9"/>
  <c r="R26" i="9"/>
  <c r="N26" i="9"/>
  <c r="L26" i="9"/>
  <c r="B26" i="9"/>
  <c r="Z25" i="9"/>
  <c r="X25" i="9"/>
  <c r="L25" i="9"/>
  <c r="N25" i="9" s="1"/>
  <c r="J25" i="9"/>
  <c r="B25" i="9"/>
  <c r="X24" i="9"/>
  <c r="Z24" i="9" s="1"/>
  <c r="R24" i="9"/>
  <c r="N24" i="9"/>
  <c r="L24" i="9"/>
  <c r="B24" i="9"/>
  <c r="Z23" i="9"/>
  <c r="X23" i="9"/>
  <c r="L23" i="9"/>
  <c r="N23" i="9" s="1"/>
  <c r="J23" i="9"/>
  <c r="F23" i="9"/>
  <c r="B23" i="9"/>
  <c r="X22" i="9"/>
  <c r="Z22" i="9" s="1"/>
  <c r="R22" i="9"/>
  <c r="N22" i="9"/>
  <c r="L22" i="9"/>
  <c r="B22" i="9"/>
  <c r="Z21" i="9"/>
  <c r="X21" i="9"/>
  <c r="L21" i="9"/>
  <c r="N21" i="9" s="1"/>
  <c r="J21" i="9"/>
  <c r="F21" i="9"/>
  <c r="B21" i="9"/>
  <c r="X20" i="9"/>
  <c r="Z20" i="9" s="1"/>
  <c r="V20" i="9"/>
  <c r="R20" i="9"/>
  <c r="N20" i="9"/>
  <c r="L20" i="9"/>
  <c r="B20" i="9"/>
  <c r="Z19" i="9"/>
  <c r="X19" i="9"/>
  <c r="V19" i="9"/>
  <c r="T19" i="9"/>
  <c r="P19" i="9"/>
  <c r="N19" i="9"/>
  <c r="L19" i="9"/>
  <c r="H19" i="9"/>
  <c r="D19" i="9"/>
  <c r="B19" i="9"/>
  <c r="T18" i="9"/>
  <c r="P18" i="9"/>
  <c r="X18" i="9" s="1"/>
  <c r="H18" i="9"/>
  <c r="F18" i="9"/>
  <c r="D18" i="9"/>
  <c r="L18" i="9" s="1"/>
  <c r="P16" i="9"/>
  <c r="F16" i="9"/>
  <c r="T14" i="9"/>
  <c r="Z14" i="9" s="1"/>
  <c r="P14" i="9"/>
  <c r="X14" i="9" s="1"/>
  <c r="H14" i="9"/>
  <c r="N14" i="9" s="1"/>
  <c r="F14" i="9"/>
  <c r="D14" i="9"/>
  <c r="L14" i="9" s="1"/>
  <c r="Z12" i="9"/>
  <c r="T12" i="9"/>
  <c r="V82" i="9" s="1"/>
  <c r="P12" i="9"/>
  <c r="R95" i="9" s="1"/>
  <c r="L12" i="9"/>
  <c r="H12" i="9"/>
  <c r="J94" i="9" s="1"/>
  <c r="D12" i="9"/>
  <c r="F79" i="9" s="1"/>
  <c r="D4" i="9"/>
  <c r="R31" i="6"/>
  <c r="Z29" i="6"/>
  <c r="X29" i="6"/>
  <c r="T29" i="6"/>
  <c r="R29" i="6"/>
  <c r="P29" i="6"/>
  <c r="H29" i="6"/>
  <c r="D29" i="6"/>
  <c r="L29" i="6" s="1"/>
  <c r="N29" i="6" s="1"/>
  <c r="Z28" i="6"/>
  <c r="X28" i="6"/>
  <c r="T28" i="6"/>
  <c r="R28" i="6"/>
  <c r="P28" i="6"/>
  <c r="H28" i="6"/>
  <c r="D28" i="6"/>
  <c r="L28" i="6" s="1"/>
  <c r="N28" i="6" s="1"/>
  <c r="R26" i="6"/>
  <c r="Z24" i="6"/>
  <c r="X24" i="6"/>
  <c r="N24" i="6"/>
  <c r="L24" i="6"/>
  <c r="J24" i="6"/>
  <c r="R22" i="6"/>
  <c r="J22" i="6"/>
  <c r="F22" i="6"/>
  <c r="T20" i="6"/>
  <c r="Z20" i="6" s="1"/>
  <c r="R20" i="6"/>
  <c r="P20" i="6"/>
  <c r="X20" i="6" s="1"/>
  <c r="J20" i="6"/>
  <c r="H20" i="6"/>
  <c r="N20" i="6" s="1"/>
  <c r="F20" i="6"/>
  <c r="D20" i="6"/>
  <c r="L20" i="6" s="1"/>
  <c r="T18" i="6"/>
  <c r="Z18" i="6" s="1"/>
  <c r="R18" i="6"/>
  <c r="P18" i="6"/>
  <c r="X18" i="6" s="1"/>
  <c r="J18" i="6"/>
  <c r="H18" i="6"/>
  <c r="N18" i="6" s="1"/>
  <c r="F18" i="6"/>
  <c r="D18" i="6"/>
  <c r="L18" i="6" s="1"/>
  <c r="R16" i="6"/>
  <c r="J16" i="6"/>
  <c r="F16" i="6"/>
  <c r="T14" i="6"/>
  <c r="Z14" i="6" s="1"/>
  <c r="R14" i="6"/>
  <c r="P14" i="6"/>
  <c r="X14" i="6" s="1"/>
  <c r="J14" i="6"/>
  <c r="H14" i="6"/>
  <c r="N14" i="6" s="1"/>
  <c r="F14" i="6"/>
  <c r="D14" i="6"/>
  <c r="L14" i="6" s="1"/>
  <c r="T12" i="6"/>
  <c r="Z12" i="6" s="1"/>
  <c r="P12" i="6"/>
  <c r="X12" i="6" s="1"/>
  <c r="N12" i="6"/>
  <c r="H12" i="6"/>
  <c r="J31" i="6" s="1"/>
  <c r="D12" i="6"/>
  <c r="F24" i="6" s="1"/>
  <c r="D4" i="6"/>
  <c r="T316" i="3"/>
  <c r="Z316" i="3" s="1"/>
  <c r="P316" i="3"/>
  <c r="X316" i="3" s="1"/>
  <c r="H316" i="3"/>
  <c r="N316" i="3" s="1"/>
  <c r="D316" i="3"/>
  <c r="L316" i="3" s="1"/>
  <c r="T315" i="3"/>
  <c r="P315" i="3"/>
  <c r="X315" i="3" s="1"/>
  <c r="H315" i="3"/>
  <c r="N315" i="3" s="1"/>
  <c r="D315" i="3"/>
  <c r="L315" i="3" s="1"/>
  <c r="X311" i="3"/>
  <c r="Z311" i="3" s="1"/>
  <c r="L311" i="3"/>
  <c r="N311" i="3" s="1"/>
  <c r="Z307" i="3"/>
  <c r="X307" i="3"/>
  <c r="P307" i="3"/>
  <c r="N307" i="3"/>
  <c r="D307" i="3"/>
  <c r="L307" i="3" s="1"/>
  <c r="B307" i="3"/>
  <c r="P306" i="3"/>
  <c r="X306" i="3" s="1"/>
  <c r="Z306" i="3" s="1"/>
  <c r="L306" i="3"/>
  <c r="N306" i="3" s="1"/>
  <c r="D306" i="3"/>
  <c r="B306" i="3"/>
  <c r="Z305" i="3"/>
  <c r="X305" i="3"/>
  <c r="P305" i="3"/>
  <c r="N305" i="3"/>
  <c r="D305" i="3"/>
  <c r="L305" i="3" s="1"/>
  <c r="B305" i="3"/>
  <c r="Z304" i="3"/>
  <c r="X304" i="3"/>
  <c r="P304" i="3"/>
  <c r="L304" i="3"/>
  <c r="N304" i="3" s="1"/>
  <c r="D304" i="3"/>
  <c r="B304" i="3"/>
  <c r="X303" i="3"/>
  <c r="Z303" i="3" s="1"/>
  <c r="P303" i="3"/>
  <c r="D303" i="3"/>
  <c r="L303" i="3" s="1"/>
  <c r="N303" i="3" s="1"/>
  <c r="B303" i="3"/>
  <c r="Z302" i="3"/>
  <c r="P302" i="3"/>
  <c r="X302" i="3" s="1"/>
  <c r="N302" i="3"/>
  <c r="L302" i="3"/>
  <c r="D302" i="3"/>
  <c r="B302" i="3"/>
  <c r="Z301" i="3"/>
  <c r="P301" i="3"/>
  <c r="X301" i="3" s="1"/>
  <c r="N301" i="3"/>
  <c r="D301" i="3"/>
  <c r="B301" i="3"/>
  <c r="Z300" i="3"/>
  <c r="P300" i="3"/>
  <c r="N300" i="3"/>
  <c r="L300" i="3"/>
  <c r="D300" i="3"/>
  <c r="B300" i="3"/>
  <c r="Z299" i="3"/>
  <c r="X299" i="3"/>
  <c r="P299" i="3"/>
  <c r="N299" i="3"/>
  <c r="L299" i="3"/>
  <c r="D299" i="3"/>
  <c r="B299" i="3"/>
  <c r="Z298" i="3"/>
  <c r="P298" i="3"/>
  <c r="X298" i="3" s="1"/>
  <c r="N298" i="3"/>
  <c r="L298" i="3"/>
  <c r="D298" i="3"/>
  <c r="B298" i="3"/>
  <c r="T297" i="3"/>
  <c r="H297" i="3"/>
  <c r="X295" i="3"/>
  <c r="Z295" i="3" s="1"/>
  <c r="L295" i="3"/>
  <c r="N295" i="3" s="1"/>
  <c r="B295" i="3"/>
  <c r="T294" i="3"/>
  <c r="P294" i="3"/>
  <c r="H294" i="3"/>
  <c r="D294" i="3"/>
  <c r="L294" i="3" s="1"/>
  <c r="N294" i="3" s="1"/>
  <c r="B294" i="3"/>
  <c r="X293" i="3"/>
  <c r="Z293" i="3" s="1"/>
  <c r="L293" i="3"/>
  <c r="N293" i="3" s="1"/>
  <c r="B293" i="3"/>
  <c r="Z292" i="3"/>
  <c r="X292" i="3"/>
  <c r="L292" i="3"/>
  <c r="N292" i="3" s="1"/>
  <c r="B292" i="3"/>
  <c r="X291" i="3"/>
  <c r="Z291" i="3" s="1"/>
  <c r="N291" i="3"/>
  <c r="L291" i="3"/>
  <c r="B291" i="3"/>
  <c r="Z290" i="3"/>
  <c r="T290" i="3"/>
  <c r="P290" i="3"/>
  <c r="X290" i="3" s="1"/>
  <c r="H290" i="3"/>
  <c r="D290" i="3"/>
  <c r="L290" i="3" s="1"/>
  <c r="N290" i="3" s="1"/>
  <c r="B290" i="3"/>
  <c r="X289" i="3"/>
  <c r="Z289" i="3" s="1"/>
  <c r="L289" i="3"/>
  <c r="N289" i="3" s="1"/>
  <c r="B289" i="3"/>
  <c r="X288" i="3"/>
  <c r="Z288" i="3" s="1"/>
  <c r="T288" i="3"/>
  <c r="P288" i="3"/>
  <c r="H288" i="3"/>
  <c r="D288" i="3"/>
  <c r="L288" i="3" s="1"/>
  <c r="B288" i="3"/>
  <c r="X287" i="3"/>
  <c r="Z287" i="3" s="1"/>
  <c r="N287" i="3"/>
  <c r="L287" i="3"/>
  <c r="B287" i="3"/>
  <c r="X286" i="3"/>
  <c r="Z286" i="3" s="1"/>
  <c r="N286" i="3"/>
  <c r="L286" i="3"/>
  <c r="B286" i="3"/>
  <c r="X285" i="3"/>
  <c r="Z285" i="3" s="1"/>
  <c r="T285" i="3"/>
  <c r="P285" i="3"/>
  <c r="L285" i="3"/>
  <c r="H285" i="3"/>
  <c r="D285" i="3"/>
  <c r="B285" i="3"/>
  <c r="Z284" i="3"/>
  <c r="X284" i="3"/>
  <c r="N284" i="3"/>
  <c r="L284" i="3"/>
  <c r="B284" i="3"/>
  <c r="X283" i="3"/>
  <c r="Z283" i="3" s="1"/>
  <c r="N283" i="3"/>
  <c r="L283" i="3"/>
  <c r="B283" i="3"/>
  <c r="Z282" i="3"/>
  <c r="X282" i="3"/>
  <c r="N282" i="3"/>
  <c r="L282" i="3"/>
  <c r="B282" i="3"/>
  <c r="X281" i="3"/>
  <c r="Z281" i="3" s="1"/>
  <c r="L281" i="3"/>
  <c r="N281" i="3" s="1"/>
  <c r="B281" i="3"/>
  <c r="Z280" i="3"/>
  <c r="X280" i="3"/>
  <c r="L280" i="3"/>
  <c r="N280" i="3" s="1"/>
  <c r="B280" i="3"/>
  <c r="X279" i="3"/>
  <c r="Z279" i="3" s="1"/>
  <c r="N279" i="3"/>
  <c r="L279" i="3"/>
  <c r="B279" i="3"/>
  <c r="Z278" i="3"/>
  <c r="X278" i="3"/>
  <c r="L278" i="3"/>
  <c r="N278" i="3" s="1"/>
  <c r="B278" i="3"/>
  <c r="X277" i="3"/>
  <c r="Z277" i="3" s="1"/>
  <c r="L277" i="3"/>
  <c r="N277" i="3" s="1"/>
  <c r="B277" i="3"/>
  <c r="Z276" i="3"/>
  <c r="X276" i="3"/>
  <c r="L276" i="3"/>
  <c r="N276" i="3" s="1"/>
  <c r="B276" i="3"/>
  <c r="X275" i="3"/>
  <c r="Z275" i="3" s="1"/>
  <c r="L275" i="3"/>
  <c r="N275" i="3" s="1"/>
  <c r="B275" i="3"/>
  <c r="T274" i="3"/>
  <c r="P274" i="3"/>
  <c r="X274" i="3" s="1"/>
  <c r="Z274" i="3" s="1"/>
  <c r="H274" i="3"/>
  <c r="D274" i="3"/>
  <c r="L274" i="3" s="1"/>
  <c r="N274" i="3" s="1"/>
  <c r="B274" i="3"/>
  <c r="X273" i="3"/>
  <c r="Z273" i="3" s="1"/>
  <c r="L273" i="3"/>
  <c r="N273" i="3" s="1"/>
  <c r="B273" i="3"/>
  <c r="X272" i="3"/>
  <c r="Z272" i="3" s="1"/>
  <c r="N272" i="3"/>
  <c r="L272" i="3"/>
  <c r="B272" i="3"/>
  <c r="T271" i="3"/>
  <c r="P271" i="3"/>
  <c r="X271" i="3" s="1"/>
  <c r="H271" i="3"/>
  <c r="D271" i="3"/>
  <c r="L271" i="3" s="1"/>
  <c r="B271" i="3"/>
  <c r="X270" i="3"/>
  <c r="Z270" i="3" s="1"/>
  <c r="N270" i="3"/>
  <c r="L270" i="3"/>
  <c r="B270" i="3"/>
  <c r="X269" i="3"/>
  <c r="Z269" i="3" s="1"/>
  <c r="L269" i="3"/>
  <c r="N269" i="3" s="1"/>
  <c r="B269" i="3"/>
  <c r="Z268" i="3"/>
  <c r="X268" i="3"/>
  <c r="N268" i="3"/>
  <c r="L268" i="3"/>
  <c r="B268" i="3"/>
  <c r="X267" i="3"/>
  <c r="Z267" i="3" s="1"/>
  <c r="L267" i="3"/>
  <c r="N267" i="3" s="1"/>
  <c r="B267" i="3"/>
  <c r="Z266" i="3"/>
  <c r="X266" i="3"/>
  <c r="N266" i="3"/>
  <c r="L266" i="3"/>
  <c r="B266" i="3"/>
  <c r="Z265" i="3"/>
  <c r="X265" i="3"/>
  <c r="N265" i="3"/>
  <c r="L265" i="3"/>
  <c r="B265" i="3"/>
  <c r="T264" i="3"/>
  <c r="P264" i="3"/>
  <c r="X264" i="3" s="1"/>
  <c r="Z264" i="3" s="1"/>
  <c r="H264" i="3"/>
  <c r="N264" i="3" s="1"/>
  <c r="D264" i="3"/>
  <c r="L264" i="3" s="1"/>
  <c r="B264" i="3"/>
  <c r="X263" i="3"/>
  <c r="Z263" i="3" s="1"/>
  <c r="N263" i="3"/>
  <c r="L263" i="3"/>
  <c r="B263" i="3"/>
  <c r="Z262" i="3"/>
  <c r="X262" i="3"/>
  <c r="N262" i="3"/>
  <c r="L262" i="3"/>
  <c r="B262" i="3"/>
  <c r="X261" i="3"/>
  <c r="Z261" i="3" s="1"/>
  <c r="L261" i="3"/>
  <c r="N261" i="3" s="1"/>
  <c r="B261" i="3"/>
  <c r="Z260" i="3"/>
  <c r="X260" i="3"/>
  <c r="L260" i="3"/>
  <c r="N260" i="3" s="1"/>
  <c r="B260" i="3"/>
  <c r="T259" i="3"/>
  <c r="P259" i="3"/>
  <c r="H259" i="3"/>
  <c r="D259" i="3"/>
  <c r="L259" i="3" s="1"/>
  <c r="B259" i="3"/>
  <c r="Z258" i="3"/>
  <c r="X258" i="3"/>
  <c r="N258" i="3"/>
  <c r="L258" i="3"/>
  <c r="B258" i="3"/>
  <c r="X257" i="3"/>
  <c r="Z257" i="3" s="1"/>
  <c r="L257" i="3"/>
  <c r="N257" i="3" s="1"/>
  <c r="B257" i="3"/>
  <c r="Z256" i="3"/>
  <c r="X256" i="3"/>
  <c r="V256" i="3"/>
  <c r="N256" i="3"/>
  <c r="L256" i="3"/>
  <c r="B256" i="3"/>
  <c r="X255" i="3"/>
  <c r="Z255" i="3" s="1"/>
  <c r="L255" i="3"/>
  <c r="N255" i="3" s="1"/>
  <c r="B255" i="3"/>
  <c r="T254" i="3"/>
  <c r="P254" i="3"/>
  <c r="X254" i="3" s="1"/>
  <c r="Z254" i="3" s="1"/>
  <c r="H254" i="3"/>
  <c r="N254" i="3" s="1"/>
  <c r="D254" i="3"/>
  <c r="L254" i="3" s="1"/>
  <c r="B254" i="3"/>
  <c r="X253" i="3"/>
  <c r="Z253" i="3" s="1"/>
  <c r="N253" i="3"/>
  <c r="L253" i="3"/>
  <c r="B253" i="3"/>
  <c r="T252" i="3"/>
  <c r="P252" i="3"/>
  <c r="X252" i="3" s="1"/>
  <c r="Z252" i="3" s="1"/>
  <c r="H252" i="3"/>
  <c r="D252" i="3"/>
  <c r="L252" i="3" s="1"/>
  <c r="N252" i="3" s="1"/>
  <c r="B252" i="3"/>
  <c r="X251" i="3"/>
  <c r="Z251" i="3" s="1"/>
  <c r="L251" i="3"/>
  <c r="N251" i="3" s="1"/>
  <c r="B251" i="3"/>
  <c r="Z250" i="3"/>
  <c r="X250" i="3"/>
  <c r="T250" i="3"/>
  <c r="P250" i="3"/>
  <c r="N250" i="3"/>
  <c r="H250" i="3"/>
  <c r="D250" i="3"/>
  <c r="L250" i="3" s="1"/>
  <c r="B250" i="3"/>
  <c r="X249" i="3"/>
  <c r="Z249" i="3" s="1"/>
  <c r="L249" i="3"/>
  <c r="N249" i="3" s="1"/>
  <c r="B249" i="3"/>
  <c r="T248" i="3"/>
  <c r="P248" i="3"/>
  <c r="X248" i="3" s="1"/>
  <c r="H248" i="3"/>
  <c r="D248" i="3"/>
  <c r="L248" i="3" s="1"/>
  <c r="N248" i="3" s="1"/>
  <c r="B248" i="3"/>
  <c r="X247" i="3"/>
  <c r="Z247" i="3" s="1"/>
  <c r="L247" i="3"/>
  <c r="N247" i="3" s="1"/>
  <c r="B247" i="3"/>
  <c r="T246" i="3"/>
  <c r="P246" i="3"/>
  <c r="X246" i="3" s="1"/>
  <c r="Z246" i="3" s="1"/>
  <c r="H246" i="3"/>
  <c r="D246" i="3"/>
  <c r="L246" i="3" s="1"/>
  <c r="N246" i="3" s="1"/>
  <c r="B246" i="3"/>
  <c r="Z245" i="3"/>
  <c r="X245" i="3"/>
  <c r="L245" i="3"/>
  <c r="N245" i="3" s="1"/>
  <c r="B245" i="3"/>
  <c r="T244" i="3"/>
  <c r="X244" i="3" s="1"/>
  <c r="Z244" i="3" s="1"/>
  <c r="P244" i="3"/>
  <c r="N244" i="3"/>
  <c r="L244" i="3"/>
  <c r="H244" i="3"/>
  <c r="D244" i="3"/>
  <c r="B244" i="3"/>
  <c r="X243" i="3"/>
  <c r="Z243" i="3" s="1"/>
  <c r="L243" i="3"/>
  <c r="N243" i="3" s="1"/>
  <c r="B243" i="3"/>
  <c r="V242" i="3"/>
  <c r="T242" i="3"/>
  <c r="P242" i="3"/>
  <c r="X242" i="3" s="1"/>
  <c r="Z242" i="3" s="1"/>
  <c r="H242" i="3"/>
  <c r="N242" i="3" s="1"/>
  <c r="D242" i="3"/>
  <c r="L242" i="3" s="1"/>
  <c r="B242" i="3"/>
  <c r="X241" i="3"/>
  <c r="Z241" i="3" s="1"/>
  <c r="N241" i="3"/>
  <c r="L241" i="3"/>
  <c r="B241" i="3"/>
  <c r="Z240" i="3"/>
  <c r="X240" i="3"/>
  <c r="N240" i="3"/>
  <c r="L240" i="3"/>
  <c r="B240" i="3"/>
  <c r="T239" i="3"/>
  <c r="P239" i="3"/>
  <c r="L239" i="3"/>
  <c r="H239" i="3"/>
  <c r="D239" i="3"/>
  <c r="B239" i="3"/>
  <c r="Z238" i="3"/>
  <c r="X238" i="3"/>
  <c r="N238" i="3"/>
  <c r="L238" i="3"/>
  <c r="B238" i="3"/>
  <c r="X237" i="3"/>
  <c r="Z237" i="3" s="1"/>
  <c r="L237" i="3"/>
  <c r="N237" i="3" s="1"/>
  <c r="B237" i="3"/>
  <c r="Z236" i="3"/>
  <c r="X236" i="3"/>
  <c r="T236" i="3"/>
  <c r="P236" i="3"/>
  <c r="N236" i="3"/>
  <c r="L236" i="3"/>
  <c r="H236" i="3"/>
  <c r="D236" i="3"/>
  <c r="B236" i="3"/>
  <c r="X235" i="3"/>
  <c r="Z235" i="3" s="1"/>
  <c r="L235" i="3"/>
  <c r="N235" i="3" s="1"/>
  <c r="B235" i="3"/>
  <c r="T234" i="3"/>
  <c r="P234" i="3"/>
  <c r="H234" i="3"/>
  <c r="D234" i="3"/>
  <c r="L234" i="3" s="1"/>
  <c r="B234" i="3"/>
  <c r="X233" i="3"/>
  <c r="Z233" i="3" s="1"/>
  <c r="N233" i="3"/>
  <c r="L233" i="3"/>
  <c r="B233" i="3"/>
  <c r="T232" i="3"/>
  <c r="P232" i="3"/>
  <c r="X232" i="3" s="1"/>
  <c r="Z232" i="3" s="1"/>
  <c r="H232" i="3"/>
  <c r="D232" i="3"/>
  <c r="L232" i="3" s="1"/>
  <c r="N232" i="3" s="1"/>
  <c r="B232" i="3"/>
  <c r="X231" i="3"/>
  <c r="Z231" i="3" s="1"/>
  <c r="L231" i="3"/>
  <c r="N231" i="3" s="1"/>
  <c r="B231" i="3"/>
  <c r="X230" i="3"/>
  <c r="Z230" i="3" s="1"/>
  <c r="L230" i="3"/>
  <c r="N230" i="3" s="1"/>
  <c r="B230" i="3"/>
  <c r="X229" i="3"/>
  <c r="Z229" i="3" s="1"/>
  <c r="L229" i="3"/>
  <c r="N229" i="3" s="1"/>
  <c r="B229" i="3"/>
  <c r="T228" i="3"/>
  <c r="P228" i="3"/>
  <c r="X228" i="3" s="1"/>
  <c r="Z228" i="3" s="1"/>
  <c r="L228" i="3"/>
  <c r="N228" i="3" s="1"/>
  <c r="H228" i="3"/>
  <c r="D228" i="3"/>
  <c r="B228" i="3"/>
  <c r="Z227" i="3"/>
  <c r="X227" i="3"/>
  <c r="N227" i="3"/>
  <c r="L227" i="3"/>
  <c r="B227" i="3"/>
  <c r="Z226" i="3"/>
  <c r="X226" i="3"/>
  <c r="L226" i="3"/>
  <c r="N226" i="3" s="1"/>
  <c r="B226" i="3"/>
  <c r="T225" i="3"/>
  <c r="Z225" i="3" s="1"/>
  <c r="P225" i="3"/>
  <c r="X225" i="3" s="1"/>
  <c r="H225" i="3"/>
  <c r="N225" i="3" s="1"/>
  <c r="D225" i="3"/>
  <c r="L225" i="3" s="1"/>
  <c r="B225" i="3"/>
  <c r="Z224" i="3"/>
  <c r="X224" i="3"/>
  <c r="V224" i="3"/>
  <c r="N224" i="3"/>
  <c r="L224" i="3"/>
  <c r="B224" i="3"/>
  <c r="X223" i="3"/>
  <c r="Z223" i="3" s="1"/>
  <c r="L223" i="3"/>
  <c r="N223" i="3" s="1"/>
  <c r="B223" i="3"/>
  <c r="Z222" i="3"/>
  <c r="X222" i="3"/>
  <c r="N222" i="3"/>
  <c r="L222" i="3"/>
  <c r="B222" i="3"/>
  <c r="X221" i="3"/>
  <c r="Z221" i="3" s="1"/>
  <c r="L221" i="3"/>
  <c r="N221" i="3" s="1"/>
  <c r="B221" i="3"/>
  <c r="V220" i="3"/>
  <c r="T220" i="3"/>
  <c r="P220" i="3"/>
  <c r="X220" i="3" s="1"/>
  <c r="Z220" i="3" s="1"/>
  <c r="H220" i="3"/>
  <c r="D220" i="3"/>
  <c r="L220" i="3" s="1"/>
  <c r="N220" i="3" s="1"/>
  <c r="B220" i="3"/>
  <c r="X219" i="3"/>
  <c r="Z219" i="3" s="1"/>
  <c r="N219" i="3"/>
  <c r="L219" i="3"/>
  <c r="B219" i="3"/>
  <c r="X218" i="3"/>
  <c r="Z218" i="3" s="1"/>
  <c r="T218" i="3"/>
  <c r="P218" i="3"/>
  <c r="H218" i="3"/>
  <c r="D218" i="3"/>
  <c r="L218" i="3" s="1"/>
  <c r="N218" i="3" s="1"/>
  <c r="B218" i="3"/>
  <c r="Z217" i="3"/>
  <c r="X217" i="3"/>
  <c r="L217" i="3"/>
  <c r="N217" i="3" s="1"/>
  <c r="B217" i="3"/>
  <c r="X216" i="3"/>
  <c r="Z216" i="3" s="1"/>
  <c r="N216" i="3"/>
  <c r="L216" i="3"/>
  <c r="J216" i="3"/>
  <c r="B216" i="3"/>
  <c r="T215" i="3"/>
  <c r="P215" i="3"/>
  <c r="X215" i="3" s="1"/>
  <c r="H215" i="3"/>
  <c r="D215" i="3"/>
  <c r="L215" i="3" s="1"/>
  <c r="B215" i="3"/>
  <c r="X214" i="3"/>
  <c r="Z214" i="3" s="1"/>
  <c r="N214" i="3"/>
  <c r="L214" i="3"/>
  <c r="B214" i="3"/>
  <c r="X213" i="3"/>
  <c r="T213" i="3"/>
  <c r="Z213" i="3" s="1"/>
  <c r="P213" i="3"/>
  <c r="H213" i="3"/>
  <c r="D213" i="3"/>
  <c r="L213" i="3" s="1"/>
  <c r="B213" i="3"/>
  <c r="Z212" i="3"/>
  <c r="X212" i="3"/>
  <c r="N212" i="3"/>
  <c r="L212" i="3"/>
  <c r="B212" i="3"/>
  <c r="Z211" i="3"/>
  <c r="X211" i="3"/>
  <c r="N211" i="3"/>
  <c r="L211" i="3"/>
  <c r="B211" i="3"/>
  <c r="Z210" i="3"/>
  <c r="X210" i="3"/>
  <c r="N210" i="3"/>
  <c r="L210" i="3"/>
  <c r="B210" i="3"/>
  <c r="X209" i="3"/>
  <c r="Z209" i="3" s="1"/>
  <c r="L209" i="3"/>
  <c r="N209" i="3" s="1"/>
  <c r="B209" i="3"/>
  <c r="Z208" i="3"/>
  <c r="X208" i="3"/>
  <c r="N208" i="3"/>
  <c r="L208" i="3"/>
  <c r="B208" i="3"/>
  <c r="X207" i="3"/>
  <c r="Z207" i="3" s="1"/>
  <c r="L207" i="3"/>
  <c r="N207" i="3" s="1"/>
  <c r="B207" i="3"/>
  <c r="X206" i="3"/>
  <c r="Z206" i="3" s="1"/>
  <c r="N206" i="3"/>
  <c r="L206" i="3"/>
  <c r="B206" i="3"/>
  <c r="Z205" i="3"/>
  <c r="X205" i="3"/>
  <c r="N205" i="3"/>
  <c r="L205" i="3"/>
  <c r="B205" i="3"/>
  <c r="X204" i="3"/>
  <c r="Z204" i="3" s="1"/>
  <c r="N204" i="3"/>
  <c r="L204" i="3"/>
  <c r="B204" i="3"/>
  <c r="X203" i="3"/>
  <c r="Z203" i="3" s="1"/>
  <c r="L203" i="3"/>
  <c r="N203" i="3" s="1"/>
  <c r="B203" i="3"/>
  <c r="T202" i="3"/>
  <c r="Z202" i="3" s="1"/>
  <c r="P202" i="3"/>
  <c r="X202" i="3" s="1"/>
  <c r="H202" i="3"/>
  <c r="D202" i="3"/>
  <c r="L202" i="3" s="1"/>
  <c r="B202" i="3"/>
  <c r="X201" i="3"/>
  <c r="Z201" i="3" s="1"/>
  <c r="N201" i="3"/>
  <c r="L201" i="3"/>
  <c r="B201" i="3"/>
  <c r="X200" i="3"/>
  <c r="Z200" i="3" s="1"/>
  <c r="N200" i="3"/>
  <c r="L200" i="3"/>
  <c r="J200" i="3"/>
  <c r="B200" i="3"/>
  <c r="X199" i="3"/>
  <c r="Z199" i="3" s="1"/>
  <c r="N199" i="3"/>
  <c r="L199" i="3"/>
  <c r="B199" i="3"/>
  <c r="Z198" i="3"/>
  <c r="X198" i="3"/>
  <c r="N198" i="3"/>
  <c r="L198" i="3"/>
  <c r="B198" i="3"/>
  <c r="X197" i="3"/>
  <c r="Z197" i="3" s="1"/>
  <c r="N197" i="3"/>
  <c r="L197" i="3"/>
  <c r="B197" i="3"/>
  <c r="X196" i="3"/>
  <c r="Z196" i="3" s="1"/>
  <c r="N196" i="3"/>
  <c r="L196" i="3"/>
  <c r="J196" i="3"/>
  <c r="B196" i="3"/>
  <c r="X195" i="3"/>
  <c r="Z195" i="3" s="1"/>
  <c r="N195" i="3"/>
  <c r="L195" i="3"/>
  <c r="B195" i="3"/>
  <c r="Z194" i="3"/>
  <c r="X194" i="3"/>
  <c r="L194" i="3"/>
  <c r="N194" i="3" s="1"/>
  <c r="B194" i="3"/>
  <c r="X193" i="3"/>
  <c r="Z193" i="3" s="1"/>
  <c r="N193" i="3"/>
  <c r="L193" i="3"/>
  <c r="B193" i="3"/>
  <c r="X192" i="3"/>
  <c r="Z192" i="3" s="1"/>
  <c r="L192" i="3"/>
  <c r="N192" i="3" s="1"/>
  <c r="J192" i="3"/>
  <c r="B192" i="3"/>
  <c r="T191" i="3"/>
  <c r="Z191" i="3" s="1"/>
  <c r="P191" i="3"/>
  <c r="X191" i="3" s="1"/>
  <c r="H191" i="3"/>
  <c r="D191" i="3"/>
  <c r="L191" i="3" s="1"/>
  <c r="B191" i="3"/>
  <c r="T190" i="3"/>
  <c r="P190" i="3"/>
  <c r="X190" i="3" s="1"/>
  <c r="H190" i="3"/>
  <c r="J190" i="3" s="1"/>
  <c r="D190" i="3"/>
  <c r="L190" i="3" s="1"/>
  <c r="Z186" i="3"/>
  <c r="X186" i="3"/>
  <c r="N186" i="3"/>
  <c r="L186" i="3"/>
  <c r="B186" i="3"/>
  <c r="Z185" i="3"/>
  <c r="X185" i="3"/>
  <c r="N185" i="3"/>
  <c r="L185" i="3"/>
  <c r="B185" i="3"/>
  <c r="Z184" i="3"/>
  <c r="X184" i="3"/>
  <c r="V184" i="3"/>
  <c r="N184" i="3"/>
  <c r="L184" i="3"/>
  <c r="B184" i="3"/>
  <c r="Z183" i="3"/>
  <c r="X183" i="3"/>
  <c r="N183" i="3"/>
  <c r="L183" i="3"/>
  <c r="B183" i="3"/>
  <c r="Z182" i="3"/>
  <c r="X182" i="3"/>
  <c r="N182" i="3"/>
  <c r="L182" i="3"/>
  <c r="B182" i="3"/>
  <c r="Z181" i="3"/>
  <c r="X181" i="3"/>
  <c r="N181" i="3"/>
  <c r="L181" i="3"/>
  <c r="B181" i="3"/>
  <c r="Z180" i="3"/>
  <c r="X180" i="3"/>
  <c r="V180" i="3"/>
  <c r="N180" i="3"/>
  <c r="L180" i="3"/>
  <c r="B180" i="3"/>
  <c r="Z179" i="3"/>
  <c r="X179" i="3"/>
  <c r="N179" i="3"/>
  <c r="L179" i="3"/>
  <c r="B179" i="3"/>
  <c r="Z178" i="3"/>
  <c r="X178" i="3"/>
  <c r="N178" i="3"/>
  <c r="L178" i="3"/>
  <c r="B178" i="3"/>
  <c r="Z177" i="3"/>
  <c r="X177" i="3"/>
  <c r="N177" i="3"/>
  <c r="L177" i="3"/>
  <c r="B177" i="3"/>
  <c r="Z176" i="3"/>
  <c r="X176" i="3"/>
  <c r="V176" i="3"/>
  <c r="N176" i="3"/>
  <c r="L176" i="3"/>
  <c r="B176" i="3"/>
  <c r="Z175" i="3"/>
  <c r="X175" i="3"/>
  <c r="N175" i="3"/>
  <c r="L175" i="3"/>
  <c r="B175" i="3"/>
  <c r="Z174" i="3"/>
  <c r="X174" i="3"/>
  <c r="N174" i="3"/>
  <c r="L174" i="3"/>
  <c r="B174" i="3"/>
  <c r="Z173" i="3"/>
  <c r="X173" i="3"/>
  <c r="N173" i="3"/>
  <c r="L173" i="3"/>
  <c r="B173" i="3"/>
  <c r="Z172" i="3"/>
  <c r="X172" i="3"/>
  <c r="V172" i="3"/>
  <c r="N172" i="3"/>
  <c r="L172" i="3"/>
  <c r="B172" i="3"/>
  <c r="Z171" i="3"/>
  <c r="X171" i="3"/>
  <c r="N171" i="3"/>
  <c r="L171" i="3"/>
  <c r="B171" i="3"/>
  <c r="Z170" i="3"/>
  <c r="X170" i="3"/>
  <c r="N170" i="3"/>
  <c r="L170" i="3"/>
  <c r="B170" i="3"/>
  <c r="Z169" i="3"/>
  <c r="X169" i="3"/>
  <c r="N169" i="3"/>
  <c r="L169" i="3"/>
  <c r="B169" i="3"/>
  <c r="Z168" i="3"/>
  <c r="X168" i="3"/>
  <c r="V168" i="3"/>
  <c r="N168" i="3"/>
  <c r="L168" i="3"/>
  <c r="B168" i="3"/>
  <c r="Z167" i="3"/>
  <c r="X167" i="3"/>
  <c r="N167" i="3"/>
  <c r="L167" i="3"/>
  <c r="B167" i="3"/>
  <c r="Z166" i="3"/>
  <c r="X166" i="3"/>
  <c r="N166" i="3"/>
  <c r="L166" i="3"/>
  <c r="B166" i="3"/>
  <c r="Z165" i="3"/>
  <c r="X165" i="3"/>
  <c r="N165" i="3"/>
  <c r="L165" i="3"/>
  <c r="B165" i="3"/>
  <c r="Z164" i="3"/>
  <c r="X164" i="3"/>
  <c r="V164" i="3"/>
  <c r="N164" i="3"/>
  <c r="L164" i="3"/>
  <c r="B164" i="3"/>
  <c r="Z163" i="3"/>
  <c r="X163" i="3"/>
  <c r="N163" i="3"/>
  <c r="L163" i="3"/>
  <c r="B163" i="3"/>
  <c r="Z162" i="3"/>
  <c r="X162" i="3"/>
  <c r="N162" i="3"/>
  <c r="L162" i="3"/>
  <c r="B162" i="3"/>
  <c r="Z161" i="3"/>
  <c r="X161" i="3"/>
  <c r="N161" i="3"/>
  <c r="L161" i="3"/>
  <c r="B161" i="3"/>
  <c r="Z160" i="3"/>
  <c r="X160" i="3"/>
  <c r="V160" i="3"/>
  <c r="N160" i="3"/>
  <c r="L160" i="3"/>
  <c r="B160" i="3"/>
  <c r="Z159" i="3"/>
  <c r="X159" i="3"/>
  <c r="N159" i="3"/>
  <c r="L159" i="3"/>
  <c r="B159" i="3"/>
  <c r="Z158" i="3"/>
  <c r="X158" i="3"/>
  <c r="N158" i="3"/>
  <c r="L158" i="3"/>
  <c r="B158" i="3"/>
  <c r="Z157" i="3"/>
  <c r="X157" i="3"/>
  <c r="N157" i="3"/>
  <c r="L157" i="3"/>
  <c r="B157" i="3"/>
  <c r="Z156" i="3"/>
  <c r="X156" i="3"/>
  <c r="V156" i="3"/>
  <c r="N156" i="3"/>
  <c r="L156" i="3"/>
  <c r="B156" i="3"/>
  <c r="Z155" i="3"/>
  <c r="X155" i="3"/>
  <c r="N155" i="3"/>
  <c r="L155" i="3"/>
  <c r="B155" i="3"/>
  <c r="Z154" i="3"/>
  <c r="X154" i="3"/>
  <c r="N154" i="3"/>
  <c r="L154" i="3"/>
  <c r="B154" i="3"/>
  <c r="Z153" i="3"/>
  <c r="X153" i="3"/>
  <c r="N153" i="3"/>
  <c r="L153" i="3"/>
  <c r="B153" i="3"/>
  <c r="Z152" i="3"/>
  <c r="X152" i="3"/>
  <c r="V152" i="3"/>
  <c r="N152" i="3"/>
  <c r="L152" i="3"/>
  <c r="B152" i="3"/>
  <c r="Z151" i="3"/>
  <c r="X151" i="3"/>
  <c r="N151" i="3"/>
  <c r="L151" i="3"/>
  <c r="B151" i="3"/>
  <c r="Z150" i="3"/>
  <c r="X150" i="3"/>
  <c r="N150" i="3"/>
  <c r="L150" i="3"/>
  <c r="B150" i="3"/>
  <c r="Z149" i="3"/>
  <c r="X149" i="3"/>
  <c r="N149" i="3"/>
  <c r="L149" i="3"/>
  <c r="B149" i="3"/>
  <c r="Z148" i="3"/>
  <c r="X148" i="3"/>
  <c r="V148" i="3"/>
  <c r="N148" i="3"/>
  <c r="L148" i="3"/>
  <c r="B148" i="3"/>
  <c r="Z147" i="3"/>
  <c r="X147" i="3"/>
  <c r="N147" i="3"/>
  <c r="L147" i="3"/>
  <c r="B147" i="3"/>
  <c r="Z146" i="3"/>
  <c r="X146" i="3"/>
  <c r="N146" i="3"/>
  <c r="L146" i="3"/>
  <c r="B146" i="3"/>
  <c r="Z145" i="3"/>
  <c r="X145" i="3"/>
  <c r="N145" i="3"/>
  <c r="L145" i="3"/>
  <c r="B145" i="3"/>
  <c r="Z144" i="3"/>
  <c r="X144" i="3"/>
  <c r="V144" i="3"/>
  <c r="N144" i="3"/>
  <c r="L144" i="3"/>
  <c r="B144" i="3"/>
  <c r="Z143" i="3"/>
  <c r="X143" i="3"/>
  <c r="N143" i="3"/>
  <c r="L143" i="3"/>
  <c r="B143" i="3"/>
  <c r="Z142" i="3"/>
  <c r="X142" i="3"/>
  <c r="N142" i="3"/>
  <c r="L142" i="3"/>
  <c r="B142" i="3"/>
  <c r="Z141" i="3"/>
  <c r="X141" i="3"/>
  <c r="N141" i="3"/>
  <c r="L141" i="3"/>
  <c r="B141" i="3"/>
  <c r="Z140" i="3"/>
  <c r="X140" i="3"/>
  <c r="V140" i="3"/>
  <c r="N140" i="3"/>
  <c r="L140" i="3"/>
  <c r="B140" i="3"/>
  <c r="Z139" i="3"/>
  <c r="X139" i="3"/>
  <c r="N139" i="3"/>
  <c r="L139" i="3"/>
  <c r="B139" i="3"/>
  <c r="Z138" i="3"/>
  <c r="X138" i="3"/>
  <c r="N138" i="3"/>
  <c r="L138" i="3"/>
  <c r="B138" i="3"/>
  <c r="Z137" i="3"/>
  <c r="X137" i="3"/>
  <c r="N137" i="3"/>
  <c r="L137" i="3"/>
  <c r="B137" i="3"/>
  <c r="Z136" i="3"/>
  <c r="X136" i="3"/>
  <c r="V136" i="3"/>
  <c r="N136" i="3"/>
  <c r="L136" i="3"/>
  <c r="B136" i="3"/>
  <c r="Z135" i="3"/>
  <c r="X135" i="3"/>
  <c r="N135" i="3"/>
  <c r="L135" i="3"/>
  <c r="B135" i="3"/>
  <c r="Z134" i="3"/>
  <c r="X134" i="3"/>
  <c r="N134" i="3"/>
  <c r="L134" i="3"/>
  <c r="B134" i="3"/>
  <c r="Z133" i="3"/>
  <c r="X133" i="3"/>
  <c r="N133" i="3"/>
  <c r="L133" i="3"/>
  <c r="B133" i="3"/>
  <c r="Z132" i="3"/>
  <c r="X132" i="3"/>
  <c r="V132" i="3"/>
  <c r="N132" i="3"/>
  <c r="L132" i="3"/>
  <c r="B132" i="3"/>
  <c r="Z131" i="3"/>
  <c r="X131" i="3"/>
  <c r="N131" i="3"/>
  <c r="L131" i="3"/>
  <c r="B131" i="3"/>
  <c r="X130" i="3"/>
  <c r="Z130" i="3" s="1"/>
  <c r="L130" i="3"/>
  <c r="N130" i="3" s="1"/>
  <c r="B130" i="3"/>
  <c r="T129" i="3"/>
  <c r="P129" i="3"/>
  <c r="X129" i="3" s="1"/>
  <c r="Z129" i="3" s="1"/>
  <c r="H129" i="3"/>
  <c r="D129" i="3"/>
  <c r="L129" i="3" s="1"/>
  <c r="Z127" i="3"/>
  <c r="P127" i="3"/>
  <c r="X127" i="3" s="1"/>
  <c r="N127" i="3"/>
  <c r="D127" i="3"/>
  <c r="L127" i="3" s="1"/>
  <c r="B127" i="3"/>
  <c r="Z126" i="3"/>
  <c r="X126" i="3"/>
  <c r="P126" i="3"/>
  <c r="N126" i="3"/>
  <c r="L126" i="3"/>
  <c r="D126" i="3"/>
  <c r="B126" i="3"/>
  <c r="Z125" i="3"/>
  <c r="X125" i="3"/>
  <c r="P125" i="3"/>
  <c r="N125" i="3"/>
  <c r="L125" i="3"/>
  <c r="D125" i="3"/>
  <c r="B125" i="3"/>
  <c r="Z124" i="3"/>
  <c r="P124" i="3"/>
  <c r="X124" i="3" s="1"/>
  <c r="N124" i="3"/>
  <c r="D124" i="3"/>
  <c r="L124" i="3" s="1"/>
  <c r="B124" i="3"/>
  <c r="Z123" i="3"/>
  <c r="X123" i="3"/>
  <c r="P123" i="3"/>
  <c r="N123" i="3"/>
  <c r="L123" i="3"/>
  <c r="D123" i="3"/>
  <c r="B123" i="3"/>
  <c r="Z122" i="3"/>
  <c r="X122" i="3"/>
  <c r="P122" i="3"/>
  <c r="N122" i="3"/>
  <c r="L122" i="3"/>
  <c r="D122" i="3"/>
  <c r="B122" i="3"/>
  <c r="Z121" i="3"/>
  <c r="P121" i="3"/>
  <c r="X121" i="3" s="1"/>
  <c r="N121" i="3"/>
  <c r="D121" i="3"/>
  <c r="L121" i="3" s="1"/>
  <c r="B121" i="3"/>
  <c r="Z120" i="3"/>
  <c r="X120" i="3"/>
  <c r="P120" i="3"/>
  <c r="N120" i="3"/>
  <c r="L120" i="3"/>
  <c r="D120" i="3"/>
  <c r="B120" i="3"/>
  <c r="Z119" i="3"/>
  <c r="P119" i="3"/>
  <c r="X119" i="3" s="1"/>
  <c r="N119" i="3"/>
  <c r="L119" i="3"/>
  <c r="D119" i="3"/>
  <c r="B119" i="3"/>
  <c r="Z118" i="3"/>
  <c r="P118" i="3"/>
  <c r="X118" i="3" s="1"/>
  <c r="N118" i="3"/>
  <c r="D118" i="3"/>
  <c r="L118" i="3" s="1"/>
  <c r="B118" i="3"/>
  <c r="Z117" i="3"/>
  <c r="X117" i="3"/>
  <c r="P117" i="3"/>
  <c r="N117" i="3"/>
  <c r="L117" i="3"/>
  <c r="D117" i="3"/>
  <c r="B117" i="3"/>
  <c r="Z116" i="3"/>
  <c r="P116" i="3"/>
  <c r="X116" i="3" s="1"/>
  <c r="N116" i="3"/>
  <c r="L116" i="3"/>
  <c r="D116" i="3"/>
  <c r="B116" i="3"/>
  <c r="Z115" i="3"/>
  <c r="P115" i="3"/>
  <c r="X115" i="3" s="1"/>
  <c r="N115" i="3"/>
  <c r="D115" i="3"/>
  <c r="L115" i="3" s="1"/>
  <c r="B115" i="3"/>
  <c r="Z114" i="3"/>
  <c r="X114" i="3"/>
  <c r="P114" i="3"/>
  <c r="N114" i="3"/>
  <c r="L114" i="3"/>
  <c r="D114" i="3"/>
  <c r="B114" i="3"/>
  <c r="Z113" i="3"/>
  <c r="X113" i="3"/>
  <c r="P113" i="3"/>
  <c r="N113" i="3"/>
  <c r="L113" i="3"/>
  <c r="D113" i="3"/>
  <c r="B113" i="3"/>
  <c r="Z112" i="3"/>
  <c r="P112" i="3"/>
  <c r="X112" i="3" s="1"/>
  <c r="N112" i="3"/>
  <c r="D112" i="3"/>
  <c r="L112" i="3" s="1"/>
  <c r="B112" i="3"/>
  <c r="Z111" i="3"/>
  <c r="X111" i="3"/>
  <c r="P111" i="3"/>
  <c r="N111" i="3"/>
  <c r="L111" i="3"/>
  <c r="D111" i="3"/>
  <c r="B111" i="3"/>
  <c r="Z110" i="3"/>
  <c r="X110" i="3"/>
  <c r="P110" i="3"/>
  <c r="N110" i="3"/>
  <c r="L110" i="3"/>
  <c r="D110" i="3"/>
  <c r="B110" i="3"/>
  <c r="Z109" i="3"/>
  <c r="P109" i="3"/>
  <c r="X109" i="3" s="1"/>
  <c r="N109" i="3"/>
  <c r="D109" i="3"/>
  <c r="L109" i="3" s="1"/>
  <c r="B109" i="3"/>
  <c r="Z108" i="3"/>
  <c r="X108" i="3"/>
  <c r="P108" i="3"/>
  <c r="N108" i="3"/>
  <c r="L108" i="3"/>
  <c r="D108" i="3"/>
  <c r="B108" i="3"/>
  <c r="Z107" i="3"/>
  <c r="X107" i="3"/>
  <c r="P107" i="3"/>
  <c r="N107" i="3"/>
  <c r="L107" i="3"/>
  <c r="D107" i="3"/>
  <c r="B107" i="3"/>
  <c r="Z106" i="3"/>
  <c r="P106" i="3"/>
  <c r="X106" i="3" s="1"/>
  <c r="N106" i="3"/>
  <c r="D106" i="3"/>
  <c r="L106" i="3" s="1"/>
  <c r="B106" i="3"/>
  <c r="Z105" i="3"/>
  <c r="X105" i="3"/>
  <c r="P105" i="3"/>
  <c r="N105" i="3"/>
  <c r="L105" i="3"/>
  <c r="D105" i="3"/>
  <c r="B105" i="3"/>
  <c r="Z104" i="3"/>
  <c r="X104" i="3"/>
  <c r="P104" i="3"/>
  <c r="N104" i="3"/>
  <c r="L104" i="3"/>
  <c r="D104" i="3"/>
  <c r="B104" i="3"/>
  <c r="Z103" i="3"/>
  <c r="P103" i="3"/>
  <c r="X103" i="3" s="1"/>
  <c r="N103" i="3"/>
  <c r="D103" i="3"/>
  <c r="L103" i="3" s="1"/>
  <c r="B103" i="3"/>
  <c r="Z102" i="3"/>
  <c r="X102" i="3"/>
  <c r="P102" i="3"/>
  <c r="N102" i="3"/>
  <c r="L102" i="3"/>
  <c r="D102" i="3"/>
  <c r="B102" i="3"/>
  <c r="Z101" i="3"/>
  <c r="P101" i="3"/>
  <c r="X101" i="3" s="1"/>
  <c r="N101" i="3"/>
  <c r="L101" i="3"/>
  <c r="D101" i="3"/>
  <c r="B101" i="3"/>
  <c r="Z100" i="3"/>
  <c r="P100" i="3"/>
  <c r="X100" i="3" s="1"/>
  <c r="N100" i="3"/>
  <c r="D100" i="3"/>
  <c r="L100" i="3" s="1"/>
  <c r="B100" i="3"/>
  <c r="Z99" i="3"/>
  <c r="X99" i="3"/>
  <c r="P99" i="3"/>
  <c r="N99" i="3"/>
  <c r="L99" i="3"/>
  <c r="D99" i="3"/>
  <c r="B99" i="3"/>
  <c r="Z98" i="3"/>
  <c r="X98" i="3"/>
  <c r="P98" i="3"/>
  <c r="N98" i="3"/>
  <c r="L98" i="3"/>
  <c r="D98" i="3"/>
  <c r="B98" i="3"/>
  <c r="Z97" i="3"/>
  <c r="P97" i="3"/>
  <c r="X97" i="3" s="1"/>
  <c r="N97" i="3"/>
  <c r="D97" i="3"/>
  <c r="L97" i="3" s="1"/>
  <c r="B97" i="3"/>
  <c r="Z96" i="3"/>
  <c r="X96" i="3"/>
  <c r="P96" i="3"/>
  <c r="N96" i="3"/>
  <c r="L96" i="3"/>
  <c r="D96" i="3"/>
  <c r="B96" i="3"/>
  <c r="Z95" i="3"/>
  <c r="X95" i="3"/>
  <c r="P95" i="3"/>
  <c r="N95" i="3"/>
  <c r="L95" i="3"/>
  <c r="D95" i="3"/>
  <c r="B95" i="3"/>
  <c r="Z94" i="3"/>
  <c r="P94" i="3"/>
  <c r="X94" i="3" s="1"/>
  <c r="N94" i="3"/>
  <c r="D94" i="3"/>
  <c r="L94" i="3" s="1"/>
  <c r="B94" i="3"/>
  <c r="Z93" i="3"/>
  <c r="X93" i="3"/>
  <c r="P93" i="3"/>
  <c r="N93" i="3"/>
  <c r="L93" i="3"/>
  <c r="D93" i="3"/>
  <c r="B93" i="3"/>
  <c r="Z92" i="3"/>
  <c r="X92" i="3"/>
  <c r="P92" i="3"/>
  <c r="N92" i="3"/>
  <c r="L92" i="3"/>
  <c r="D92" i="3"/>
  <c r="B92" i="3"/>
  <c r="Z91" i="3"/>
  <c r="P91" i="3"/>
  <c r="X91" i="3" s="1"/>
  <c r="N91" i="3"/>
  <c r="D91" i="3"/>
  <c r="L91" i="3" s="1"/>
  <c r="B91" i="3"/>
  <c r="Z90" i="3"/>
  <c r="X90" i="3"/>
  <c r="P90" i="3"/>
  <c r="N90" i="3"/>
  <c r="L90" i="3"/>
  <c r="D90" i="3"/>
  <c r="B90" i="3"/>
  <c r="Z89" i="3"/>
  <c r="X89" i="3"/>
  <c r="P89" i="3"/>
  <c r="N89" i="3"/>
  <c r="L89" i="3"/>
  <c r="D89" i="3"/>
  <c r="B89" i="3"/>
  <c r="Z88" i="3"/>
  <c r="P88" i="3"/>
  <c r="X88" i="3" s="1"/>
  <c r="N88" i="3"/>
  <c r="D88" i="3"/>
  <c r="L88" i="3" s="1"/>
  <c r="B88" i="3"/>
  <c r="Z87" i="3"/>
  <c r="X87" i="3"/>
  <c r="P87" i="3"/>
  <c r="N87" i="3"/>
  <c r="L87" i="3"/>
  <c r="D87" i="3"/>
  <c r="B87" i="3"/>
  <c r="Z86" i="3"/>
  <c r="X86" i="3"/>
  <c r="P86" i="3"/>
  <c r="N86" i="3"/>
  <c r="L86" i="3"/>
  <c r="D86" i="3"/>
  <c r="B86" i="3"/>
  <c r="Z85" i="3"/>
  <c r="P85" i="3"/>
  <c r="X85" i="3" s="1"/>
  <c r="N85" i="3"/>
  <c r="D85" i="3"/>
  <c r="L85" i="3" s="1"/>
  <c r="B85" i="3"/>
  <c r="Z84" i="3"/>
  <c r="X84" i="3"/>
  <c r="P84" i="3"/>
  <c r="N84" i="3"/>
  <c r="L84" i="3"/>
  <c r="D84" i="3"/>
  <c r="B84" i="3"/>
  <c r="Z83" i="3"/>
  <c r="X83" i="3"/>
  <c r="P83" i="3"/>
  <c r="N83" i="3"/>
  <c r="L83" i="3"/>
  <c r="D83" i="3"/>
  <c r="B83" i="3"/>
  <c r="Z82" i="3"/>
  <c r="P82" i="3"/>
  <c r="X82" i="3" s="1"/>
  <c r="N82" i="3"/>
  <c r="D82" i="3"/>
  <c r="L82" i="3" s="1"/>
  <c r="B82" i="3"/>
  <c r="Z81" i="3"/>
  <c r="X81" i="3"/>
  <c r="P81" i="3"/>
  <c r="N81" i="3"/>
  <c r="L81" i="3"/>
  <c r="D81" i="3"/>
  <c r="B81" i="3"/>
  <c r="Z80" i="3"/>
  <c r="X80" i="3"/>
  <c r="P80" i="3"/>
  <c r="N80" i="3"/>
  <c r="L80" i="3"/>
  <c r="D80" i="3"/>
  <c r="B80" i="3"/>
  <c r="Z79" i="3"/>
  <c r="P79" i="3"/>
  <c r="X79" i="3" s="1"/>
  <c r="N79" i="3"/>
  <c r="D79" i="3"/>
  <c r="L79" i="3" s="1"/>
  <c r="B79" i="3"/>
  <c r="Z78" i="3"/>
  <c r="X78" i="3"/>
  <c r="P78" i="3"/>
  <c r="N78" i="3"/>
  <c r="L78" i="3"/>
  <c r="D78" i="3"/>
  <c r="B78" i="3"/>
  <c r="Z77" i="3"/>
  <c r="X77" i="3"/>
  <c r="P77" i="3"/>
  <c r="N77" i="3"/>
  <c r="L77" i="3"/>
  <c r="D77" i="3"/>
  <c r="B77" i="3"/>
  <c r="Z76" i="3"/>
  <c r="P76" i="3"/>
  <c r="X76" i="3" s="1"/>
  <c r="N76" i="3"/>
  <c r="D76" i="3"/>
  <c r="L76" i="3" s="1"/>
  <c r="B76" i="3"/>
  <c r="Z75" i="3"/>
  <c r="X75" i="3"/>
  <c r="P75" i="3"/>
  <c r="N75" i="3"/>
  <c r="L75" i="3"/>
  <c r="D75" i="3"/>
  <c r="B75" i="3"/>
  <c r="Z74" i="3"/>
  <c r="X74" i="3"/>
  <c r="P74" i="3"/>
  <c r="N74" i="3"/>
  <c r="L74" i="3"/>
  <c r="D74" i="3"/>
  <c r="B74" i="3"/>
  <c r="Z73" i="3"/>
  <c r="P73" i="3"/>
  <c r="X73" i="3" s="1"/>
  <c r="N73" i="3"/>
  <c r="D73" i="3"/>
  <c r="L73" i="3" s="1"/>
  <c r="B73" i="3"/>
  <c r="Z72" i="3"/>
  <c r="X72" i="3"/>
  <c r="P72" i="3"/>
  <c r="N72" i="3"/>
  <c r="L72" i="3"/>
  <c r="D72" i="3"/>
  <c r="B72" i="3"/>
  <c r="Z71" i="3"/>
  <c r="X71" i="3"/>
  <c r="P71" i="3"/>
  <c r="N71" i="3"/>
  <c r="L71" i="3"/>
  <c r="D71" i="3"/>
  <c r="B71" i="3"/>
  <c r="Z70" i="3"/>
  <c r="P70" i="3"/>
  <c r="X70" i="3" s="1"/>
  <c r="N70" i="3"/>
  <c r="D70" i="3"/>
  <c r="L70" i="3" s="1"/>
  <c r="B70" i="3"/>
  <c r="Z69" i="3"/>
  <c r="X69" i="3"/>
  <c r="P69" i="3"/>
  <c r="N69" i="3"/>
  <c r="L69" i="3"/>
  <c r="D69" i="3"/>
  <c r="B69" i="3"/>
  <c r="Z68" i="3"/>
  <c r="X68" i="3"/>
  <c r="P68" i="3"/>
  <c r="N68" i="3"/>
  <c r="L68" i="3"/>
  <c r="D68" i="3"/>
  <c r="B68" i="3"/>
  <c r="Z67" i="3"/>
  <c r="P67" i="3"/>
  <c r="X67" i="3" s="1"/>
  <c r="N67" i="3"/>
  <c r="D67" i="3"/>
  <c r="L67" i="3" s="1"/>
  <c r="B67" i="3"/>
  <c r="Z66" i="3"/>
  <c r="X66" i="3"/>
  <c r="P66" i="3"/>
  <c r="N66" i="3"/>
  <c r="L66" i="3"/>
  <c r="D66" i="3"/>
  <c r="B66" i="3"/>
  <c r="Z65" i="3"/>
  <c r="P65" i="3"/>
  <c r="X65" i="3" s="1"/>
  <c r="N65" i="3"/>
  <c r="L65" i="3"/>
  <c r="D65" i="3"/>
  <c r="B65" i="3"/>
  <c r="Z64" i="3"/>
  <c r="P64" i="3"/>
  <c r="X64" i="3" s="1"/>
  <c r="N64" i="3"/>
  <c r="D64" i="3"/>
  <c r="L64" i="3" s="1"/>
  <c r="B64" i="3"/>
  <c r="Z63" i="3"/>
  <c r="X63" i="3"/>
  <c r="P63" i="3"/>
  <c r="N63" i="3"/>
  <c r="L63" i="3"/>
  <c r="D63" i="3"/>
  <c r="B63" i="3"/>
  <c r="Z62" i="3"/>
  <c r="X62" i="3"/>
  <c r="P62" i="3"/>
  <c r="N62" i="3"/>
  <c r="L62" i="3"/>
  <c r="D62" i="3"/>
  <c r="B62" i="3"/>
  <c r="Z61" i="3"/>
  <c r="P61" i="3"/>
  <c r="X61" i="3" s="1"/>
  <c r="N61" i="3"/>
  <c r="D61" i="3"/>
  <c r="L61" i="3" s="1"/>
  <c r="B61" i="3"/>
  <c r="Z60" i="3"/>
  <c r="X60" i="3"/>
  <c r="P60" i="3"/>
  <c r="N60" i="3"/>
  <c r="L60" i="3"/>
  <c r="D60" i="3"/>
  <c r="B60" i="3"/>
  <c r="Z59" i="3"/>
  <c r="P59" i="3"/>
  <c r="X59" i="3" s="1"/>
  <c r="N59" i="3"/>
  <c r="L59" i="3"/>
  <c r="D59" i="3"/>
  <c r="B59" i="3"/>
  <c r="Z58" i="3"/>
  <c r="P58" i="3"/>
  <c r="X58" i="3" s="1"/>
  <c r="N58" i="3"/>
  <c r="D58" i="3"/>
  <c r="L58" i="3" s="1"/>
  <c r="B58" i="3"/>
  <c r="Z57" i="3"/>
  <c r="X57" i="3"/>
  <c r="P57" i="3"/>
  <c r="N57" i="3"/>
  <c r="L57" i="3"/>
  <c r="D57" i="3"/>
  <c r="B57" i="3"/>
  <c r="Z56" i="3"/>
  <c r="P56" i="3"/>
  <c r="X56" i="3" s="1"/>
  <c r="N56" i="3"/>
  <c r="L56" i="3"/>
  <c r="D56" i="3"/>
  <c r="B56" i="3"/>
  <c r="P55" i="3"/>
  <c r="X55" i="3" s="1"/>
  <c r="Z55" i="3" s="1"/>
  <c r="D55" i="3"/>
  <c r="L55" i="3" s="1"/>
  <c r="N55" i="3" s="1"/>
  <c r="B55" i="3"/>
  <c r="Z54" i="3"/>
  <c r="X54" i="3"/>
  <c r="P54" i="3"/>
  <c r="N54" i="3"/>
  <c r="L54" i="3"/>
  <c r="D54" i="3"/>
  <c r="B54" i="3"/>
  <c r="Z53" i="3"/>
  <c r="X53" i="3"/>
  <c r="P53" i="3"/>
  <c r="N53" i="3"/>
  <c r="L53" i="3"/>
  <c r="D53" i="3"/>
  <c r="B53" i="3"/>
  <c r="Z52" i="3"/>
  <c r="P52" i="3"/>
  <c r="X52" i="3" s="1"/>
  <c r="N52" i="3"/>
  <c r="D52" i="3"/>
  <c r="L52" i="3" s="1"/>
  <c r="B52" i="3"/>
  <c r="Z51" i="3"/>
  <c r="X51" i="3"/>
  <c r="P51" i="3"/>
  <c r="N51" i="3"/>
  <c r="L51" i="3"/>
  <c r="D51" i="3"/>
  <c r="B51" i="3"/>
  <c r="Z50" i="3"/>
  <c r="X50" i="3"/>
  <c r="P50" i="3"/>
  <c r="N50" i="3"/>
  <c r="L50" i="3"/>
  <c r="D50" i="3"/>
  <c r="B50" i="3"/>
  <c r="Z49" i="3"/>
  <c r="P49" i="3"/>
  <c r="X49" i="3" s="1"/>
  <c r="N49" i="3"/>
  <c r="D49" i="3"/>
  <c r="L49" i="3" s="1"/>
  <c r="B49" i="3"/>
  <c r="Z48" i="3"/>
  <c r="X48" i="3"/>
  <c r="P48" i="3"/>
  <c r="N48" i="3"/>
  <c r="L48" i="3"/>
  <c r="D48" i="3"/>
  <c r="B48" i="3"/>
  <c r="Z47" i="3"/>
  <c r="X47" i="3"/>
  <c r="P47" i="3"/>
  <c r="N47" i="3"/>
  <c r="L47" i="3"/>
  <c r="D47" i="3"/>
  <c r="B47" i="3"/>
  <c r="Z46" i="3"/>
  <c r="P46" i="3"/>
  <c r="X46" i="3" s="1"/>
  <c r="N46" i="3"/>
  <c r="D46" i="3"/>
  <c r="L46" i="3" s="1"/>
  <c r="B46" i="3"/>
  <c r="Z45" i="3"/>
  <c r="X45" i="3"/>
  <c r="P45" i="3"/>
  <c r="N45" i="3"/>
  <c r="L45" i="3"/>
  <c r="D45" i="3"/>
  <c r="B45" i="3"/>
  <c r="Z44" i="3"/>
  <c r="P44" i="3"/>
  <c r="X44" i="3" s="1"/>
  <c r="N44" i="3"/>
  <c r="L44" i="3"/>
  <c r="D44" i="3"/>
  <c r="B44" i="3"/>
  <c r="Z43" i="3"/>
  <c r="P43" i="3"/>
  <c r="X43" i="3" s="1"/>
  <c r="N43" i="3"/>
  <c r="D43" i="3"/>
  <c r="L43" i="3" s="1"/>
  <c r="B43" i="3"/>
  <c r="Z42" i="3"/>
  <c r="X42" i="3"/>
  <c r="P42" i="3"/>
  <c r="N42" i="3"/>
  <c r="L42" i="3"/>
  <c r="D42" i="3"/>
  <c r="B42" i="3"/>
  <c r="Z41" i="3"/>
  <c r="X41" i="3"/>
  <c r="P41" i="3"/>
  <c r="N41" i="3"/>
  <c r="L41" i="3"/>
  <c r="D41" i="3"/>
  <c r="B41" i="3"/>
  <c r="Z40" i="3"/>
  <c r="P40" i="3"/>
  <c r="X40" i="3" s="1"/>
  <c r="N40" i="3"/>
  <c r="D40" i="3"/>
  <c r="L40" i="3" s="1"/>
  <c r="B40" i="3"/>
  <c r="Z39" i="3"/>
  <c r="X39" i="3"/>
  <c r="P39" i="3"/>
  <c r="N39" i="3"/>
  <c r="L39" i="3"/>
  <c r="D39" i="3"/>
  <c r="B39" i="3"/>
  <c r="Z38" i="3"/>
  <c r="X38" i="3"/>
  <c r="P38" i="3"/>
  <c r="N38" i="3"/>
  <c r="L38" i="3"/>
  <c r="D38" i="3"/>
  <c r="B38" i="3"/>
  <c r="Z37" i="3"/>
  <c r="P37" i="3"/>
  <c r="X37" i="3" s="1"/>
  <c r="N37" i="3"/>
  <c r="D37" i="3"/>
  <c r="L37" i="3" s="1"/>
  <c r="B37" i="3"/>
  <c r="Z36" i="3"/>
  <c r="X36" i="3"/>
  <c r="P36" i="3"/>
  <c r="N36" i="3"/>
  <c r="L36" i="3"/>
  <c r="D36" i="3"/>
  <c r="B36" i="3"/>
  <c r="Z35" i="3"/>
  <c r="X35" i="3"/>
  <c r="P35" i="3"/>
  <c r="N35" i="3"/>
  <c r="L35" i="3"/>
  <c r="D35" i="3"/>
  <c r="B35" i="3"/>
  <c r="Z34" i="3"/>
  <c r="P34" i="3"/>
  <c r="X34" i="3" s="1"/>
  <c r="N34" i="3"/>
  <c r="D34" i="3"/>
  <c r="L34" i="3" s="1"/>
  <c r="B34" i="3"/>
  <c r="Z33" i="3"/>
  <c r="X33" i="3"/>
  <c r="P33" i="3"/>
  <c r="N33" i="3"/>
  <c r="L33" i="3"/>
  <c r="D33" i="3"/>
  <c r="B33" i="3"/>
  <c r="Z32" i="3"/>
  <c r="X32" i="3"/>
  <c r="P32" i="3"/>
  <c r="N32" i="3"/>
  <c r="L32" i="3"/>
  <c r="D32" i="3"/>
  <c r="B32" i="3"/>
  <c r="Z31" i="3"/>
  <c r="P31" i="3"/>
  <c r="X31" i="3" s="1"/>
  <c r="N31" i="3"/>
  <c r="D31" i="3"/>
  <c r="L31" i="3" s="1"/>
  <c r="B31" i="3"/>
  <c r="Z30" i="3"/>
  <c r="X30" i="3"/>
  <c r="P30" i="3"/>
  <c r="N30" i="3"/>
  <c r="L30" i="3"/>
  <c r="D30" i="3"/>
  <c r="B30" i="3"/>
  <c r="Z29" i="3"/>
  <c r="X29" i="3"/>
  <c r="P29" i="3"/>
  <c r="N29" i="3"/>
  <c r="L29" i="3"/>
  <c r="D29" i="3"/>
  <c r="B29" i="3"/>
  <c r="Z28" i="3"/>
  <c r="P28" i="3"/>
  <c r="X28" i="3" s="1"/>
  <c r="N28" i="3"/>
  <c r="D28" i="3"/>
  <c r="L28" i="3" s="1"/>
  <c r="B28" i="3"/>
  <c r="Z27" i="3"/>
  <c r="X27" i="3"/>
  <c r="P27" i="3"/>
  <c r="N27" i="3"/>
  <c r="L27" i="3"/>
  <c r="D27" i="3"/>
  <c r="B27" i="3"/>
  <c r="Z26" i="3"/>
  <c r="X26" i="3"/>
  <c r="P26" i="3"/>
  <c r="N26" i="3"/>
  <c r="L26" i="3"/>
  <c r="D26" i="3"/>
  <c r="B26" i="3"/>
  <c r="Z25" i="3"/>
  <c r="P25" i="3"/>
  <c r="X25" i="3" s="1"/>
  <c r="N25" i="3"/>
  <c r="D25" i="3"/>
  <c r="L25" i="3" s="1"/>
  <c r="B25" i="3"/>
  <c r="Z24" i="3"/>
  <c r="X24" i="3"/>
  <c r="P24" i="3"/>
  <c r="N24" i="3"/>
  <c r="L24" i="3"/>
  <c r="D24" i="3"/>
  <c r="B24" i="3"/>
  <c r="Z23" i="3"/>
  <c r="X23" i="3"/>
  <c r="P23" i="3"/>
  <c r="N23" i="3"/>
  <c r="L23" i="3"/>
  <c r="D23" i="3"/>
  <c r="B23" i="3"/>
  <c r="Z22" i="3"/>
  <c r="P22" i="3"/>
  <c r="X22" i="3" s="1"/>
  <c r="N22" i="3"/>
  <c r="D22" i="3"/>
  <c r="L22" i="3" s="1"/>
  <c r="B22" i="3"/>
  <c r="Z21" i="3"/>
  <c r="X21" i="3"/>
  <c r="P21" i="3"/>
  <c r="N21" i="3"/>
  <c r="L21" i="3"/>
  <c r="D21" i="3"/>
  <c r="B21" i="3"/>
  <c r="Z20" i="3"/>
  <c r="P20" i="3"/>
  <c r="X20" i="3" s="1"/>
  <c r="N20" i="3"/>
  <c r="L20" i="3"/>
  <c r="D20" i="3"/>
  <c r="B20" i="3"/>
  <c r="Z19" i="3"/>
  <c r="P19" i="3"/>
  <c r="X19" i="3" s="1"/>
  <c r="N19" i="3"/>
  <c r="D19" i="3"/>
  <c r="L19" i="3" s="1"/>
  <c r="B19" i="3"/>
  <c r="Z18" i="3"/>
  <c r="X18" i="3"/>
  <c r="P18" i="3"/>
  <c r="N18" i="3"/>
  <c r="L18" i="3"/>
  <c r="D18" i="3"/>
  <c r="B18" i="3"/>
  <c r="Z17" i="3"/>
  <c r="X17" i="3"/>
  <c r="P17" i="3"/>
  <c r="N17" i="3"/>
  <c r="L17" i="3"/>
  <c r="D17" i="3"/>
  <c r="B17" i="3"/>
  <c r="Z16" i="3"/>
  <c r="P16" i="3"/>
  <c r="X16" i="3" s="1"/>
  <c r="N16" i="3"/>
  <c r="D16" i="3"/>
  <c r="L16" i="3" s="1"/>
  <c r="B16" i="3"/>
  <c r="Z15" i="3"/>
  <c r="X15" i="3"/>
  <c r="P15" i="3"/>
  <c r="N15" i="3"/>
  <c r="L15" i="3"/>
  <c r="D15" i="3"/>
  <c r="B15" i="3"/>
  <c r="Z14" i="3"/>
  <c r="X14" i="3"/>
  <c r="P14" i="3"/>
  <c r="N14" i="3"/>
  <c r="L14" i="3"/>
  <c r="D14" i="3"/>
  <c r="B14" i="3"/>
  <c r="P13" i="3"/>
  <c r="P12" i="3" s="1"/>
  <c r="D13" i="3"/>
  <c r="D12" i="3" s="1"/>
  <c r="B13" i="3"/>
  <c r="T12" i="3"/>
  <c r="V302" i="3" s="1"/>
  <c r="H12" i="3"/>
  <c r="J262" i="3" s="1"/>
  <c r="D4" i="3"/>
  <c r="T34" i="113"/>
  <c r="D33" i="111"/>
  <c r="B25" i="111"/>
  <c r="T33" i="112"/>
  <c r="T16" i="113"/>
  <c r="P34" i="112"/>
  <c r="P20" i="113"/>
  <c r="H29" i="113"/>
  <c r="B39" i="111"/>
  <c r="P16" i="112"/>
  <c r="B21" i="113"/>
  <c r="H29" i="111"/>
  <c r="P21" i="112"/>
  <c r="T15" i="111"/>
  <c r="H24" i="112"/>
  <c r="D29" i="52"/>
  <c r="B13" i="52"/>
  <c r="P33" i="53"/>
  <c r="P22" i="52"/>
  <c r="H25" i="52"/>
  <c r="D24" i="49"/>
  <c r="T20" i="53"/>
  <c r="T34" i="47"/>
  <c r="T29" i="50"/>
  <c r="P16" i="52"/>
  <c r="P33" i="47"/>
  <c r="H13" i="52"/>
  <c r="P25" i="49"/>
  <c r="P12" i="53"/>
  <c r="T13" i="49"/>
  <c r="P16" i="50"/>
  <c r="B38" i="53"/>
  <c r="D13" i="50"/>
  <c r="B38" i="46"/>
  <c r="D22" i="46"/>
  <c r="D25" i="43"/>
  <c r="D21" i="44"/>
  <c r="D33" i="49"/>
  <c r="B22" i="43"/>
  <c r="T33" i="44"/>
  <c r="D29" i="41"/>
  <c r="P16" i="49"/>
  <c r="T29" i="43"/>
  <c r="P34" i="44"/>
  <c r="P22" i="47"/>
  <c r="P33" i="43"/>
  <c r="P21" i="44"/>
  <c r="P33" i="46"/>
  <c r="D22" i="50"/>
  <c r="D4" i="44"/>
  <c r="P34" i="40"/>
  <c r="B39" i="41"/>
  <c r="H29" i="41"/>
  <c r="D29" i="38"/>
  <c r="B39" i="43"/>
  <c r="B13" i="38"/>
  <c r="T24" i="41"/>
  <c r="D24" i="37"/>
  <c r="H16" i="40"/>
  <c r="T33" i="38"/>
  <c r="H22" i="41"/>
  <c r="T33" i="37"/>
  <c r="D4" i="43"/>
  <c r="P13" i="37"/>
  <c r="D22" i="41"/>
  <c r="T12" i="35"/>
  <c r="T25" i="37"/>
  <c r="P20" i="43"/>
  <c r="T24" i="34"/>
  <c r="T20" i="35"/>
  <c r="H29" i="37"/>
  <c r="T13" i="34"/>
  <c r="H12" i="34"/>
  <c r="H29" i="35"/>
  <c r="P20" i="37"/>
  <c r="D29" i="34"/>
  <c r="H29" i="32"/>
  <c r="H20" i="29"/>
  <c r="P13" i="26"/>
  <c r="H34" i="34"/>
  <c r="D21" i="29"/>
  <c r="T15" i="25"/>
  <c r="P15" i="22"/>
  <c r="T21" i="32"/>
  <c r="D21" i="28"/>
  <c r="D34" i="23"/>
  <c r="H20" i="40"/>
  <c r="T33" i="29"/>
  <c r="H13" i="26"/>
  <c r="H16" i="23"/>
  <c r="H15" i="37"/>
  <c r="P15" i="31"/>
  <c r="B38" i="26"/>
  <c r="P15" i="44"/>
  <c r="P34" i="29"/>
  <c r="H16" i="26"/>
  <c r="B22" i="22"/>
  <c r="B38" i="31"/>
  <c r="P34" i="28"/>
  <c r="H16" i="25"/>
  <c r="H34" i="49"/>
  <c r="B13" i="31"/>
  <c r="D16" i="26"/>
  <c r="D15" i="22"/>
  <c r="D16" i="32"/>
  <c r="D21" i="32"/>
  <c r="H22" i="29"/>
  <c r="P25" i="26"/>
  <c r="T16" i="22"/>
  <c r="H22" i="20"/>
  <c r="H25" i="17"/>
  <c r="T33" i="113"/>
  <c r="D29" i="111"/>
  <c r="D24" i="111"/>
  <c r="T29" i="112"/>
  <c r="T13" i="113"/>
  <c r="P33" i="112"/>
  <c r="P16" i="113"/>
  <c r="D25" i="113"/>
  <c r="H24" i="111"/>
  <c r="P22" i="111"/>
  <c r="B13" i="113"/>
  <c r="H25" i="111"/>
  <c r="T15" i="112"/>
  <c r="H12" i="111"/>
  <c r="D12" i="111"/>
  <c r="D25" i="52"/>
  <c r="T34" i="53"/>
  <c r="P29" i="53"/>
  <c r="T20" i="52"/>
  <c r="P15" i="52"/>
  <c r="D22" i="49"/>
  <c r="T16" i="53"/>
  <c r="T33" i="47"/>
  <c r="T25" i="50"/>
  <c r="T24" i="50"/>
  <c r="P29" i="47"/>
  <c r="D20" i="53"/>
  <c r="T21" i="49"/>
  <c r="T34" i="52"/>
  <c r="P20" i="47"/>
  <c r="D12" i="50"/>
  <c r="D34" i="53"/>
  <c r="B39" i="49"/>
  <c r="D34" i="46"/>
  <c r="D4" i="46"/>
  <c r="H21" i="43"/>
  <c r="H15" i="44"/>
  <c r="D13" i="49"/>
  <c r="D21" i="43"/>
  <c r="T29" i="44"/>
  <c r="D25" i="41"/>
  <c r="D12" i="49"/>
  <c r="T25" i="43"/>
  <c r="P33" i="44"/>
  <c r="D4" i="47"/>
  <c r="P29" i="43"/>
  <c r="T15" i="44"/>
  <c r="B21" i="46"/>
  <c r="B13" i="50"/>
  <c r="H34" i="43"/>
  <c r="P33" i="40"/>
  <c r="T33" i="41"/>
  <c r="T22" i="41"/>
  <c r="D25" i="38"/>
  <c r="T34" i="41"/>
  <c r="B38" i="37"/>
  <c r="H20" i="41"/>
  <c r="D22" i="37"/>
  <c r="P12" i="40"/>
  <c r="T29" i="38"/>
  <c r="D21" i="41"/>
  <c r="D5" i="53"/>
  <c r="P29" i="41"/>
  <c r="H12" i="37"/>
  <c r="P15" i="41"/>
  <c r="B21" i="34"/>
  <c r="T24" i="35"/>
  <c r="D33" i="40"/>
  <c r="T22" i="34"/>
  <c r="T16" i="35"/>
  <c r="T22" i="37"/>
  <c r="P12" i="41"/>
  <c r="H15" i="52"/>
  <c r="H25" i="35"/>
  <c r="D15" i="37"/>
  <c r="D25" i="34"/>
  <c r="B25" i="32"/>
  <c r="H16" i="29"/>
  <c r="H12" i="26"/>
  <c r="H29" i="34"/>
  <c r="H15" i="29"/>
  <c r="P13" i="25"/>
  <c r="D5" i="22"/>
  <c r="T20" i="32"/>
  <c r="H15" i="28"/>
  <c r="D33" i="23"/>
  <c r="D5" i="38"/>
  <c r="T29" i="29"/>
  <c r="D4" i="26"/>
  <c r="B13" i="23"/>
  <c r="H15" i="34"/>
  <c r="D5" i="31"/>
  <c r="D34" i="26"/>
  <c r="D4" i="35"/>
  <c r="P33" i="29"/>
  <c r="B13" i="26"/>
  <c r="D21" i="22"/>
  <c r="D34" i="31"/>
  <c r="P33" i="28"/>
  <c r="B13" i="25"/>
  <c r="H34" i="37"/>
  <c r="P21" i="29"/>
  <c r="B22" i="25"/>
  <c r="T12" i="22"/>
  <c r="B22" i="31"/>
  <c r="D20" i="32"/>
  <c r="H13" i="29"/>
  <c r="T21" i="26"/>
  <c r="T13" i="22"/>
  <c r="H13" i="20"/>
  <c r="P15" i="17"/>
  <c r="T29" i="113"/>
  <c r="D25" i="111"/>
  <c r="D22" i="111"/>
  <c r="T25" i="112"/>
  <c r="T24" i="112"/>
  <c r="P29" i="112"/>
  <c r="D12" i="113"/>
  <c r="B38" i="112"/>
  <c r="D5" i="111"/>
  <c r="T20" i="111"/>
  <c r="H22" i="112"/>
  <c r="H16" i="113"/>
  <c r="H12" i="112"/>
  <c r="H34" i="113"/>
  <c r="P15" i="113"/>
  <c r="H21" i="52"/>
  <c r="T33" i="53"/>
  <c r="P25" i="53"/>
  <c r="T16" i="52"/>
  <c r="D5" i="52"/>
  <c r="H20" i="49"/>
  <c r="T13" i="53"/>
  <c r="T29" i="47"/>
  <c r="B16" i="50"/>
  <c r="T22" i="50"/>
  <c r="P25" i="47"/>
  <c r="D16" i="53"/>
  <c r="P21" i="47"/>
  <c r="B16" i="52"/>
  <c r="P16" i="47"/>
  <c r="P21" i="49"/>
  <c r="H21" i="53"/>
  <c r="H24" i="49"/>
  <c r="D33" i="46"/>
  <c r="B25" i="44"/>
  <c r="D13" i="43"/>
  <c r="B25" i="43"/>
  <c r="D33" i="47"/>
  <c r="H15" i="43"/>
  <c r="T25" i="44"/>
  <c r="H21" i="41"/>
  <c r="T20" i="47"/>
  <c r="B16" i="43"/>
  <c r="P29" i="44"/>
  <c r="T29" i="46"/>
  <c r="P25" i="43"/>
  <c r="P13" i="44"/>
  <c r="T12" i="46"/>
  <c r="D34" i="49"/>
  <c r="H33" i="43"/>
  <c r="P29" i="40"/>
  <c r="T21" i="41"/>
  <c r="P21" i="41"/>
  <c r="H21" i="38"/>
  <c r="P33" i="41"/>
  <c r="D34" i="37"/>
  <c r="P13" i="41"/>
  <c r="H20" i="37"/>
  <c r="H13" i="50"/>
  <c r="T25" i="38"/>
  <c r="H13" i="41"/>
  <c r="D25" i="44"/>
  <c r="H15" i="41"/>
  <c r="H29" i="49"/>
  <c r="D13" i="40"/>
  <c r="D20" i="34"/>
  <c r="T22" i="35"/>
  <c r="D5" i="40"/>
  <c r="P12" i="34"/>
  <c r="T13" i="35"/>
  <c r="D21" i="37"/>
  <c r="B16" i="40"/>
  <c r="H22" i="46"/>
  <c r="P15" i="35"/>
  <c r="D5" i="37"/>
  <c r="H21" i="34"/>
  <c r="T16" i="32"/>
  <c r="B13" i="29"/>
  <c r="P24" i="25"/>
  <c r="P15" i="34"/>
  <c r="B25" i="28"/>
  <c r="H12" i="25"/>
  <c r="B25" i="41"/>
  <c r="P16" i="32"/>
  <c r="H34" i="26"/>
  <c r="D29" i="23"/>
  <c r="P15" i="37"/>
  <c r="T25" i="29"/>
  <c r="H34" i="25"/>
  <c r="B38" i="22"/>
  <c r="T25" i="32"/>
  <c r="T24" i="29"/>
  <c r="D33" i="26"/>
  <c r="H33" i="34"/>
  <c r="P29" i="29"/>
  <c r="B38" i="25"/>
  <c r="H15" i="22"/>
  <c r="D33" i="31"/>
  <c r="P29" i="28"/>
  <c r="T34" i="23"/>
  <c r="D12" i="37"/>
  <c r="T15" i="29"/>
  <c r="D21" i="25"/>
  <c r="P20" i="46"/>
  <c r="D21" i="31"/>
  <c r="P12" i="32"/>
  <c r="D4" i="29"/>
  <c r="T24" i="25"/>
  <c r="B38" i="29"/>
  <c r="D4" i="20"/>
  <c r="D5" i="17"/>
  <c r="T25" i="113"/>
  <c r="H21" i="111"/>
  <c r="H20" i="111"/>
  <c r="B16" i="112"/>
  <c r="T22" i="112"/>
  <c r="P25" i="112"/>
  <c r="P24" i="112"/>
  <c r="D34" i="112"/>
  <c r="H33" i="113"/>
  <c r="T16" i="111"/>
  <c r="H13" i="112"/>
  <c r="B25" i="112"/>
  <c r="P34" i="111"/>
  <c r="D5" i="113"/>
  <c r="B25" i="53"/>
  <c r="D13" i="52"/>
  <c r="T29" i="53"/>
  <c r="T21" i="53"/>
  <c r="T13" i="52"/>
  <c r="T22" i="53"/>
  <c r="H16" i="49"/>
  <c r="P33" i="52"/>
  <c r="T25" i="47"/>
  <c r="D15" i="50"/>
  <c r="P12" i="50"/>
  <c r="T21" i="47"/>
  <c r="B22" i="52"/>
  <c r="T15" i="47"/>
  <c r="T12" i="52"/>
  <c r="D12" i="47"/>
  <c r="T15" i="49"/>
  <c r="B39" i="52"/>
  <c r="H22" i="49"/>
  <c r="D29" i="46"/>
  <c r="D24" i="44"/>
  <c r="P21" i="52"/>
  <c r="D24" i="43"/>
  <c r="H24" i="47"/>
  <c r="B21" i="53"/>
  <c r="B16" i="44"/>
  <c r="D13" i="41"/>
  <c r="P12" i="47"/>
  <c r="D15" i="43"/>
  <c r="P25" i="44"/>
  <c r="T25" i="46"/>
  <c r="T21" i="43"/>
  <c r="H12" i="44"/>
  <c r="P20" i="44"/>
  <c r="D29" i="49"/>
  <c r="H29" i="43"/>
  <c r="P25" i="40"/>
  <c r="P20" i="41"/>
  <c r="D16" i="41"/>
  <c r="D13" i="38"/>
  <c r="B16" i="41"/>
  <c r="D33" i="37"/>
  <c r="D5" i="41"/>
  <c r="H16" i="37"/>
  <c r="B25" i="46"/>
  <c r="B16" i="38"/>
  <c r="H29" i="40"/>
  <c r="H22" i="43"/>
  <c r="T12" i="41"/>
  <c r="H16" i="41"/>
  <c r="P13" i="38"/>
  <c r="D16" i="34"/>
  <c r="P12" i="35"/>
  <c r="H22" i="38"/>
  <c r="H25" i="44"/>
  <c r="P34" i="34"/>
  <c r="T12" i="37"/>
  <c r="P24" i="38"/>
  <c r="H34" i="41"/>
  <c r="D5" i="35"/>
  <c r="B25" i="35"/>
  <c r="D13" i="34"/>
  <c r="T13" i="32"/>
  <c r="B38" i="28"/>
  <c r="P22" i="25"/>
  <c r="T15" i="32"/>
  <c r="D24" i="28"/>
  <c r="B39" i="23"/>
  <c r="D21" i="40"/>
  <c r="D12" i="32"/>
  <c r="H33" i="26"/>
  <c r="D25" i="23"/>
  <c r="B22" i="35"/>
  <c r="B16" i="29"/>
  <c r="H33" i="25"/>
  <c r="D34" i="22"/>
  <c r="P22" i="32"/>
  <c r="T22" i="29"/>
  <c r="D29" i="26"/>
  <c r="T33" i="32"/>
  <c r="P25" i="29"/>
  <c r="D34" i="25"/>
  <c r="P13" i="40"/>
  <c r="D29" i="31"/>
  <c r="P25" i="28"/>
  <c r="T33" i="23"/>
  <c r="D21" i="35"/>
  <c r="P13" i="29"/>
  <c r="H15" i="25"/>
  <c r="P33" i="38"/>
  <c r="H15" i="31"/>
  <c r="T34" i="31"/>
  <c r="H34" i="28"/>
  <c r="T22" i="25"/>
  <c r="B39" i="28"/>
  <c r="H34" i="19"/>
  <c r="P20" i="16"/>
  <c r="B16" i="113"/>
  <c r="D13" i="111"/>
  <c r="H16" i="111"/>
  <c r="D15" i="112"/>
  <c r="P12" i="112"/>
  <c r="T21" i="112"/>
  <c r="P22" i="112"/>
  <c r="H21" i="112"/>
  <c r="D29" i="113"/>
  <c r="T13" i="111"/>
  <c r="P20" i="111"/>
  <c r="D22" i="112"/>
  <c r="T21" i="111"/>
  <c r="P24" i="111"/>
  <c r="D24" i="53"/>
  <c r="B22" i="53"/>
  <c r="T25" i="53"/>
  <c r="T24" i="52"/>
  <c r="B39" i="53"/>
  <c r="T33" i="52"/>
  <c r="B13" i="49"/>
  <c r="P29" i="52"/>
  <c r="B16" i="47"/>
  <c r="T12" i="50"/>
  <c r="T34" i="49"/>
  <c r="T24" i="46"/>
  <c r="P24" i="50"/>
  <c r="P13" i="47"/>
  <c r="P21" i="50"/>
  <c r="P21" i="46"/>
  <c r="P13" i="49"/>
  <c r="H24" i="52"/>
  <c r="H13" i="49"/>
  <c r="D25" i="46"/>
  <c r="D22" i="44"/>
  <c r="D4" i="50"/>
  <c r="D22" i="43"/>
  <c r="D21" i="47"/>
  <c r="D21" i="52"/>
  <c r="D15" i="44"/>
  <c r="B39" i="40"/>
  <c r="H34" i="46"/>
  <c r="T12" i="43"/>
  <c r="T21" i="44"/>
  <c r="B16" i="46"/>
  <c r="T15" i="52"/>
  <c r="P24" i="43"/>
  <c r="P16" i="44"/>
  <c r="B39" i="47"/>
  <c r="H25" i="43"/>
  <c r="T21" i="40"/>
  <c r="D15" i="41"/>
  <c r="H12" i="41"/>
  <c r="B39" i="37"/>
  <c r="D12" i="41"/>
  <c r="D29" i="37"/>
  <c r="D25" i="40"/>
  <c r="B13" i="37"/>
  <c r="H33" i="41"/>
  <c r="D15" i="38"/>
  <c r="T22" i="40"/>
  <c r="H13" i="43"/>
  <c r="H33" i="40"/>
  <c r="P22" i="38"/>
  <c r="T21" i="37"/>
  <c r="B38" i="47"/>
  <c r="T34" i="34"/>
  <c r="H13" i="38"/>
  <c r="B21" i="41"/>
  <c r="P33" i="34"/>
  <c r="P21" i="35"/>
  <c r="P34" i="37"/>
  <c r="D29" i="40"/>
  <c r="P20" i="34"/>
  <c r="D24" i="35"/>
  <c r="T24" i="32"/>
  <c r="P34" i="31"/>
  <c r="D34" i="28"/>
  <c r="T20" i="25"/>
  <c r="P13" i="32"/>
  <c r="D22" i="28"/>
  <c r="H24" i="23"/>
  <c r="P25" i="38"/>
  <c r="P21" i="31"/>
  <c r="H29" i="26"/>
  <c r="H21" i="23"/>
  <c r="D24" i="34"/>
  <c r="D15" i="29"/>
  <c r="H29" i="25"/>
  <c r="D33" i="22"/>
  <c r="P21" i="32"/>
  <c r="P12" i="29"/>
  <c r="D25" i="26"/>
  <c r="P25" i="32"/>
  <c r="T21" i="29"/>
  <c r="D33" i="25"/>
  <c r="H34" i="38"/>
  <c r="D25" i="31"/>
  <c r="T21" i="28"/>
  <c r="T29" i="23"/>
  <c r="D22" i="34"/>
  <c r="H12" i="29"/>
  <c r="T24" i="23"/>
  <c r="B21" i="35"/>
  <c r="T20" i="37"/>
  <c r="T33" i="31"/>
  <c r="H33" i="28"/>
  <c r="P12" i="25"/>
  <c r="H24" i="28"/>
  <c r="H33" i="19"/>
  <c r="P16" i="16"/>
  <c r="D15" i="113"/>
  <c r="D4" i="111"/>
  <c r="B13" i="111"/>
  <c r="T12" i="112"/>
  <c r="B21" i="111"/>
  <c r="T34" i="111"/>
  <c r="T20" i="112"/>
  <c r="D4" i="112"/>
  <c r="P13" i="112"/>
  <c r="D33" i="113"/>
  <c r="P16" i="111"/>
  <c r="H20" i="112"/>
  <c r="H25" i="113"/>
  <c r="D34" i="113"/>
  <c r="D22" i="53"/>
  <c r="D21" i="53"/>
  <c r="B16" i="53"/>
  <c r="T22" i="52"/>
  <c r="H24" i="53"/>
  <c r="T29" i="52"/>
  <c r="B21" i="47"/>
  <c r="P25" i="52"/>
  <c r="D15" i="47"/>
  <c r="B21" i="49"/>
  <c r="T33" i="49"/>
  <c r="T22" i="46"/>
  <c r="P22" i="50"/>
  <c r="H12" i="47"/>
  <c r="T15" i="50"/>
  <c r="T15" i="46"/>
  <c r="H12" i="49"/>
  <c r="D4" i="52"/>
  <c r="D4" i="49"/>
  <c r="H21" i="46"/>
  <c r="H20" i="44"/>
  <c r="H33" i="49"/>
  <c r="H20" i="43"/>
  <c r="T16" i="47"/>
  <c r="P34" i="50"/>
  <c r="T12" i="44"/>
  <c r="H24" i="40"/>
  <c r="H24" i="46"/>
  <c r="H24" i="50"/>
  <c r="T24" i="43"/>
  <c r="B13" i="46"/>
  <c r="P33" i="50"/>
  <c r="P22" i="43"/>
  <c r="D12" i="44"/>
  <c r="D25" i="47"/>
  <c r="P15" i="43"/>
  <c r="D12" i="52"/>
  <c r="H34" i="40"/>
  <c r="D34" i="40"/>
  <c r="H24" i="37"/>
  <c r="H25" i="40"/>
  <c r="D25" i="37"/>
  <c r="T20" i="40"/>
  <c r="B22" i="47"/>
  <c r="D20" i="41"/>
  <c r="T12" i="38"/>
  <c r="P21" i="40"/>
  <c r="T29" i="41"/>
  <c r="D20" i="40"/>
  <c r="T20" i="38"/>
  <c r="T13" i="37"/>
  <c r="H34" i="44"/>
  <c r="T33" i="34"/>
  <c r="H33" i="37"/>
  <c r="B13" i="41"/>
  <c r="P29" i="34"/>
  <c r="T15" i="35"/>
  <c r="P12" i="37"/>
  <c r="P21" i="38"/>
  <c r="P16" i="34"/>
  <c r="D22" i="35"/>
  <c r="T22" i="32"/>
  <c r="P33" i="31"/>
  <c r="D33" i="28"/>
  <c r="T16" i="25"/>
  <c r="H12" i="32"/>
  <c r="H20" i="28"/>
  <c r="H22" i="23"/>
  <c r="T16" i="37"/>
  <c r="T15" i="31"/>
  <c r="H25" i="26"/>
  <c r="D13" i="23"/>
  <c r="H20" i="34"/>
  <c r="T12" i="29"/>
  <c r="H25" i="25"/>
  <c r="D29" i="22"/>
  <c r="P20" i="32"/>
  <c r="T34" i="28"/>
  <c r="H21" i="26"/>
  <c r="P24" i="32"/>
  <c r="T24" i="28"/>
  <c r="D29" i="25"/>
  <c r="D25" i="35"/>
  <c r="H21" i="31"/>
  <c r="B22" i="26"/>
  <c r="T25" i="23"/>
  <c r="H13" i="34"/>
  <c r="P24" i="28"/>
  <c r="T22" i="23"/>
  <c r="D16" i="35"/>
  <c r="D34" i="35"/>
  <c r="T29" i="31"/>
  <c r="H29" i="28"/>
  <c r="P21" i="23"/>
  <c r="D4" i="28"/>
  <c r="H29" i="19"/>
  <c r="D12" i="16"/>
  <c r="T12" i="113"/>
  <c r="T24" i="113"/>
  <c r="P34" i="113"/>
  <c r="B22" i="111"/>
  <c r="D20" i="111"/>
  <c r="T33" i="111"/>
  <c r="T16" i="112"/>
  <c r="H34" i="111"/>
  <c r="P33" i="111"/>
  <c r="H24" i="113"/>
  <c r="D24" i="113"/>
  <c r="H16" i="112"/>
  <c r="D20" i="113"/>
  <c r="B39" i="112"/>
  <c r="H20" i="53"/>
  <c r="H15" i="53"/>
  <c r="D15" i="53"/>
  <c r="P12" i="52"/>
  <c r="H22" i="53"/>
  <c r="T25" i="52"/>
  <c r="D20" i="47"/>
  <c r="B21" i="50"/>
  <c r="T12" i="47"/>
  <c r="D20" i="49"/>
  <c r="T29" i="49"/>
  <c r="P12" i="46"/>
  <c r="T20" i="50"/>
  <c r="P24" i="46"/>
  <c r="P13" i="50"/>
  <c r="P13" i="46"/>
  <c r="H34" i="47"/>
  <c r="B38" i="50"/>
  <c r="B25" i="47"/>
  <c r="D13" i="46"/>
  <c r="H16" i="44"/>
  <c r="P24" i="47"/>
  <c r="H16" i="43"/>
  <c r="D13" i="47"/>
  <c r="P29" i="50"/>
  <c r="B21" i="43"/>
  <c r="H22" i="40"/>
  <c r="H16" i="46"/>
  <c r="H25" i="49"/>
  <c r="T22" i="43"/>
  <c r="P24" i="44"/>
  <c r="T24" i="49"/>
  <c r="T20" i="43"/>
  <c r="P21" i="43"/>
  <c r="H15" i="47"/>
  <c r="D5" i="43"/>
  <c r="P25" i="50"/>
  <c r="D22" i="40"/>
  <c r="T29" i="40"/>
  <c r="H22" i="37"/>
  <c r="D24" i="40"/>
  <c r="H21" i="37"/>
  <c r="H15" i="40"/>
  <c r="H25" i="46"/>
  <c r="T15" i="41"/>
  <c r="B21" i="37"/>
  <c r="D16" i="40"/>
  <c r="H24" i="41"/>
  <c r="T15" i="40"/>
  <c r="T16" i="38"/>
  <c r="T34" i="35"/>
  <c r="P24" i="40"/>
  <c r="T29" i="34"/>
  <c r="B16" i="37"/>
  <c r="P22" i="40"/>
  <c r="P25" i="34"/>
  <c r="P13" i="35"/>
  <c r="P20" i="35"/>
  <c r="T15" i="38"/>
  <c r="D12" i="34"/>
  <c r="H20" i="35"/>
  <c r="T25" i="40"/>
  <c r="P29" i="31"/>
  <c r="D29" i="28"/>
  <c r="T13" i="25"/>
  <c r="P24" i="31"/>
  <c r="H16" i="28"/>
  <c r="H13" i="23"/>
  <c r="B38" i="35"/>
  <c r="P13" i="31"/>
  <c r="P15" i="26"/>
  <c r="B39" i="22"/>
  <c r="P15" i="32"/>
  <c r="B21" i="28"/>
  <c r="P15" i="25"/>
  <c r="D25" i="22"/>
  <c r="H13" i="32"/>
  <c r="T33" i="28"/>
  <c r="D13" i="26"/>
  <c r="D13" i="32"/>
  <c r="T22" i="28"/>
  <c r="D25" i="25"/>
  <c r="H21" i="35"/>
  <c r="D13" i="31"/>
  <c r="D21" i="26"/>
  <c r="B16" i="23"/>
  <c r="H15" i="32"/>
  <c r="P22" i="28"/>
  <c r="P12" i="23"/>
  <c r="B22" i="34"/>
  <c r="D29" i="35"/>
  <c r="T25" i="31"/>
  <c r="H25" i="28"/>
  <c r="T15" i="23"/>
  <c r="T22" i="26"/>
  <c r="H25" i="19"/>
  <c r="P29" i="38"/>
  <c r="B22" i="112"/>
  <c r="T22" i="113"/>
  <c r="P33" i="113"/>
  <c r="D21" i="111"/>
  <c r="D16" i="111"/>
  <c r="T29" i="111"/>
  <c r="T13" i="112"/>
  <c r="P15" i="111"/>
  <c r="P29" i="111"/>
  <c r="D13" i="113"/>
  <c r="D33" i="112"/>
  <c r="B13" i="112"/>
  <c r="D4" i="113"/>
  <c r="D12" i="112"/>
  <c r="H16" i="53"/>
  <c r="B25" i="52"/>
  <c r="T12" i="53"/>
  <c r="P21" i="53"/>
  <c r="H13" i="53"/>
  <c r="D15" i="52"/>
  <c r="D16" i="47"/>
  <c r="D20" i="50"/>
  <c r="P20" i="53"/>
  <c r="D16" i="49"/>
  <c r="T25" i="49"/>
  <c r="D33" i="53"/>
  <c r="T16" i="50"/>
  <c r="P22" i="46"/>
  <c r="H12" i="50"/>
  <c r="H12" i="46"/>
  <c r="H33" i="47"/>
  <c r="D34" i="50"/>
  <c r="D24" i="47"/>
  <c r="H25" i="50"/>
  <c r="B13" i="44"/>
  <c r="H21" i="47"/>
  <c r="B13" i="43"/>
  <c r="T34" i="46"/>
  <c r="P12" i="49"/>
  <c r="D20" i="43"/>
  <c r="H13" i="40"/>
  <c r="T24" i="44"/>
  <c r="D5" i="49"/>
  <c r="P12" i="43"/>
  <c r="P22" i="44"/>
  <c r="H22" i="47"/>
  <c r="T16" i="43"/>
  <c r="T15" i="43"/>
  <c r="D12" i="46"/>
  <c r="P24" i="41"/>
  <c r="T22" i="49"/>
  <c r="B21" i="40"/>
  <c r="B22" i="40"/>
  <c r="H13" i="37"/>
  <c r="B25" i="38"/>
  <c r="D13" i="37"/>
  <c r="T12" i="40"/>
  <c r="D29" i="44"/>
  <c r="B38" i="40"/>
  <c r="D20" i="37"/>
  <c r="H12" i="40"/>
  <c r="B22" i="41"/>
  <c r="P20" i="38"/>
  <c r="T13" i="38"/>
  <c r="T33" i="35"/>
  <c r="D12" i="40"/>
  <c r="T25" i="34"/>
  <c r="P34" i="35"/>
  <c r="D20" i="38"/>
  <c r="T21" i="34"/>
  <c r="H12" i="35"/>
  <c r="P16" i="35"/>
  <c r="H12" i="38"/>
  <c r="T34" i="40"/>
  <c r="H16" i="35"/>
  <c r="P15" i="38"/>
  <c r="P25" i="31"/>
  <c r="D25" i="28"/>
  <c r="H25" i="41"/>
  <c r="P22" i="31"/>
  <c r="B13" i="28"/>
  <c r="D4" i="23"/>
  <c r="D33" i="35"/>
  <c r="H12" i="31"/>
  <c r="D5" i="26"/>
  <c r="H24" i="22"/>
  <c r="D5" i="32"/>
  <c r="D20" i="28"/>
  <c r="D5" i="25"/>
  <c r="H21" i="22"/>
  <c r="D4" i="32"/>
  <c r="T29" i="28"/>
  <c r="B39" i="25"/>
  <c r="B39" i="31"/>
  <c r="P12" i="28"/>
  <c r="H21" i="25"/>
  <c r="B39" i="34"/>
  <c r="P24" i="29"/>
  <c r="H15" i="26"/>
  <c r="D15" i="23"/>
  <c r="B25" i="31"/>
  <c r="T20" i="28"/>
  <c r="T34" i="22"/>
  <c r="B13" i="34"/>
  <c r="B38" i="32"/>
  <c r="B16" i="31"/>
  <c r="P15" i="28"/>
  <c r="P13" i="23"/>
  <c r="T29" i="25"/>
  <c r="P15" i="19"/>
  <c r="H15" i="35"/>
  <c r="D21" i="112"/>
  <c r="P12" i="113"/>
  <c r="P29" i="113"/>
  <c r="H15" i="111"/>
  <c r="P21" i="113"/>
  <c r="T25" i="111"/>
  <c r="T24" i="111"/>
  <c r="D6" i="111"/>
  <c r="P25" i="111"/>
  <c r="H33" i="112"/>
  <c r="D29" i="112"/>
  <c r="H22" i="111"/>
  <c r="H34" i="112"/>
  <c r="D5" i="112"/>
  <c r="B13" i="53"/>
  <c r="D24" i="52"/>
  <c r="B21" i="52"/>
  <c r="T15" i="53"/>
  <c r="D4" i="53"/>
  <c r="B22" i="50"/>
  <c r="B22" i="46"/>
  <c r="D16" i="50"/>
  <c r="P16" i="53"/>
  <c r="H33" i="53"/>
  <c r="B16" i="49"/>
  <c r="D29" i="53"/>
  <c r="T13" i="50"/>
  <c r="T20" i="46"/>
  <c r="P24" i="49"/>
  <c r="P24" i="53"/>
  <c r="H29" i="47"/>
  <c r="D33" i="50"/>
  <c r="D22" i="47"/>
  <c r="D5" i="50"/>
  <c r="B38" i="43"/>
  <c r="H13" i="47"/>
  <c r="H34" i="53"/>
  <c r="H20" i="46"/>
  <c r="P34" i="46"/>
  <c r="D16" i="43"/>
  <c r="D4" i="40"/>
  <c r="T22" i="44"/>
  <c r="T22" i="47"/>
  <c r="D24" i="50"/>
  <c r="T20" i="44"/>
  <c r="B39" i="46"/>
  <c r="T13" i="43"/>
  <c r="P13" i="43"/>
  <c r="B39" i="44"/>
  <c r="P22" i="41"/>
  <c r="H33" i="46"/>
  <c r="P15" i="40"/>
  <c r="P16" i="40"/>
  <c r="D4" i="37"/>
  <c r="D24" i="38"/>
  <c r="P15" i="49"/>
  <c r="B22" i="38"/>
  <c r="P34" i="41"/>
  <c r="T33" i="40"/>
  <c r="D16" i="37"/>
  <c r="T24" i="38"/>
  <c r="P16" i="41"/>
  <c r="P16" i="38"/>
  <c r="P33" i="37"/>
  <c r="T29" i="35"/>
  <c r="H33" i="38"/>
  <c r="B16" i="34"/>
  <c r="P33" i="35"/>
  <c r="D16" i="38"/>
  <c r="D12" i="43"/>
  <c r="P24" i="34"/>
  <c r="D12" i="35"/>
  <c r="H25" i="37"/>
  <c r="T13" i="40"/>
  <c r="B13" i="35"/>
  <c r="D20" i="35"/>
  <c r="T21" i="31"/>
  <c r="H21" i="28"/>
  <c r="H21" i="40"/>
  <c r="T20" i="31"/>
  <c r="P20" i="26"/>
  <c r="H34" i="22"/>
  <c r="D13" i="35"/>
  <c r="B21" i="29"/>
  <c r="P20" i="25"/>
  <c r="H22" i="22"/>
  <c r="P20" i="31"/>
  <c r="D16" i="28"/>
  <c r="B25" i="23"/>
  <c r="D13" i="22"/>
  <c r="H34" i="31"/>
  <c r="T25" i="28"/>
  <c r="H24" i="25"/>
  <c r="H24" i="31"/>
  <c r="B25" i="26"/>
  <c r="D13" i="25"/>
  <c r="H22" i="34"/>
  <c r="P22" i="29"/>
  <c r="B25" i="25"/>
  <c r="T12" i="23"/>
  <c r="D24" i="31"/>
  <c r="T16" i="28"/>
  <c r="T33" i="22"/>
  <c r="H33" i="32"/>
  <c r="P34" i="32"/>
  <c r="D15" i="31"/>
  <c r="D5" i="28"/>
  <c r="H12" i="23"/>
  <c r="P33" i="23"/>
  <c r="D5" i="19"/>
  <c r="D5" i="34"/>
  <c r="H15" i="113"/>
  <c r="D34" i="111"/>
  <c r="D16" i="112"/>
  <c r="T34" i="112"/>
  <c r="T20" i="113"/>
  <c r="H12" i="113"/>
  <c r="T12" i="111"/>
  <c r="B39" i="113"/>
  <c r="D24" i="112"/>
  <c r="P20" i="112"/>
  <c r="P13" i="111"/>
  <c r="H33" i="111"/>
  <c r="D6" i="113"/>
  <c r="P21" i="111"/>
  <c r="H20" i="113"/>
  <c r="D33" i="52"/>
  <c r="H16" i="52"/>
  <c r="P34" i="53"/>
  <c r="P24" i="52"/>
  <c r="H29" i="52"/>
  <c r="B25" i="49"/>
  <c r="P22" i="53"/>
  <c r="H15" i="49"/>
  <c r="T33" i="50"/>
  <c r="P20" i="52"/>
  <c r="P34" i="47"/>
  <c r="H22" i="52"/>
  <c r="P29" i="49"/>
  <c r="T24" i="53"/>
  <c r="T16" i="49"/>
  <c r="P20" i="50"/>
  <c r="D5" i="47"/>
  <c r="H21" i="50"/>
  <c r="B13" i="47"/>
  <c r="T13" i="47"/>
  <c r="D29" i="43"/>
  <c r="B22" i="44"/>
  <c r="B38" i="49"/>
  <c r="D16" i="44"/>
  <c r="T34" i="44"/>
  <c r="D33" i="41"/>
  <c r="P15" i="50"/>
  <c r="T33" i="43"/>
  <c r="H13" i="46"/>
  <c r="H21" i="49"/>
  <c r="P34" i="43"/>
  <c r="P25" i="46"/>
  <c r="P20" i="49"/>
  <c r="H12" i="52"/>
  <c r="H13" i="44"/>
  <c r="T13" i="41"/>
  <c r="D13" i="44"/>
  <c r="D5" i="44"/>
  <c r="D33" i="38"/>
  <c r="H21" i="44"/>
  <c r="H16" i="38"/>
  <c r="P16" i="43"/>
  <c r="B25" i="37"/>
  <c r="B25" i="40"/>
  <c r="T34" i="38"/>
  <c r="P25" i="41"/>
  <c r="T34" i="37"/>
  <c r="D34" i="44"/>
  <c r="T15" i="37"/>
  <c r="P16" i="37"/>
  <c r="D15" i="35"/>
  <c r="P29" i="37"/>
  <c r="H33" i="44"/>
  <c r="T21" i="35"/>
  <c r="P22" i="35"/>
  <c r="T21" i="38"/>
  <c r="T16" i="34"/>
  <c r="P13" i="34"/>
  <c r="H33" i="35"/>
  <c r="B22" i="37"/>
  <c r="D33" i="34"/>
  <c r="H34" i="32"/>
  <c r="D22" i="29"/>
  <c r="T15" i="26"/>
  <c r="H13" i="35"/>
  <c r="B22" i="29"/>
  <c r="P21" i="25"/>
  <c r="H25" i="22"/>
  <c r="D29" i="32"/>
  <c r="B22" i="28"/>
  <c r="B38" i="23"/>
  <c r="D24" i="41"/>
  <c r="T34" i="29"/>
  <c r="H22" i="26"/>
  <c r="H20" i="23"/>
  <c r="D4" i="38"/>
  <c r="H25" i="31"/>
  <c r="T12" i="28"/>
  <c r="B39" i="50"/>
  <c r="D4" i="31"/>
  <c r="H20" i="26"/>
  <c r="D16" i="23"/>
  <c r="B13" i="32"/>
  <c r="T13" i="29"/>
  <c r="H20" i="25"/>
  <c r="D16" i="22"/>
  <c r="H16" i="31"/>
  <c r="D20" i="26"/>
  <c r="B16" i="22"/>
  <c r="H20" i="32"/>
  <c r="D22" i="32"/>
  <c r="H24" i="29"/>
  <c r="P29" i="26"/>
  <c r="T20" i="22"/>
  <c r="H24" i="20"/>
  <c r="H29" i="17"/>
  <c r="P22" i="26"/>
  <c r="T15" i="113"/>
  <c r="D25" i="112"/>
  <c r="D20" i="52"/>
  <c r="P13" i="52"/>
  <c r="P22" i="49"/>
  <c r="D34" i="43"/>
  <c r="H34" i="50"/>
  <c r="P15" i="53"/>
  <c r="B38" i="38"/>
  <c r="P20" i="40"/>
  <c r="T25" i="35"/>
  <c r="P22" i="34"/>
  <c r="B25" i="29"/>
  <c r="H24" i="34"/>
  <c r="D24" i="23"/>
  <c r="D24" i="26"/>
  <c r="D22" i="31"/>
  <c r="P34" i="26"/>
  <c r="H29" i="23"/>
  <c r="B39" i="19"/>
  <c r="H29" i="16"/>
  <c r="T22" i="22"/>
  <c r="D25" i="19"/>
  <c r="H22" i="16"/>
  <c r="H12" i="22"/>
  <c r="D22" i="17"/>
  <c r="T15" i="28"/>
  <c r="H15" i="19"/>
  <c r="P15" i="29"/>
  <c r="B16" i="20"/>
  <c r="H25" i="34"/>
  <c r="P12" i="20"/>
  <c r="B16" i="17"/>
  <c r="T13" i="26"/>
  <c r="T24" i="19"/>
  <c r="T12" i="16"/>
  <c r="D5" i="23"/>
  <c r="T21" i="19"/>
  <c r="D13" i="29"/>
  <c r="P24" i="19"/>
  <c r="P29" i="16"/>
  <c r="P15" i="23"/>
  <c r="H12" i="17"/>
  <c r="P15" i="14"/>
  <c r="B39" i="10"/>
  <c r="T16" i="7"/>
  <c r="D25" i="4"/>
  <c r="P15" i="13"/>
  <c r="D25" i="10"/>
  <c r="H15" i="5"/>
  <c r="D34" i="14"/>
  <c r="D21" i="11"/>
  <c r="P15" i="8"/>
  <c r="P20" i="19"/>
  <c r="H21" i="13"/>
  <c r="D4" i="8"/>
  <c r="D15" i="5"/>
  <c r="D24" i="13"/>
  <c r="B21" i="10"/>
  <c r="H22" i="7"/>
  <c r="T12" i="4"/>
  <c r="T22" i="11"/>
  <c r="H20" i="8"/>
  <c r="P29" i="5"/>
  <c r="B16" i="14"/>
  <c r="T22" i="10"/>
  <c r="P22" i="5"/>
  <c r="T22" i="14"/>
  <c r="T16" i="11"/>
  <c r="H15" i="7"/>
  <c r="P34" i="14"/>
  <c r="P24" i="10"/>
  <c r="B21" i="7"/>
  <c r="P24" i="14"/>
  <c r="D12" i="11"/>
  <c r="B16" i="7"/>
  <c r="H15" i="23"/>
  <c r="H29" i="11"/>
  <c r="T24" i="7"/>
  <c r="P15" i="4"/>
  <c r="P16" i="17"/>
  <c r="D5" i="10"/>
  <c r="D25" i="5"/>
  <c r="D13" i="28"/>
  <c r="T25" i="26"/>
  <c r="T21" i="22"/>
  <c r="P22" i="16"/>
  <c r="P13" i="113"/>
  <c r="D13" i="112"/>
  <c r="D16" i="52"/>
  <c r="T34" i="50"/>
  <c r="T20" i="49"/>
  <c r="D33" i="43"/>
  <c r="H29" i="50"/>
  <c r="H33" i="50"/>
  <c r="D34" i="38"/>
  <c r="D15" i="40"/>
  <c r="B16" i="35"/>
  <c r="T20" i="34"/>
  <c r="D24" i="29"/>
  <c r="D34" i="32"/>
  <c r="D22" i="23"/>
  <c r="D22" i="26"/>
  <c r="H20" i="31"/>
  <c r="P33" i="26"/>
  <c r="T13" i="23"/>
  <c r="H24" i="19"/>
  <c r="H25" i="16"/>
  <c r="H16" i="22"/>
  <c r="H21" i="19"/>
  <c r="H13" i="16"/>
  <c r="B22" i="20"/>
  <c r="H20" i="17"/>
  <c r="P34" i="25"/>
  <c r="B22" i="17"/>
  <c r="T33" i="26"/>
  <c r="D15" i="20"/>
  <c r="H25" i="32"/>
  <c r="T34" i="19"/>
  <c r="D15" i="17"/>
  <c r="P33" i="25"/>
  <c r="T22" i="19"/>
  <c r="H24" i="35"/>
  <c r="B25" i="22"/>
  <c r="P34" i="17"/>
  <c r="H13" i="28"/>
  <c r="P22" i="19"/>
  <c r="P25" i="16"/>
  <c r="P13" i="22"/>
  <c r="P24" i="16"/>
  <c r="D5" i="14"/>
  <c r="H24" i="10"/>
  <c r="T13" i="7"/>
  <c r="H21" i="4"/>
  <c r="D5" i="13"/>
  <c r="H21" i="10"/>
  <c r="B25" i="4"/>
  <c r="D33" i="14"/>
  <c r="H15" i="11"/>
  <c r="D5" i="8"/>
  <c r="B25" i="14"/>
  <c r="D13" i="13"/>
  <c r="H34" i="7"/>
  <c r="T12" i="5"/>
  <c r="D22" i="13"/>
  <c r="D20" i="10"/>
  <c r="H13" i="7"/>
  <c r="H16" i="34"/>
  <c r="P12" i="11"/>
  <c r="H16" i="8"/>
  <c r="P25" i="5"/>
  <c r="D15" i="14"/>
  <c r="P12" i="10"/>
  <c r="T20" i="5"/>
  <c r="P12" i="14"/>
  <c r="T13" i="11"/>
  <c r="P21" i="5"/>
  <c r="P33" i="14"/>
  <c r="P22" i="10"/>
  <c r="D20" i="7"/>
  <c r="P22" i="14"/>
  <c r="P21" i="10"/>
  <c r="D15" i="7"/>
  <c r="P21" i="14"/>
  <c r="H25" i="11"/>
  <c r="T22" i="7"/>
  <c r="D5" i="4"/>
  <c r="D12" i="14"/>
  <c r="T20" i="8"/>
  <c r="H13" i="4"/>
  <c r="B22" i="113"/>
  <c r="B16" i="111"/>
  <c r="H13" i="111"/>
  <c r="P13" i="53"/>
  <c r="H29" i="53"/>
  <c r="P34" i="52"/>
  <c r="P16" i="46"/>
  <c r="P12" i="44"/>
  <c r="H12" i="43"/>
  <c r="T21" i="50"/>
  <c r="B38" i="44"/>
  <c r="H29" i="38"/>
  <c r="P21" i="34"/>
  <c r="D20" i="29"/>
  <c r="B39" i="38"/>
  <c r="B21" i="23"/>
  <c r="T13" i="28"/>
  <c r="P24" i="22"/>
  <c r="D24" i="22"/>
  <c r="H22" i="19"/>
  <c r="P15" i="16"/>
  <c r="B25" i="20"/>
  <c r="D13" i="19"/>
  <c r="D4" i="16"/>
  <c r="D21" i="20"/>
  <c r="H16" i="17"/>
  <c r="T21" i="25"/>
  <c r="D21" i="17"/>
  <c r="T12" i="20"/>
  <c r="B16" i="32"/>
  <c r="T33" i="19"/>
  <c r="T12" i="17"/>
  <c r="P25" i="25"/>
  <c r="P12" i="19"/>
  <c r="B39" i="32"/>
  <c r="P33" i="17"/>
  <c r="T24" i="26"/>
  <c r="T20" i="19"/>
  <c r="T21" i="16"/>
  <c r="P20" i="20"/>
  <c r="P20" i="13"/>
  <c r="H22" i="10"/>
  <c r="B25" i="5"/>
  <c r="D21" i="113"/>
  <c r="D15" i="111"/>
  <c r="D16" i="113"/>
  <c r="H12" i="53"/>
  <c r="H25" i="53"/>
  <c r="T21" i="52"/>
  <c r="D15" i="46"/>
  <c r="T34" i="43"/>
  <c r="D12" i="53"/>
  <c r="H29" i="46"/>
  <c r="H24" i="43"/>
  <c r="H25" i="38"/>
  <c r="T15" i="34"/>
  <c r="P21" i="26"/>
  <c r="D16" i="29"/>
  <c r="H24" i="38"/>
  <c r="D20" i="23"/>
  <c r="B21" i="26"/>
  <c r="P22" i="22"/>
  <c r="P16" i="22"/>
  <c r="H13" i="19"/>
  <c r="D5" i="16"/>
  <c r="D24" i="20"/>
  <c r="B38" i="17"/>
  <c r="T24" i="31"/>
  <c r="H15" i="20"/>
  <c r="B13" i="17"/>
  <c r="P16" i="23"/>
  <c r="H15" i="17"/>
  <c r="D15" i="26"/>
  <c r="B21" i="19"/>
  <c r="D34" i="29"/>
  <c r="T29" i="19"/>
  <c r="B21" i="16"/>
  <c r="P34" i="23"/>
  <c r="T24" i="17"/>
  <c r="H24" i="32"/>
  <c r="P24" i="20"/>
  <c r="P29" i="17"/>
  <c r="P12" i="26"/>
  <c r="T16" i="19"/>
  <c r="T34" i="32"/>
  <c r="P16" i="20"/>
  <c r="T20" i="16"/>
  <c r="P16" i="13"/>
  <c r="H13" i="10"/>
  <c r="D24" i="5"/>
  <c r="B39" i="14"/>
  <c r="D24" i="11"/>
  <c r="P20" i="8"/>
  <c r="D22" i="4"/>
  <c r="D25" i="14"/>
  <c r="D24" i="10"/>
  <c r="P16" i="7"/>
  <c r="D22" i="14"/>
  <c r="D20" i="11"/>
  <c r="H29" i="7"/>
  <c r="D20" i="4"/>
  <c r="H16" i="13"/>
  <c r="B38" i="8"/>
  <c r="T24" i="5"/>
  <c r="P16" i="19"/>
  <c r="T33" i="10"/>
  <c r="B38" i="7"/>
  <c r="T24" i="4"/>
  <c r="B21" i="13"/>
  <c r="D21" i="8"/>
  <c r="T13" i="5"/>
  <c r="T33" i="13"/>
  <c r="P33" i="10"/>
  <c r="P13" i="5"/>
  <c r="P25" i="14"/>
  <c r="T16" i="10"/>
  <c r="P20" i="5"/>
  <c r="T16" i="14"/>
  <c r="P13" i="10"/>
  <c r="H34" i="5"/>
  <c r="P13" i="14"/>
  <c r="D5" i="11"/>
  <c r="B39" i="5"/>
  <c r="H13" i="11"/>
  <c r="P15" i="10"/>
  <c r="B39" i="4"/>
  <c r="T13" i="8"/>
  <c r="D12" i="31"/>
  <c r="P33" i="19"/>
  <c r="H33" i="13"/>
  <c r="H13" i="13"/>
  <c r="D33" i="13"/>
  <c r="D21" i="14"/>
  <c r="D21" i="13"/>
  <c r="D13" i="7"/>
  <c r="P24" i="11"/>
  <c r="T13" i="4"/>
  <c r="H12" i="4"/>
  <c r="T33" i="7"/>
  <c r="T13" i="13"/>
  <c r="H33" i="4"/>
  <c r="T16" i="8"/>
  <c r="H15" i="112"/>
  <c r="T22" i="111"/>
  <c r="P15" i="112"/>
  <c r="H34" i="52"/>
  <c r="D15" i="49"/>
  <c r="H25" i="47"/>
  <c r="B25" i="50"/>
  <c r="D24" i="46"/>
  <c r="H24" i="44"/>
  <c r="D22" i="38"/>
  <c r="T22" i="38"/>
  <c r="D15" i="34"/>
  <c r="P22" i="37"/>
  <c r="B39" i="35"/>
  <c r="P16" i="25"/>
  <c r="H33" i="31"/>
  <c r="P33" i="32"/>
  <c r="T29" i="22"/>
  <c r="B13" i="22"/>
  <c r="P12" i="22"/>
  <c r="D4" i="19"/>
  <c r="T29" i="32"/>
  <c r="D22" i="20"/>
  <c r="D34" i="17"/>
  <c r="D29" i="29"/>
  <c r="B25" i="19"/>
  <c r="B38" i="16"/>
  <c r="P34" i="22"/>
  <c r="B25" i="16"/>
  <c r="B21" i="25"/>
  <c r="D20" i="19"/>
  <c r="H21" i="29"/>
  <c r="T25" i="19"/>
  <c r="D20" i="16"/>
  <c r="P22" i="23"/>
  <c r="T22" i="17"/>
  <c r="D15" i="32"/>
  <c r="P22" i="20"/>
  <c r="P25" i="17"/>
  <c r="T12" i="25"/>
  <c r="T13" i="19"/>
  <c r="T12" i="32"/>
  <c r="D12" i="20"/>
  <c r="T16" i="16"/>
  <c r="D12" i="13"/>
  <c r="D4" i="10"/>
  <c r="D22" i="5"/>
  <c r="H24" i="14"/>
  <c r="D22" i="11"/>
  <c r="P16" i="8"/>
  <c r="H20" i="4"/>
  <c r="H21" i="14"/>
  <c r="D22" i="10"/>
  <c r="D12" i="7"/>
  <c r="H20" i="14"/>
  <c r="D16" i="11"/>
  <c r="H25" i="7"/>
  <c r="D16" i="4"/>
  <c r="B13" i="13"/>
  <c r="D34" i="8"/>
  <c r="T22" i="5"/>
  <c r="P13" i="16"/>
  <c r="T29" i="10"/>
  <c r="D34" i="7"/>
  <c r="T22" i="4"/>
  <c r="D20" i="13"/>
  <c r="H15" i="8"/>
  <c r="P34" i="4"/>
  <c r="T29" i="13"/>
  <c r="P29" i="10"/>
  <c r="H12" i="5"/>
  <c r="T21" i="14"/>
  <c r="T13" i="10"/>
  <c r="P16" i="5"/>
  <c r="T13" i="14"/>
  <c r="H12" i="10"/>
  <c r="H33" i="5"/>
  <c r="H12" i="14"/>
  <c r="P20" i="10"/>
  <c r="H24" i="5"/>
  <c r="P34" i="7"/>
  <c r="P22" i="8"/>
  <c r="P13" i="13"/>
  <c r="D4" i="4"/>
  <c r="H21" i="16"/>
  <c r="T33" i="14"/>
  <c r="B38" i="111"/>
  <c r="P12" i="111"/>
  <c r="D6" i="112"/>
  <c r="H33" i="52"/>
  <c r="T12" i="49"/>
  <c r="P15" i="47"/>
  <c r="H16" i="50"/>
  <c r="D16" i="46"/>
  <c r="H22" i="44"/>
  <c r="H20" i="38"/>
  <c r="P12" i="38"/>
  <c r="T12" i="34"/>
  <c r="H34" i="35"/>
  <c r="H22" i="35"/>
  <c r="D12" i="25"/>
  <c r="H29" i="31"/>
  <c r="H16" i="32"/>
  <c r="T25" i="22"/>
  <c r="B39" i="20"/>
  <c r="B38" i="20"/>
  <c r="B39" i="17"/>
  <c r="D16" i="31"/>
  <c r="H20" i="20"/>
  <c r="D33" i="17"/>
  <c r="H22" i="28"/>
  <c r="D24" i="19"/>
  <c r="D34" i="16"/>
  <c r="H20" i="22"/>
  <c r="D24" i="16"/>
  <c r="T20" i="23"/>
  <c r="D16" i="19"/>
  <c r="T33" i="25"/>
  <c r="B16" i="19"/>
  <c r="D16" i="16"/>
  <c r="D12" i="23"/>
  <c r="P12" i="17"/>
  <c r="B21" i="31"/>
  <c r="T20" i="20"/>
  <c r="T21" i="17"/>
  <c r="P33" i="22"/>
  <c r="P24" i="17"/>
  <c r="D20" i="31"/>
  <c r="P21" i="19"/>
  <c r="T13" i="16"/>
  <c r="B38" i="11"/>
  <c r="P21" i="8"/>
  <c r="H20" i="5"/>
  <c r="H22" i="14"/>
  <c r="H20" i="11"/>
  <c r="D12" i="8"/>
  <c r="H16" i="4"/>
  <c r="D13" i="14"/>
  <c r="H20" i="10"/>
  <c r="B21" i="5"/>
  <c r="H16" i="14"/>
  <c r="B22" i="10"/>
  <c r="P15" i="7"/>
  <c r="D4" i="25"/>
  <c r="T34" i="11"/>
  <c r="D33" i="8"/>
  <c r="P12" i="5"/>
  <c r="B21" i="14"/>
  <c r="T25" i="10"/>
  <c r="D33" i="7"/>
  <c r="P12" i="4"/>
  <c r="D16" i="13"/>
  <c r="B25" i="7"/>
  <c r="P33" i="4"/>
  <c r="T25" i="13"/>
  <c r="P25" i="10"/>
  <c r="P24" i="4"/>
  <c r="T24" i="13"/>
  <c r="T34" i="8"/>
  <c r="D12" i="5"/>
  <c r="P34" i="13"/>
  <c r="T24" i="8"/>
  <c r="H29" i="5"/>
  <c r="P24" i="13"/>
  <c r="P16" i="10"/>
  <c r="H22" i="5"/>
  <c r="P21" i="13"/>
  <c r="P29" i="7"/>
  <c r="H22" i="11"/>
  <c r="P20" i="14"/>
  <c r="H13" i="25"/>
  <c r="D24" i="32"/>
  <c r="D34" i="10"/>
  <c r="H33" i="8"/>
  <c r="H24" i="8"/>
  <c r="B16" i="11"/>
  <c r="B25" i="8"/>
  <c r="P25" i="11"/>
  <c r="D16" i="8"/>
  <c r="T15" i="11"/>
  <c r="T21" i="13"/>
  <c r="P20" i="4"/>
  <c r="P29" i="8"/>
  <c r="H24" i="4"/>
  <c r="B21" i="112"/>
  <c r="B38" i="113"/>
  <c r="H22" i="113"/>
  <c r="D21" i="50"/>
  <c r="D25" i="53"/>
  <c r="D29" i="50"/>
  <c r="B21" i="44"/>
  <c r="H20" i="50"/>
  <c r="T20" i="41"/>
  <c r="D5" i="46"/>
  <c r="T24" i="40"/>
  <c r="P29" i="35"/>
  <c r="B21" i="38"/>
  <c r="T16" i="31"/>
  <c r="H13" i="22"/>
  <c r="B16" i="28"/>
  <c r="T20" i="29"/>
  <c r="H22" i="32"/>
  <c r="H34" i="17"/>
  <c r="D34" i="20"/>
  <c r="H24" i="17"/>
  <c r="H29" i="29"/>
  <c r="H16" i="20"/>
  <c r="D29" i="17"/>
  <c r="T34" i="25"/>
  <c r="D22" i="19"/>
  <c r="D33" i="16"/>
  <c r="D12" i="22"/>
  <c r="D22" i="16"/>
  <c r="P25" i="22"/>
  <c r="B21" i="17"/>
  <c r="T25" i="25"/>
  <c r="D15" i="19"/>
  <c r="B25" i="34"/>
  <c r="P29" i="22"/>
  <c r="T34" i="16"/>
  <c r="H33" i="29"/>
  <c r="T16" i="20"/>
  <c r="T24" i="16"/>
  <c r="T24" i="22"/>
  <c r="P22" i="17"/>
  <c r="D12" i="29"/>
  <c r="T15" i="19"/>
  <c r="B22" i="32"/>
  <c r="D34" i="11"/>
  <c r="T15" i="8"/>
  <c r="H16" i="5"/>
  <c r="H13" i="14"/>
  <c r="H16" i="11"/>
  <c r="P21" i="7"/>
  <c r="B13" i="4"/>
  <c r="B39" i="13"/>
  <c r="H16" i="10"/>
  <c r="D20" i="5"/>
  <c r="B13" i="14"/>
  <c r="D21" i="10"/>
  <c r="D5" i="7"/>
  <c r="D5" i="20"/>
  <c r="T33" i="11"/>
  <c r="D29" i="8"/>
  <c r="T34" i="4"/>
  <c r="D20" i="14"/>
  <c r="B16" i="10"/>
  <c r="D29" i="7"/>
  <c r="D12" i="28"/>
  <c r="P34" i="11"/>
  <c r="D24" i="7"/>
  <c r="P29" i="4"/>
  <c r="B16" i="13"/>
  <c r="T21" i="10"/>
  <c r="P22" i="4"/>
  <c r="T22" i="13"/>
  <c r="T33" i="8"/>
  <c r="P21" i="4"/>
  <c r="P33" i="13"/>
  <c r="T22" i="8"/>
  <c r="H25" i="5"/>
  <c r="P22" i="13"/>
  <c r="D12" i="10"/>
  <c r="H13" i="5"/>
  <c r="D4" i="11"/>
  <c r="D34" i="5"/>
  <c r="H29" i="10"/>
  <c r="H21" i="5"/>
  <c r="D34" i="19"/>
  <c r="T25" i="4"/>
  <c r="D20" i="112"/>
  <c r="B25" i="113"/>
  <c r="D22" i="113"/>
  <c r="H15" i="50"/>
  <c r="D13" i="53"/>
  <c r="D25" i="50"/>
  <c r="D20" i="44"/>
  <c r="D25" i="49"/>
  <c r="T16" i="41"/>
  <c r="H29" i="44"/>
  <c r="D34" i="47"/>
  <c r="P25" i="35"/>
  <c r="T24" i="37"/>
  <c r="T13" i="31"/>
  <c r="D4" i="22"/>
  <c r="D15" i="28"/>
  <c r="T16" i="29"/>
  <c r="H21" i="32"/>
  <c r="H33" i="17"/>
  <c r="D33" i="20"/>
  <c r="H22" i="17"/>
  <c r="P16" i="28"/>
  <c r="B13" i="20"/>
  <c r="D25" i="17"/>
  <c r="B16" i="25"/>
  <c r="H20" i="19"/>
  <c r="D29" i="16"/>
  <c r="B21" i="20"/>
  <c r="H20" i="16"/>
  <c r="T15" i="22"/>
  <c r="D20" i="17"/>
  <c r="D15" i="25"/>
  <c r="T12" i="19"/>
  <c r="D25" i="32"/>
  <c r="P34" i="20"/>
  <c r="T33" i="16"/>
  <c r="H25" i="29"/>
  <c r="T13" i="20"/>
  <c r="T22" i="16"/>
  <c r="P21" i="22"/>
  <c r="T20" i="17"/>
  <c r="H12" i="28"/>
  <c r="P13" i="19"/>
  <c r="P21" i="16"/>
  <c r="D33" i="11"/>
  <c r="P13" i="8"/>
  <c r="B13" i="5"/>
  <c r="D4" i="14"/>
  <c r="B13" i="11"/>
  <c r="T15" i="7"/>
  <c r="D5" i="29"/>
  <c r="H24" i="13"/>
  <c r="B13" i="10"/>
  <c r="D16" i="5"/>
  <c r="B38" i="13"/>
  <c r="H15" i="10"/>
  <c r="T34" i="5"/>
  <c r="T15" i="16"/>
  <c r="T29" i="11"/>
  <c r="D25" i="8"/>
  <c r="T33" i="4"/>
  <c r="D16" i="14"/>
  <c r="D15" i="10"/>
  <c r="D25" i="7"/>
  <c r="H12" i="16"/>
  <c r="P33" i="11"/>
  <c r="D22" i="7"/>
  <c r="P25" i="4"/>
  <c r="D15" i="13"/>
  <c r="B21" i="8"/>
  <c r="T20" i="4"/>
  <c r="P12" i="13"/>
  <c r="T29" i="8"/>
  <c r="T15" i="4"/>
  <c r="P29" i="13"/>
  <c r="P12" i="8"/>
  <c r="P15" i="5"/>
  <c r="T20" i="13"/>
  <c r="P34" i="8"/>
  <c r="D4" i="5"/>
  <c r="P33" i="7"/>
  <c r="H33" i="10"/>
  <c r="D29" i="5"/>
  <c r="P24" i="7"/>
  <c r="P25" i="113"/>
  <c r="H21" i="113"/>
  <c r="B38" i="52"/>
  <c r="D21" i="46"/>
  <c r="P34" i="49"/>
  <c r="H20" i="47"/>
  <c r="T21" i="46"/>
  <c r="T16" i="44"/>
  <c r="P15" i="46"/>
  <c r="D21" i="38"/>
  <c r="D12" i="38"/>
  <c r="P25" i="37"/>
  <c r="B38" i="34"/>
  <c r="P16" i="26"/>
  <c r="P16" i="31"/>
  <c r="H22" i="25"/>
  <c r="D24" i="25"/>
  <c r="D33" i="32"/>
  <c r="B21" i="32"/>
  <c r="D29" i="20"/>
  <c r="H13" i="17"/>
  <c r="T34" i="26"/>
  <c r="B38" i="19"/>
  <c r="H21" i="17"/>
  <c r="H33" i="23"/>
  <c r="H16" i="19"/>
  <c r="D25" i="16"/>
  <c r="D20" i="20"/>
  <c r="H16" i="16"/>
  <c r="T34" i="20"/>
  <c r="D16" i="17"/>
  <c r="P20" i="23"/>
  <c r="T34" i="17"/>
  <c r="P12" i="31"/>
  <c r="P33" i="20"/>
  <c r="T29" i="16"/>
  <c r="P20" i="28"/>
  <c r="P34" i="19"/>
  <c r="P12" i="16"/>
  <c r="P21" i="20"/>
  <c r="T16" i="17"/>
  <c r="P24" i="26"/>
  <c r="H12" i="19"/>
  <c r="H34" i="14"/>
  <c r="D29" i="11"/>
  <c r="H12" i="8"/>
  <c r="B38" i="4"/>
  <c r="H34" i="13"/>
  <c r="B38" i="10"/>
  <c r="P13" i="7"/>
  <c r="H34" i="20"/>
  <c r="H22" i="13"/>
  <c r="H34" i="8"/>
  <c r="B22" i="4"/>
  <c r="D34" i="13"/>
  <c r="B39" i="8"/>
  <c r="T33" i="5"/>
  <c r="B22" i="14"/>
  <c r="T25" i="11"/>
  <c r="H21" i="8"/>
  <c r="T29" i="4"/>
  <c r="B22" i="13"/>
  <c r="T12" i="10"/>
  <c r="H21" i="7"/>
  <c r="T34" i="14"/>
  <c r="P29" i="11"/>
  <c r="H20" i="7"/>
  <c r="T21" i="4"/>
  <c r="T12" i="13"/>
  <c r="D20" i="8"/>
  <c r="T16" i="4"/>
  <c r="P21" i="11"/>
  <c r="T25" i="8"/>
  <c r="P13" i="4"/>
  <c r="P25" i="13"/>
  <c r="T34" i="7"/>
  <c r="D5" i="5"/>
  <c r="T16" i="13"/>
  <c r="P33" i="8"/>
  <c r="H34" i="4"/>
  <c r="B38" i="5"/>
  <c r="D33" i="5"/>
  <c r="H12" i="13"/>
  <c r="D21" i="23"/>
  <c r="H25" i="23"/>
  <c r="T21" i="113"/>
  <c r="H13" i="113"/>
  <c r="D34" i="52"/>
  <c r="H15" i="46"/>
  <c r="P33" i="49"/>
  <c r="H16" i="47"/>
  <c r="D20" i="46"/>
  <c r="T13" i="44"/>
  <c r="D33" i="44"/>
  <c r="H15" i="38"/>
  <c r="P21" i="37"/>
  <c r="P24" i="35"/>
  <c r="D34" i="34"/>
  <c r="D12" i="26"/>
  <c r="D22" i="25"/>
  <c r="P29" i="32"/>
  <c r="P16" i="29"/>
  <c r="D25" i="20"/>
  <c r="D4" i="17"/>
  <c r="B16" i="26"/>
  <c r="D13" i="17"/>
  <c r="B13" i="19"/>
  <c r="D16" i="20"/>
  <c r="B13" i="16"/>
  <c r="T33" i="20"/>
  <c r="B22" i="16"/>
  <c r="D22" i="22"/>
  <c r="T33" i="17"/>
  <c r="P20" i="29"/>
  <c r="P29" i="20"/>
  <c r="T25" i="16"/>
  <c r="T12" i="26"/>
  <c r="T15" i="20"/>
  <c r="T13" i="17"/>
  <c r="H34" i="23"/>
  <c r="P21" i="17"/>
  <c r="H33" i="14"/>
  <c r="D25" i="11"/>
  <c r="D34" i="4"/>
  <c r="H12" i="7"/>
  <c r="P15" i="20"/>
  <c r="D21" i="4"/>
  <c r="T29" i="5"/>
  <c r="D13" i="8"/>
  <c r="H16" i="7"/>
  <c r="B16" i="8"/>
  <c r="D13" i="5"/>
  <c r="P24" i="113"/>
  <c r="H29" i="112"/>
  <c r="D22" i="52"/>
  <c r="B22" i="49"/>
  <c r="T16" i="46"/>
  <c r="D29" i="47"/>
  <c r="B38" i="41"/>
  <c r="T33" i="46"/>
  <c r="B13" i="40"/>
  <c r="T25" i="41"/>
  <c r="T29" i="37"/>
  <c r="T16" i="40"/>
  <c r="D21" i="34"/>
  <c r="H33" i="22"/>
  <c r="B39" i="26"/>
  <c r="H22" i="31"/>
  <c r="B21" i="22"/>
  <c r="T12" i="31"/>
  <c r="T16" i="26"/>
  <c r="H21" i="20"/>
  <c r="H34" i="16"/>
  <c r="D16" i="25"/>
  <c r="D33" i="19"/>
  <c r="B39" i="16"/>
  <c r="T16" i="23"/>
  <c r="B25" i="17"/>
  <c r="D13" i="16"/>
  <c r="B22" i="19"/>
  <c r="T22" i="31"/>
  <c r="T29" i="20"/>
  <c r="D21" i="16"/>
  <c r="T24" i="20"/>
  <c r="T29" i="17"/>
  <c r="P13" i="28"/>
  <c r="P25" i="20"/>
  <c r="B16" i="16"/>
  <c r="D20" i="25"/>
  <c r="P29" i="19"/>
  <c r="D33" i="29"/>
  <c r="P13" i="20"/>
  <c r="P34" i="16"/>
  <c r="P29" i="23"/>
  <c r="T15" i="17"/>
  <c r="H29" i="14"/>
  <c r="H21" i="11"/>
  <c r="P22" i="7"/>
  <c r="D33" i="4"/>
  <c r="H29" i="13"/>
  <c r="D33" i="10"/>
  <c r="B22" i="5"/>
  <c r="D12" i="17"/>
  <c r="D4" i="13"/>
  <c r="H29" i="8"/>
  <c r="H15" i="4"/>
  <c r="D29" i="13"/>
  <c r="H22" i="8"/>
  <c r="T25" i="5"/>
  <c r="H15" i="14"/>
  <c r="D15" i="11"/>
  <c r="B39" i="7"/>
  <c r="B16" i="4"/>
  <c r="H15" i="13"/>
  <c r="D24" i="8"/>
  <c r="P34" i="5"/>
  <c r="T29" i="14"/>
  <c r="T21" i="11"/>
  <c r="B13" i="7"/>
  <c r="H25" i="20"/>
  <c r="P22" i="11"/>
  <c r="B22" i="7"/>
  <c r="T21" i="23"/>
  <c r="P13" i="11"/>
  <c r="D15" i="8"/>
  <c r="T29" i="26"/>
  <c r="P20" i="11"/>
  <c r="T29" i="7"/>
  <c r="P16" i="4"/>
  <c r="H34" i="11"/>
  <c r="P25" i="8"/>
  <c r="H29" i="4"/>
  <c r="P24" i="8"/>
  <c r="T15" i="13"/>
  <c r="H25" i="10"/>
  <c r="P34" i="38"/>
  <c r="H24" i="16"/>
  <c r="D15" i="16"/>
  <c r="D13" i="4"/>
  <c r="P20" i="7"/>
  <c r="D16" i="10"/>
  <c r="T12" i="14"/>
  <c r="P29" i="14"/>
  <c r="T15" i="14"/>
  <c r="B39" i="11"/>
  <c r="H24" i="26"/>
  <c r="D29" i="10"/>
  <c r="P24" i="5"/>
  <c r="H33" i="7"/>
  <c r="P16" i="14"/>
  <c r="D29" i="19"/>
  <c r="D12" i="19"/>
  <c r="T21" i="7"/>
  <c r="P22" i="113"/>
  <c r="D4" i="34"/>
  <c r="P20" i="22"/>
  <c r="P25" i="23"/>
  <c r="H25" i="13"/>
  <c r="H33" i="20"/>
  <c r="H24" i="7"/>
  <c r="T24" i="10"/>
  <c r="H12" i="11"/>
  <c r="H33" i="11"/>
  <c r="P21" i="28"/>
  <c r="D25" i="13"/>
  <c r="T12" i="8"/>
  <c r="B22" i="23"/>
  <c r="H25" i="112"/>
  <c r="H29" i="22"/>
  <c r="D24" i="17"/>
  <c r="P25" i="19"/>
  <c r="B25" i="11"/>
  <c r="D24" i="14"/>
  <c r="D4" i="7"/>
  <c r="B22" i="8"/>
  <c r="T20" i="10"/>
  <c r="P15" i="11"/>
  <c r="D25" i="29"/>
  <c r="D15" i="4"/>
  <c r="T21" i="8"/>
  <c r="B39" i="29"/>
  <c r="P25" i="7"/>
  <c r="H20" i="52"/>
  <c r="T25" i="20"/>
  <c r="T20" i="26"/>
  <c r="D21" i="49"/>
  <c r="H13" i="31"/>
  <c r="D21" i="19"/>
  <c r="H12" i="20"/>
  <c r="D13" i="10"/>
  <c r="B21" i="11"/>
  <c r="H29" i="20"/>
  <c r="T16" i="5"/>
  <c r="D16" i="7"/>
  <c r="P12" i="7"/>
  <c r="T15" i="5"/>
  <c r="T13" i="46"/>
  <c r="D20" i="22"/>
  <c r="H34" i="29"/>
  <c r="P33" i="16"/>
  <c r="D21" i="5"/>
  <c r="H13" i="8"/>
  <c r="T24" i="11"/>
  <c r="T24" i="14"/>
  <c r="P20" i="17"/>
  <c r="H25" i="4"/>
  <c r="T20" i="14"/>
  <c r="T21" i="20"/>
  <c r="H25" i="8"/>
  <c r="T12" i="11"/>
  <c r="T25" i="14"/>
  <c r="D12" i="4"/>
  <c r="T24" i="47"/>
  <c r="D24" i="4"/>
  <c r="T34" i="10"/>
  <c r="T34" i="13"/>
  <c r="B25" i="10"/>
  <c r="D34" i="41"/>
  <c r="P29" i="25"/>
  <c r="H15" i="16"/>
  <c r="P13" i="17"/>
  <c r="B38" i="14"/>
  <c r="B16" i="5"/>
  <c r="D22" i="8"/>
  <c r="T20" i="11"/>
  <c r="P16" i="11"/>
  <c r="H22" i="4"/>
  <c r="P29" i="46"/>
  <c r="D13" i="20"/>
  <c r="T22" i="20"/>
  <c r="H25" i="14"/>
  <c r="D29" i="14"/>
  <c r="B21" i="4"/>
  <c r="B13" i="8"/>
  <c r="P34" i="10"/>
  <c r="T15" i="10"/>
  <c r="H34" i="10"/>
  <c r="H22" i="50"/>
  <c r="H33" i="16"/>
  <c r="T25" i="17"/>
  <c r="D13" i="11"/>
  <c r="B22" i="11"/>
  <c r="B25" i="13"/>
  <c r="P33" i="5"/>
  <c r="D21" i="7"/>
  <c r="T25" i="7"/>
  <c r="H24" i="11"/>
  <c r="D4" i="41"/>
  <c r="P24" i="23"/>
  <c r="T20" i="7"/>
  <c r="H20" i="13"/>
  <c r="T21" i="5"/>
  <c r="T12" i="7"/>
  <c r="D29" i="4"/>
  <c r="P24" i="37"/>
  <c r="L57" i="77" l="1"/>
  <c r="X39" i="33"/>
  <c r="Z24" i="93"/>
  <c r="N19" i="100"/>
  <c r="N18" i="92"/>
  <c r="L32" i="42"/>
  <c r="N32" i="42" s="1"/>
  <c r="X18" i="64"/>
  <c r="Z18" i="64" s="1"/>
  <c r="T95" i="88"/>
  <c r="L25" i="105"/>
  <c r="N25" i="105" s="1"/>
  <c r="X19" i="110"/>
  <c r="Z19" i="110" s="1"/>
  <c r="L18" i="60"/>
  <c r="N18" i="60" s="1"/>
  <c r="X24" i="88"/>
  <c r="Z25" i="105"/>
  <c r="N159" i="12"/>
  <c r="Z24" i="88"/>
  <c r="N25" i="104"/>
  <c r="N19" i="48"/>
  <c r="X18" i="55"/>
  <c r="Z24" i="81"/>
  <c r="T85" i="95"/>
  <c r="H91" i="108"/>
  <c r="L24" i="80"/>
  <c r="N24" i="80" s="1"/>
  <c r="H123" i="85"/>
  <c r="L25" i="108"/>
  <c r="L58" i="27"/>
  <c r="N58" i="27" s="1"/>
  <c r="N25" i="108"/>
  <c r="L31" i="21"/>
  <c r="V25" i="104"/>
  <c r="L18" i="109"/>
  <c r="N18" i="61"/>
  <c r="H82" i="93"/>
  <c r="H86" i="93" s="1"/>
  <c r="H89" i="93" s="1"/>
  <c r="Z58" i="27"/>
  <c r="N26" i="79"/>
  <c r="L39" i="33"/>
  <c r="N39" i="33" s="1"/>
  <c r="X18" i="57"/>
  <c r="X18" i="61"/>
  <c r="H91" i="74"/>
  <c r="H95" i="74" s="1"/>
  <c r="D80" i="80"/>
  <c r="N24" i="93"/>
  <c r="Z19" i="100"/>
  <c r="X18" i="109"/>
  <c r="Z18" i="109" s="1"/>
  <c r="N21" i="5"/>
  <c r="X20" i="14"/>
  <c r="Z13" i="8"/>
  <c r="N13" i="4"/>
  <c r="L25" i="5"/>
  <c r="Z21" i="7"/>
  <c r="N25" i="10"/>
  <c r="Z16" i="8"/>
  <c r="J36" i="13"/>
  <c r="J34" i="13"/>
  <c r="J33" i="13"/>
  <c r="J31" i="13"/>
  <c r="J29" i="13"/>
  <c r="J27" i="13"/>
  <c r="J25" i="13"/>
  <c r="J24" i="13"/>
  <c r="J22" i="13"/>
  <c r="J21" i="13"/>
  <c r="J20" i="13"/>
  <c r="J18" i="13"/>
  <c r="J16" i="13"/>
  <c r="H18" i="13"/>
  <c r="J15" i="13"/>
  <c r="N12" i="13"/>
  <c r="L29" i="5"/>
  <c r="N29" i="10"/>
  <c r="N22" i="11"/>
  <c r="X13" i="13"/>
  <c r="X25" i="7"/>
  <c r="Z20" i="8"/>
  <c r="N24" i="11"/>
  <c r="Z15" i="13"/>
  <c r="L13" i="5"/>
  <c r="L33" i="5"/>
  <c r="N33" i="10"/>
  <c r="L34" i="5"/>
  <c r="X29" i="7"/>
  <c r="X22" i="8"/>
  <c r="X15" i="10"/>
  <c r="N34" i="10"/>
  <c r="F36" i="14"/>
  <c r="F34" i="14"/>
  <c r="F33" i="14"/>
  <c r="F31" i="14"/>
  <c r="F29" i="14"/>
  <c r="F27" i="14"/>
  <c r="F25" i="14"/>
  <c r="F24" i="14"/>
  <c r="F22" i="14"/>
  <c r="F21" i="14"/>
  <c r="F20" i="14"/>
  <c r="F18" i="14"/>
  <c r="F16" i="14"/>
  <c r="D18" i="14"/>
  <c r="F15" i="14"/>
  <c r="L12" i="14"/>
  <c r="X16" i="17"/>
  <c r="N22" i="4"/>
  <c r="X24" i="8"/>
  <c r="N24" i="4"/>
  <c r="X33" i="7"/>
  <c r="X21" i="13"/>
  <c r="X34" i="7"/>
  <c r="N13" i="11"/>
  <c r="X16" i="14"/>
  <c r="X15" i="4"/>
  <c r="N25" i="4"/>
  <c r="N29" i="4"/>
  <c r="N33" i="4"/>
  <c r="N34" i="4"/>
  <c r="N13" i="5"/>
  <c r="N22" i="5"/>
  <c r="N24" i="5"/>
  <c r="R21" i="7"/>
  <c r="R20" i="7"/>
  <c r="R18" i="7"/>
  <c r="R16" i="7"/>
  <c r="P18" i="7"/>
  <c r="R15" i="7"/>
  <c r="X12" i="7"/>
  <c r="R36" i="7"/>
  <c r="R34" i="7"/>
  <c r="R33" i="7"/>
  <c r="R31" i="7"/>
  <c r="R29" i="7"/>
  <c r="R27" i="7"/>
  <c r="R25" i="7"/>
  <c r="R24" i="7"/>
  <c r="R22" i="7"/>
  <c r="Z22" i="7"/>
  <c r="Z24" i="7"/>
  <c r="Z21" i="8"/>
  <c r="X25" i="8"/>
  <c r="X29" i="8"/>
  <c r="X33" i="8"/>
  <c r="X34" i="8"/>
  <c r="F36" i="10"/>
  <c r="F34" i="10"/>
  <c r="F33" i="10"/>
  <c r="F31" i="10"/>
  <c r="F29" i="10"/>
  <c r="F27" i="10"/>
  <c r="F25" i="10"/>
  <c r="F24" i="10"/>
  <c r="F22" i="10"/>
  <c r="F21" i="10"/>
  <c r="F20" i="10"/>
  <c r="F18" i="10"/>
  <c r="F16" i="10"/>
  <c r="D18" i="10"/>
  <c r="F15" i="10"/>
  <c r="L12" i="10"/>
  <c r="X16" i="10"/>
  <c r="X20" i="10"/>
  <c r="X15" i="11"/>
  <c r="N25" i="11"/>
  <c r="N29" i="11"/>
  <c r="N33" i="11"/>
  <c r="N34" i="11"/>
  <c r="Z13" i="13"/>
  <c r="Z16" i="13"/>
  <c r="Z20" i="13"/>
  <c r="X22" i="13"/>
  <c r="X24" i="13"/>
  <c r="J24" i="14"/>
  <c r="J22" i="14"/>
  <c r="J21" i="14"/>
  <c r="J20" i="14"/>
  <c r="J18" i="14"/>
  <c r="J16" i="14"/>
  <c r="H18" i="14"/>
  <c r="J15" i="14"/>
  <c r="N12" i="14"/>
  <c r="J36" i="14"/>
  <c r="J34" i="14"/>
  <c r="J33" i="14"/>
  <c r="J31" i="14"/>
  <c r="J29" i="14"/>
  <c r="J27" i="14"/>
  <c r="J25" i="14"/>
  <c r="X13" i="14"/>
  <c r="Z15" i="14"/>
  <c r="X21" i="14"/>
  <c r="N15" i="23"/>
  <c r="F24" i="4"/>
  <c r="F22" i="4"/>
  <c r="F21" i="4"/>
  <c r="F20" i="4"/>
  <c r="F18" i="4"/>
  <c r="F16" i="4"/>
  <c r="D18" i="4"/>
  <c r="F15" i="4"/>
  <c r="L12" i="4"/>
  <c r="F25" i="4"/>
  <c r="F27" i="4"/>
  <c r="F36" i="4"/>
  <c r="F34" i="4"/>
  <c r="F33" i="4"/>
  <c r="F31" i="4"/>
  <c r="F29" i="4"/>
  <c r="X16" i="4"/>
  <c r="X20" i="4"/>
  <c r="X15" i="5"/>
  <c r="N25" i="5"/>
  <c r="N29" i="5"/>
  <c r="N33" i="5"/>
  <c r="N34" i="5"/>
  <c r="T18" i="7"/>
  <c r="V15" i="7"/>
  <c r="Z12" i="7"/>
  <c r="V36" i="7"/>
  <c r="V34" i="7"/>
  <c r="V33" i="7"/>
  <c r="V31" i="7"/>
  <c r="V29" i="7"/>
  <c r="V27" i="7"/>
  <c r="V25" i="7"/>
  <c r="V24" i="7"/>
  <c r="V22" i="7"/>
  <c r="V21" i="7"/>
  <c r="V16" i="7"/>
  <c r="V20" i="7"/>
  <c r="V18" i="7"/>
  <c r="L15" i="7"/>
  <c r="Z25" i="7"/>
  <c r="Z29" i="7"/>
  <c r="Z33" i="7"/>
  <c r="Z34" i="7"/>
  <c r="R20" i="8"/>
  <c r="R18" i="8"/>
  <c r="R16" i="8"/>
  <c r="P18" i="8"/>
  <c r="R15" i="8"/>
  <c r="X12" i="8"/>
  <c r="R36" i="8"/>
  <c r="R34" i="8"/>
  <c r="R33" i="8"/>
  <c r="R31" i="8"/>
  <c r="R29" i="8"/>
  <c r="R27" i="8"/>
  <c r="R25" i="8"/>
  <c r="R24" i="8"/>
  <c r="R22" i="8"/>
  <c r="R21" i="8"/>
  <c r="Z22" i="8"/>
  <c r="Z24" i="8"/>
  <c r="J21" i="10"/>
  <c r="J20" i="10"/>
  <c r="J18" i="10"/>
  <c r="J16" i="10"/>
  <c r="H18" i="10"/>
  <c r="J15" i="10"/>
  <c r="N12" i="10"/>
  <c r="J36" i="10"/>
  <c r="J34" i="10"/>
  <c r="J33" i="10"/>
  <c r="J31" i="10"/>
  <c r="J29" i="10"/>
  <c r="J27" i="10"/>
  <c r="J25" i="10"/>
  <c r="J24" i="10"/>
  <c r="J22" i="10"/>
  <c r="X13" i="10"/>
  <c r="Z15" i="10"/>
  <c r="X21" i="10"/>
  <c r="F24" i="11"/>
  <c r="F22" i="11"/>
  <c r="F21" i="11"/>
  <c r="F20" i="11"/>
  <c r="F18" i="11"/>
  <c r="F16" i="11"/>
  <c r="D18" i="11"/>
  <c r="F15" i="11"/>
  <c r="L12" i="11"/>
  <c r="F33" i="11"/>
  <c r="F31" i="11"/>
  <c r="F34" i="11"/>
  <c r="F29" i="11"/>
  <c r="F27" i="11"/>
  <c r="F25" i="11"/>
  <c r="F36" i="11"/>
  <c r="X16" i="11"/>
  <c r="X20" i="11"/>
  <c r="Z21" i="13"/>
  <c r="X25" i="13"/>
  <c r="X29" i="13"/>
  <c r="X33" i="13"/>
  <c r="X34" i="13"/>
  <c r="Z13" i="14"/>
  <c r="Z16" i="14"/>
  <c r="Z20" i="14"/>
  <c r="X22" i="14"/>
  <c r="X24" i="14"/>
  <c r="X20" i="17"/>
  <c r="Z29" i="26"/>
  <c r="J20" i="4"/>
  <c r="J18" i="4"/>
  <c r="J16" i="4"/>
  <c r="H18" i="4"/>
  <c r="J15" i="4"/>
  <c r="N12" i="4"/>
  <c r="J36" i="4"/>
  <c r="J34" i="4"/>
  <c r="J33" i="4"/>
  <c r="J31" i="4"/>
  <c r="J29" i="4"/>
  <c r="J27" i="4"/>
  <c r="J25" i="4"/>
  <c r="J24" i="4"/>
  <c r="J22" i="4"/>
  <c r="J21" i="4"/>
  <c r="X13" i="4"/>
  <c r="Z15" i="4"/>
  <c r="X21" i="4"/>
  <c r="F21" i="5"/>
  <c r="F20" i="5"/>
  <c r="F18" i="5"/>
  <c r="F16" i="5"/>
  <c r="D18" i="5"/>
  <c r="F15" i="5"/>
  <c r="L12" i="5"/>
  <c r="F36" i="5"/>
  <c r="F34" i="5"/>
  <c r="F33" i="5"/>
  <c r="F31" i="5"/>
  <c r="F29" i="5"/>
  <c r="F27" i="5"/>
  <c r="F25" i="5"/>
  <c r="F24" i="5"/>
  <c r="F22" i="5"/>
  <c r="X16" i="5"/>
  <c r="X20" i="5"/>
  <c r="L16" i="7"/>
  <c r="L20" i="7"/>
  <c r="Z12" i="8"/>
  <c r="V36" i="8"/>
  <c r="V34" i="8"/>
  <c r="V33" i="8"/>
  <c r="V31" i="8"/>
  <c r="V29" i="8"/>
  <c r="V27" i="8"/>
  <c r="V25" i="8"/>
  <c r="V24" i="8"/>
  <c r="V22" i="8"/>
  <c r="V21" i="8"/>
  <c r="V20" i="8"/>
  <c r="V18" i="8"/>
  <c r="V16" i="8"/>
  <c r="T18" i="8"/>
  <c r="V15" i="8"/>
  <c r="L15" i="8"/>
  <c r="Z25" i="8"/>
  <c r="Z29" i="8"/>
  <c r="Z33" i="8"/>
  <c r="Z34" i="8"/>
  <c r="Z13" i="10"/>
  <c r="Z16" i="10"/>
  <c r="Z20" i="10"/>
  <c r="X22" i="10"/>
  <c r="X24" i="10"/>
  <c r="J20" i="11"/>
  <c r="J18" i="11"/>
  <c r="J16" i="11"/>
  <c r="H18" i="11"/>
  <c r="J15" i="11"/>
  <c r="N12" i="11"/>
  <c r="J36" i="11"/>
  <c r="J34" i="11"/>
  <c r="J33" i="11"/>
  <c r="J31" i="11"/>
  <c r="J29" i="11"/>
  <c r="J27" i="11"/>
  <c r="J25" i="11"/>
  <c r="J24" i="11"/>
  <c r="J22" i="11"/>
  <c r="J21" i="11"/>
  <c r="X13" i="11"/>
  <c r="Z15" i="11"/>
  <c r="X21" i="11"/>
  <c r="P18" i="13"/>
  <c r="R15" i="13"/>
  <c r="X12" i="13"/>
  <c r="R36" i="13"/>
  <c r="R34" i="13"/>
  <c r="R33" i="13"/>
  <c r="R31" i="13"/>
  <c r="R29" i="13"/>
  <c r="R27" i="13"/>
  <c r="R25" i="13"/>
  <c r="R24" i="13"/>
  <c r="R22" i="13"/>
  <c r="R21" i="13"/>
  <c r="R20" i="13"/>
  <c r="R18" i="13"/>
  <c r="R16" i="13"/>
  <c r="Z22" i="13"/>
  <c r="Z24" i="13"/>
  <c r="Z21" i="14"/>
  <c r="X25" i="14"/>
  <c r="X29" i="14"/>
  <c r="X33" i="14"/>
  <c r="X34" i="14"/>
  <c r="F36" i="19"/>
  <c r="F34" i="19"/>
  <c r="F33" i="19"/>
  <c r="F31" i="19"/>
  <c r="F29" i="19"/>
  <c r="F27" i="19"/>
  <c r="F25" i="19"/>
  <c r="F24" i="19"/>
  <c r="F22" i="19"/>
  <c r="F21" i="19"/>
  <c r="F20" i="19"/>
  <c r="F18" i="19"/>
  <c r="F16" i="19"/>
  <c r="D18" i="19"/>
  <c r="F15" i="19"/>
  <c r="L12" i="19"/>
  <c r="Z21" i="23"/>
  <c r="Z13" i="4"/>
  <c r="Z16" i="4"/>
  <c r="Z20" i="4"/>
  <c r="X22" i="4"/>
  <c r="X24" i="4"/>
  <c r="H18" i="5"/>
  <c r="J15" i="5"/>
  <c r="N12" i="5"/>
  <c r="J36" i="5"/>
  <c r="J34" i="5"/>
  <c r="J33" i="5"/>
  <c r="J31" i="5"/>
  <c r="J29" i="5"/>
  <c r="J27" i="5"/>
  <c r="J25" i="5"/>
  <c r="J24" i="5"/>
  <c r="J22" i="5"/>
  <c r="J21" i="5"/>
  <c r="J20" i="5"/>
  <c r="J18" i="5"/>
  <c r="J16" i="5"/>
  <c r="X13" i="5"/>
  <c r="Z15" i="5"/>
  <c r="X21" i="5"/>
  <c r="N15" i="7"/>
  <c r="L21" i="7"/>
  <c r="L16" i="8"/>
  <c r="L20" i="8"/>
  <c r="Z21" i="10"/>
  <c r="X25" i="10"/>
  <c r="X29" i="10"/>
  <c r="X33" i="10"/>
  <c r="X34" i="10"/>
  <c r="Z13" i="11"/>
  <c r="Z16" i="11"/>
  <c r="Z20" i="11"/>
  <c r="X22" i="11"/>
  <c r="X24" i="11"/>
  <c r="Z12" i="13"/>
  <c r="V36" i="13"/>
  <c r="V34" i="13"/>
  <c r="V33" i="13"/>
  <c r="V31" i="13"/>
  <c r="V29" i="13"/>
  <c r="V27" i="13"/>
  <c r="V25" i="13"/>
  <c r="V24" i="13"/>
  <c r="V22" i="13"/>
  <c r="V21" i="13"/>
  <c r="V20" i="13"/>
  <c r="V18" i="13"/>
  <c r="V16" i="13"/>
  <c r="T18" i="13"/>
  <c r="V15" i="13"/>
  <c r="L15" i="13"/>
  <c r="Z25" i="13"/>
  <c r="Z29" i="13"/>
  <c r="Z33" i="13"/>
  <c r="Z34" i="13"/>
  <c r="X12" i="14"/>
  <c r="R36" i="14"/>
  <c r="R34" i="14"/>
  <c r="R33" i="14"/>
  <c r="R31" i="14"/>
  <c r="R29" i="14"/>
  <c r="R27" i="14"/>
  <c r="R25" i="14"/>
  <c r="R24" i="14"/>
  <c r="R22" i="14"/>
  <c r="R21" i="14"/>
  <c r="R20" i="14"/>
  <c r="R18" i="14"/>
  <c r="R16" i="14"/>
  <c r="R15" i="14"/>
  <c r="P18" i="14"/>
  <c r="Z22" i="14"/>
  <c r="Z24" i="14"/>
  <c r="N25" i="20"/>
  <c r="N25" i="23"/>
  <c r="Z21" i="4"/>
  <c r="X25" i="4"/>
  <c r="X29" i="4"/>
  <c r="X33" i="4"/>
  <c r="X34" i="4"/>
  <c r="Z13" i="5"/>
  <c r="Z16" i="5"/>
  <c r="Z20" i="5"/>
  <c r="X22" i="5"/>
  <c r="X24" i="5"/>
  <c r="N16" i="7"/>
  <c r="N20" i="7"/>
  <c r="L22" i="7"/>
  <c r="L24" i="7"/>
  <c r="N15" i="8"/>
  <c r="L21" i="8"/>
  <c r="X12" i="10"/>
  <c r="R36" i="10"/>
  <c r="R34" i="10"/>
  <c r="R33" i="10"/>
  <c r="R31" i="10"/>
  <c r="R29" i="10"/>
  <c r="R27" i="10"/>
  <c r="R25" i="10"/>
  <c r="R24" i="10"/>
  <c r="R22" i="10"/>
  <c r="R21" i="10"/>
  <c r="R20" i="10"/>
  <c r="R18" i="10"/>
  <c r="R16" i="10"/>
  <c r="P18" i="10"/>
  <c r="R15" i="10"/>
  <c r="Z22" i="10"/>
  <c r="Z24" i="10"/>
  <c r="Z21" i="11"/>
  <c r="X25" i="11"/>
  <c r="X29" i="11"/>
  <c r="X33" i="11"/>
  <c r="X34" i="11"/>
  <c r="L16" i="13"/>
  <c r="L20" i="13"/>
  <c r="Z12" i="14"/>
  <c r="V36" i="14"/>
  <c r="V34" i="14"/>
  <c r="V33" i="14"/>
  <c r="V31" i="14"/>
  <c r="V29" i="14"/>
  <c r="V27" i="14"/>
  <c r="V25" i="14"/>
  <c r="V24" i="14"/>
  <c r="V22" i="14"/>
  <c r="V21" i="14"/>
  <c r="V20" i="14"/>
  <c r="V18" i="14"/>
  <c r="V16" i="14"/>
  <c r="T18" i="14"/>
  <c r="V15" i="14"/>
  <c r="L15" i="14"/>
  <c r="Z25" i="14"/>
  <c r="Z29" i="14"/>
  <c r="Z33" i="14"/>
  <c r="Z34" i="14"/>
  <c r="J36" i="16"/>
  <c r="J34" i="16"/>
  <c r="J33" i="16"/>
  <c r="J31" i="16"/>
  <c r="J29" i="16"/>
  <c r="J27" i="16"/>
  <c r="J25" i="16"/>
  <c r="J24" i="16"/>
  <c r="J22" i="16"/>
  <c r="J21" i="16"/>
  <c r="J20" i="16"/>
  <c r="J18" i="16"/>
  <c r="J16" i="16"/>
  <c r="H18" i="16"/>
  <c r="J15" i="16"/>
  <c r="N12" i="16"/>
  <c r="F24" i="28"/>
  <c r="F22" i="28"/>
  <c r="F21" i="28"/>
  <c r="F20" i="28"/>
  <c r="F18" i="28"/>
  <c r="F16" i="28"/>
  <c r="D18" i="28"/>
  <c r="F15" i="28"/>
  <c r="L12" i="28"/>
  <c r="F31" i="28"/>
  <c r="F36" i="28"/>
  <c r="F29" i="28"/>
  <c r="F34" i="28"/>
  <c r="F27" i="28"/>
  <c r="F33" i="28"/>
  <c r="F25" i="28"/>
  <c r="X12" i="4"/>
  <c r="R36" i="4"/>
  <c r="R34" i="4"/>
  <c r="R33" i="4"/>
  <c r="R31" i="4"/>
  <c r="R29" i="4"/>
  <c r="R27" i="4"/>
  <c r="R25" i="4"/>
  <c r="R24" i="4"/>
  <c r="R22" i="4"/>
  <c r="R21" i="4"/>
  <c r="R20" i="4"/>
  <c r="R18" i="4"/>
  <c r="R16" i="4"/>
  <c r="P18" i="4"/>
  <c r="R15" i="4"/>
  <c r="Z22" i="4"/>
  <c r="Z24" i="4"/>
  <c r="Z21" i="5"/>
  <c r="X25" i="5"/>
  <c r="X29" i="5"/>
  <c r="X33" i="5"/>
  <c r="X34" i="5"/>
  <c r="L13" i="7"/>
  <c r="N21" i="7"/>
  <c r="L25" i="7"/>
  <c r="L29" i="7"/>
  <c r="L33" i="7"/>
  <c r="L34" i="7"/>
  <c r="N16" i="8"/>
  <c r="N20" i="8"/>
  <c r="L22" i="8"/>
  <c r="L24" i="8"/>
  <c r="Z12" i="10"/>
  <c r="V36" i="10"/>
  <c r="V34" i="10"/>
  <c r="V33" i="10"/>
  <c r="V31" i="10"/>
  <c r="V29" i="10"/>
  <c r="V27" i="10"/>
  <c r="V25" i="10"/>
  <c r="V24" i="10"/>
  <c r="V22" i="10"/>
  <c r="V21" i="10"/>
  <c r="V20" i="10"/>
  <c r="V18" i="10"/>
  <c r="V16" i="10"/>
  <c r="T18" i="10"/>
  <c r="V15" i="10"/>
  <c r="L15" i="10"/>
  <c r="Z25" i="10"/>
  <c r="Z29" i="10"/>
  <c r="Z33" i="10"/>
  <c r="Z34" i="10"/>
  <c r="X12" i="11"/>
  <c r="R36" i="11"/>
  <c r="R34" i="11"/>
  <c r="R33" i="11"/>
  <c r="R31" i="11"/>
  <c r="R29" i="11"/>
  <c r="R27" i="11"/>
  <c r="R25" i="11"/>
  <c r="R24" i="11"/>
  <c r="R22" i="11"/>
  <c r="R21" i="11"/>
  <c r="R20" i="11"/>
  <c r="R18" i="11"/>
  <c r="R16" i="11"/>
  <c r="P18" i="11"/>
  <c r="R15" i="11"/>
  <c r="Z22" i="11"/>
  <c r="Z24" i="11"/>
  <c r="N15" i="13"/>
  <c r="L21" i="13"/>
  <c r="L16" i="14"/>
  <c r="L20" i="14"/>
  <c r="X13" i="16"/>
  <c r="X16" i="19"/>
  <c r="N29" i="20"/>
  <c r="N16" i="34"/>
  <c r="Z12" i="4"/>
  <c r="V36" i="4"/>
  <c r="V34" i="4"/>
  <c r="V33" i="4"/>
  <c r="V31" i="4"/>
  <c r="V29" i="4"/>
  <c r="V27" i="4"/>
  <c r="V25" i="4"/>
  <c r="V24" i="4"/>
  <c r="V22" i="4"/>
  <c r="V21" i="4"/>
  <c r="V20" i="4"/>
  <c r="V18" i="4"/>
  <c r="V16" i="4"/>
  <c r="T18" i="4"/>
  <c r="V15" i="4"/>
  <c r="L15" i="4"/>
  <c r="Z25" i="4"/>
  <c r="Z29" i="4"/>
  <c r="Z33" i="4"/>
  <c r="Z34" i="4"/>
  <c r="X12" i="5"/>
  <c r="R36" i="5"/>
  <c r="R34" i="5"/>
  <c r="R33" i="5"/>
  <c r="R31" i="5"/>
  <c r="R29" i="5"/>
  <c r="R27" i="5"/>
  <c r="R25" i="5"/>
  <c r="R24" i="5"/>
  <c r="R22" i="5"/>
  <c r="R21" i="5"/>
  <c r="R20" i="5"/>
  <c r="R18" i="5"/>
  <c r="R16" i="5"/>
  <c r="P18" i="5"/>
  <c r="R15" i="5"/>
  <c r="Z22" i="5"/>
  <c r="Z24" i="5"/>
  <c r="N13" i="7"/>
  <c r="N22" i="7"/>
  <c r="N24" i="7"/>
  <c r="L13" i="8"/>
  <c r="N21" i="8"/>
  <c r="L25" i="8"/>
  <c r="L29" i="8"/>
  <c r="L33" i="8"/>
  <c r="L34" i="8"/>
  <c r="L16" i="10"/>
  <c r="L20" i="10"/>
  <c r="Z12" i="11"/>
  <c r="V36" i="11"/>
  <c r="V34" i="11"/>
  <c r="V33" i="11"/>
  <c r="V31" i="11"/>
  <c r="V29" i="11"/>
  <c r="V27" i="11"/>
  <c r="V25" i="11"/>
  <c r="V24" i="11"/>
  <c r="V22" i="11"/>
  <c r="V21" i="11"/>
  <c r="V20" i="11"/>
  <c r="V18" i="11"/>
  <c r="V16" i="11"/>
  <c r="T18" i="11"/>
  <c r="V15" i="11"/>
  <c r="L15" i="11"/>
  <c r="Z25" i="11"/>
  <c r="Z29" i="11"/>
  <c r="Z33" i="11"/>
  <c r="Z34" i="11"/>
  <c r="N16" i="13"/>
  <c r="N20" i="13"/>
  <c r="L22" i="13"/>
  <c r="L24" i="13"/>
  <c r="N15" i="14"/>
  <c r="L21" i="14"/>
  <c r="Z15" i="16"/>
  <c r="L16" i="4"/>
  <c r="L20" i="4"/>
  <c r="Z12" i="5"/>
  <c r="V36" i="5"/>
  <c r="V34" i="5"/>
  <c r="V33" i="5"/>
  <c r="V31" i="5"/>
  <c r="V29" i="5"/>
  <c r="V27" i="5"/>
  <c r="V25" i="5"/>
  <c r="V24" i="5"/>
  <c r="V22" i="5"/>
  <c r="V21" i="5"/>
  <c r="V20" i="5"/>
  <c r="V18" i="5"/>
  <c r="V16" i="5"/>
  <c r="T18" i="5"/>
  <c r="V15" i="5"/>
  <c r="L15" i="5"/>
  <c r="Z25" i="5"/>
  <c r="Z29" i="5"/>
  <c r="Z33" i="5"/>
  <c r="Z34" i="5"/>
  <c r="X15" i="7"/>
  <c r="N25" i="7"/>
  <c r="N29" i="7"/>
  <c r="N33" i="7"/>
  <c r="N34" i="7"/>
  <c r="N13" i="8"/>
  <c r="N22" i="8"/>
  <c r="N24" i="8"/>
  <c r="N15" i="10"/>
  <c r="L21" i="10"/>
  <c r="L16" i="11"/>
  <c r="L20" i="11"/>
  <c r="L13" i="13"/>
  <c r="N21" i="13"/>
  <c r="L25" i="13"/>
  <c r="L29" i="13"/>
  <c r="L33" i="13"/>
  <c r="L34" i="13"/>
  <c r="N16" i="14"/>
  <c r="N20" i="14"/>
  <c r="L22" i="14"/>
  <c r="L24" i="14"/>
  <c r="X20" i="19"/>
  <c r="N33" i="20"/>
  <c r="N15" i="4"/>
  <c r="L21" i="4"/>
  <c r="L16" i="5"/>
  <c r="L20" i="5"/>
  <c r="L12" i="7"/>
  <c r="F36" i="7"/>
  <c r="F34" i="7"/>
  <c r="F33" i="7"/>
  <c r="F31" i="7"/>
  <c r="F29" i="7"/>
  <c r="F27" i="7"/>
  <c r="F25" i="7"/>
  <c r="F24" i="7"/>
  <c r="F22" i="7"/>
  <c r="F21" i="7"/>
  <c r="F20" i="7"/>
  <c r="F18" i="7"/>
  <c r="F16" i="7"/>
  <c r="D18" i="7"/>
  <c r="F15" i="7"/>
  <c r="X16" i="7"/>
  <c r="X20" i="7"/>
  <c r="X15" i="8"/>
  <c r="N25" i="8"/>
  <c r="N29" i="8"/>
  <c r="N33" i="8"/>
  <c r="N34" i="8"/>
  <c r="N16" i="10"/>
  <c r="N20" i="10"/>
  <c r="L22" i="10"/>
  <c r="L24" i="10"/>
  <c r="N15" i="11"/>
  <c r="L21" i="11"/>
  <c r="N13" i="13"/>
  <c r="N22" i="13"/>
  <c r="N24" i="13"/>
  <c r="L13" i="14"/>
  <c r="N21" i="14"/>
  <c r="L25" i="14"/>
  <c r="L29" i="14"/>
  <c r="L33" i="14"/>
  <c r="L34" i="14"/>
  <c r="F36" i="17"/>
  <c r="F34" i="17"/>
  <c r="F33" i="17"/>
  <c r="F31" i="17"/>
  <c r="F29" i="17"/>
  <c r="F27" i="17"/>
  <c r="F25" i="17"/>
  <c r="F24" i="17"/>
  <c r="F22" i="17"/>
  <c r="F21" i="17"/>
  <c r="F20" i="17"/>
  <c r="F18" i="17"/>
  <c r="F16" i="17"/>
  <c r="D18" i="17"/>
  <c r="F15" i="17"/>
  <c r="L12" i="17"/>
  <c r="X15" i="20"/>
  <c r="N34" i="20"/>
  <c r="N16" i="4"/>
  <c r="N20" i="4"/>
  <c r="L22" i="4"/>
  <c r="L24" i="4"/>
  <c r="N15" i="5"/>
  <c r="L21" i="5"/>
  <c r="J36" i="7"/>
  <c r="J34" i="7"/>
  <c r="J33" i="7"/>
  <c r="J31" i="7"/>
  <c r="J29" i="7"/>
  <c r="J27" i="7"/>
  <c r="J25" i="7"/>
  <c r="J24" i="7"/>
  <c r="J22" i="7"/>
  <c r="J21" i="7"/>
  <c r="J20" i="7"/>
  <c r="J18" i="7"/>
  <c r="J16" i="7"/>
  <c r="H18" i="7"/>
  <c r="J15" i="7"/>
  <c r="N12" i="7"/>
  <c r="X13" i="7"/>
  <c r="Z15" i="7"/>
  <c r="X21" i="7"/>
  <c r="F36" i="8"/>
  <c r="F34" i="8"/>
  <c r="F33" i="8"/>
  <c r="F31" i="8"/>
  <c r="F29" i="8"/>
  <c r="F27" i="8"/>
  <c r="F25" i="8"/>
  <c r="F24" i="8"/>
  <c r="F22" i="8"/>
  <c r="F21" i="8"/>
  <c r="F20" i="8"/>
  <c r="F18" i="8"/>
  <c r="F16" i="8"/>
  <c r="D18" i="8"/>
  <c r="F15" i="8"/>
  <c r="L12" i="8"/>
  <c r="X16" i="8"/>
  <c r="X20" i="8"/>
  <c r="L13" i="10"/>
  <c r="N21" i="10"/>
  <c r="L25" i="10"/>
  <c r="L29" i="10"/>
  <c r="L33" i="10"/>
  <c r="L34" i="10"/>
  <c r="N16" i="11"/>
  <c r="N20" i="11"/>
  <c r="L22" i="11"/>
  <c r="L24" i="11"/>
  <c r="X15" i="13"/>
  <c r="N25" i="13"/>
  <c r="N29" i="13"/>
  <c r="N33" i="13"/>
  <c r="N34" i="13"/>
  <c r="N13" i="14"/>
  <c r="N22" i="14"/>
  <c r="N24" i="14"/>
  <c r="L13" i="4"/>
  <c r="N21" i="4"/>
  <c r="L25" i="4"/>
  <c r="L29" i="4"/>
  <c r="L33" i="4"/>
  <c r="L34" i="4"/>
  <c r="N16" i="5"/>
  <c r="N20" i="5"/>
  <c r="L22" i="5"/>
  <c r="L24" i="5"/>
  <c r="Z13" i="7"/>
  <c r="Z16" i="7"/>
  <c r="Z20" i="7"/>
  <c r="X22" i="7"/>
  <c r="X24" i="7"/>
  <c r="J36" i="8"/>
  <c r="J34" i="8"/>
  <c r="J33" i="8"/>
  <c r="J31" i="8"/>
  <c r="J29" i="8"/>
  <c r="J27" i="8"/>
  <c r="J25" i="8"/>
  <c r="J24" i="8"/>
  <c r="J22" i="8"/>
  <c r="J21" i="8"/>
  <c r="J20" i="8"/>
  <c r="J18" i="8"/>
  <c r="J16" i="8"/>
  <c r="H18" i="8"/>
  <c r="J15" i="8"/>
  <c r="N12" i="8"/>
  <c r="X13" i="8"/>
  <c r="Z15" i="8"/>
  <c r="X21" i="8"/>
  <c r="N13" i="10"/>
  <c r="N22" i="10"/>
  <c r="N24" i="10"/>
  <c r="L13" i="11"/>
  <c r="N21" i="11"/>
  <c r="L25" i="11"/>
  <c r="L29" i="11"/>
  <c r="L33" i="11"/>
  <c r="L34" i="11"/>
  <c r="F36" i="13"/>
  <c r="F34" i="13"/>
  <c r="F33" i="13"/>
  <c r="F31" i="13"/>
  <c r="F29" i="13"/>
  <c r="F27" i="13"/>
  <c r="F25" i="13"/>
  <c r="F24" i="13"/>
  <c r="F22" i="13"/>
  <c r="F21" i="13"/>
  <c r="F20" i="13"/>
  <c r="F18" i="13"/>
  <c r="F16" i="13"/>
  <c r="D18" i="13"/>
  <c r="F15" i="13"/>
  <c r="L12" i="13"/>
  <c r="X16" i="13"/>
  <c r="X20" i="13"/>
  <c r="X15" i="14"/>
  <c r="N25" i="14"/>
  <c r="N29" i="14"/>
  <c r="N33" i="14"/>
  <c r="N34" i="14"/>
  <c r="X21" i="16"/>
  <c r="Z13" i="16"/>
  <c r="Z16" i="16"/>
  <c r="Z20" i="16"/>
  <c r="X22" i="16"/>
  <c r="X24" i="16"/>
  <c r="J24" i="17"/>
  <c r="J22" i="17"/>
  <c r="J21" i="17"/>
  <c r="J20" i="17"/>
  <c r="J18" i="17"/>
  <c r="J16" i="17"/>
  <c r="H18" i="17"/>
  <c r="J15" i="17"/>
  <c r="N12" i="17"/>
  <c r="J34" i="17"/>
  <c r="J33" i="17"/>
  <c r="J31" i="17"/>
  <c r="J29" i="17"/>
  <c r="J27" i="17"/>
  <c r="J25" i="17"/>
  <c r="J36" i="17"/>
  <c r="X13" i="17"/>
  <c r="Z15" i="17"/>
  <c r="X21" i="17"/>
  <c r="J24" i="19"/>
  <c r="J22" i="19"/>
  <c r="J21" i="19"/>
  <c r="J20" i="19"/>
  <c r="J18" i="19"/>
  <c r="J16" i="19"/>
  <c r="H18" i="19"/>
  <c r="J15" i="19"/>
  <c r="N12" i="19"/>
  <c r="J36" i="19"/>
  <c r="J34" i="19"/>
  <c r="J33" i="19"/>
  <c r="J31" i="19"/>
  <c r="J29" i="19"/>
  <c r="J27" i="19"/>
  <c r="J25" i="19"/>
  <c r="X13" i="19"/>
  <c r="Z15" i="19"/>
  <c r="X21" i="19"/>
  <c r="F36" i="20"/>
  <c r="F34" i="20"/>
  <c r="F33" i="20"/>
  <c r="F31" i="20"/>
  <c r="F29" i="20"/>
  <c r="F27" i="20"/>
  <c r="F25" i="20"/>
  <c r="F24" i="20"/>
  <c r="F22" i="20"/>
  <c r="F21" i="20"/>
  <c r="F20" i="20"/>
  <c r="F18" i="20"/>
  <c r="F16" i="20"/>
  <c r="D18" i="20"/>
  <c r="F15" i="20"/>
  <c r="L12" i="20"/>
  <c r="X16" i="20"/>
  <c r="X20" i="20"/>
  <c r="X13" i="22"/>
  <c r="X15" i="23"/>
  <c r="X29" i="23"/>
  <c r="N34" i="23"/>
  <c r="X24" i="26"/>
  <c r="J20" i="28"/>
  <c r="J18" i="28"/>
  <c r="J16" i="28"/>
  <c r="H18" i="28"/>
  <c r="J15" i="28"/>
  <c r="N12" i="28"/>
  <c r="J24" i="28"/>
  <c r="J22" i="28"/>
  <c r="J36" i="28"/>
  <c r="J29" i="28"/>
  <c r="J34" i="28"/>
  <c r="J27" i="28"/>
  <c r="J21" i="28"/>
  <c r="J33" i="28"/>
  <c r="J25" i="28"/>
  <c r="J31" i="28"/>
  <c r="F21" i="29"/>
  <c r="F20" i="29"/>
  <c r="F18" i="29"/>
  <c r="F16" i="29"/>
  <c r="D18" i="29"/>
  <c r="F15" i="29"/>
  <c r="L12" i="29"/>
  <c r="F36" i="29"/>
  <c r="F34" i="29"/>
  <c r="F33" i="29"/>
  <c r="F31" i="29"/>
  <c r="F29" i="29"/>
  <c r="F27" i="29"/>
  <c r="F25" i="29"/>
  <c r="F24" i="29"/>
  <c r="F22" i="29"/>
  <c r="L20" i="31"/>
  <c r="V21" i="32"/>
  <c r="V36" i="32"/>
  <c r="V31" i="32"/>
  <c r="V18" i="32"/>
  <c r="V15" i="32"/>
  <c r="V20" i="32"/>
  <c r="T18" i="32"/>
  <c r="V22" i="32"/>
  <c r="V25" i="32"/>
  <c r="V24" i="32"/>
  <c r="V33" i="32"/>
  <c r="V27" i="32"/>
  <c r="Z12" i="32"/>
  <c r="V34" i="32"/>
  <c r="V29" i="32"/>
  <c r="V16" i="32"/>
  <c r="Z34" i="32"/>
  <c r="Z21" i="16"/>
  <c r="X25" i="16"/>
  <c r="X29" i="16"/>
  <c r="X33" i="16"/>
  <c r="X34" i="16"/>
  <c r="Z13" i="17"/>
  <c r="Z16" i="17"/>
  <c r="Z20" i="17"/>
  <c r="X22" i="17"/>
  <c r="X24" i="17"/>
  <c r="Z13" i="19"/>
  <c r="Z16" i="19"/>
  <c r="Z20" i="19"/>
  <c r="X22" i="19"/>
  <c r="X24" i="19"/>
  <c r="J21" i="20"/>
  <c r="J20" i="20"/>
  <c r="J18" i="20"/>
  <c r="J16" i="20"/>
  <c r="H18" i="20"/>
  <c r="J15" i="20"/>
  <c r="N12" i="20"/>
  <c r="J36" i="20"/>
  <c r="J34" i="20"/>
  <c r="J33" i="20"/>
  <c r="J31" i="20"/>
  <c r="J29" i="20"/>
  <c r="J27" i="20"/>
  <c r="J25" i="20"/>
  <c r="J24" i="20"/>
  <c r="J22" i="20"/>
  <c r="X13" i="20"/>
  <c r="Z15" i="20"/>
  <c r="X21" i="20"/>
  <c r="X21" i="22"/>
  <c r="Z24" i="22"/>
  <c r="X33" i="22"/>
  <c r="T18" i="25"/>
  <c r="V15" i="25"/>
  <c r="Z12" i="25"/>
  <c r="V21" i="25"/>
  <c r="V22" i="25"/>
  <c r="V16" i="25"/>
  <c r="V34" i="25"/>
  <c r="V27" i="25"/>
  <c r="V33" i="25"/>
  <c r="V25" i="25"/>
  <c r="V20" i="25"/>
  <c r="V31" i="25"/>
  <c r="V24" i="25"/>
  <c r="V18" i="25"/>
  <c r="V36" i="25"/>
  <c r="V29" i="25"/>
  <c r="R20" i="26"/>
  <c r="R18" i="26"/>
  <c r="R16" i="26"/>
  <c r="P18" i="26"/>
  <c r="R15" i="26"/>
  <c r="X12" i="26"/>
  <c r="R24" i="26"/>
  <c r="R22" i="26"/>
  <c r="R36" i="26"/>
  <c r="R29" i="26"/>
  <c r="R34" i="26"/>
  <c r="R27" i="26"/>
  <c r="R21" i="26"/>
  <c r="R33" i="26"/>
  <c r="R25" i="26"/>
  <c r="R31" i="26"/>
  <c r="Z24" i="26"/>
  <c r="N13" i="28"/>
  <c r="L13" i="29"/>
  <c r="L25" i="29"/>
  <c r="L33" i="29"/>
  <c r="L24" i="32"/>
  <c r="P18" i="16"/>
  <c r="R15" i="16"/>
  <c r="X12" i="16"/>
  <c r="R36" i="16"/>
  <c r="R34" i="16"/>
  <c r="R33" i="16"/>
  <c r="R31" i="16"/>
  <c r="R29" i="16"/>
  <c r="R27" i="16"/>
  <c r="R25" i="16"/>
  <c r="R24" i="16"/>
  <c r="R22" i="16"/>
  <c r="R21" i="16"/>
  <c r="R20" i="16"/>
  <c r="R18" i="16"/>
  <c r="R16" i="16"/>
  <c r="Z22" i="16"/>
  <c r="Z24" i="16"/>
  <c r="Z21" i="17"/>
  <c r="X25" i="17"/>
  <c r="X29" i="17"/>
  <c r="X33" i="17"/>
  <c r="X34" i="17"/>
  <c r="Z21" i="19"/>
  <c r="X25" i="19"/>
  <c r="X29" i="19"/>
  <c r="X33" i="19"/>
  <c r="X34" i="19"/>
  <c r="Z13" i="20"/>
  <c r="Z16" i="20"/>
  <c r="Z20" i="20"/>
  <c r="X22" i="20"/>
  <c r="X24" i="20"/>
  <c r="Z21" i="22"/>
  <c r="X25" i="23"/>
  <c r="L20" i="25"/>
  <c r="Z12" i="26"/>
  <c r="V36" i="26"/>
  <c r="V34" i="26"/>
  <c r="V33" i="26"/>
  <c r="V31" i="26"/>
  <c r="V29" i="26"/>
  <c r="V27" i="26"/>
  <c r="V25" i="26"/>
  <c r="V20" i="26"/>
  <c r="V18" i="26"/>
  <c r="V16" i="26"/>
  <c r="V21" i="26"/>
  <c r="V15" i="26"/>
  <c r="V24" i="26"/>
  <c r="T18" i="26"/>
  <c r="V22" i="26"/>
  <c r="X20" i="28"/>
  <c r="N25" i="29"/>
  <c r="N33" i="29"/>
  <c r="L15" i="32"/>
  <c r="N24" i="32"/>
  <c r="N24" i="35"/>
  <c r="Z12" i="16"/>
  <c r="V36" i="16"/>
  <c r="V34" i="16"/>
  <c r="V33" i="16"/>
  <c r="V31" i="16"/>
  <c r="V29" i="16"/>
  <c r="V27" i="16"/>
  <c r="V25" i="16"/>
  <c r="V24" i="16"/>
  <c r="V22" i="16"/>
  <c r="V21" i="16"/>
  <c r="V20" i="16"/>
  <c r="V18" i="16"/>
  <c r="V16" i="16"/>
  <c r="T18" i="16"/>
  <c r="V15" i="16"/>
  <c r="L15" i="16"/>
  <c r="Z25" i="16"/>
  <c r="Z29" i="16"/>
  <c r="Z33" i="16"/>
  <c r="Z34" i="16"/>
  <c r="X12" i="17"/>
  <c r="R36" i="17"/>
  <c r="R34" i="17"/>
  <c r="R33" i="17"/>
  <c r="R31" i="17"/>
  <c r="R29" i="17"/>
  <c r="R27" i="17"/>
  <c r="R25" i="17"/>
  <c r="R24" i="17"/>
  <c r="R22" i="17"/>
  <c r="R21" i="17"/>
  <c r="R20" i="17"/>
  <c r="R18" i="17"/>
  <c r="R16" i="17"/>
  <c r="R15" i="17"/>
  <c r="P18" i="17"/>
  <c r="Z22" i="17"/>
  <c r="Z24" i="17"/>
  <c r="X12" i="19"/>
  <c r="R36" i="19"/>
  <c r="R34" i="19"/>
  <c r="R33" i="19"/>
  <c r="R31" i="19"/>
  <c r="R29" i="19"/>
  <c r="R27" i="19"/>
  <c r="R25" i="19"/>
  <c r="R24" i="19"/>
  <c r="R22" i="19"/>
  <c r="R21" i="19"/>
  <c r="R20" i="19"/>
  <c r="R18" i="19"/>
  <c r="R16" i="19"/>
  <c r="P18" i="19"/>
  <c r="R15" i="19"/>
  <c r="Z22" i="19"/>
  <c r="Z24" i="19"/>
  <c r="Z21" i="20"/>
  <c r="X25" i="20"/>
  <c r="X29" i="20"/>
  <c r="X33" i="20"/>
  <c r="X34" i="20"/>
  <c r="X29" i="22"/>
  <c r="F36" i="23"/>
  <c r="F34" i="23"/>
  <c r="F33" i="23"/>
  <c r="F31" i="23"/>
  <c r="F29" i="23"/>
  <c r="F27" i="23"/>
  <c r="F25" i="23"/>
  <c r="F24" i="23"/>
  <c r="F22" i="23"/>
  <c r="F21" i="23"/>
  <c r="D18" i="23"/>
  <c r="F15" i="23"/>
  <c r="F18" i="23"/>
  <c r="F16" i="23"/>
  <c r="L12" i="23"/>
  <c r="F20" i="23"/>
  <c r="X22" i="23"/>
  <c r="X34" i="23"/>
  <c r="X25" i="25"/>
  <c r="X33" i="25"/>
  <c r="Z13" i="26"/>
  <c r="Z20" i="26"/>
  <c r="X13" i="28"/>
  <c r="X20" i="29"/>
  <c r="R24" i="31"/>
  <c r="R22" i="31"/>
  <c r="R21" i="31"/>
  <c r="R20" i="31"/>
  <c r="R18" i="31"/>
  <c r="R16" i="31"/>
  <c r="P18" i="31"/>
  <c r="R15" i="31"/>
  <c r="R36" i="31"/>
  <c r="R25" i="31"/>
  <c r="R34" i="31"/>
  <c r="R33" i="31"/>
  <c r="X12" i="31"/>
  <c r="R31" i="31"/>
  <c r="R29" i="31"/>
  <c r="R27" i="31"/>
  <c r="L25" i="32"/>
  <c r="L16" i="16"/>
  <c r="L20" i="16"/>
  <c r="Z12" i="17"/>
  <c r="V36" i="17"/>
  <c r="V34" i="17"/>
  <c r="V33" i="17"/>
  <c r="V31" i="17"/>
  <c r="V29" i="17"/>
  <c r="V27" i="17"/>
  <c r="V25" i="17"/>
  <c r="V24" i="17"/>
  <c r="V22" i="17"/>
  <c r="V21" i="17"/>
  <c r="V20" i="17"/>
  <c r="V18" i="17"/>
  <c r="V16" i="17"/>
  <c r="T18" i="17"/>
  <c r="V15" i="17"/>
  <c r="L15" i="17"/>
  <c r="Z25" i="17"/>
  <c r="Z29" i="17"/>
  <c r="Z33" i="17"/>
  <c r="Z34" i="17"/>
  <c r="Z12" i="19"/>
  <c r="V36" i="19"/>
  <c r="V34" i="19"/>
  <c r="V33" i="19"/>
  <c r="V31" i="19"/>
  <c r="V29" i="19"/>
  <c r="V27" i="19"/>
  <c r="V25" i="19"/>
  <c r="V24" i="19"/>
  <c r="V22" i="19"/>
  <c r="V21" i="19"/>
  <c r="V20" i="19"/>
  <c r="V18" i="19"/>
  <c r="V16" i="19"/>
  <c r="T18" i="19"/>
  <c r="V15" i="19"/>
  <c r="L15" i="19"/>
  <c r="Z25" i="19"/>
  <c r="Z29" i="19"/>
  <c r="Z33" i="19"/>
  <c r="Z34" i="19"/>
  <c r="X12" i="20"/>
  <c r="R36" i="20"/>
  <c r="R34" i="20"/>
  <c r="R33" i="20"/>
  <c r="R31" i="20"/>
  <c r="R29" i="20"/>
  <c r="R27" i="20"/>
  <c r="R25" i="20"/>
  <c r="R24" i="20"/>
  <c r="R22" i="20"/>
  <c r="R21" i="20"/>
  <c r="R20" i="20"/>
  <c r="R18" i="20"/>
  <c r="R16" i="20"/>
  <c r="P18" i="20"/>
  <c r="R15" i="20"/>
  <c r="Z22" i="20"/>
  <c r="Z24" i="20"/>
  <c r="L22" i="22"/>
  <c r="X20" i="23"/>
  <c r="L15" i="25"/>
  <c r="Z25" i="25"/>
  <c r="Z33" i="25"/>
  <c r="N21" i="29"/>
  <c r="L34" i="29"/>
  <c r="N25" i="32"/>
  <c r="N25" i="34"/>
  <c r="N15" i="16"/>
  <c r="L21" i="16"/>
  <c r="L16" i="17"/>
  <c r="L20" i="17"/>
  <c r="L16" i="19"/>
  <c r="L20" i="19"/>
  <c r="Z12" i="20"/>
  <c r="V36" i="20"/>
  <c r="V34" i="20"/>
  <c r="V33" i="20"/>
  <c r="V31" i="20"/>
  <c r="V29" i="20"/>
  <c r="V27" i="20"/>
  <c r="V25" i="20"/>
  <c r="V24" i="20"/>
  <c r="V22" i="20"/>
  <c r="V21" i="20"/>
  <c r="V20" i="20"/>
  <c r="V18" i="20"/>
  <c r="V16" i="20"/>
  <c r="T18" i="20"/>
  <c r="V15" i="20"/>
  <c r="L15" i="20"/>
  <c r="Z25" i="20"/>
  <c r="Z29" i="20"/>
  <c r="Z33" i="20"/>
  <c r="Z34" i="20"/>
  <c r="Z15" i="22"/>
  <c r="X25" i="22"/>
  <c r="Z20" i="23"/>
  <c r="L15" i="26"/>
  <c r="Z25" i="26"/>
  <c r="Z33" i="26"/>
  <c r="X15" i="29"/>
  <c r="N34" i="29"/>
  <c r="Z22" i="31"/>
  <c r="N16" i="16"/>
  <c r="N20" i="16"/>
  <c r="L22" i="16"/>
  <c r="L24" i="16"/>
  <c r="N15" i="17"/>
  <c r="L21" i="17"/>
  <c r="N15" i="19"/>
  <c r="L21" i="19"/>
  <c r="L16" i="20"/>
  <c r="L20" i="20"/>
  <c r="F36" i="22"/>
  <c r="F34" i="22"/>
  <c r="F33" i="22"/>
  <c r="F31" i="22"/>
  <c r="F29" i="22"/>
  <c r="F27" i="22"/>
  <c r="F25" i="22"/>
  <c r="F24" i="22"/>
  <c r="F22" i="22"/>
  <c r="F20" i="22"/>
  <c r="F18" i="22"/>
  <c r="F16" i="22"/>
  <c r="D18" i="22"/>
  <c r="F15" i="22"/>
  <c r="L12" i="22"/>
  <c r="F21" i="22"/>
  <c r="N20" i="22"/>
  <c r="X34" i="22"/>
  <c r="X16" i="23"/>
  <c r="Z21" i="25"/>
  <c r="X34" i="25"/>
  <c r="Z15" i="28"/>
  <c r="X21" i="28"/>
  <c r="L13" i="16"/>
  <c r="N21" i="16"/>
  <c r="L25" i="16"/>
  <c r="L29" i="16"/>
  <c r="L33" i="16"/>
  <c r="L34" i="16"/>
  <c r="N16" i="17"/>
  <c r="N20" i="17"/>
  <c r="L22" i="17"/>
  <c r="L24" i="17"/>
  <c r="N16" i="19"/>
  <c r="N20" i="19"/>
  <c r="L22" i="19"/>
  <c r="L24" i="19"/>
  <c r="N15" i="20"/>
  <c r="L21" i="20"/>
  <c r="J24" i="22"/>
  <c r="J22" i="22"/>
  <c r="J21" i="22"/>
  <c r="J20" i="22"/>
  <c r="J18" i="22"/>
  <c r="J16" i="22"/>
  <c r="J36" i="22"/>
  <c r="J27" i="22"/>
  <c r="N12" i="22"/>
  <c r="J31" i="22"/>
  <c r="J34" i="22"/>
  <c r="J25" i="22"/>
  <c r="J15" i="22"/>
  <c r="J29" i="22"/>
  <c r="H18" i="22"/>
  <c r="J33" i="22"/>
  <c r="X20" i="22"/>
  <c r="Z16" i="23"/>
  <c r="L21" i="23"/>
  <c r="N33" i="23"/>
  <c r="Z34" i="25"/>
  <c r="N22" i="28"/>
  <c r="L29" i="29"/>
  <c r="Z24" i="31"/>
  <c r="N13" i="16"/>
  <c r="N22" i="16"/>
  <c r="N24" i="16"/>
  <c r="L13" i="17"/>
  <c r="N21" i="17"/>
  <c r="L25" i="17"/>
  <c r="L29" i="17"/>
  <c r="L33" i="17"/>
  <c r="L34" i="17"/>
  <c r="L13" i="19"/>
  <c r="N21" i="19"/>
  <c r="L25" i="19"/>
  <c r="L29" i="19"/>
  <c r="L33" i="19"/>
  <c r="L34" i="19"/>
  <c r="N16" i="20"/>
  <c r="N20" i="20"/>
  <c r="L22" i="20"/>
  <c r="L24" i="20"/>
  <c r="N16" i="22"/>
  <c r="Z22" i="22"/>
  <c r="X24" i="23"/>
  <c r="L16" i="25"/>
  <c r="Z34" i="26"/>
  <c r="X16" i="28"/>
  <c r="N29" i="29"/>
  <c r="L16" i="31"/>
  <c r="Z29" i="32"/>
  <c r="X15" i="16"/>
  <c r="N25" i="16"/>
  <c r="N29" i="16"/>
  <c r="N33" i="16"/>
  <c r="N34" i="16"/>
  <c r="N13" i="17"/>
  <c r="N22" i="17"/>
  <c r="N24" i="17"/>
  <c r="N13" i="19"/>
  <c r="N22" i="19"/>
  <c r="N24" i="19"/>
  <c r="L13" i="20"/>
  <c r="N21" i="20"/>
  <c r="L25" i="20"/>
  <c r="L29" i="20"/>
  <c r="L33" i="20"/>
  <c r="L34" i="20"/>
  <c r="X12" i="22"/>
  <c r="R21" i="22"/>
  <c r="R16" i="22"/>
  <c r="R31" i="22"/>
  <c r="R20" i="22"/>
  <c r="R34" i="22"/>
  <c r="R22" i="22"/>
  <c r="R25" i="22"/>
  <c r="R29" i="22"/>
  <c r="R15" i="22"/>
  <c r="R18" i="22"/>
  <c r="R33" i="22"/>
  <c r="P18" i="22"/>
  <c r="R36" i="22"/>
  <c r="R24" i="22"/>
  <c r="R27" i="22"/>
  <c r="X16" i="22"/>
  <c r="L24" i="22"/>
  <c r="Z13" i="23"/>
  <c r="N29" i="23"/>
  <c r="X29" i="25"/>
  <c r="Z16" i="26"/>
  <c r="X22" i="26"/>
  <c r="X16" i="29"/>
  <c r="N15" i="35"/>
  <c r="X29" i="38"/>
  <c r="F36" i="16"/>
  <c r="F34" i="16"/>
  <c r="F33" i="16"/>
  <c r="F31" i="16"/>
  <c r="F29" i="16"/>
  <c r="F27" i="16"/>
  <c r="F25" i="16"/>
  <c r="F24" i="16"/>
  <c r="F22" i="16"/>
  <c r="F21" i="16"/>
  <c r="F20" i="16"/>
  <c r="F18" i="16"/>
  <c r="F16" i="16"/>
  <c r="D18" i="16"/>
  <c r="F15" i="16"/>
  <c r="L12" i="16"/>
  <c r="X16" i="16"/>
  <c r="X20" i="16"/>
  <c r="X15" i="17"/>
  <c r="N25" i="17"/>
  <c r="N29" i="17"/>
  <c r="N33" i="17"/>
  <c r="N34" i="17"/>
  <c r="X15" i="19"/>
  <c r="N25" i="19"/>
  <c r="N29" i="19"/>
  <c r="N33" i="19"/>
  <c r="N34" i="19"/>
  <c r="N13" i="20"/>
  <c r="N22" i="20"/>
  <c r="N24" i="20"/>
  <c r="X33" i="23"/>
  <c r="Z29" i="25"/>
  <c r="Z22" i="26"/>
  <c r="N24" i="28"/>
  <c r="Z13" i="22"/>
  <c r="Z16" i="22"/>
  <c r="Z20" i="22"/>
  <c r="X22" i="22"/>
  <c r="X24" i="22"/>
  <c r="J21" i="23"/>
  <c r="J20" i="23"/>
  <c r="J18" i="23"/>
  <c r="J16" i="23"/>
  <c r="H18" i="23"/>
  <c r="J15" i="23"/>
  <c r="J29" i="23"/>
  <c r="J33" i="23"/>
  <c r="J36" i="23"/>
  <c r="J24" i="23"/>
  <c r="J27" i="23"/>
  <c r="N12" i="23"/>
  <c r="J31" i="23"/>
  <c r="J34" i="23"/>
  <c r="J22" i="23"/>
  <c r="J25" i="23"/>
  <c r="X13" i="23"/>
  <c r="Z15" i="23"/>
  <c r="X21" i="23"/>
  <c r="R21" i="25"/>
  <c r="R20" i="25"/>
  <c r="R18" i="25"/>
  <c r="R16" i="25"/>
  <c r="P18" i="25"/>
  <c r="R15" i="25"/>
  <c r="R36" i="25"/>
  <c r="R34" i="25"/>
  <c r="R33" i="25"/>
  <c r="R31" i="25"/>
  <c r="R29" i="25"/>
  <c r="R27" i="25"/>
  <c r="R25" i="25"/>
  <c r="R22" i="25"/>
  <c r="X12" i="25"/>
  <c r="R24" i="25"/>
  <c r="Z22" i="25"/>
  <c r="Z24" i="25"/>
  <c r="Z21" i="26"/>
  <c r="X25" i="26"/>
  <c r="X29" i="26"/>
  <c r="X33" i="26"/>
  <c r="X34" i="26"/>
  <c r="X15" i="28"/>
  <c r="N25" i="28"/>
  <c r="N29" i="28"/>
  <c r="N33" i="28"/>
  <c r="N34" i="28"/>
  <c r="N13" i="29"/>
  <c r="N22" i="29"/>
  <c r="N24" i="29"/>
  <c r="V20" i="31"/>
  <c r="V18" i="31"/>
  <c r="V16" i="31"/>
  <c r="T18" i="31"/>
  <c r="V15" i="31"/>
  <c r="Z12" i="31"/>
  <c r="V24" i="31"/>
  <c r="V22" i="31"/>
  <c r="V36" i="31"/>
  <c r="V25" i="31"/>
  <c r="V34" i="31"/>
  <c r="V33" i="31"/>
  <c r="V31" i="31"/>
  <c r="V21" i="31"/>
  <c r="V29" i="31"/>
  <c r="V27" i="31"/>
  <c r="L15" i="31"/>
  <c r="Z25" i="31"/>
  <c r="Z29" i="31"/>
  <c r="Z33" i="31"/>
  <c r="Z34" i="31"/>
  <c r="R36" i="32"/>
  <c r="R34" i="32"/>
  <c r="R33" i="32"/>
  <c r="R31" i="32"/>
  <c r="R29" i="32"/>
  <c r="R27" i="32"/>
  <c r="R25" i="32"/>
  <c r="R16" i="32"/>
  <c r="R18" i="32"/>
  <c r="R15" i="32"/>
  <c r="R22" i="32"/>
  <c r="R21" i="32"/>
  <c r="R20" i="32"/>
  <c r="P18" i="32"/>
  <c r="R24" i="32"/>
  <c r="X12" i="32"/>
  <c r="L20" i="32"/>
  <c r="L21" i="32"/>
  <c r="L22" i="32"/>
  <c r="X29" i="32"/>
  <c r="L33" i="32"/>
  <c r="X34" i="32"/>
  <c r="L29" i="35"/>
  <c r="L34" i="35"/>
  <c r="Z20" i="37"/>
  <c r="N15" i="31"/>
  <c r="L21" i="31"/>
  <c r="L16" i="32"/>
  <c r="N20" i="32"/>
  <c r="N21" i="32"/>
  <c r="N22" i="32"/>
  <c r="N33" i="32"/>
  <c r="L16" i="35"/>
  <c r="X33" i="38"/>
  <c r="X20" i="46"/>
  <c r="Z12" i="22"/>
  <c r="V36" i="22"/>
  <c r="V34" i="22"/>
  <c r="V33" i="22"/>
  <c r="V31" i="22"/>
  <c r="V29" i="22"/>
  <c r="V27" i="22"/>
  <c r="V25" i="22"/>
  <c r="V24" i="22"/>
  <c r="V22" i="22"/>
  <c r="T18" i="22"/>
  <c r="V15" i="22"/>
  <c r="V20" i="22"/>
  <c r="V18" i="22"/>
  <c r="V21" i="22"/>
  <c r="V16" i="22"/>
  <c r="L15" i="22"/>
  <c r="Z25" i="22"/>
  <c r="Z29" i="22"/>
  <c r="Z33" i="22"/>
  <c r="Z34" i="22"/>
  <c r="X12" i="23"/>
  <c r="R36" i="23"/>
  <c r="R34" i="23"/>
  <c r="R33" i="23"/>
  <c r="R31" i="23"/>
  <c r="R29" i="23"/>
  <c r="R27" i="23"/>
  <c r="R25" i="23"/>
  <c r="R20" i="23"/>
  <c r="R18" i="23"/>
  <c r="R16" i="23"/>
  <c r="R21" i="23"/>
  <c r="R24" i="23"/>
  <c r="R22" i="23"/>
  <c r="R15" i="23"/>
  <c r="P18" i="23"/>
  <c r="Z22" i="23"/>
  <c r="Z24" i="23"/>
  <c r="N15" i="25"/>
  <c r="L21" i="25"/>
  <c r="L16" i="26"/>
  <c r="L20" i="26"/>
  <c r="Z13" i="28"/>
  <c r="Z16" i="28"/>
  <c r="Z20" i="28"/>
  <c r="X22" i="28"/>
  <c r="X24" i="28"/>
  <c r="H18" i="29"/>
  <c r="J15" i="29"/>
  <c r="N12" i="29"/>
  <c r="J21" i="29"/>
  <c r="J18" i="29"/>
  <c r="J36" i="29"/>
  <c r="J29" i="29"/>
  <c r="J22" i="29"/>
  <c r="J16" i="29"/>
  <c r="J34" i="29"/>
  <c r="J27" i="29"/>
  <c r="J33" i="29"/>
  <c r="J25" i="29"/>
  <c r="J20" i="29"/>
  <c r="J31" i="29"/>
  <c r="J24" i="29"/>
  <c r="X13" i="29"/>
  <c r="Z15" i="29"/>
  <c r="X21" i="29"/>
  <c r="N16" i="31"/>
  <c r="N20" i="31"/>
  <c r="L22" i="31"/>
  <c r="L24" i="31"/>
  <c r="N15" i="32"/>
  <c r="N13" i="34"/>
  <c r="L22" i="34"/>
  <c r="L21" i="35"/>
  <c r="F36" i="37"/>
  <c r="F34" i="37"/>
  <c r="F33" i="37"/>
  <c r="F31" i="37"/>
  <c r="F29" i="37"/>
  <c r="F27" i="37"/>
  <c r="F25" i="37"/>
  <c r="F24" i="37"/>
  <c r="F22" i="37"/>
  <c r="F21" i="37"/>
  <c r="D18" i="37"/>
  <c r="F15" i="37"/>
  <c r="F20" i="37"/>
  <c r="F16" i="37"/>
  <c r="F18" i="37"/>
  <c r="L12" i="37"/>
  <c r="N34" i="37"/>
  <c r="N34" i="49"/>
  <c r="L16" i="22"/>
  <c r="L20" i="22"/>
  <c r="V36" i="23"/>
  <c r="V34" i="23"/>
  <c r="V33" i="23"/>
  <c r="V31" i="23"/>
  <c r="V29" i="23"/>
  <c r="V27" i="23"/>
  <c r="V25" i="23"/>
  <c r="V24" i="23"/>
  <c r="V22" i="23"/>
  <c r="V21" i="23"/>
  <c r="V16" i="23"/>
  <c r="V20" i="23"/>
  <c r="Z12" i="23"/>
  <c r="V15" i="23"/>
  <c r="V18" i="23"/>
  <c r="T18" i="23"/>
  <c r="L15" i="23"/>
  <c r="Z25" i="23"/>
  <c r="Z29" i="23"/>
  <c r="Z33" i="23"/>
  <c r="Z34" i="23"/>
  <c r="N16" i="25"/>
  <c r="N20" i="25"/>
  <c r="L22" i="25"/>
  <c r="L24" i="25"/>
  <c r="N15" i="26"/>
  <c r="L21" i="26"/>
  <c r="Z21" i="28"/>
  <c r="X25" i="28"/>
  <c r="X29" i="28"/>
  <c r="X33" i="28"/>
  <c r="X34" i="28"/>
  <c r="Z13" i="29"/>
  <c r="Z16" i="29"/>
  <c r="Z20" i="29"/>
  <c r="X22" i="29"/>
  <c r="X24" i="29"/>
  <c r="L13" i="31"/>
  <c r="N21" i="31"/>
  <c r="L25" i="31"/>
  <c r="L29" i="31"/>
  <c r="L33" i="31"/>
  <c r="L34" i="31"/>
  <c r="N16" i="32"/>
  <c r="X33" i="32"/>
  <c r="N22" i="34"/>
  <c r="N21" i="35"/>
  <c r="L25" i="35"/>
  <c r="N34" i="38"/>
  <c r="X13" i="40"/>
  <c r="N15" i="22"/>
  <c r="L21" i="22"/>
  <c r="L16" i="23"/>
  <c r="L20" i="23"/>
  <c r="L13" i="25"/>
  <c r="N21" i="25"/>
  <c r="L25" i="25"/>
  <c r="L29" i="25"/>
  <c r="L33" i="25"/>
  <c r="L34" i="25"/>
  <c r="N16" i="26"/>
  <c r="N20" i="26"/>
  <c r="L22" i="26"/>
  <c r="L24" i="26"/>
  <c r="X12" i="28"/>
  <c r="R36" i="28"/>
  <c r="R34" i="28"/>
  <c r="R33" i="28"/>
  <c r="R31" i="28"/>
  <c r="R29" i="28"/>
  <c r="R27" i="28"/>
  <c r="R25" i="28"/>
  <c r="R24" i="28"/>
  <c r="R22" i="28"/>
  <c r="R21" i="28"/>
  <c r="R16" i="28"/>
  <c r="R15" i="28"/>
  <c r="R20" i="28"/>
  <c r="R18" i="28"/>
  <c r="P18" i="28"/>
  <c r="Z22" i="28"/>
  <c r="Z24" i="28"/>
  <c r="Z21" i="29"/>
  <c r="X25" i="29"/>
  <c r="X29" i="29"/>
  <c r="X33" i="29"/>
  <c r="X34" i="29"/>
  <c r="N13" i="31"/>
  <c r="N22" i="31"/>
  <c r="N24" i="31"/>
  <c r="L13" i="32"/>
  <c r="X24" i="32"/>
  <c r="X25" i="32"/>
  <c r="Z33" i="32"/>
  <c r="N33" i="34"/>
  <c r="X15" i="44"/>
  <c r="N13" i="25"/>
  <c r="N22" i="25"/>
  <c r="N24" i="25"/>
  <c r="L13" i="26"/>
  <c r="N21" i="26"/>
  <c r="L25" i="26"/>
  <c r="L29" i="26"/>
  <c r="L33" i="26"/>
  <c r="L34" i="26"/>
  <c r="Z12" i="28"/>
  <c r="V36" i="28"/>
  <c r="V34" i="28"/>
  <c r="V33" i="28"/>
  <c r="V31" i="28"/>
  <c r="V29" i="28"/>
  <c r="V27" i="28"/>
  <c r="V25" i="28"/>
  <c r="V24" i="28"/>
  <c r="V22" i="28"/>
  <c r="V21" i="28"/>
  <c r="V20" i="28"/>
  <c r="V18" i="28"/>
  <c r="V16" i="28"/>
  <c r="T18" i="28"/>
  <c r="V15" i="28"/>
  <c r="L15" i="28"/>
  <c r="Z25" i="28"/>
  <c r="Z29" i="28"/>
  <c r="Z33" i="28"/>
  <c r="Z34" i="28"/>
  <c r="X12" i="29"/>
  <c r="R36" i="29"/>
  <c r="R34" i="29"/>
  <c r="R33" i="29"/>
  <c r="R31" i="29"/>
  <c r="R29" i="29"/>
  <c r="R27" i="29"/>
  <c r="R25" i="29"/>
  <c r="R24" i="29"/>
  <c r="R22" i="29"/>
  <c r="R21" i="29"/>
  <c r="R20" i="29"/>
  <c r="R18" i="29"/>
  <c r="R16" i="29"/>
  <c r="R15" i="29"/>
  <c r="P18" i="29"/>
  <c r="Z22" i="29"/>
  <c r="Z24" i="29"/>
  <c r="X15" i="31"/>
  <c r="N25" i="31"/>
  <c r="N29" i="31"/>
  <c r="N33" i="31"/>
  <c r="N34" i="31"/>
  <c r="N13" i="32"/>
  <c r="X20" i="32"/>
  <c r="X21" i="32"/>
  <c r="X22" i="32"/>
  <c r="Z25" i="32"/>
  <c r="N15" i="34"/>
  <c r="N15" i="37"/>
  <c r="N24" i="38"/>
  <c r="L13" i="22"/>
  <c r="N21" i="22"/>
  <c r="L25" i="22"/>
  <c r="L29" i="22"/>
  <c r="L33" i="22"/>
  <c r="L34" i="22"/>
  <c r="N16" i="23"/>
  <c r="N20" i="23"/>
  <c r="L22" i="23"/>
  <c r="L24" i="23"/>
  <c r="X15" i="25"/>
  <c r="N25" i="25"/>
  <c r="N29" i="25"/>
  <c r="N33" i="25"/>
  <c r="N34" i="25"/>
  <c r="N13" i="26"/>
  <c r="N22" i="26"/>
  <c r="N24" i="26"/>
  <c r="L16" i="28"/>
  <c r="L20" i="28"/>
  <c r="Z12" i="29"/>
  <c r="V36" i="29"/>
  <c r="V34" i="29"/>
  <c r="V33" i="29"/>
  <c r="V31" i="29"/>
  <c r="V29" i="29"/>
  <c r="V27" i="29"/>
  <c r="V25" i="29"/>
  <c r="V24" i="29"/>
  <c r="V22" i="29"/>
  <c r="V21" i="29"/>
  <c r="V20" i="29"/>
  <c r="V18" i="29"/>
  <c r="V16" i="29"/>
  <c r="T18" i="29"/>
  <c r="V15" i="29"/>
  <c r="L15" i="29"/>
  <c r="Z25" i="29"/>
  <c r="Z29" i="29"/>
  <c r="Z33" i="29"/>
  <c r="Z34" i="29"/>
  <c r="L12" i="31"/>
  <c r="F36" i="31"/>
  <c r="F34" i="31"/>
  <c r="F33" i="31"/>
  <c r="F31" i="31"/>
  <c r="F29" i="31"/>
  <c r="F27" i="31"/>
  <c r="F25" i="31"/>
  <c r="F24" i="31"/>
  <c r="F22" i="31"/>
  <c r="F21" i="31"/>
  <c r="F20" i="31"/>
  <c r="F18" i="31"/>
  <c r="F16" i="31"/>
  <c r="D18" i="31"/>
  <c r="F15" i="31"/>
  <c r="X16" i="31"/>
  <c r="X20" i="31"/>
  <c r="X15" i="32"/>
  <c r="N20" i="34"/>
  <c r="L24" i="34"/>
  <c r="X15" i="37"/>
  <c r="N20" i="40"/>
  <c r="L24" i="41"/>
  <c r="N13" i="22"/>
  <c r="N22" i="22"/>
  <c r="N24" i="22"/>
  <c r="L13" i="23"/>
  <c r="N21" i="23"/>
  <c r="L25" i="23"/>
  <c r="L29" i="23"/>
  <c r="L33" i="23"/>
  <c r="L34" i="23"/>
  <c r="L12" i="25"/>
  <c r="F36" i="25"/>
  <c r="F34" i="25"/>
  <c r="F33" i="25"/>
  <c r="F31" i="25"/>
  <c r="F29" i="25"/>
  <c r="F27" i="25"/>
  <c r="F25" i="25"/>
  <c r="F24" i="25"/>
  <c r="F22" i="25"/>
  <c r="F21" i="25"/>
  <c r="F20" i="25"/>
  <c r="F18" i="25"/>
  <c r="F16" i="25"/>
  <c r="F15" i="25"/>
  <c r="D18" i="25"/>
  <c r="X16" i="25"/>
  <c r="X20" i="25"/>
  <c r="X15" i="26"/>
  <c r="N25" i="26"/>
  <c r="N29" i="26"/>
  <c r="N33" i="26"/>
  <c r="N34" i="26"/>
  <c r="N15" i="28"/>
  <c r="L21" i="28"/>
  <c r="L16" i="29"/>
  <c r="L20" i="29"/>
  <c r="N12" i="31"/>
  <c r="J36" i="31"/>
  <c r="J34" i="31"/>
  <c r="J33" i="31"/>
  <c r="J31" i="31"/>
  <c r="J29" i="31"/>
  <c r="J27" i="31"/>
  <c r="J25" i="31"/>
  <c r="J24" i="31"/>
  <c r="J22" i="31"/>
  <c r="J21" i="31"/>
  <c r="J20" i="31"/>
  <c r="J18" i="31"/>
  <c r="J16" i="31"/>
  <c r="H18" i="31"/>
  <c r="J15" i="31"/>
  <c r="X13" i="31"/>
  <c r="Z15" i="31"/>
  <c r="X21" i="31"/>
  <c r="L12" i="32"/>
  <c r="F34" i="32"/>
  <c r="F29" i="32"/>
  <c r="F36" i="32"/>
  <c r="F31" i="32"/>
  <c r="F16" i="32"/>
  <c r="F18" i="32"/>
  <c r="F15" i="32"/>
  <c r="F25" i="32"/>
  <c r="F24" i="32"/>
  <c r="F33" i="32"/>
  <c r="F21" i="32"/>
  <c r="F20" i="32"/>
  <c r="D18" i="32"/>
  <c r="F27" i="32"/>
  <c r="F22" i="32"/>
  <c r="X16" i="32"/>
  <c r="Z20" i="32"/>
  <c r="Z21" i="32"/>
  <c r="L29" i="32"/>
  <c r="L34" i="32"/>
  <c r="N24" i="34"/>
  <c r="L13" i="35"/>
  <c r="L33" i="35"/>
  <c r="Z16" i="37"/>
  <c r="X25" i="38"/>
  <c r="L21" i="40"/>
  <c r="X15" i="22"/>
  <c r="N25" i="22"/>
  <c r="N29" i="22"/>
  <c r="N33" i="22"/>
  <c r="N34" i="22"/>
  <c r="N13" i="23"/>
  <c r="N22" i="23"/>
  <c r="N24" i="23"/>
  <c r="J36" i="25"/>
  <c r="J34" i="25"/>
  <c r="J33" i="25"/>
  <c r="J31" i="25"/>
  <c r="J29" i="25"/>
  <c r="J27" i="25"/>
  <c r="J25" i="25"/>
  <c r="J24" i="25"/>
  <c r="J22" i="25"/>
  <c r="J21" i="25"/>
  <c r="J20" i="25"/>
  <c r="J18" i="25"/>
  <c r="J16" i="25"/>
  <c r="H18" i="25"/>
  <c r="J15" i="25"/>
  <c r="N12" i="25"/>
  <c r="X13" i="25"/>
  <c r="Z15" i="25"/>
  <c r="X21" i="25"/>
  <c r="F36" i="26"/>
  <c r="F34" i="26"/>
  <c r="F33" i="26"/>
  <c r="F31" i="26"/>
  <c r="F29" i="26"/>
  <c r="F27" i="26"/>
  <c r="F25" i="26"/>
  <c r="F24" i="26"/>
  <c r="F22" i="26"/>
  <c r="F21" i="26"/>
  <c r="F20" i="26"/>
  <c r="F18" i="26"/>
  <c r="F16" i="26"/>
  <c r="D18" i="26"/>
  <c r="F15" i="26"/>
  <c r="L12" i="26"/>
  <c r="X16" i="26"/>
  <c r="X20" i="26"/>
  <c r="N16" i="28"/>
  <c r="N20" i="28"/>
  <c r="L22" i="28"/>
  <c r="L24" i="28"/>
  <c r="N15" i="29"/>
  <c r="L21" i="29"/>
  <c r="Z13" i="31"/>
  <c r="Z16" i="31"/>
  <c r="Z20" i="31"/>
  <c r="X22" i="31"/>
  <c r="X24" i="31"/>
  <c r="J36" i="32"/>
  <c r="J34" i="32"/>
  <c r="J33" i="32"/>
  <c r="J31" i="32"/>
  <c r="J29" i="32"/>
  <c r="J16" i="32"/>
  <c r="J18" i="32"/>
  <c r="J15" i="32"/>
  <c r="J22" i="32"/>
  <c r="J21" i="32"/>
  <c r="J20" i="32"/>
  <c r="H18" i="32"/>
  <c r="J25" i="32"/>
  <c r="J24" i="32"/>
  <c r="J27" i="32"/>
  <c r="N12" i="32"/>
  <c r="X13" i="32"/>
  <c r="Z15" i="32"/>
  <c r="X15" i="34"/>
  <c r="N29" i="34"/>
  <c r="N34" i="34"/>
  <c r="N13" i="35"/>
  <c r="N22" i="35"/>
  <c r="N21" i="40"/>
  <c r="N25" i="41"/>
  <c r="Z13" i="25"/>
  <c r="Z16" i="25"/>
  <c r="Z20" i="25"/>
  <c r="X22" i="25"/>
  <c r="X24" i="25"/>
  <c r="J36" i="26"/>
  <c r="J34" i="26"/>
  <c r="J33" i="26"/>
  <c r="J31" i="26"/>
  <c r="J29" i="26"/>
  <c r="J27" i="26"/>
  <c r="J25" i="26"/>
  <c r="J24" i="26"/>
  <c r="J22" i="26"/>
  <c r="J21" i="26"/>
  <c r="J20" i="26"/>
  <c r="J18" i="26"/>
  <c r="J16" i="26"/>
  <c r="H18" i="26"/>
  <c r="J15" i="26"/>
  <c r="N12" i="26"/>
  <c r="X13" i="26"/>
  <c r="Z15" i="26"/>
  <c r="X21" i="26"/>
  <c r="L13" i="28"/>
  <c r="N21" i="28"/>
  <c r="L25" i="28"/>
  <c r="L29" i="28"/>
  <c r="L33" i="28"/>
  <c r="L34" i="28"/>
  <c r="N16" i="29"/>
  <c r="N20" i="29"/>
  <c r="L22" i="29"/>
  <c r="L24" i="29"/>
  <c r="Z21" i="31"/>
  <c r="X25" i="31"/>
  <c r="X29" i="31"/>
  <c r="X33" i="31"/>
  <c r="X34" i="31"/>
  <c r="Z13" i="32"/>
  <c r="Z16" i="32"/>
  <c r="N29" i="32"/>
  <c r="N34" i="32"/>
  <c r="L21" i="34"/>
  <c r="L20" i="35"/>
  <c r="X15" i="38"/>
  <c r="Z25" i="40"/>
  <c r="Z22" i="32"/>
  <c r="Z24" i="32"/>
  <c r="L13" i="34"/>
  <c r="N21" i="34"/>
  <c r="L25" i="34"/>
  <c r="L29" i="34"/>
  <c r="L33" i="34"/>
  <c r="L34" i="34"/>
  <c r="N16" i="35"/>
  <c r="N20" i="35"/>
  <c r="L22" i="35"/>
  <c r="L24" i="35"/>
  <c r="L15" i="37"/>
  <c r="X20" i="37"/>
  <c r="Z24" i="37"/>
  <c r="Z13" i="40"/>
  <c r="Z34" i="40"/>
  <c r="D18" i="34"/>
  <c r="F15" i="34"/>
  <c r="L12" i="34"/>
  <c r="F24" i="34"/>
  <c r="F22" i="34"/>
  <c r="F16" i="34"/>
  <c r="F34" i="34"/>
  <c r="F29" i="34"/>
  <c r="F20" i="34"/>
  <c r="F33" i="34"/>
  <c r="F27" i="34"/>
  <c r="F18" i="34"/>
  <c r="F36" i="34"/>
  <c r="F31" i="34"/>
  <c r="F25" i="34"/>
  <c r="F21" i="34"/>
  <c r="X16" i="34"/>
  <c r="X20" i="34"/>
  <c r="X15" i="35"/>
  <c r="N25" i="35"/>
  <c r="N29" i="35"/>
  <c r="N33" i="35"/>
  <c r="N34" i="35"/>
  <c r="X22" i="37"/>
  <c r="N25" i="37"/>
  <c r="J20" i="38"/>
  <c r="J18" i="38"/>
  <c r="J16" i="38"/>
  <c r="H18" i="38"/>
  <c r="J15" i="38"/>
  <c r="J36" i="38"/>
  <c r="J34" i="38"/>
  <c r="J33" i="38"/>
  <c r="J31" i="38"/>
  <c r="J29" i="38"/>
  <c r="J27" i="38"/>
  <c r="J25" i="38"/>
  <c r="J22" i="38"/>
  <c r="N12" i="38"/>
  <c r="J24" i="38"/>
  <c r="J21" i="38"/>
  <c r="Z15" i="38"/>
  <c r="X21" i="38"/>
  <c r="L29" i="40"/>
  <c r="N34" i="41"/>
  <c r="N22" i="46"/>
  <c r="N15" i="52"/>
  <c r="J36" i="34"/>
  <c r="J34" i="34"/>
  <c r="J33" i="34"/>
  <c r="J31" i="34"/>
  <c r="J29" i="34"/>
  <c r="J27" i="34"/>
  <c r="J25" i="34"/>
  <c r="J20" i="34"/>
  <c r="J18" i="34"/>
  <c r="J16" i="34"/>
  <c r="J24" i="34"/>
  <c r="J15" i="34"/>
  <c r="J22" i="34"/>
  <c r="H18" i="34"/>
  <c r="J21" i="34"/>
  <c r="N12" i="34"/>
  <c r="X13" i="34"/>
  <c r="Z15" i="34"/>
  <c r="X21" i="34"/>
  <c r="L12" i="35"/>
  <c r="F21" i="35"/>
  <c r="F15" i="35"/>
  <c r="F33" i="35"/>
  <c r="F27" i="35"/>
  <c r="F22" i="35"/>
  <c r="F18" i="35"/>
  <c r="D18" i="35"/>
  <c r="F36" i="35"/>
  <c r="F31" i="35"/>
  <c r="F25" i="35"/>
  <c r="F16" i="35"/>
  <c r="F24" i="35"/>
  <c r="F34" i="35"/>
  <c r="F29" i="35"/>
  <c r="F20" i="35"/>
  <c r="X16" i="35"/>
  <c r="X20" i="35"/>
  <c r="X12" i="37"/>
  <c r="R20" i="37"/>
  <c r="R18" i="37"/>
  <c r="R16" i="37"/>
  <c r="R29" i="37"/>
  <c r="R21" i="37"/>
  <c r="R25" i="37"/>
  <c r="R34" i="37"/>
  <c r="P18" i="37"/>
  <c r="R31" i="37"/>
  <c r="R22" i="37"/>
  <c r="R15" i="37"/>
  <c r="R27" i="37"/>
  <c r="R36" i="37"/>
  <c r="R24" i="37"/>
  <c r="R33" i="37"/>
  <c r="X34" i="37"/>
  <c r="X24" i="38"/>
  <c r="R21" i="41"/>
  <c r="R33" i="41"/>
  <c r="R22" i="41"/>
  <c r="R34" i="41"/>
  <c r="R24" i="41"/>
  <c r="R36" i="41"/>
  <c r="R25" i="41"/>
  <c r="R15" i="41"/>
  <c r="P18" i="41"/>
  <c r="R31" i="41"/>
  <c r="R29" i="41"/>
  <c r="R27" i="41"/>
  <c r="X12" i="41"/>
  <c r="R20" i="41"/>
  <c r="R16" i="41"/>
  <c r="R18" i="41"/>
  <c r="Z13" i="34"/>
  <c r="Z16" i="34"/>
  <c r="Z20" i="34"/>
  <c r="X22" i="34"/>
  <c r="X24" i="34"/>
  <c r="N12" i="35"/>
  <c r="J36" i="35"/>
  <c r="J34" i="35"/>
  <c r="J33" i="35"/>
  <c r="J31" i="35"/>
  <c r="J29" i="35"/>
  <c r="J27" i="35"/>
  <c r="J25" i="35"/>
  <c r="J24" i="35"/>
  <c r="J22" i="35"/>
  <c r="H18" i="35"/>
  <c r="J15" i="35"/>
  <c r="J18" i="35"/>
  <c r="J21" i="35"/>
  <c r="J16" i="35"/>
  <c r="J20" i="35"/>
  <c r="X13" i="35"/>
  <c r="Z15" i="35"/>
  <c r="X21" i="35"/>
  <c r="V36" i="37"/>
  <c r="V34" i="37"/>
  <c r="V33" i="37"/>
  <c r="V31" i="37"/>
  <c r="V29" i="37"/>
  <c r="V27" i="37"/>
  <c r="V25" i="37"/>
  <c r="V21" i="37"/>
  <c r="V18" i="37"/>
  <c r="V22" i="37"/>
  <c r="T18" i="37"/>
  <c r="Z12" i="37"/>
  <c r="V15" i="37"/>
  <c r="V16" i="37"/>
  <c r="V24" i="37"/>
  <c r="V20" i="37"/>
  <c r="L21" i="37"/>
  <c r="Z22" i="37"/>
  <c r="N29" i="37"/>
  <c r="Z21" i="38"/>
  <c r="X34" i="38"/>
  <c r="Z16" i="40"/>
  <c r="F24" i="43"/>
  <c r="F22" i="43"/>
  <c r="F21" i="43"/>
  <c r="F20" i="43"/>
  <c r="F18" i="43"/>
  <c r="F16" i="43"/>
  <c r="D18" i="43"/>
  <c r="F15" i="43"/>
  <c r="L12" i="43"/>
  <c r="F29" i="43"/>
  <c r="F27" i="43"/>
  <c r="F36" i="43"/>
  <c r="F25" i="43"/>
  <c r="F34" i="43"/>
  <c r="F33" i="43"/>
  <c r="F31" i="43"/>
  <c r="Z21" i="34"/>
  <c r="X25" i="34"/>
  <c r="X29" i="34"/>
  <c r="X33" i="34"/>
  <c r="X34" i="34"/>
  <c r="Z13" i="35"/>
  <c r="Z16" i="35"/>
  <c r="Z20" i="35"/>
  <c r="X22" i="35"/>
  <c r="X24" i="35"/>
  <c r="X25" i="37"/>
  <c r="L16" i="38"/>
  <c r="L20" i="38"/>
  <c r="X22" i="40"/>
  <c r="N25" i="44"/>
  <c r="X12" i="34"/>
  <c r="R36" i="34"/>
  <c r="R34" i="34"/>
  <c r="R33" i="34"/>
  <c r="R31" i="34"/>
  <c r="R29" i="34"/>
  <c r="R27" i="34"/>
  <c r="R25" i="34"/>
  <c r="R24" i="34"/>
  <c r="R22" i="34"/>
  <c r="R21" i="34"/>
  <c r="R20" i="34"/>
  <c r="R18" i="34"/>
  <c r="R16" i="34"/>
  <c r="P18" i="34"/>
  <c r="R15" i="34"/>
  <c r="Z22" i="34"/>
  <c r="Z24" i="34"/>
  <c r="Z21" i="35"/>
  <c r="X25" i="35"/>
  <c r="X29" i="35"/>
  <c r="X33" i="35"/>
  <c r="X34" i="35"/>
  <c r="N33" i="37"/>
  <c r="N13" i="38"/>
  <c r="N22" i="38"/>
  <c r="L33" i="40"/>
  <c r="X20" i="43"/>
  <c r="N33" i="44"/>
  <c r="V36" i="34"/>
  <c r="V34" i="34"/>
  <c r="V33" i="34"/>
  <c r="V31" i="34"/>
  <c r="V29" i="34"/>
  <c r="V27" i="34"/>
  <c r="V25" i="34"/>
  <c r="V24" i="34"/>
  <c r="V22" i="34"/>
  <c r="V21" i="34"/>
  <c r="V20" i="34"/>
  <c r="V18" i="34"/>
  <c r="V16" i="34"/>
  <c r="T18" i="34"/>
  <c r="V15" i="34"/>
  <c r="Z12" i="34"/>
  <c r="L15" i="34"/>
  <c r="Z25" i="34"/>
  <c r="Z29" i="34"/>
  <c r="Z33" i="34"/>
  <c r="Z34" i="34"/>
  <c r="R36" i="35"/>
  <c r="R34" i="35"/>
  <c r="R33" i="35"/>
  <c r="R31" i="35"/>
  <c r="R29" i="35"/>
  <c r="R27" i="35"/>
  <c r="R25" i="35"/>
  <c r="R24" i="35"/>
  <c r="R22" i="35"/>
  <c r="R21" i="35"/>
  <c r="R20" i="35"/>
  <c r="R18" i="35"/>
  <c r="R16" i="35"/>
  <c r="P18" i="35"/>
  <c r="R15" i="35"/>
  <c r="X12" i="35"/>
  <c r="Z22" i="35"/>
  <c r="Z24" i="35"/>
  <c r="Z25" i="37"/>
  <c r="X29" i="37"/>
  <c r="N25" i="38"/>
  <c r="N29" i="38"/>
  <c r="N33" i="38"/>
  <c r="F36" i="40"/>
  <c r="F34" i="40"/>
  <c r="F33" i="40"/>
  <c r="F31" i="40"/>
  <c r="F29" i="40"/>
  <c r="F27" i="40"/>
  <c r="F25" i="40"/>
  <c r="F24" i="40"/>
  <c r="F15" i="40"/>
  <c r="F16" i="40"/>
  <c r="L12" i="40"/>
  <c r="F21" i="40"/>
  <c r="F20" i="40"/>
  <c r="F18" i="40"/>
  <c r="D18" i="40"/>
  <c r="F22" i="40"/>
  <c r="X24" i="40"/>
  <c r="N34" i="44"/>
  <c r="L16" i="34"/>
  <c r="L20" i="34"/>
  <c r="V24" i="35"/>
  <c r="V22" i="35"/>
  <c r="V21" i="35"/>
  <c r="V20" i="35"/>
  <c r="V18" i="35"/>
  <c r="V16" i="35"/>
  <c r="T18" i="35"/>
  <c r="V15" i="35"/>
  <c r="V33" i="35"/>
  <c r="V27" i="35"/>
  <c r="Z12" i="35"/>
  <c r="V36" i="35"/>
  <c r="V31" i="35"/>
  <c r="V25" i="35"/>
  <c r="V34" i="35"/>
  <c r="V29" i="35"/>
  <c r="L15" i="35"/>
  <c r="Z25" i="35"/>
  <c r="Z29" i="35"/>
  <c r="Z33" i="35"/>
  <c r="Z34" i="35"/>
  <c r="Z13" i="37"/>
  <c r="Z21" i="37"/>
  <c r="X13" i="38"/>
  <c r="L13" i="40"/>
  <c r="X15" i="41"/>
  <c r="L22" i="41"/>
  <c r="X16" i="37"/>
  <c r="X24" i="37"/>
  <c r="Z29" i="37"/>
  <c r="X33" i="37"/>
  <c r="Z13" i="38"/>
  <c r="Z16" i="38"/>
  <c r="Z20" i="38"/>
  <c r="X22" i="38"/>
  <c r="N16" i="41"/>
  <c r="N29" i="49"/>
  <c r="J21" i="37"/>
  <c r="J20" i="37"/>
  <c r="J18" i="37"/>
  <c r="J16" i="37"/>
  <c r="H18" i="37"/>
  <c r="J15" i="37"/>
  <c r="J36" i="37"/>
  <c r="J33" i="37"/>
  <c r="J24" i="37"/>
  <c r="J29" i="37"/>
  <c r="J25" i="37"/>
  <c r="N12" i="37"/>
  <c r="J27" i="37"/>
  <c r="J34" i="37"/>
  <c r="J22" i="37"/>
  <c r="J31" i="37"/>
  <c r="X13" i="37"/>
  <c r="Z15" i="37"/>
  <c r="X21" i="37"/>
  <c r="F24" i="38"/>
  <c r="F22" i="38"/>
  <c r="F21" i="38"/>
  <c r="F20" i="38"/>
  <c r="F18" i="38"/>
  <c r="F16" i="38"/>
  <c r="F36" i="38"/>
  <c r="F33" i="38"/>
  <c r="F29" i="38"/>
  <c r="F25" i="38"/>
  <c r="L12" i="38"/>
  <c r="D18" i="38"/>
  <c r="F15" i="38"/>
  <c r="F27" i="38"/>
  <c r="F34" i="38"/>
  <c r="F31" i="38"/>
  <c r="X16" i="38"/>
  <c r="X20" i="38"/>
  <c r="Z15" i="40"/>
  <c r="L20" i="40"/>
  <c r="N33" i="40"/>
  <c r="T18" i="41"/>
  <c r="V15" i="41"/>
  <c r="V22" i="41"/>
  <c r="V34" i="41"/>
  <c r="V24" i="41"/>
  <c r="V36" i="41"/>
  <c r="V25" i="41"/>
  <c r="V27" i="41"/>
  <c r="V16" i="41"/>
  <c r="V18" i="41"/>
  <c r="Z12" i="41"/>
  <c r="V20" i="41"/>
  <c r="V29" i="41"/>
  <c r="V21" i="41"/>
  <c r="V31" i="41"/>
  <c r="V33" i="41"/>
  <c r="N15" i="41"/>
  <c r="X29" i="41"/>
  <c r="L34" i="44"/>
  <c r="L34" i="47"/>
  <c r="Z24" i="40"/>
  <c r="X16" i="41"/>
  <c r="N24" i="41"/>
  <c r="Z29" i="41"/>
  <c r="N13" i="43"/>
  <c r="N22" i="43"/>
  <c r="L25" i="44"/>
  <c r="Z33" i="37"/>
  <c r="Z34" i="37"/>
  <c r="R36" i="38"/>
  <c r="R34" i="38"/>
  <c r="R33" i="38"/>
  <c r="R31" i="38"/>
  <c r="R29" i="38"/>
  <c r="R27" i="38"/>
  <c r="R25" i="38"/>
  <c r="P18" i="38"/>
  <c r="R15" i="38"/>
  <c r="R20" i="38"/>
  <c r="R16" i="38"/>
  <c r="X12" i="38"/>
  <c r="R24" i="38"/>
  <c r="R21" i="38"/>
  <c r="R18" i="38"/>
  <c r="R22" i="38"/>
  <c r="Z22" i="38"/>
  <c r="Z24" i="38"/>
  <c r="J21" i="40"/>
  <c r="N12" i="40"/>
  <c r="J24" i="40"/>
  <c r="J36" i="40"/>
  <c r="J25" i="40"/>
  <c r="J15" i="40"/>
  <c r="J27" i="40"/>
  <c r="J16" i="40"/>
  <c r="J29" i="40"/>
  <c r="J18" i="40"/>
  <c r="H18" i="40"/>
  <c r="J22" i="40"/>
  <c r="J34" i="40"/>
  <c r="J33" i="40"/>
  <c r="J31" i="40"/>
  <c r="J20" i="40"/>
  <c r="L16" i="40"/>
  <c r="X21" i="40"/>
  <c r="Z22" i="40"/>
  <c r="N29" i="40"/>
  <c r="N13" i="41"/>
  <c r="L21" i="41"/>
  <c r="N22" i="41"/>
  <c r="X25" i="41"/>
  <c r="N24" i="43"/>
  <c r="L16" i="37"/>
  <c r="L20" i="37"/>
  <c r="Z12" i="38"/>
  <c r="V24" i="38"/>
  <c r="V22" i="38"/>
  <c r="V21" i="38"/>
  <c r="V34" i="38"/>
  <c r="V31" i="38"/>
  <c r="V27" i="38"/>
  <c r="V18" i="38"/>
  <c r="T18" i="38"/>
  <c r="V15" i="38"/>
  <c r="V36" i="38"/>
  <c r="V33" i="38"/>
  <c r="V29" i="38"/>
  <c r="V25" i="38"/>
  <c r="V20" i="38"/>
  <c r="V16" i="38"/>
  <c r="L15" i="38"/>
  <c r="Z25" i="38"/>
  <c r="Z29" i="38"/>
  <c r="Z33" i="38"/>
  <c r="Z34" i="38"/>
  <c r="L15" i="40"/>
  <c r="X20" i="40"/>
  <c r="Z33" i="40"/>
  <c r="Z15" i="41"/>
  <c r="L20" i="41"/>
  <c r="N33" i="41"/>
  <c r="N13" i="50"/>
  <c r="R24" i="40"/>
  <c r="R22" i="40"/>
  <c r="R27" i="40"/>
  <c r="R16" i="40"/>
  <c r="R29" i="40"/>
  <c r="R18" i="40"/>
  <c r="X12" i="40"/>
  <c r="P18" i="40"/>
  <c r="R31" i="40"/>
  <c r="R20" i="40"/>
  <c r="R21" i="40"/>
  <c r="R33" i="40"/>
  <c r="R34" i="40"/>
  <c r="R36" i="40"/>
  <c r="R25" i="40"/>
  <c r="R15" i="40"/>
  <c r="N16" i="40"/>
  <c r="Z25" i="41"/>
  <c r="X34" i="41"/>
  <c r="L29" i="44"/>
  <c r="N25" i="46"/>
  <c r="N16" i="37"/>
  <c r="N20" i="37"/>
  <c r="L22" i="37"/>
  <c r="L24" i="37"/>
  <c r="N15" i="38"/>
  <c r="L21" i="38"/>
  <c r="V20" i="40"/>
  <c r="V18" i="40"/>
  <c r="V16" i="40"/>
  <c r="V29" i="40"/>
  <c r="T18" i="40"/>
  <c r="Z12" i="40"/>
  <c r="V31" i="40"/>
  <c r="V33" i="40"/>
  <c r="V21" i="40"/>
  <c r="V22" i="40"/>
  <c r="V34" i="40"/>
  <c r="V36" i="40"/>
  <c r="V25" i="40"/>
  <c r="V27" i="40"/>
  <c r="V24" i="40"/>
  <c r="V15" i="40"/>
  <c r="N15" i="40"/>
  <c r="Z20" i="40"/>
  <c r="L25" i="40"/>
  <c r="X13" i="41"/>
  <c r="N20" i="41"/>
  <c r="Z24" i="41"/>
  <c r="X16" i="43"/>
  <c r="N29" i="44"/>
  <c r="X15" i="49"/>
  <c r="L13" i="37"/>
  <c r="N21" i="37"/>
  <c r="L25" i="37"/>
  <c r="L29" i="37"/>
  <c r="L33" i="37"/>
  <c r="L34" i="37"/>
  <c r="N16" i="38"/>
  <c r="N20" i="38"/>
  <c r="L22" i="38"/>
  <c r="L24" i="38"/>
  <c r="L24" i="40"/>
  <c r="N25" i="40"/>
  <c r="F24" i="41"/>
  <c r="F22" i="41"/>
  <c r="L12" i="41"/>
  <c r="F27" i="41"/>
  <c r="F16" i="41"/>
  <c r="F29" i="41"/>
  <c r="F18" i="41"/>
  <c r="D18" i="41"/>
  <c r="F31" i="41"/>
  <c r="F20" i="41"/>
  <c r="F21" i="41"/>
  <c r="F33" i="41"/>
  <c r="F34" i="41"/>
  <c r="F36" i="41"/>
  <c r="F25" i="41"/>
  <c r="F15" i="41"/>
  <c r="X33" i="41"/>
  <c r="Z34" i="41"/>
  <c r="N21" i="44"/>
  <c r="N29" i="46"/>
  <c r="Z21" i="50"/>
  <c r="N13" i="37"/>
  <c r="N22" i="37"/>
  <c r="N24" i="37"/>
  <c r="L13" i="38"/>
  <c r="N21" i="38"/>
  <c r="L25" i="38"/>
  <c r="L29" i="38"/>
  <c r="L33" i="38"/>
  <c r="L34" i="38"/>
  <c r="X16" i="40"/>
  <c r="Z29" i="40"/>
  <c r="L34" i="40"/>
  <c r="J20" i="41"/>
  <c r="J18" i="41"/>
  <c r="J16" i="41"/>
  <c r="J29" i="41"/>
  <c r="N12" i="41"/>
  <c r="H18" i="41"/>
  <c r="J31" i="41"/>
  <c r="J33" i="41"/>
  <c r="J21" i="41"/>
  <c r="J22" i="41"/>
  <c r="J34" i="41"/>
  <c r="J36" i="41"/>
  <c r="J25" i="41"/>
  <c r="J27" i="41"/>
  <c r="J15" i="41"/>
  <c r="J24" i="41"/>
  <c r="L16" i="41"/>
  <c r="X21" i="41"/>
  <c r="Z22" i="41"/>
  <c r="N29" i="41"/>
  <c r="N22" i="50"/>
  <c r="X15" i="40"/>
  <c r="L22" i="40"/>
  <c r="N34" i="40"/>
  <c r="L15" i="41"/>
  <c r="X20" i="41"/>
  <c r="Z21" i="41"/>
  <c r="Z33" i="41"/>
  <c r="L13" i="44"/>
  <c r="L33" i="44"/>
  <c r="X15" i="46"/>
  <c r="N33" i="46"/>
  <c r="Z22" i="49"/>
  <c r="X25" i="50"/>
  <c r="F24" i="52"/>
  <c r="F22" i="52"/>
  <c r="F21" i="52"/>
  <c r="D18" i="52"/>
  <c r="F15" i="52"/>
  <c r="L12" i="52"/>
  <c r="F36" i="52"/>
  <c r="F33" i="52"/>
  <c r="F29" i="52"/>
  <c r="F25" i="52"/>
  <c r="F20" i="52"/>
  <c r="F16" i="52"/>
  <c r="F34" i="52"/>
  <c r="F31" i="52"/>
  <c r="F27" i="52"/>
  <c r="F18" i="52"/>
  <c r="Z21" i="40"/>
  <c r="X25" i="40"/>
  <c r="X29" i="40"/>
  <c r="X33" i="40"/>
  <c r="X34" i="40"/>
  <c r="Z13" i="41"/>
  <c r="Z16" i="41"/>
  <c r="Z20" i="41"/>
  <c r="X22" i="41"/>
  <c r="X24" i="41"/>
  <c r="X15" i="43"/>
  <c r="N25" i="43"/>
  <c r="N29" i="43"/>
  <c r="N33" i="43"/>
  <c r="N34" i="43"/>
  <c r="N13" i="44"/>
  <c r="N22" i="44"/>
  <c r="N24" i="44"/>
  <c r="F20" i="46"/>
  <c r="F18" i="46"/>
  <c r="F16" i="46"/>
  <c r="L12" i="46"/>
  <c r="F24" i="46"/>
  <c r="F22" i="46"/>
  <c r="F36" i="46"/>
  <c r="F15" i="46"/>
  <c r="F31" i="46"/>
  <c r="F27" i="46"/>
  <c r="F34" i="46"/>
  <c r="F21" i="46"/>
  <c r="F33" i="46"/>
  <c r="F29" i="46"/>
  <c r="F25" i="46"/>
  <c r="D18" i="46"/>
  <c r="N15" i="47"/>
  <c r="L25" i="47"/>
  <c r="L29" i="49"/>
  <c r="L34" i="49"/>
  <c r="L22" i="50"/>
  <c r="J20" i="52"/>
  <c r="J18" i="52"/>
  <c r="J16" i="52"/>
  <c r="H18" i="52"/>
  <c r="J15" i="52"/>
  <c r="J24" i="52"/>
  <c r="J22" i="52"/>
  <c r="J36" i="52"/>
  <c r="J33" i="52"/>
  <c r="J29" i="52"/>
  <c r="J25" i="52"/>
  <c r="N12" i="52"/>
  <c r="J21" i="52"/>
  <c r="J34" i="52"/>
  <c r="J31" i="52"/>
  <c r="J27" i="52"/>
  <c r="F21" i="53"/>
  <c r="F20" i="53"/>
  <c r="F18" i="53"/>
  <c r="F16" i="53"/>
  <c r="F36" i="53"/>
  <c r="F34" i="53"/>
  <c r="F33" i="53"/>
  <c r="F31" i="53"/>
  <c r="F29" i="53"/>
  <c r="F27" i="53"/>
  <c r="F25" i="53"/>
  <c r="F22" i="53"/>
  <c r="L12" i="53"/>
  <c r="F24" i="53"/>
  <c r="D18" i="53"/>
  <c r="F15" i="53"/>
  <c r="J20" i="43"/>
  <c r="J18" i="43"/>
  <c r="J16" i="43"/>
  <c r="H18" i="43"/>
  <c r="J15" i="43"/>
  <c r="N12" i="43"/>
  <c r="J24" i="43"/>
  <c r="J22" i="43"/>
  <c r="J27" i="43"/>
  <c r="J36" i="43"/>
  <c r="J25" i="43"/>
  <c r="J34" i="43"/>
  <c r="J21" i="43"/>
  <c r="J29" i="43"/>
  <c r="J33" i="43"/>
  <c r="J31" i="43"/>
  <c r="X13" i="43"/>
  <c r="Z15" i="43"/>
  <c r="X21" i="43"/>
  <c r="F21" i="44"/>
  <c r="F20" i="44"/>
  <c r="F18" i="44"/>
  <c r="F16" i="44"/>
  <c r="D18" i="44"/>
  <c r="F15" i="44"/>
  <c r="L12" i="44"/>
  <c r="F36" i="44"/>
  <c r="F34" i="44"/>
  <c r="F33" i="44"/>
  <c r="F31" i="44"/>
  <c r="F29" i="44"/>
  <c r="F27" i="44"/>
  <c r="F25" i="44"/>
  <c r="F22" i="44"/>
  <c r="F24" i="44"/>
  <c r="X16" i="44"/>
  <c r="X20" i="44"/>
  <c r="Z12" i="46"/>
  <c r="V36" i="46"/>
  <c r="V34" i="46"/>
  <c r="V33" i="46"/>
  <c r="V31" i="46"/>
  <c r="V29" i="46"/>
  <c r="V27" i="46"/>
  <c r="V25" i="46"/>
  <c r="V21" i="46"/>
  <c r="T18" i="46"/>
  <c r="V15" i="46"/>
  <c r="V24" i="46"/>
  <c r="V16" i="46"/>
  <c r="V18" i="46"/>
  <c r="V22" i="46"/>
  <c r="V20" i="46"/>
  <c r="X33" i="46"/>
  <c r="X20" i="49"/>
  <c r="N33" i="50"/>
  <c r="X15" i="53"/>
  <c r="Z13" i="43"/>
  <c r="Z16" i="43"/>
  <c r="Z20" i="43"/>
  <c r="X22" i="43"/>
  <c r="X24" i="43"/>
  <c r="H18" i="44"/>
  <c r="J15" i="44"/>
  <c r="N12" i="44"/>
  <c r="J36" i="44"/>
  <c r="J34" i="44"/>
  <c r="J33" i="44"/>
  <c r="J31" i="44"/>
  <c r="J29" i="44"/>
  <c r="J27" i="44"/>
  <c r="J25" i="44"/>
  <c r="J21" i="44"/>
  <c r="J20" i="44"/>
  <c r="J18" i="44"/>
  <c r="J16" i="44"/>
  <c r="J24" i="44"/>
  <c r="J22" i="44"/>
  <c r="X13" i="44"/>
  <c r="Z15" i="44"/>
  <c r="X21" i="44"/>
  <c r="X25" i="46"/>
  <c r="X29" i="46"/>
  <c r="Z33" i="46"/>
  <c r="N22" i="47"/>
  <c r="Z24" i="49"/>
  <c r="X33" i="50"/>
  <c r="Z15" i="52"/>
  <c r="Z21" i="43"/>
  <c r="X25" i="43"/>
  <c r="X29" i="43"/>
  <c r="X33" i="43"/>
  <c r="X34" i="43"/>
  <c r="Z13" i="44"/>
  <c r="Z16" i="44"/>
  <c r="Z20" i="44"/>
  <c r="X22" i="44"/>
  <c r="X24" i="44"/>
  <c r="Z25" i="46"/>
  <c r="Z29" i="46"/>
  <c r="X22" i="47"/>
  <c r="N21" i="49"/>
  <c r="L25" i="49"/>
  <c r="N20" i="50"/>
  <c r="L24" i="50"/>
  <c r="X12" i="43"/>
  <c r="R36" i="43"/>
  <c r="R34" i="43"/>
  <c r="R33" i="43"/>
  <c r="R31" i="43"/>
  <c r="R29" i="43"/>
  <c r="R27" i="43"/>
  <c r="R25" i="43"/>
  <c r="R24" i="43"/>
  <c r="R22" i="43"/>
  <c r="R21" i="43"/>
  <c r="R20" i="43"/>
  <c r="R18" i="43"/>
  <c r="R16" i="43"/>
  <c r="P18" i="43"/>
  <c r="R15" i="43"/>
  <c r="Z22" i="43"/>
  <c r="Z24" i="43"/>
  <c r="Z21" i="44"/>
  <c r="X25" i="44"/>
  <c r="X29" i="44"/>
  <c r="X33" i="44"/>
  <c r="X34" i="44"/>
  <c r="N13" i="46"/>
  <c r="L16" i="46"/>
  <c r="L24" i="46"/>
  <c r="Z22" i="47"/>
  <c r="N25" i="49"/>
  <c r="N24" i="50"/>
  <c r="Z12" i="43"/>
  <c r="V36" i="43"/>
  <c r="V34" i="43"/>
  <c r="V33" i="43"/>
  <c r="V31" i="43"/>
  <c r="V29" i="43"/>
  <c r="V27" i="43"/>
  <c r="V25" i="43"/>
  <c r="V24" i="43"/>
  <c r="V22" i="43"/>
  <c r="V21" i="43"/>
  <c r="V20" i="43"/>
  <c r="V18" i="43"/>
  <c r="V16" i="43"/>
  <c r="T18" i="43"/>
  <c r="V15" i="43"/>
  <c r="L15" i="43"/>
  <c r="Z25" i="43"/>
  <c r="Z29" i="43"/>
  <c r="Z33" i="43"/>
  <c r="Z34" i="43"/>
  <c r="X12" i="44"/>
  <c r="R36" i="44"/>
  <c r="R34" i="44"/>
  <c r="R33" i="44"/>
  <c r="R31" i="44"/>
  <c r="R29" i="44"/>
  <c r="R27" i="44"/>
  <c r="R25" i="44"/>
  <c r="R24" i="44"/>
  <c r="R22" i="44"/>
  <c r="R21" i="44"/>
  <c r="R20" i="44"/>
  <c r="R18" i="44"/>
  <c r="R16" i="44"/>
  <c r="P18" i="44"/>
  <c r="R15" i="44"/>
  <c r="Z22" i="44"/>
  <c r="Z24" i="44"/>
  <c r="N16" i="46"/>
  <c r="N24" i="46"/>
  <c r="N34" i="46"/>
  <c r="X12" i="47"/>
  <c r="R24" i="47"/>
  <c r="R22" i="47"/>
  <c r="R20" i="47"/>
  <c r="R18" i="47"/>
  <c r="R16" i="47"/>
  <c r="P18" i="47"/>
  <c r="R15" i="47"/>
  <c r="R36" i="47"/>
  <c r="R27" i="47"/>
  <c r="R31" i="47"/>
  <c r="R34" i="47"/>
  <c r="R25" i="47"/>
  <c r="R29" i="47"/>
  <c r="R21" i="47"/>
  <c r="R33" i="47"/>
  <c r="Z20" i="47"/>
  <c r="F21" i="49"/>
  <c r="F20" i="49"/>
  <c r="F18" i="49"/>
  <c r="F16" i="49"/>
  <c r="D18" i="49"/>
  <c r="F15" i="49"/>
  <c r="L12" i="49"/>
  <c r="F36" i="49"/>
  <c r="F34" i="49"/>
  <c r="F33" i="49"/>
  <c r="F31" i="49"/>
  <c r="F29" i="49"/>
  <c r="F27" i="49"/>
  <c r="F25" i="49"/>
  <c r="F22" i="49"/>
  <c r="F24" i="49"/>
  <c r="X16" i="49"/>
  <c r="X15" i="50"/>
  <c r="N29" i="50"/>
  <c r="N34" i="50"/>
  <c r="N13" i="40"/>
  <c r="N22" i="40"/>
  <c r="N24" i="40"/>
  <c r="L13" i="41"/>
  <c r="N21" i="41"/>
  <c r="L25" i="41"/>
  <c r="L29" i="41"/>
  <c r="L33" i="41"/>
  <c r="L34" i="41"/>
  <c r="L16" i="43"/>
  <c r="L20" i="43"/>
  <c r="Z12" i="44"/>
  <c r="V36" i="44"/>
  <c r="V34" i="44"/>
  <c r="V33" i="44"/>
  <c r="V31" i="44"/>
  <c r="V29" i="44"/>
  <c r="V27" i="44"/>
  <c r="V25" i="44"/>
  <c r="V24" i="44"/>
  <c r="V22" i="44"/>
  <c r="V21" i="44"/>
  <c r="V20" i="44"/>
  <c r="V18" i="44"/>
  <c r="V16" i="44"/>
  <c r="T18" i="44"/>
  <c r="V15" i="44"/>
  <c r="L15" i="44"/>
  <c r="Z25" i="44"/>
  <c r="Z29" i="44"/>
  <c r="Z33" i="44"/>
  <c r="Z34" i="44"/>
  <c r="L20" i="46"/>
  <c r="Z21" i="46"/>
  <c r="X34" i="46"/>
  <c r="X12" i="49"/>
  <c r="R24" i="49"/>
  <c r="R22" i="49"/>
  <c r="R21" i="49"/>
  <c r="R20" i="49"/>
  <c r="R18" i="49"/>
  <c r="R16" i="49"/>
  <c r="P18" i="49"/>
  <c r="R36" i="49"/>
  <c r="R31" i="49"/>
  <c r="R25" i="49"/>
  <c r="R34" i="49"/>
  <c r="R29" i="49"/>
  <c r="R15" i="49"/>
  <c r="R33" i="49"/>
  <c r="R27" i="49"/>
  <c r="X29" i="50"/>
  <c r="X34" i="50"/>
  <c r="L21" i="52"/>
  <c r="N15" i="43"/>
  <c r="L21" i="43"/>
  <c r="L16" i="44"/>
  <c r="L20" i="44"/>
  <c r="N20" i="46"/>
  <c r="Z34" i="46"/>
  <c r="L13" i="47"/>
  <c r="Z16" i="47"/>
  <c r="L21" i="47"/>
  <c r="N24" i="47"/>
  <c r="L33" i="47"/>
  <c r="L13" i="49"/>
  <c r="L33" i="49"/>
  <c r="N16" i="50"/>
  <c r="N34" i="53"/>
  <c r="N16" i="43"/>
  <c r="N20" i="43"/>
  <c r="L22" i="43"/>
  <c r="L24" i="43"/>
  <c r="N15" i="44"/>
  <c r="L21" i="44"/>
  <c r="L15" i="46"/>
  <c r="X16" i="46"/>
  <c r="N13" i="47"/>
  <c r="N21" i="47"/>
  <c r="X24" i="47"/>
  <c r="N33" i="49"/>
  <c r="X21" i="52"/>
  <c r="L13" i="43"/>
  <c r="N21" i="43"/>
  <c r="L25" i="43"/>
  <c r="L29" i="43"/>
  <c r="L33" i="43"/>
  <c r="L34" i="43"/>
  <c r="N16" i="44"/>
  <c r="N20" i="44"/>
  <c r="L22" i="44"/>
  <c r="L24" i="44"/>
  <c r="L22" i="46"/>
  <c r="Z13" i="47"/>
  <c r="Z24" i="47"/>
  <c r="L29" i="47"/>
  <c r="N25" i="50"/>
  <c r="L13" i="46"/>
  <c r="N21" i="46"/>
  <c r="L25" i="46"/>
  <c r="L29" i="46"/>
  <c r="L33" i="46"/>
  <c r="L34" i="46"/>
  <c r="N16" i="47"/>
  <c r="N20" i="47"/>
  <c r="L22" i="47"/>
  <c r="L24" i="47"/>
  <c r="N13" i="49"/>
  <c r="N22" i="49"/>
  <c r="N24" i="49"/>
  <c r="L13" i="50"/>
  <c r="N21" i="50"/>
  <c r="L25" i="50"/>
  <c r="L29" i="50"/>
  <c r="L33" i="50"/>
  <c r="L34" i="50"/>
  <c r="N24" i="52"/>
  <c r="N21" i="53"/>
  <c r="L34" i="53"/>
  <c r="X15" i="47"/>
  <c r="N25" i="47"/>
  <c r="N29" i="47"/>
  <c r="N33" i="47"/>
  <c r="N34" i="47"/>
  <c r="H18" i="49"/>
  <c r="J15" i="49"/>
  <c r="N12" i="49"/>
  <c r="J21" i="49"/>
  <c r="J33" i="49"/>
  <c r="J27" i="49"/>
  <c r="J22" i="49"/>
  <c r="J18" i="49"/>
  <c r="J36" i="49"/>
  <c r="J31" i="49"/>
  <c r="J25" i="49"/>
  <c r="J16" i="49"/>
  <c r="J34" i="49"/>
  <c r="J29" i="49"/>
  <c r="J20" i="49"/>
  <c r="J24" i="49"/>
  <c r="X13" i="49"/>
  <c r="Z15" i="49"/>
  <c r="X21" i="49"/>
  <c r="F20" i="50"/>
  <c r="F18" i="50"/>
  <c r="F16" i="50"/>
  <c r="D18" i="50"/>
  <c r="F15" i="50"/>
  <c r="L12" i="50"/>
  <c r="F24" i="50"/>
  <c r="F22" i="50"/>
  <c r="F36" i="50"/>
  <c r="F31" i="50"/>
  <c r="F25" i="50"/>
  <c r="F21" i="50"/>
  <c r="F34" i="50"/>
  <c r="F29" i="50"/>
  <c r="F27" i="50"/>
  <c r="F33" i="50"/>
  <c r="X16" i="50"/>
  <c r="X20" i="50"/>
  <c r="Z21" i="52"/>
  <c r="X34" i="52"/>
  <c r="X24" i="53"/>
  <c r="J36" i="46"/>
  <c r="J34" i="46"/>
  <c r="J33" i="46"/>
  <c r="J20" i="46"/>
  <c r="J18" i="46"/>
  <c r="J16" i="46"/>
  <c r="J31" i="46"/>
  <c r="J27" i="46"/>
  <c r="J24" i="46"/>
  <c r="J21" i="46"/>
  <c r="J29" i="46"/>
  <c r="J25" i="46"/>
  <c r="J22" i="46"/>
  <c r="J15" i="46"/>
  <c r="N12" i="46"/>
  <c r="H18" i="46"/>
  <c r="X13" i="46"/>
  <c r="Z15" i="46"/>
  <c r="X21" i="46"/>
  <c r="D18" i="47"/>
  <c r="F15" i="47"/>
  <c r="F21" i="47"/>
  <c r="F18" i="47"/>
  <c r="F33" i="47"/>
  <c r="F36" i="47"/>
  <c r="F24" i="47"/>
  <c r="F27" i="47"/>
  <c r="F16" i="47"/>
  <c r="L12" i="47"/>
  <c r="F31" i="47"/>
  <c r="F20" i="47"/>
  <c r="F34" i="47"/>
  <c r="F22" i="47"/>
  <c r="F29" i="47"/>
  <c r="F25" i="47"/>
  <c r="X16" i="47"/>
  <c r="X20" i="47"/>
  <c r="Z13" i="49"/>
  <c r="Z16" i="49"/>
  <c r="Z20" i="49"/>
  <c r="X22" i="49"/>
  <c r="X24" i="49"/>
  <c r="J36" i="50"/>
  <c r="J34" i="50"/>
  <c r="J33" i="50"/>
  <c r="J31" i="50"/>
  <c r="J29" i="50"/>
  <c r="J27" i="50"/>
  <c r="J25" i="50"/>
  <c r="J20" i="50"/>
  <c r="J18" i="50"/>
  <c r="J16" i="50"/>
  <c r="J21" i="50"/>
  <c r="J24" i="50"/>
  <c r="J15" i="50"/>
  <c r="J22" i="50"/>
  <c r="H18" i="50"/>
  <c r="N12" i="50"/>
  <c r="X13" i="50"/>
  <c r="Z15" i="50"/>
  <c r="X21" i="50"/>
  <c r="V36" i="52"/>
  <c r="V34" i="52"/>
  <c r="V33" i="52"/>
  <c r="V31" i="52"/>
  <c r="V29" i="52"/>
  <c r="V27" i="52"/>
  <c r="V25" i="52"/>
  <c r="V21" i="52"/>
  <c r="T18" i="52"/>
  <c r="V15" i="52"/>
  <c r="V22" i="52"/>
  <c r="V20" i="52"/>
  <c r="V16" i="52"/>
  <c r="Z12" i="52"/>
  <c r="V24" i="52"/>
  <c r="V18" i="52"/>
  <c r="Z34" i="52"/>
  <c r="R24" i="53"/>
  <c r="R22" i="53"/>
  <c r="R20" i="53"/>
  <c r="R18" i="53"/>
  <c r="R16" i="53"/>
  <c r="R36" i="53"/>
  <c r="R33" i="53"/>
  <c r="R29" i="53"/>
  <c r="R25" i="53"/>
  <c r="X12" i="53"/>
  <c r="R34" i="53"/>
  <c r="R31" i="53"/>
  <c r="R27" i="53"/>
  <c r="R21" i="53"/>
  <c r="P18" i="53"/>
  <c r="R15" i="53"/>
  <c r="Z24" i="53"/>
  <c r="Z13" i="46"/>
  <c r="Z16" i="46"/>
  <c r="Z20" i="46"/>
  <c r="X22" i="46"/>
  <c r="X24" i="46"/>
  <c r="N12" i="47"/>
  <c r="J36" i="47"/>
  <c r="J34" i="47"/>
  <c r="J33" i="47"/>
  <c r="J31" i="47"/>
  <c r="J29" i="47"/>
  <c r="J27" i="47"/>
  <c r="J25" i="47"/>
  <c r="J24" i="47"/>
  <c r="J22" i="47"/>
  <c r="H18" i="47"/>
  <c r="J15" i="47"/>
  <c r="J21" i="47"/>
  <c r="J16" i="47"/>
  <c r="J20" i="47"/>
  <c r="J18" i="47"/>
  <c r="X13" i="47"/>
  <c r="Z15" i="47"/>
  <c r="X21" i="47"/>
  <c r="Z21" i="49"/>
  <c r="X25" i="49"/>
  <c r="X29" i="49"/>
  <c r="X33" i="49"/>
  <c r="X34" i="49"/>
  <c r="Z13" i="50"/>
  <c r="Z16" i="50"/>
  <c r="Z20" i="50"/>
  <c r="X22" i="50"/>
  <c r="X24" i="50"/>
  <c r="L16" i="53"/>
  <c r="L20" i="53"/>
  <c r="N13" i="52"/>
  <c r="N22" i="52"/>
  <c r="L13" i="53"/>
  <c r="L25" i="53"/>
  <c r="L29" i="53"/>
  <c r="L33" i="53"/>
  <c r="R36" i="46"/>
  <c r="R34" i="46"/>
  <c r="R33" i="46"/>
  <c r="R31" i="46"/>
  <c r="R29" i="46"/>
  <c r="R27" i="46"/>
  <c r="R25" i="46"/>
  <c r="R21" i="46"/>
  <c r="R20" i="46"/>
  <c r="R18" i="46"/>
  <c r="R16" i="46"/>
  <c r="R24" i="46"/>
  <c r="P18" i="46"/>
  <c r="X12" i="46"/>
  <c r="R22" i="46"/>
  <c r="R15" i="46"/>
  <c r="Z22" i="46"/>
  <c r="Z24" i="46"/>
  <c r="Z21" i="47"/>
  <c r="X25" i="47"/>
  <c r="X29" i="47"/>
  <c r="X33" i="47"/>
  <c r="X34" i="47"/>
  <c r="Z12" i="49"/>
  <c r="V36" i="49"/>
  <c r="V34" i="49"/>
  <c r="V33" i="49"/>
  <c r="V31" i="49"/>
  <c r="V29" i="49"/>
  <c r="V27" i="49"/>
  <c r="V25" i="49"/>
  <c r="V24" i="49"/>
  <c r="V22" i="49"/>
  <c r="V20" i="49"/>
  <c r="V18" i="49"/>
  <c r="V16" i="49"/>
  <c r="T18" i="49"/>
  <c r="V15" i="49"/>
  <c r="V21" i="49"/>
  <c r="L15" i="49"/>
  <c r="Z25" i="49"/>
  <c r="Z29" i="49"/>
  <c r="Z33" i="49"/>
  <c r="Z34" i="49"/>
  <c r="X12" i="50"/>
  <c r="R36" i="50"/>
  <c r="R34" i="50"/>
  <c r="R33" i="50"/>
  <c r="R31" i="50"/>
  <c r="R29" i="50"/>
  <c r="R27" i="50"/>
  <c r="R25" i="50"/>
  <c r="R21" i="50"/>
  <c r="R20" i="50"/>
  <c r="R18" i="50"/>
  <c r="R16" i="50"/>
  <c r="P18" i="50"/>
  <c r="R15" i="50"/>
  <c r="R24" i="50"/>
  <c r="R22" i="50"/>
  <c r="Z22" i="50"/>
  <c r="Z24" i="50"/>
  <c r="X16" i="52"/>
  <c r="X20" i="52"/>
  <c r="N25" i="53"/>
  <c r="N29" i="53"/>
  <c r="N33" i="53"/>
  <c r="L16" i="49"/>
  <c r="L20" i="49"/>
  <c r="Z12" i="50"/>
  <c r="V36" i="50"/>
  <c r="V34" i="50"/>
  <c r="V33" i="50"/>
  <c r="V31" i="50"/>
  <c r="V29" i="50"/>
  <c r="V27" i="50"/>
  <c r="V25" i="50"/>
  <c r="V24" i="50"/>
  <c r="V22" i="50"/>
  <c r="V21" i="50"/>
  <c r="T18" i="50"/>
  <c r="V15" i="50"/>
  <c r="V20" i="50"/>
  <c r="V18" i="50"/>
  <c r="V16" i="50"/>
  <c r="L15" i="50"/>
  <c r="Z25" i="50"/>
  <c r="Z29" i="50"/>
  <c r="Z33" i="50"/>
  <c r="Z34" i="50"/>
  <c r="X13" i="52"/>
  <c r="X16" i="53"/>
  <c r="X20" i="53"/>
  <c r="V36" i="47"/>
  <c r="V34" i="47"/>
  <c r="V33" i="47"/>
  <c r="V31" i="47"/>
  <c r="V29" i="47"/>
  <c r="V27" i="47"/>
  <c r="V25" i="47"/>
  <c r="V24" i="47"/>
  <c r="V22" i="47"/>
  <c r="V20" i="47"/>
  <c r="V18" i="47"/>
  <c r="V16" i="47"/>
  <c r="Z12" i="47"/>
  <c r="V15" i="47"/>
  <c r="V21" i="47"/>
  <c r="T18" i="47"/>
  <c r="L15" i="47"/>
  <c r="Z25" i="47"/>
  <c r="Z29" i="47"/>
  <c r="Z33" i="47"/>
  <c r="Z34" i="47"/>
  <c r="N15" i="49"/>
  <c r="L21" i="49"/>
  <c r="L16" i="50"/>
  <c r="L20" i="50"/>
  <c r="X25" i="52"/>
  <c r="X29" i="52"/>
  <c r="X33" i="52"/>
  <c r="Z13" i="53"/>
  <c r="Z16" i="53"/>
  <c r="Z20" i="53"/>
  <c r="X22" i="53"/>
  <c r="N15" i="46"/>
  <c r="L21" i="46"/>
  <c r="L16" i="47"/>
  <c r="L20" i="47"/>
  <c r="N16" i="49"/>
  <c r="N20" i="49"/>
  <c r="L22" i="49"/>
  <c r="L24" i="49"/>
  <c r="N15" i="50"/>
  <c r="L21" i="50"/>
  <c r="L15" i="52"/>
  <c r="Z25" i="52"/>
  <c r="Z29" i="52"/>
  <c r="Z33" i="52"/>
  <c r="Z22" i="53"/>
  <c r="X15" i="52"/>
  <c r="N25" i="52"/>
  <c r="N29" i="52"/>
  <c r="N33" i="52"/>
  <c r="N34" i="52"/>
  <c r="N13" i="53"/>
  <c r="N22" i="53"/>
  <c r="N24" i="53"/>
  <c r="Z13" i="52"/>
  <c r="Z16" i="52"/>
  <c r="Z20" i="52"/>
  <c r="X22" i="52"/>
  <c r="X24" i="52"/>
  <c r="H18" i="53"/>
  <c r="J15" i="53"/>
  <c r="N12" i="53"/>
  <c r="J21" i="53"/>
  <c r="J36" i="53"/>
  <c r="J33" i="53"/>
  <c r="J29" i="53"/>
  <c r="J25" i="53"/>
  <c r="J22" i="53"/>
  <c r="J20" i="53"/>
  <c r="J16" i="53"/>
  <c r="J18" i="53"/>
  <c r="J34" i="53"/>
  <c r="J31" i="53"/>
  <c r="J27" i="53"/>
  <c r="J24" i="53"/>
  <c r="X13" i="53"/>
  <c r="Z15" i="53"/>
  <c r="X21" i="53"/>
  <c r="X12" i="52"/>
  <c r="R36" i="52"/>
  <c r="R34" i="52"/>
  <c r="R33" i="52"/>
  <c r="R31" i="52"/>
  <c r="R29" i="52"/>
  <c r="R27" i="52"/>
  <c r="R25" i="52"/>
  <c r="R21" i="52"/>
  <c r="R22" i="52"/>
  <c r="R20" i="52"/>
  <c r="R16" i="52"/>
  <c r="R24" i="52"/>
  <c r="R18" i="52"/>
  <c r="P18" i="52"/>
  <c r="R15" i="52"/>
  <c r="Z22" i="52"/>
  <c r="Z24" i="52"/>
  <c r="Z21" i="53"/>
  <c r="X25" i="53"/>
  <c r="X29" i="53"/>
  <c r="X33" i="53"/>
  <c r="X34" i="53"/>
  <c r="L16" i="52"/>
  <c r="L20" i="52"/>
  <c r="Z12" i="53"/>
  <c r="V24" i="53"/>
  <c r="V22" i="53"/>
  <c r="V20" i="53"/>
  <c r="V18" i="53"/>
  <c r="V16" i="53"/>
  <c r="V34" i="53"/>
  <c r="V31" i="53"/>
  <c r="V27" i="53"/>
  <c r="V21" i="53"/>
  <c r="T18" i="53"/>
  <c r="V15" i="53"/>
  <c r="V36" i="53"/>
  <c r="V33" i="53"/>
  <c r="V29" i="53"/>
  <c r="V25" i="53"/>
  <c r="L15" i="53"/>
  <c r="Z25" i="53"/>
  <c r="Z29" i="53"/>
  <c r="Z33" i="53"/>
  <c r="Z34" i="53"/>
  <c r="N16" i="52"/>
  <c r="N20" i="52"/>
  <c r="L22" i="52"/>
  <c r="L24" i="52"/>
  <c r="N15" i="53"/>
  <c r="L21" i="53"/>
  <c r="L13" i="52"/>
  <c r="N21" i="52"/>
  <c r="L25" i="52"/>
  <c r="L29" i="52"/>
  <c r="L33" i="52"/>
  <c r="L34" i="52"/>
  <c r="N16" i="53"/>
  <c r="N20" i="53"/>
  <c r="L22" i="53"/>
  <c r="L24" i="53"/>
  <c r="X15" i="113"/>
  <c r="F24" i="111"/>
  <c r="F22" i="111"/>
  <c r="F21" i="111"/>
  <c r="F20" i="111"/>
  <c r="F18" i="111"/>
  <c r="F16" i="111"/>
  <c r="D18" i="111"/>
  <c r="F15" i="111"/>
  <c r="F34" i="111"/>
  <c r="F31" i="111"/>
  <c r="F27" i="111"/>
  <c r="F36" i="111"/>
  <c r="F33" i="111"/>
  <c r="F29" i="111"/>
  <c r="F25" i="111"/>
  <c r="L12" i="111"/>
  <c r="N24" i="112"/>
  <c r="N20" i="113"/>
  <c r="L22" i="113"/>
  <c r="N22" i="113"/>
  <c r="F20" i="112"/>
  <c r="F18" i="112"/>
  <c r="F16" i="112"/>
  <c r="D18" i="112"/>
  <c r="F15" i="112"/>
  <c r="L12" i="112"/>
  <c r="F24" i="112"/>
  <c r="F21" i="112"/>
  <c r="F36" i="112"/>
  <c r="F33" i="112"/>
  <c r="F29" i="112"/>
  <c r="F25" i="112"/>
  <c r="F22" i="112"/>
  <c r="F34" i="112"/>
  <c r="F31" i="112"/>
  <c r="F27" i="112"/>
  <c r="L34" i="113"/>
  <c r="X24" i="111"/>
  <c r="N34" i="113"/>
  <c r="J20" i="111"/>
  <c r="J18" i="111"/>
  <c r="J16" i="111"/>
  <c r="H18" i="111"/>
  <c r="J15" i="111"/>
  <c r="J24" i="111"/>
  <c r="J21" i="111"/>
  <c r="J36" i="111"/>
  <c r="J33" i="111"/>
  <c r="J29" i="111"/>
  <c r="J25" i="111"/>
  <c r="J22" i="111"/>
  <c r="N12" i="111"/>
  <c r="J34" i="111"/>
  <c r="J31" i="111"/>
  <c r="J27" i="111"/>
  <c r="Z15" i="111"/>
  <c r="X21" i="111"/>
  <c r="X15" i="112"/>
  <c r="N34" i="112"/>
  <c r="L20" i="113"/>
  <c r="N25" i="113"/>
  <c r="Z21" i="111"/>
  <c r="X34" i="111"/>
  <c r="N12" i="112"/>
  <c r="J18" i="112"/>
  <c r="H18" i="112"/>
  <c r="J15" i="112"/>
  <c r="J36" i="112"/>
  <c r="J33" i="112"/>
  <c r="J29" i="112"/>
  <c r="J25" i="112"/>
  <c r="J22" i="112"/>
  <c r="J20" i="112"/>
  <c r="J16" i="112"/>
  <c r="J24" i="112"/>
  <c r="J34" i="112"/>
  <c r="J31" i="112"/>
  <c r="J27" i="112"/>
  <c r="J21" i="112"/>
  <c r="Z15" i="112"/>
  <c r="X21" i="112"/>
  <c r="L16" i="113"/>
  <c r="N13" i="111"/>
  <c r="N22" i="111"/>
  <c r="N16" i="112"/>
  <c r="N20" i="112"/>
  <c r="L22" i="112"/>
  <c r="N16" i="113"/>
  <c r="N25" i="111"/>
  <c r="N29" i="111"/>
  <c r="N33" i="111"/>
  <c r="L13" i="112"/>
  <c r="L25" i="112"/>
  <c r="L29" i="112"/>
  <c r="L33" i="112"/>
  <c r="L24" i="113"/>
  <c r="X16" i="111"/>
  <c r="X20" i="111"/>
  <c r="N13" i="112"/>
  <c r="N22" i="112"/>
  <c r="X13" i="111"/>
  <c r="N25" i="112"/>
  <c r="N29" i="112"/>
  <c r="N33" i="112"/>
  <c r="L13" i="113"/>
  <c r="N24" i="113"/>
  <c r="L33" i="113"/>
  <c r="Z13" i="111"/>
  <c r="Z16" i="111"/>
  <c r="Z20" i="111"/>
  <c r="X22" i="111"/>
  <c r="X16" i="112"/>
  <c r="X20" i="112"/>
  <c r="N13" i="113"/>
  <c r="N21" i="113"/>
  <c r="X25" i="111"/>
  <c r="X29" i="111"/>
  <c r="X33" i="111"/>
  <c r="X13" i="112"/>
  <c r="L29" i="113"/>
  <c r="N33" i="113"/>
  <c r="N24" i="111"/>
  <c r="L24" i="112"/>
  <c r="X15" i="111"/>
  <c r="N34" i="111"/>
  <c r="N21" i="112"/>
  <c r="L34" i="112"/>
  <c r="L25" i="113"/>
  <c r="N29" i="113"/>
  <c r="X12" i="111"/>
  <c r="R36" i="111"/>
  <c r="R34" i="111"/>
  <c r="R33" i="111"/>
  <c r="R31" i="111"/>
  <c r="R29" i="111"/>
  <c r="R27" i="111"/>
  <c r="R25" i="111"/>
  <c r="R22" i="111"/>
  <c r="R20" i="111"/>
  <c r="R16" i="111"/>
  <c r="R24" i="111"/>
  <c r="R18" i="111"/>
  <c r="R21" i="111"/>
  <c r="P18" i="111"/>
  <c r="R15" i="111"/>
  <c r="Z22" i="111"/>
  <c r="Z24" i="111"/>
  <c r="Z13" i="112"/>
  <c r="Z16" i="112"/>
  <c r="Z20" i="112"/>
  <c r="X22" i="112"/>
  <c r="X24" i="112"/>
  <c r="F20" i="113"/>
  <c r="F18" i="113"/>
  <c r="F16" i="113"/>
  <c r="L12" i="113"/>
  <c r="F29" i="113"/>
  <c r="F15" i="113"/>
  <c r="F33" i="113"/>
  <c r="D18" i="113"/>
  <c r="F21" i="113"/>
  <c r="F36" i="113"/>
  <c r="F24" i="113"/>
  <c r="F27" i="113"/>
  <c r="F31" i="113"/>
  <c r="F34" i="113"/>
  <c r="F22" i="113"/>
  <c r="F25" i="113"/>
  <c r="X16" i="113"/>
  <c r="X20" i="113"/>
  <c r="Z12" i="111"/>
  <c r="V36" i="111"/>
  <c r="V34" i="111"/>
  <c r="V33" i="111"/>
  <c r="V31" i="111"/>
  <c r="V29" i="111"/>
  <c r="V27" i="111"/>
  <c r="V25" i="111"/>
  <c r="V24" i="111"/>
  <c r="V22" i="111"/>
  <c r="V21" i="111"/>
  <c r="V20" i="111"/>
  <c r="V16" i="111"/>
  <c r="V18" i="111"/>
  <c r="T18" i="111"/>
  <c r="V15" i="111"/>
  <c r="L15" i="111"/>
  <c r="Z25" i="111"/>
  <c r="Z29" i="111"/>
  <c r="Z33" i="111"/>
  <c r="Z34" i="111"/>
  <c r="Z21" i="112"/>
  <c r="X25" i="112"/>
  <c r="X29" i="112"/>
  <c r="X33" i="112"/>
  <c r="X34" i="112"/>
  <c r="N12" i="113"/>
  <c r="J36" i="113"/>
  <c r="J34" i="113"/>
  <c r="J33" i="113"/>
  <c r="J31" i="113"/>
  <c r="J29" i="113"/>
  <c r="J27" i="113"/>
  <c r="J25" i="113"/>
  <c r="J15" i="113"/>
  <c r="J18" i="113"/>
  <c r="J21" i="113"/>
  <c r="H18" i="113"/>
  <c r="J24" i="113"/>
  <c r="J16" i="113"/>
  <c r="J22" i="113"/>
  <c r="J20" i="113"/>
  <c r="X13" i="113"/>
  <c r="Z15" i="113"/>
  <c r="X21" i="113"/>
  <c r="L16" i="111"/>
  <c r="L20" i="111"/>
  <c r="X12" i="112"/>
  <c r="R36" i="112"/>
  <c r="R34" i="112"/>
  <c r="R33" i="112"/>
  <c r="R31" i="112"/>
  <c r="R29" i="112"/>
  <c r="R27" i="112"/>
  <c r="R25" i="112"/>
  <c r="R24" i="112"/>
  <c r="R22" i="112"/>
  <c r="R21" i="112"/>
  <c r="R20" i="112"/>
  <c r="R16" i="112"/>
  <c r="R18" i="112"/>
  <c r="P18" i="112"/>
  <c r="R15" i="112"/>
  <c r="Z22" i="112"/>
  <c r="Z24" i="112"/>
  <c r="Z13" i="113"/>
  <c r="Z16" i="113"/>
  <c r="Z20" i="113"/>
  <c r="X22" i="113"/>
  <c r="X24" i="113"/>
  <c r="N15" i="111"/>
  <c r="L21" i="111"/>
  <c r="Z12" i="112"/>
  <c r="V36" i="112"/>
  <c r="V34" i="112"/>
  <c r="V33" i="112"/>
  <c r="V31" i="112"/>
  <c r="V29" i="112"/>
  <c r="V27" i="112"/>
  <c r="V25" i="112"/>
  <c r="V24" i="112"/>
  <c r="V22" i="112"/>
  <c r="V21" i="112"/>
  <c r="V20" i="112"/>
  <c r="V18" i="112"/>
  <c r="V16" i="112"/>
  <c r="T18" i="112"/>
  <c r="V15" i="112"/>
  <c r="L15" i="112"/>
  <c r="Z25" i="112"/>
  <c r="Z29" i="112"/>
  <c r="Z33" i="112"/>
  <c r="Z34" i="112"/>
  <c r="Z21" i="113"/>
  <c r="X25" i="113"/>
  <c r="X29" i="113"/>
  <c r="X33" i="113"/>
  <c r="X34" i="113"/>
  <c r="N16" i="111"/>
  <c r="N20" i="111"/>
  <c r="L22" i="111"/>
  <c r="L24" i="111"/>
  <c r="L16" i="112"/>
  <c r="L20" i="112"/>
  <c r="R36" i="113"/>
  <c r="R34" i="113"/>
  <c r="R33" i="113"/>
  <c r="R31" i="113"/>
  <c r="R29" i="113"/>
  <c r="R27" i="113"/>
  <c r="R25" i="113"/>
  <c r="R24" i="113"/>
  <c r="R22" i="113"/>
  <c r="R21" i="113"/>
  <c r="R20" i="113"/>
  <c r="R18" i="113"/>
  <c r="R16" i="113"/>
  <c r="P18" i="113"/>
  <c r="R15" i="113"/>
  <c r="X12" i="113"/>
  <c r="Z22" i="113"/>
  <c r="Z24" i="113"/>
  <c r="L13" i="111"/>
  <c r="N21" i="111"/>
  <c r="L25" i="111"/>
  <c r="L29" i="111"/>
  <c r="L33" i="111"/>
  <c r="L34" i="111"/>
  <c r="N15" i="112"/>
  <c r="L21" i="112"/>
  <c r="V24" i="113"/>
  <c r="V22" i="113"/>
  <c r="V21" i="113"/>
  <c r="V20" i="113"/>
  <c r="V18" i="113"/>
  <c r="V16" i="113"/>
  <c r="T18" i="113"/>
  <c r="V15" i="113"/>
  <c r="V33" i="113"/>
  <c r="V36" i="113"/>
  <c r="V27" i="113"/>
  <c r="V31" i="113"/>
  <c r="Z12" i="113"/>
  <c r="V34" i="113"/>
  <c r="V29" i="113"/>
  <c r="V25" i="113"/>
  <c r="L15" i="113"/>
  <c r="Z25" i="113"/>
  <c r="Z29" i="113"/>
  <c r="Z33" i="113"/>
  <c r="Z34" i="113"/>
  <c r="N15" i="113"/>
  <c r="L21" i="113"/>
  <c r="Z190" i="3"/>
  <c r="N215" i="3"/>
  <c r="F303" i="3"/>
  <c r="F292" i="3"/>
  <c r="F284" i="3"/>
  <c r="F280" i="3"/>
  <c r="F276" i="3"/>
  <c r="F260" i="3"/>
  <c r="F259" i="3"/>
  <c r="F304" i="3"/>
  <c r="F305" i="3"/>
  <c r="F286" i="3"/>
  <c r="F285" i="3"/>
  <c r="F270" i="3"/>
  <c r="F266" i="3"/>
  <c r="F306" i="3"/>
  <c r="F293" i="3"/>
  <c r="F281" i="3"/>
  <c r="F277" i="3"/>
  <c r="F261" i="3"/>
  <c r="F245" i="3"/>
  <c r="F244" i="3"/>
  <c r="F237" i="3"/>
  <c r="F236" i="3"/>
  <c r="F307" i="3"/>
  <c r="F272" i="3"/>
  <c r="F271" i="3"/>
  <c r="F256" i="3"/>
  <c r="F282" i="3"/>
  <c r="F278" i="3"/>
  <c r="F262" i="3"/>
  <c r="F238" i="3"/>
  <c r="F230" i="3"/>
  <c r="F311" i="3"/>
  <c r="F298" i="3"/>
  <c r="F289" i="3"/>
  <c r="F288" i="3"/>
  <c r="F273" i="3"/>
  <c r="F257" i="3"/>
  <c r="F249" i="3"/>
  <c r="F248" i="3"/>
  <c r="F299" i="3"/>
  <c r="F268" i="3"/>
  <c r="F240" i="3"/>
  <c r="F239" i="3"/>
  <c r="F300" i="3"/>
  <c r="F291" i="3"/>
  <c r="F290" i="3"/>
  <c r="F283" i="3"/>
  <c r="F279" i="3"/>
  <c r="F275" i="3"/>
  <c r="F274" i="3"/>
  <c r="F263" i="3"/>
  <c r="F251" i="3"/>
  <c r="F250" i="3"/>
  <c r="F231" i="3"/>
  <c r="F316" i="3"/>
  <c r="F315" i="3"/>
  <c r="F301" i="3"/>
  <c r="F258" i="3"/>
  <c r="F294" i="3"/>
  <c r="F254" i="3"/>
  <c r="F233" i="3"/>
  <c r="F229" i="3"/>
  <c r="F216" i="3"/>
  <c r="F215" i="3"/>
  <c r="F200" i="3"/>
  <c r="F196" i="3"/>
  <c r="F192" i="3"/>
  <c r="F191" i="3"/>
  <c r="F252" i="3"/>
  <c r="F223" i="3"/>
  <c r="F190" i="3"/>
  <c r="F188" i="3"/>
  <c r="F183" i="3"/>
  <c r="F179" i="3"/>
  <c r="F175" i="3"/>
  <c r="F171" i="3"/>
  <c r="F167" i="3"/>
  <c r="F163" i="3"/>
  <c r="F159" i="3"/>
  <c r="F155" i="3"/>
  <c r="F151" i="3"/>
  <c r="F147" i="3"/>
  <c r="F143" i="3"/>
  <c r="F139" i="3"/>
  <c r="F135" i="3"/>
  <c r="F131" i="3"/>
  <c r="F287" i="3"/>
  <c r="F265" i="3"/>
  <c r="F246" i="3"/>
  <c r="F210" i="3"/>
  <c r="F206" i="3"/>
  <c r="D188" i="3"/>
  <c r="F267" i="3"/>
  <c r="F217" i="3"/>
  <c r="F201" i="3"/>
  <c r="F197" i="3"/>
  <c r="F193" i="3"/>
  <c r="F228" i="3"/>
  <c r="F242" i="3"/>
  <c r="F224" i="3"/>
  <c r="F184" i="3"/>
  <c r="F180" i="3"/>
  <c r="F176" i="3"/>
  <c r="F172" i="3"/>
  <c r="F168" i="3"/>
  <c r="F164" i="3"/>
  <c r="F160" i="3"/>
  <c r="F156" i="3"/>
  <c r="F152" i="3"/>
  <c r="F148" i="3"/>
  <c r="F144" i="3"/>
  <c r="F140" i="3"/>
  <c r="F136" i="3"/>
  <c r="F132" i="3"/>
  <c r="F255" i="3"/>
  <c r="F219" i="3"/>
  <c r="F218" i="3"/>
  <c r="F211" i="3"/>
  <c r="F207" i="3"/>
  <c r="F203" i="3"/>
  <c r="F202" i="3"/>
  <c r="F295" i="3"/>
  <c r="F269" i="3"/>
  <c r="F253" i="3"/>
  <c r="F234" i="3"/>
  <c r="F226" i="3"/>
  <c r="F225" i="3"/>
  <c r="F198" i="3"/>
  <c r="F194" i="3"/>
  <c r="L12" i="3"/>
  <c r="N12" i="3" s="1"/>
  <c r="F247" i="3"/>
  <c r="F232" i="3"/>
  <c r="F221" i="3"/>
  <c r="F220" i="3"/>
  <c r="F185" i="3"/>
  <c r="F181" i="3"/>
  <c r="F177" i="3"/>
  <c r="F173" i="3"/>
  <c r="F169" i="3"/>
  <c r="F165" i="3"/>
  <c r="F161" i="3"/>
  <c r="F157" i="3"/>
  <c r="F153" i="3"/>
  <c r="F149" i="3"/>
  <c r="F145" i="3"/>
  <c r="F141" i="3"/>
  <c r="F137" i="3"/>
  <c r="F133" i="3"/>
  <c r="F235" i="3"/>
  <c r="F302" i="3"/>
  <c r="F264" i="3"/>
  <c r="F212" i="3"/>
  <c r="F208" i="3"/>
  <c r="F204" i="3"/>
  <c r="F243" i="3"/>
  <c r="F227" i="3"/>
  <c r="F199" i="3"/>
  <c r="F195" i="3"/>
  <c r="F205" i="3"/>
  <c r="F241" i="3"/>
  <c r="F222" i="3"/>
  <c r="F214" i="3"/>
  <c r="F213" i="3"/>
  <c r="F186" i="3"/>
  <c r="F182" i="3"/>
  <c r="F178" i="3"/>
  <c r="F174" i="3"/>
  <c r="F170" i="3"/>
  <c r="F166" i="3"/>
  <c r="F162" i="3"/>
  <c r="F158" i="3"/>
  <c r="F154" i="3"/>
  <c r="F150" i="3"/>
  <c r="F146" i="3"/>
  <c r="F142" i="3"/>
  <c r="F138" i="3"/>
  <c r="F134" i="3"/>
  <c r="F130" i="3"/>
  <c r="F129" i="3"/>
  <c r="F209" i="3"/>
  <c r="R272" i="3"/>
  <c r="R256" i="3"/>
  <c r="R295" i="3"/>
  <c r="R288" i="3"/>
  <c r="R287" i="3"/>
  <c r="R267" i="3"/>
  <c r="R298" i="3"/>
  <c r="R282" i="3"/>
  <c r="R278" i="3"/>
  <c r="R262" i="3"/>
  <c r="R239" i="3"/>
  <c r="R238" i="3"/>
  <c r="R230" i="3"/>
  <c r="R311" i="3"/>
  <c r="R299" i="3"/>
  <c r="R290" i="3"/>
  <c r="R289" i="3"/>
  <c r="R274" i="3"/>
  <c r="R273" i="3"/>
  <c r="R257" i="3"/>
  <c r="R250" i="3"/>
  <c r="R249" i="3"/>
  <c r="R316" i="3"/>
  <c r="R315" i="3"/>
  <c r="R300" i="3"/>
  <c r="R268" i="3"/>
  <c r="R240" i="3"/>
  <c r="R302" i="3"/>
  <c r="R259" i="3"/>
  <c r="R258" i="3"/>
  <c r="R303" i="3"/>
  <c r="R269" i="3"/>
  <c r="R265" i="3"/>
  <c r="R254" i="3"/>
  <c r="R253" i="3"/>
  <c r="R242" i="3"/>
  <c r="R241" i="3"/>
  <c r="R234" i="3"/>
  <c r="R233" i="3"/>
  <c r="R304" i="3"/>
  <c r="R292" i="3"/>
  <c r="R285" i="3"/>
  <c r="R284" i="3"/>
  <c r="R280" i="3"/>
  <c r="R276" i="3"/>
  <c r="R260" i="3"/>
  <c r="R305" i="3"/>
  <c r="R255" i="3"/>
  <c r="R244" i="3"/>
  <c r="R243" i="3"/>
  <c r="R236" i="3"/>
  <c r="R235" i="3"/>
  <c r="R306" i="3"/>
  <c r="R286" i="3"/>
  <c r="R271" i="3"/>
  <c r="R270" i="3"/>
  <c r="R266" i="3"/>
  <c r="R301" i="3"/>
  <c r="R263" i="3"/>
  <c r="R225" i="3"/>
  <c r="R224" i="3"/>
  <c r="R184" i="3"/>
  <c r="R180" i="3"/>
  <c r="R176" i="3"/>
  <c r="R172" i="3"/>
  <c r="R168" i="3"/>
  <c r="R164" i="3"/>
  <c r="R160" i="3"/>
  <c r="R156" i="3"/>
  <c r="R152" i="3"/>
  <c r="R148" i="3"/>
  <c r="R144" i="3"/>
  <c r="R140" i="3"/>
  <c r="R136" i="3"/>
  <c r="R132" i="3"/>
  <c r="R307" i="3"/>
  <c r="R291" i="3"/>
  <c r="R275" i="3"/>
  <c r="R220" i="3"/>
  <c r="R219" i="3"/>
  <c r="R211" i="3"/>
  <c r="R207" i="3"/>
  <c r="R203" i="3"/>
  <c r="R226" i="3"/>
  <c r="R198" i="3"/>
  <c r="R194" i="3"/>
  <c r="X12" i="3"/>
  <c r="R217" i="3"/>
  <c r="R193" i="3"/>
  <c r="R221" i="3"/>
  <c r="R185" i="3"/>
  <c r="R181" i="3"/>
  <c r="R177" i="3"/>
  <c r="R173" i="3"/>
  <c r="R169" i="3"/>
  <c r="R165" i="3"/>
  <c r="R161" i="3"/>
  <c r="R157" i="3"/>
  <c r="R153" i="3"/>
  <c r="R149" i="3"/>
  <c r="R145" i="3"/>
  <c r="R141" i="3"/>
  <c r="R137" i="3"/>
  <c r="R133" i="3"/>
  <c r="R201" i="3"/>
  <c r="R293" i="3"/>
  <c r="R277" i="3"/>
  <c r="R232" i="3"/>
  <c r="R213" i="3"/>
  <c r="R212" i="3"/>
  <c r="R208" i="3"/>
  <c r="R204" i="3"/>
  <c r="R129" i="3"/>
  <c r="R264" i="3"/>
  <c r="R251" i="3"/>
  <c r="R247" i="3"/>
  <c r="R228" i="3"/>
  <c r="R227" i="3"/>
  <c r="R199" i="3"/>
  <c r="R195" i="3"/>
  <c r="R279" i="3"/>
  <c r="R222" i="3"/>
  <c r="R215" i="3"/>
  <c r="R214" i="3"/>
  <c r="R191" i="3"/>
  <c r="R186" i="3"/>
  <c r="R182" i="3"/>
  <c r="R178" i="3"/>
  <c r="R174" i="3"/>
  <c r="R170" i="3"/>
  <c r="R166" i="3"/>
  <c r="R162" i="3"/>
  <c r="R158" i="3"/>
  <c r="R154" i="3"/>
  <c r="R150" i="3"/>
  <c r="R146" i="3"/>
  <c r="R142" i="3"/>
  <c r="R138" i="3"/>
  <c r="R134" i="3"/>
  <c r="R130" i="3"/>
  <c r="R245" i="3"/>
  <c r="R209" i="3"/>
  <c r="R205" i="3"/>
  <c r="R190" i="3"/>
  <c r="R197" i="3"/>
  <c r="R237" i="3"/>
  <c r="R216" i="3"/>
  <c r="R200" i="3"/>
  <c r="R196" i="3"/>
  <c r="R192" i="3"/>
  <c r="P188" i="3"/>
  <c r="R188" i="3" s="1"/>
  <c r="R231" i="3"/>
  <c r="R202" i="3"/>
  <c r="R294" i="3"/>
  <c r="R281" i="3"/>
  <c r="R229" i="3"/>
  <c r="R223" i="3"/>
  <c r="R183" i="3"/>
  <c r="R179" i="3"/>
  <c r="R175" i="3"/>
  <c r="R171" i="3"/>
  <c r="R167" i="3"/>
  <c r="R163" i="3"/>
  <c r="R159" i="3"/>
  <c r="R155" i="3"/>
  <c r="R151" i="3"/>
  <c r="R147" i="3"/>
  <c r="R143" i="3"/>
  <c r="R139" i="3"/>
  <c r="R135" i="3"/>
  <c r="R131" i="3"/>
  <c r="R261" i="3"/>
  <c r="R218" i="3"/>
  <c r="R283" i="3"/>
  <c r="R252" i="3"/>
  <c r="R248" i="3"/>
  <c r="R246" i="3"/>
  <c r="R210" i="3"/>
  <c r="R206" i="3"/>
  <c r="N213" i="3"/>
  <c r="Z215" i="3"/>
  <c r="N191" i="3"/>
  <c r="N202" i="3"/>
  <c r="N129" i="3"/>
  <c r="N190" i="3"/>
  <c r="L13" i="3"/>
  <c r="N13" i="3" s="1"/>
  <c r="J191" i="3"/>
  <c r="V193" i="3"/>
  <c r="V197" i="3"/>
  <c r="V201" i="3"/>
  <c r="J205" i="3"/>
  <c r="J209" i="3"/>
  <c r="J215" i="3"/>
  <c r="V217" i="3"/>
  <c r="V225" i="3"/>
  <c r="V250" i="3"/>
  <c r="J254" i="3"/>
  <c r="J276" i="3"/>
  <c r="J292" i="3"/>
  <c r="N31" i="9"/>
  <c r="N55" i="9"/>
  <c r="Z184" i="12"/>
  <c r="Z189" i="12"/>
  <c r="L216" i="12"/>
  <c r="N220" i="12"/>
  <c r="F232" i="15"/>
  <c r="F228" i="15"/>
  <c r="F227" i="15"/>
  <c r="F216" i="15"/>
  <c r="F184" i="15"/>
  <c r="F183" i="15"/>
  <c r="F148" i="15"/>
  <c r="F144" i="15"/>
  <c r="F140" i="15"/>
  <c r="F136" i="15"/>
  <c r="F132" i="15"/>
  <c r="F128" i="15"/>
  <c r="F124" i="15"/>
  <c r="F120" i="15"/>
  <c r="F116" i="15"/>
  <c r="F112" i="15"/>
  <c r="F108" i="15"/>
  <c r="F104" i="15"/>
  <c r="F248" i="15"/>
  <c r="F239" i="15"/>
  <c r="F238" i="15"/>
  <c r="F211" i="15"/>
  <c r="F210" i="15"/>
  <c r="F199" i="15"/>
  <c r="F191" i="15"/>
  <c r="F190" i="15"/>
  <c r="F175" i="15"/>
  <c r="F171" i="15"/>
  <c r="F167" i="15"/>
  <c r="F249" i="15"/>
  <c r="F222" i="15"/>
  <c r="F162" i="15"/>
  <c r="F158" i="15"/>
  <c r="F250" i="15"/>
  <c r="F241" i="15"/>
  <c r="F240" i="15"/>
  <c r="F233" i="15"/>
  <c r="F229" i="15"/>
  <c r="F217" i="15"/>
  <c r="F201" i="15"/>
  <c r="F200" i="15"/>
  <c r="F185" i="15"/>
  <c r="F177" i="15"/>
  <c r="F176" i="15"/>
  <c r="F149" i="15"/>
  <c r="F145" i="15"/>
  <c r="F141" i="15"/>
  <c r="F137" i="15"/>
  <c r="F133" i="15"/>
  <c r="F129" i="15"/>
  <c r="F125" i="15"/>
  <c r="F121" i="15"/>
  <c r="F117" i="15"/>
  <c r="F113" i="15"/>
  <c r="F109" i="15"/>
  <c r="F105" i="15"/>
  <c r="F251" i="15"/>
  <c r="F212" i="15"/>
  <c r="F192" i="15"/>
  <c r="F172" i="15"/>
  <c r="F168" i="15"/>
  <c r="F252" i="15"/>
  <c r="F223" i="15"/>
  <c r="F203" i="15"/>
  <c r="F202" i="15"/>
  <c r="F179" i="15"/>
  <c r="F178" i="15"/>
  <c r="F163" i="15"/>
  <c r="F159" i="15"/>
  <c r="F155" i="15"/>
  <c r="F154" i="15"/>
  <c r="F253" i="15"/>
  <c r="F242" i="15"/>
  <c r="F234" i="15"/>
  <c r="F230" i="15"/>
  <c r="F218" i="15"/>
  <c r="F194" i="15"/>
  <c r="F193" i="15"/>
  <c r="F186" i="15"/>
  <c r="F153" i="15"/>
  <c r="F151" i="15"/>
  <c r="F146" i="15"/>
  <c r="F142" i="15"/>
  <c r="F138" i="15"/>
  <c r="F134" i="15"/>
  <c r="F130" i="15"/>
  <c r="F126" i="15"/>
  <c r="F122" i="15"/>
  <c r="F118" i="15"/>
  <c r="F114" i="15"/>
  <c r="F110" i="15"/>
  <c r="F106" i="15"/>
  <c r="F102" i="15"/>
  <c r="F101" i="15"/>
  <c r="F254" i="15"/>
  <c r="F225" i="15"/>
  <c r="F224" i="15"/>
  <c r="F213" i="15"/>
  <c r="F205" i="15"/>
  <c r="F204" i="15"/>
  <c r="F173" i="15"/>
  <c r="F169" i="15"/>
  <c r="D151" i="15"/>
  <c r="F236" i="15"/>
  <c r="F235" i="15"/>
  <c r="F220" i="15"/>
  <c r="F219" i="15"/>
  <c r="F196" i="15"/>
  <c r="F195" i="15"/>
  <c r="F188" i="15"/>
  <c r="F187" i="15"/>
  <c r="F180" i="15"/>
  <c r="F164" i="15"/>
  <c r="F160" i="15"/>
  <c r="F156" i="15"/>
  <c r="F243" i="15"/>
  <c r="F231" i="15"/>
  <c r="F215" i="15"/>
  <c r="F214" i="15"/>
  <c r="F207" i="15"/>
  <c r="F206" i="15"/>
  <c r="F147" i="15"/>
  <c r="F143" i="15"/>
  <c r="F139" i="15"/>
  <c r="F135" i="15"/>
  <c r="F131" i="15"/>
  <c r="F127" i="15"/>
  <c r="F123" i="15"/>
  <c r="F119" i="15"/>
  <c r="F115" i="15"/>
  <c r="F111" i="15"/>
  <c r="F107" i="15"/>
  <c r="F103" i="15"/>
  <c r="F258" i="15"/>
  <c r="F226" i="15"/>
  <c r="F198" i="15"/>
  <c r="F197" i="15"/>
  <c r="F182" i="15"/>
  <c r="F181" i="15"/>
  <c r="F174" i="15"/>
  <c r="F170" i="15"/>
  <c r="F166" i="15"/>
  <c r="F165" i="15"/>
  <c r="F189" i="15"/>
  <c r="F244" i="15"/>
  <c r="F237" i="15"/>
  <c r="F157" i="15"/>
  <c r="F221" i="15"/>
  <c r="F209" i="15"/>
  <c r="L12" i="15"/>
  <c r="F161" i="15"/>
  <c r="J130" i="3"/>
  <c r="J134" i="3"/>
  <c r="J138" i="3"/>
  <c r="J142" i="3"/>
  <c r="J146" i="3"/>
  <c r="J150" i="3"/>
  <c r="J154" i="3"/>
  <c r="J158" i="3"/>
  <c r="J162" i="3"/>
  <c r="J166" i="3"/>
  <c r="J170" i="3"/>
  <c r="J174" i="3"/>
  <c r="J178" i="3"/>
  <c r="J182" i="3"/>
  <c r="J186" i="3"/>
  <c r="V202" i="3"/>
  <c r="V206" i="3"/>
  <c r="V210" i="3"/>
  <c r="J214" i="3"/>
  <c r="V218" i="3"/>
  <c r="J222" i="3"/>
  <c r="J228" i="3"/>
  <c r="N239" i="3"/>
  <c r="Z248" i="3"/>
  <c r="N259" i="3"/>
  <c r="N271" i="3"/>
  <c r="N53" i="9"/>
  <c r="N105" i="12"/>
  <c r="N236" i="12"/>
  <c r="J129" i="3"/>
  <c r="V131" i="3"/>
  <c r="V135" i="3"/>
  <c r="V139" i="3"/>
  <c r="V143" i="3"/>
  <c r="V147" i="3"/>
  <c r="V151" i="3"/>
  <c r="V155" i="3"/>
  <c r="V159" i="3"/>
  <c r="V163" i="3"/>
  <c r="V167" i="3"/>
  <c r="V171" i="3"/>
  <c r="V175" i="3"/>
  <c r="V179" i="3"/>
  <c r="V183" i="3"/>
  <c r="J195" i="3"/>
  <c r="J199" i="3"/>
  <c r="J213" i="3"/>
  <c r="V223" i="3"/>
  <c r="J227" i="3"/>
  <c r="V248" i="3"/>
  <c r="X259" i="3"/>
  <c r="N288" i="3"/>
  <c r="Z220" i="12"/>
  <c r="T151" i="15"/>
  <c r="J304" i="3"/>
  <c r="J285" i="3"/>
  <c r="J255" i="3"/>
  <c r="J243" i="3"/>
  <c r="J235" i="3"/>
  <c r="J305" i="3"/>
  <c r="J286" i="3"/>
  <c r="J270" i="3"/>
  <c r="J266" i="3"/>
  <c r="J306" i="3"/>
  <c r="J293" i="3"/>
  <c r="J281" i="3"/>
  <c r="J277" i="3"/>
  <c r="J271" i="3"/>
  <c r="J261" i="3"/>
  <c r="J245" i="3"/>
  <c r="J237" i="3"/>
  <c r="J229" i="3"/>
  <c r="J307" i="3"/>
  <c r="J294" i="3"/>
  <c r="J272" i="3"/>
  <c r="J256" i="3"/>
  <c r="J246" i="3"/>
  <c r="J295" i="3"/>
  <c r="J287" i="3"/>
  <c r="J267" i="3"/>
  <c r="J247" i="3"/>
  <c r="J311" i="3"/>
  <c r="J298" i="3"/>
  <c r="J297" i="3"/>
  <c r="J289" i="3"/>
  <c r="J273" i="3"/>
  <c r="J257" i="3"/>
  <c r="J249" i="3"/>
  <c r="J239" i="3"/>
  <c r="J299" i="3"/>
  <c r="J290" i="3"/>
  <c r="J274" i="3"/>
  <c r="J268" i="3"/>
  <c r="J250" i="3"/>
  <c r="J240" i="3"/>
  <c r="J316" i="3"/>
  <c r="J315" i="3"/>
  <c r="J300" i="3"/>
  <c r="J291" i="3"/>
  <c r="J283" i="3"/>
  <c r="J279" i="3"/>
  <c r="J275" i="3"/>
  <c r="J263" i="3"/>
  <c r="J251" i="3"/>
  <c r="J231" i="3"/>
  <c r="J301" i="3"/>
  <c r="J264" i="3"/>
  <c r="J258" i="3"/>
  <c r="J252" i="3"/>
  <c r="J232" i="3"/>
  <c r="J302" i="3"/>
  <c r="J269" i="3"/>
  <c r="J265" i="3"/>
  <c r="J259" i="3"/>
  <c r="J253" i="3"/>
  <c r="J241" i="3"/>
  <c r="J233" i="3"/>
  <c r="X13" i="3"/>
  <c r="Z13" i="3" s="1"/>
  <c r="V192" i="3"/>
  <c r="V196" i="3"/>
  <c r="V200" i="3"/>
  <c r="J204" i="3"/>
  <c r="J208" i="3"/>
  <c r="J212" i="3"/>
  <c r="V216" i="3"/>
  <c r="V254" i="3"/>
  <c r="Z259" i="3"/>
  <c r="Z271" i="3"/>
  <c r="J284" i="3"/>
  <c r="J288" i="3"/>
  <c r="Z31" i="9"/>
  <c r="N59" i="9"/>
  <c r="N67" i="9"/>
  <c r="N88" i="9"/>
  <c r="N93" i="9"/>
  <c r="Z105" i="12"/>
  <c r="Z236" i="12"/>
  <c r="J133" i="3"/>
  <c r="J137" i="3"/>
  <c r="J141" i="3"/>
  <c r="J145" i="3"/>
  <c r="J149" i="3"/>
  <c r="J153" i="3"/>
  <c r="J157" i="3"/>
  <c r="J161" i="3"/>
  <c r="J165" i="3"/>
  <c r="J169" i="3"/>
  <c r="J173" i="3"/>
  <c r="J177" i="3"/>
  <c r="J181" i="3"/>
  <c r="J185" i="3"/>
  <c r="T188" i="3"/>
  <c r="V205" i="3"/>
  <c r="V209" i="3"/>
  <c r="J221" i="3"/>
  <c r="J230" i="3"/>
  <c r="J282" i="3"/>
  <c r="X300" i="3"/>
  <c r="P297" i="3"/>
  <c r="X297" i="3" s="1"/>
  <c r="X44" i="9"/>
  <c r="Z44" i="9" s="1"/>
  <c r="N193" i="12"/>
  <c r="N214" i="12"/>
  <c r="L224" i="12"/>
  <c r="N224" i="12" s="1"/>
  <c r="N229" i="12"/>
  <c r="Z260" i="12"/>
  <c r="D125" i="24"/>
  <c r="L72" i="24"/>
  <c r="V130" i="3"/>
  <c r="V134" i="3"/>
  <c r="V138" i="3"/>
  <c r="V142" i="3"/>
  <c r="V146" i="3"/>
  <c r="V150" i="3"/>
  <c r="V154" i="3"/>
  <c r="V158" i="3"/>
  <c r="V162" i="3"/>
  <c r="V166" i="3"/>
  <c r="V170" i="3"/>
  <c r="V174" i="3"/>
  <c r="V178" i="3"/>
  <c r="V182" i="3"/>
  <c r="V186" i="3"/>
  <c r="V188" i="3"/>
  <c r="V190" i="3"/>
  <c r="J194" i="3"/>
  <c r="J198" i="3"/>
  <c r="V214" i="3"/>
  <c r="J220" i="3"/>
  <c r="V222" i="3"/>
  <c r="J226" i="3"/>
  <c r="N234" i="3"/>
  <c r="J236" i="3"/>
  <c r="J238" i="3"/>
  <c r="X239" i="3"/>
  <c r="Z239" i="3" s="1"/>
  <c r="J260" i="3"/>
  <c r="P99" i="9"/>
  <c r="X88" i="9"/>
  <c r="Z88" i="9" s="1"/>
  <c r="P12" i="12"/>
  <c r="X23" i="12"/>
  <c r="P12" i="15"/>
  <c r="X13" i="15"/>
  <c r="Z13" i="15" s="1"/>
  <c r="V191" i="3"/>
  <c r="V195" i="3"/>
  <c r="V199" i="3"/>
  <c r="J203" i="3"/>
  <c r="J207" i="3"/>
  <c r="J211" i="3"/>
  <c r="V215" i="3"/>
  <c r="J219" i="3"/>
  <c r="J225" i="3"/>
  <c r="V227" i="3"/>
  <c r="V230" i="3"/>
  <c r="J234" i="3"/>
  <c r="V288" i="3"/>
  <c r="Z59" i="9"/>
  <c r="Z93" i="9"/>
  <c r="D12" i="12"/>
  <c r="Z159" i="12"/>
  <c r="L196" i="12"/>
  <c r="Z214" i="12"/>
  <c r="Z229" i="12"/>
  <c r="V297" i="3"/>
  <c r="V295" i="3"/>
  <c r="V287" i="3"/>
  <c r="V267" i="3"/>
  <c r="V247" i="3"/>
  <c r="V239" i="3"/>
  <c r="V298" i="3"/>
  <c r="V290" i="3"/>
  <c r="V282" i="3"/>
  <c r="V278" i="3"/>
  <c r="V274" i="3"/>
  <c r="V262" i="3"/>
  <c r="V316" i="3"/>
  <c r="V315" i="3"/>
  <c r="V311" i="3"/>
  <c r="V299" i="3"/>
  <c r="V289" i="3"/>
  <c r="V273" i="3"/>
  <c r="V257" i="3"/>
  <c r="V249" i="3"/>
  <c r="V300" i="3"/>
  <c r="V268" i="3"/>
  <c r="V264" i="3"/>
  <c r="V252" i="3"/>
  <c r="V240" i="3"/>
  <c r="V232" i="3"/>
  <c r="V301" i="3"/>
  <c r="V291" i="3"/>
  <c r="V283" i="3"/>
  <c r="V279" i="3"/>
  <c r="V275" i="3"/>
  <c r="V263" i="3"/>
  <c r="V259" i="3"/>
  <c r="V251" i="3"/>
  <c r="V231" i="3"/>
  <c r="V303" i="3"/>
  <c r="V285" i="3"/>
  <c r="V269" i="3"/>
  <c r="V265" i="3"/>
  <c r="V253" i="3"/>
  <c r="V241" i="3"/>
  <c r="V233" i="3"/>
  <c r="V304" i="3"/>
  <c r="V292" i="3"/>
  <c r="V284" i="3"/>
  <c r="V280" i="3"/>
  <c r="V276" i="3"/>
  <c r="V260" i="3"/>
  <c r="V244" i="3"/>
  <c r="V236" i="3"/>
  <c r="V305" i="3"/>
  <c r="V271" i="3"/>
  <c r="V255" i="3"/>
  <c r="V243" i="3"/>
  <c r="V235" i="3"/>
  <c r="V306" i="3"/>
  <c r="V294" i="3"/>
  <c r="V286" i="3"/>
  <c r="V270" i="3"/>
  <c r="V266" i="3"/>
  <c r="V246" i="3"/>
  <c r="V307" i="3"/>
  <c r="V293" i="3"/>
  <c r="V281" i="3"/>
  <c r="V277" i="3"/>
  <c r="V261" i="3"/>
  <c r="V245" i="3"/>
  <c r="V237" i="3"/>
  <c r="V229" i="3"/>
  <c r="J132" i="3"/>
  <c r="J136" i="3"/>
  <c r="J140" i="3"/>
  <c r="J144" i="3"/>
  <c r="J148" i="3"/>
  <c r="J152" i="3"/>
  <c r="J156" i="3"/>
  <c r="J160" i="3"/>
  <c r="J164" i="3"/>
  <c r="J168" i="3"/>
  <c r="J172" i="3"/>
  <c r="J176" i="3"/>
  <c r="J180" i="3"/>
  <c r="J184" i="3"/>
  <c r="J202" i="3"/>
  <c r="V204" i="3"/>
  <c r="V208" i="3"/>
  <c r="V212" i="3"/>
  <c r="J218" i="3"/>
  <c r="J224" i="3"/>
  <c r="V228" i="3"/>
  <c r="J244" i="3"/>
  <c r="V272" i="3"/>
  <c r="J280" i="3"/>
  <c r="N297" i="3"/>
  <c r="L301" i="3"/>
  <c r="D297" i="3"/>
  <c r="L297" i="3" s="1"/>
  <c r="Z315" i="3"/>
  <c r="L50" i="9"/>
  <c r="N196" i="12"/>
  <c r="Z224" i="12"/>
  <c r="F245" i="15"/>
  <c r="V129" i="3"/>
  <c r="V133" i="3"/>
  <c r="V137" i="3"/>
  <c r="V141" i="3"/>
  <c r="V145" i="3"/>
  <c r="V149" i="3"/>
  <c r="V153" i="3"/>
  <c r="V157" i="3"/>
  <c r="V161" i="3"/>
  <c r="V165" i="3"/>
  <c r="V169" i="3"/>
  <c r="V173" i="3"/>
  <c r="V177" i="3"/>
  <c r="V181" i="3"/>
  <c r="V185" i="3"/>
  <c r="J193" i="3"/>
  <c r="J197" i="3"/>
  <c r="J201" i="3"/>
  <c r="V213" i="3"/>
  <c r="J217" i="3"/>
  <c r="V221" i="3"/>
  <c r="V238" i="3"/>
  <c r="J242" i="3"/>
  <c r="V258" i="3"/>
  <c r="N18" i="9"/>
  <c r="N50" i="9"/>
  <c r="X210" i="12"/>
  <c r="Z12" i="3"/>
  <c r="V194" i="3"/>
  <c r="V198" i="3"/>
  <c r="J206" i="3"/>
  <c r="J210" i="3"/>
  <c r="V226" i="3"/>
  <c r="V234" i="3"/>
  <c r="J278" i="3"/>
  <c r="Z297" i="3"/>
  <c r="N160" i="12"/>
  <c r="N206" i="12"/>
  <c r="N208" i="12"/>
  <c r="Z210" i="12"/>
  <c r="J131" i="3"/>
  <c r="J135" i="3"/>
  <c r="J139" i="3"/>
  <c r="J143" i="3"/>
  <c r="J147" i="3"/>
  <c r="J151" i="3"/>
  <c r="J155" i="3"/>
  <c r="J159" i="3"/>
  <c r="J163" i="3"/>
  <c r="J167" i="3"/>
  <c r="J171" i="3"/>
  <c r="J175" i="3"/>
  <c r="J179" i="3"/>
  <c r="J183" i="3"/>
  <c r="H188" i="3"/>
  <c r="V203" i="3"/>
  <c r="V207" i="3"/>
  <c r="V211" i="3"/>
  <c r="V219" i="3"/>
  <c r="J223" i="3"/>
  <c r="J248" i="3"/>
  <c r="N285" i="3"/>
  <c r="J303" i="3"/>
  <c r="Z18" i="9"/>
  <c r="N184" i="12"/>
  <c r="F208" i="15"/>
  <c r="H16" i="6"/>
  <c r="N12" i="9"/>
  <c r="R14" i="9"/>
  <c r="R16" i="9"/>
  <c r="R18" i="9"/>
  <c r="V24" i="9"/>
  <c r="V28" i="9"/>
  <c r="J32" i="9"/>
  <c r="R33" i="9"/>
  <c r="J36" i="9"/>
  <c r="R37" i="9"/>
  <c r="J40" i="9"/>
  <c r="R41" i="9"/>
  <c r="R42" i="9"/>
  <c r="V44" i="9"/>
  <c r="F48" i="9"/>
  <c r="F49" i="9"/>
  <c r="J50" i="9"/>
  <c r="V52" i="9"/>
  <c r="J60" i="9"/>
  <c r="V64" i="9"/>
  <c r="J68" i="9"/>
  <c r="R69" i="9"/>
  <c r="F72" i="9"/>
  <c r="F73" i="9"/>
  <c r="R81" i="9"/>
  <c r="F85" i="9"/>
  <c r="V88" i="9"/>
  <c r="J92" i="9"/>
  <c r="L93" i="9"/>
  <c r="X97" i="9"/>
  <c r="J106" i="12"/>
  <c r="J110" i="12"/>
  <c r="J114" i="12"/>
  <c r="J118" i="12"/>
  <c r="J122" i="12"/>
  <c r="J126" i="12"/>
  <c r="J130" i="12"/>
  <c r="J134" i="12"/>
  <c r="J138" i="12"/>
  <c r="J142" i="12"/>
  <c r="J146" i="12"/>
  <c r="J150" i="12"/>
  <c r="J154" i="12"/>
  <c r="T157" i="12"/>
  <c r="V174" i="12"/>
  <c r="V178" i="12"/>
  <c r="J190" i="12"/>
  <c r="J196" i="12"/>
  <c r="V198" i="12"/>
  <c r="V210" i="12"/>
  <c r="J216" i="12"/>
  <c r="J224" i="12"/>
  <c r="V226" i="12"/>
  <c r="J230" i="12"/>
  <c r="J234" i="12"/>
  <c r="V242" i="12"/>
  <c r="V246" i="12"/>
  <c r="J250" i="12"/>
  <c r="V254" i="12"/>
  <c r="J258" i="12"/>
  <c r="V264" i="12"/>
  <c r="J248" i="15"/>
  <c r="J247" i="15"/>
  <c r="J239" i="15"/>
  <c r="J211" i="15"/>
  <c r="J199" i="15"/>
  <c r="J191" i="15"/>
  <c r="J175" i="15"/>
  <c r="J171" i="15"/>
  <c r="J167" i="15"/>
  <c r="J249" i="15"/>
  <c r="J240" i="15"/>
  <c r="J222" i="15"/>
  <c r="J200" i="15"/>
  <c r="J176" i="15"/>
  <c r="J162" i="15"/>
  <c r="J158" i="15"/>
  <c r="J250" i="15"/>
  <c r="J241" i="15"/>
  <c r="J233" i="15"/>
  <c r="J229" i="15"/>
  <c r="J217" i="15"/>
  <c r="J201" i="15"/>
  <c r="J185" i="15"/>
  <c r="J177" i="15"/>
  <c r="J149" i="15"/>
  <c r="J145" i="15"/>
  <c r="J141" i="15"/>
  <c r="J137" i="15"/>
  <c r="J133" i="15"/>
  <c r="J129" i="15"/>
  <c r="J125" i="15"/>
  <c r="J121" i="15"/>
  <c r="J117" i="15"/>
  <c r="J113" i="15"/>
  <c r="J109" i="15"/>
  <c r="J105" i="15"/>
  <c r="J251" i="15"/>
  <c r="J212" i="15"/>
  <c r="J202" i="15"/>
  <c r="J192" i="15"/>
  <c r="J178" i="15"/>
  <c r="J172" i="15"/>
  <c r="J168" i="15"/>
  <c r="J154" i="15"/>
  <c r="J252" i="15"/>
  <c r="J223" i="15"/>
  <c r="J203" i="15"/>
  <c r="J193" i="15"/>
  <c r="J179" i="15"/>
  <c r="J163" i="15"/>
  <c r="J159" i="15"/>
  <c r="J155" i="15"/>
  <c r="J153" i="15"/>
  <c r="J101" i="15"/>
  <c r="J253" i="15"/>
  <c r="J242" i="15"/>
  <c r="J234" i="15"/>
  <c r="J230" i="15"/>
  <c r="J224" i="15"/>
  <c r="J218" i="15"/>
  <c r="J204" i="15"/>
  <c r="J194" i="15"/>
  <c r="J186" i="15"/>
  <c r="H151" i="15"/>
  <c r="J146" i="15"/>
  <c r="J142" i="15"/>
  <c r="J138" i="15"/>
  <c r="J134" i="15"/>
  <c r="J130" i="15"/>
  <c r="J126" i="15"/>
  <c r="J122" i="15"/>
  <c r="J118" i="15"/>
  <c r="J114" i="15"/>
  <c r="J110" i="15"/>
  <c r="J106" i="15"/>
  <c r="J102" i="15"/>
  <c r="J254" i="15"/>
  <c r="J235" i="15"/>
  <c r="J225" i="15"/>
  <c r="J219" i="15"/>
  <c r="J213" i="15"/>
  <c r="J205" i="15"/>
  <c r="J195" i="15"/>
  <c r="J187" i="15"/>
  <c r="J173" i="15"/>
  <c r="J169" i="15"/>
  <c r="J236" i="15"/>
  <c r="J220" i="15"/>
  <c r="J214" i="15"/>
  <c r="J206" i="15"/>
  <c r="J196" i="15"/>
  <c r="J188" i="15"/>
  <c r="J180" i="15"/>
  <c r="J164" i="15"/>
  <c r="J160" i="15"/>
  <c r="J156" i="15"/>
  <c r="J243" i="15"/>
  <c r="J231" i="15"/>
  <c r="J215" i="15"/>
  <c r="J207" i="15"/>
  <c r="J197" i="15"/>
  <c r="J181" i="15"/>
  <c r="J165" i="15"/>
  <c r="J147" i="15"/>
  <c r="J143" i="15"/>
  <c r="J139" i="15"/>
  <c r="J135" i="15"/>
  <c r="J131" i="15"/>
  <c r="J127" i="15"/>
  <c r="J123" i="15"/>
  <c r="J119" i="15"/>
  <c r="J115" i="15"/>
  <c r="J111" i="15"/>
  <c r="J107" i="15"/>
  <c r="J103" i="15"/>
  <c r="J258" i="15"/>
  <c r="J244" i="15"/>
  <c r="J226" i="15"/>
  <c r="J208" i="15"/>
  <c r="J198" i="15"/>
  <c r="J182" i="15"/>
  <c r="J174" i="15"/>
  <c r="J170" i="15"/>
  <c r="J166" i="15"/>
  <c r="J245" i="15"/>
  <c r="J237" i="15"/>
  <c r="J227" i="15"/>
  <c r="J221" i="15"/>
  <c r="J209" i="15"/>
  <c r="J189" i="15"/>
  <c r="J183" i="15"/>
  <c r="J161" i="15"/>
  <c r="J157" i="15"/>
  <c r="J124" i="15"/>
  <c r="J148" i="15"/>
  <c r="J210" i="15"/>
  <c r="V212" i="15"/>
  <c r="J238" i="15"/>
  <c r="N234" i="18"/>
  <c r="L15" i="21"/>
  <c r="D12" i="21"/>
  <c r="N31" i="21"/>
  <c r="J31" i="21"/>
  <c r="Z105" i="24"/>
  <c r="X105" i="24"/>
  <c r="T16" i="9"/>
  <c r="R19" i="9"/>
  <c r="F22" i="9"/>
  <c r="F26" i="9"/>
  <c r="F30" i="9"/>
  <c r="J31" i="9"/>
  <c r="V33" i="9"/>
  <c r="V37" i="9"/>
  <c r="V41" i="9"/>
  <c r="J49" i="9"/>
  <c r="V53" i="9"/>
  <c r="F57" i="9"/>
  <c r="F58" i="9"/>
  <c r="J59" i="9"/>
  <c r="R62" i="9"/>
  <c r="R63" i="9"/>
  <c r="F66" i="9"/>
  <c r="J67" i="9"/>
  <c r="V69" i="9"/>
  <c r="J73" i="9"/>
  <c r="R74" i="9"/>
  <c r="F77" i="9"/>
  <c r="F78" i="9"/>
  <c r="V81" i="9"/>
  <c r="J85" i="9"/>
  <c r="R86" i="9"/>
  <c r="F90" i="9"/>
  <c r="J91" i="9"/>
  <c r="R94" i="9"/>
  <c r="J103" i="9"/>
  <c r="J106" i="9"/>
  <c r="J105" i="12"/>
  <c r="V107" i="12"/>
  <c r="V111" i="12"/>
  <c r="V115" i="12"/>
  <c r="V119" i="12"/>
  <c r="V123" i="12"/>
  <c r="V127" i="12"/>
  <c r="V131" i="12"/>
  <c r="V135" i="12"/>
  <c r="V139" i="12"/>
  <c r="V143" i="12"/>
  <c r="V147" i="12"/>
  <c r="V151" i="12"/>
  <c r="V155" i="12"/>
  <c r="V157" i="12"/>
  <c r="V159" i="12"/>
  <c r="J163" i="12"/>
  <c r="J167" i="12"/>
  <c r="V183" i="12"/>
  <c r="J189" i="12"/>
  <c r="V191" i="12"/>
  <c r="J195" i="12"/>
  <c r="V199" i="12"/>
  <c r="V207" i="12"/>
  <c r="J215" i="12"/>
  <c r="V219" i="12"/>
  <c r="J223" i="12"/>
  <c r="J229" i="12"/>
  <c r="V231" i="12"/>
  <c r="V235" i="12"/>
  <c r="J257" i="12"/>
  <c r="V263" i="12"/>
  <c r="J271" i="12"/>
  <c r="N153" i="15"/>
  <c r="V172" i="15"/>
  <c r="N206" i="15"/>
  <c r="Z240" i="15"/>
  <c r="D12" i="18"/>
  <c r="Z177" i="18"/>
  <c r="X294" i="3"/>
  <c r="Z294" i="3" s="1"/>
  <c r="R24" i="6"/>
  <c r="V14" i="9"/>
  <c r="V16" i="9"/>
  <c r="V18" i="9"/>
  <c r="J22" i="9"/>
  <c r="R23" i="9"/>
  <c r="J26" i="9"/>
  <c r="R27" i="9"/>
  <c r="J30" i="9"/>
  <c r="F35" i="9"/>
  <c r="F39" i="9"/>
  <c r="V42" i="9"/>
  <c r="F46" i="9"/>
  <c r="F47" i="9"/>
  <c r="J48" i="9"/>
  <c r="R51" i="9"/>
  <c r="J58" i="9"/>
  <c r="V62" i="9"/>
  <c r="J66" i="9"/>
  <c r="F71" i="9"/>
  <c r="J72" i="9"/>
  <c r="V74" i="9"/>
  <c r="J78" i="9"/>
  <c r="R79" i="9"/>
  <c r="R80" i="9"/>
  <c r="V86" i="9"/>
  <c r="J90" i="9"/>
  <c r="V94" i="9"/>
  <c r="F101" i="9"/>
  <c r="V160" i="12"/>
  <c r="V164" i="12"/>
  <c r="V168" i="12"/>
  <c r="J172" i="12"/>
  <c r="J176" i="12"/>
  <c r="J180" i="12"/>
  <c r="V184" i="12"/>
  <c r="J188" i="12"/>
  <c r="X199" i="12"/>
  <c r="Z199" i="12" s="1"/>
  <c r="J204" i="12"/>
  <c r="V208" i="12"/>
  <c r="J214" i="12"/>
  <c r="V220" i="12"/>
  <c r="J228" i="12"/>
  <c r="V236" i="12"/>
  <c r="J240" i="12"/>
  <c r="J244" i="12"/>
  <c r="V252" i="12"/>
  <c r="J256" i="12"/>
  <c r="V262" i="12"/>
  <c r="N12" i="15"/>
  <c r="J120" i="15"/>
  <c r="J144" i="15"/>
  <c r="X153" i="15"/>
  <c r="J228" i="15"/>
  <c r="Z24" i="21"/>
  <c r="Z31" i="21"/>
  <c r="L59" i="21"/>
  <c r="V24" i="6"/>
  <c r="V26" i="6"/>
  <c r="V28" i="6"/>
  <c r="V29" i="6"/>
  <c r="V31" i="6"/>
  <c r="X12" i="9"/>
  <c r="V23" i="9"/>
  <c r="V27" i="9"/>
  <c r="R32" i="9"/>
  <c r="J35" i="9"/>
  <c r="R36" i="9"/>
  <c r="J39" i="9"/>
  <c r="R40" i="9"/>
  <c r="J47" i="9"/>
  <c r="V51" i="9"/>
  <c r="F55" i="9"/>
  <c r="F56" i="9"/>
  <c r="J57" i="9"/>
  <c r="R60" i="9"/>
  <c r="R61" i="9"/>
  <c r="V63" i="9"/>
  <c r="R68" i="9"/>
  <c r="J71" i="9"/>
  <c r="F76" i="9"/>
  <c r="J77" i="9"/>
  <c r="V79" i="9"/>
  <c r="F83" i="9"/>
  <c r="F84" i="9"/>
  <c r="R92" i="9"/>
  <c r="R93" i="9"/>
  <c r="F97" i="9"/>
  <c r="F99" i="9"/>
  <c r="J101" i="9"/>
  <c r="J109" i="12"/>
  <c r="J113" i="12"/>
  <c r="J117" i="12"/>
  <c r="J121" i="12"/>
  <c r="J125" i="12"/>
  <c r="J129" i="12"/>
  <c r="J133" i="12"/>
  <c r="J137" i="12"/>
  <c r="J141" i="12"/>
  <c r="J145" i="12"/>
  <c r="J149" i="12"/>
  <c r="J153" i="12"/>
  <c r="J171" i="12"/>
  <c r="V173" i="12"/>
  <c r="V177" i="12"/>
  <c r="V181" i="12"/>
  <c r="J187" i="12"/>
  <c r="V197" i="12"/>
  <c r="J203" i="12"/>
  <c r="V205" i="12"/>
  <c r="J213" i="12"/>
  <c r="V217" i="12"/>
  <c r="V225" i="12"/>
  <c r="J233" i="12"/>
  <c r="J239" i="12"/>
  <c r="V241" i="12"/>
  <c r="V245" i="12"/>
  <c r="J249" i="12"/>
  <c r="V253" i="12"/>
  <c r="V261" i="12"/>
  <c r="Z153" i="15"/>
  <c r="J190" i="15"/>
  <c r="N197" i="15"/>
  <c r="N202" i="15"/>
  <c r="D271" i="18"/>
  <c r="L271" i="18" s="1"/>
  <c r="N271" i="18" s="1"/>
  <c r="L272" i="18"/>
  <c r="N59" i="21"/>
  <c r="J59" i="21"/>
  <c r="N102" i="30"/>
  <c r="L12" i="6"/>
  <c r="P16" i="6"/>
  <c r="F25" i="9"/>
  <c r="F29" i="9"/>
  <c r="V32" i="9"/>
  <c r="V36" i="9"/>
  <c r="V40" i="9"/>
  <c r="F44" i="9"/>
  <c r="F45" i="9"/>
  <c r="J46" i="9"/>
  <c r="R49" i="9"/>
  <c r="R50" i="9"/>
  <c r="J56" i="9"/>
  <c r="V60" i="9"/>
  <c r="F65" i="9"/>
  <c r="V68" i="9"/>
  <c r="R73" i="9"/>
  <c r="J76" i="9"/>
  <c r="V80" i="9"/>
  <c r="J84" i="9"/>
  <c r="R85" i="9"/>
  <c r="F88" i="9"/>
  <c r="F89" i="9"/>
  <c r="V92" i="9"/>
  <c r="V106" i="12"/>
  <c r="V110" i="12"/>
  <c r="V114" i="12"/>
  <c r="V118" i="12"/>
  <c r="V122" i="12"/>
  <c r="V126" i="12"/>
  <c r="V130" i="12"/>
  <c r="V134" i="12"/>
  <c r="V138" i="12"/>
  <c r="V142" i="12"/>
  <c r="V146" i="12"/>
  <c r="V150" i="12"/>
  <c r="V154" i="12"/>
  <c r="J162" i="12"/>
  <c r="J166" i="12"/>
  <c r="J170" i="12"/>
  <c r="V182" i="12"/>
  <c r="J186" i="12"/>
  <c r="V190" i="12"/>
  <c r="J194" i="12"/>
  <c r="J202" i="12"/>
  <c r="V206" i="12"/>
  <c r="J212" i="12"/>
  <c r="V218" i="12"/>
  <c r="J222" i="12"/>
  <c r="V230" i="12"/>
  <c r="V234" i="12"/>
  <c r="J238" i="12"/>
  <c r="J248" i="12"/>
  <c r="V250" i="12"/>
  <c r="V258" i="12"/>
  <c r="V260" i="12"/>
  <c r="J267" i="12"/>
  <c r="V253" i="15"/>
  <c r="V235" i="15"/>
  <c r="V223" i="15"/>
  <c r="V219" i="15"/>
  <c r="V203" i="15"/>
  <c r="V195" i="15"/>
  <c r="V187" i="15"/>
  <c r="V179" i="15"/>
  <c r="V163" i="15"/>
  <c r="V159" i="15"/>
  <c r="V155" i="15"/>
  <c r="V254" i="15"/>
  <c r="V242" i="15"/>
  <c r="V234" i="15"/>
  <c r="V230" i="15"/>
  <c r="V218" i="15"/>
  <c r="V214" i="15"/>
  <c r="V206" i="15"/>
  <c r="V194" i="15"/>
  <c r="V186" i="15"/>
  <c r="V146" i="15"/>
  <c r="V142" i="15"/>
  <c r="V138" i="15"/>
  <c r="V134" i="15"/>
  <c r="V130" i="15"/>
  <c r="V126" i="15"/>
  <c r="V122" i="15"/>
  <c r="V118" i="15"/>
  <c r="V114" i="15"/>
  <c r="V110" i="15"/>
  <c r="V106" i="15"/>
  <c r="V102" i="15"/>
  <c r="V225" i="15"/>
  <c r="V213" i="15"/>
  <c r="V205" i="15"/>
  <c r="V197" i="15"/>
  <c r="V181" i="15"/>
  <c r="V173" i="15"/>
  <c r="V169" i="15"/>
  <c r="V165" i="15"/>
  <c r="V244" i="15"/>
  <c r="V236" i="15"/>
  <c r="V220" i="15"/>
  <c r="V208" i="15"/>
  <c r="V196" i="15"/>
  <c r="V188" i="15"/>
  <c r="V180" i="15"/>
  <c r="V164" i="15"/>
  <c r="V160" i="15"/>
  <c r="V156" i="15"/>
  <c r="V243" i="15"/>
  <c r="V231" i="15"/>
  <c r="V227" i="15"/>
  <c r="V215" i="15"/>
  <c r="V207" i="15"/>
  <c r="V183" i="15"/>
  <c r="V147" i="15"/>
  <c r="V143" i="15"/>
  <c r="V139" i="15"/>
  <c r="V135" i="15"/>
  <c r="V131" i="15"/>
  <c r="V127" i="15"/>
  <c r="V123" i="15"/>
  <c r="V119" i="15"/>
  <c r="V115" i="15"/>
  <c r="V111" i="15"/>
  <c r="V107" i="15"/>
  <c r="V103" i="15"/>
  <c r="V258" i="15"/>
  <c r="V238" i="15"/>
  <c r="V226" i="15"/>
  <c r="V210" i="15"/>
  <c r="V198" i="15"/>
  <c r="V190" i="15"/>
  <c r="V182" i="15"/>
  <c r="V174" i="15"/>
  <c r="V170" i="15"/>
  <c r="V166" i="15"/>
  <c r="V247" i="15"/>
  <c r="V245" i="15"/>
  <c r="V237" i="15"/>
  <c r="V221" i="15"/>
  <c r="V209" i="15"/>
  <c r="V189" i="15"/>
  <c r="V161" i="15"/>
  <c r="V157" i="15"/>
  <c r="V248" i="15"/>
  <c r="V240" i="15"/>
  <c r="V232" i="15"/>
  <c r="V228" i="15"/>
  <c r="V216" i="15"/>
  <c r="V200" i="15"/>
  <c r="V184" i="15"/>
  <c r="V176" i="15"/>
  <c r="V148" i="15"/>
  <c r="V144" i="15"/>
  <c r="V140" i="15"/>
  <c r="V136" i="15"/>
  <c r="V132" i="15"/>
  <c r="V128" i="15"/>
  <c r="V124" i="15"/>
  <c r="V120" i="15"/>
  <c r="V116" i="15"/>
  <c r="V112" i="15"/>
  <c r="V108" i="15"/>
  <c r="V104" i="15"/>
  <c r="V249" i="15"/>
  <c r="V239" i="15"/>
  <c r="V211" i="15"/>
  <c r="V199" i="15"/>
  <c r="V191" i="15"/>
  <c r="V175" i="15"/>
  <c r="V171" i="15"/>
  <c r="V167" i="15"/>
  <c r="V250" i="15"/>
  <c r="V222" i="15"/>
  <c r="V202" i="15"/>
  <c r="V178" i="15"/>
  <c r="V162" i="15"/>
  <c r="V158" i="15"/>
  <c r="V154" i="15"/>
  <c r="V251" i="15"/>
  <c r="V241" i="15"/>
  <c r="V233" i="15"/>
  <c r="V229" i="15"/>
  <c r="V217" i="15"/>
  <c r="V201" i="15"/>
  <c r="V193" i="15"/>
  <c r="V185" i="15"/>
  <c r="V177" i="15"/>
  <c r="V153" i="15"/>
  <c r="V151" i="15"/>
  <c r="V149" i="15"/>
  <c r="V145" i="15"/>
  <c r="V141" i="15"/>
  <c r="V137" i="15"/>
  <c r="V133" i="15"/>
  <c r="V129" i="15"/>
  <c r="V125" i="15"/>
  <c r="V121" i="15"/>
  <c r="V117" i="15"/>
  <c r="V113" i="15"/>
  <c r="V109" i="15"/>
  <c r="V105" i="15"/>
  <c r="V101" i="15"/>
  <c r="J116" i="15"/>
  <c r="J140" i="15"/>
  <c r="J216" i="15"/>
  <c r="R90" i="21"/>
  <c r="R75" i="21"/>
  <c r="R74" i="21"/>
  <c r="R63" i="21"/>
  <c r="R62" i="21"/>
  <c r="R55" i="21"/>
  <c r="R54" i="21"/>
  <c r="R109" i="21"/>
  <c r="R101" i="21"/>
  <c r="R97" i="21"/>
  <c r="R85" i="21"/>
  <c r="R111" i="21"/>
  <c r="R102" i="21"/>
  <c r="R98" i="21"/>
  <c r="R87" i="21"/>
  <c r="R86" i="21"/>
  <c r="R79" i="21"/>
  <c r="R78" i="21"/>
  <c r="R67" i="21"/>
  <c r="R66" i="21"/>
  <c r="R59" i="21"/>
  <c r="R58" i="21"/>
  <c r="R115" i="21"/>
  <c r="R93" i="21"/>
  <c r="R92" i="21"/>
  <c r="R88" i="21"/>
  <c r="R81" i="21"/>
  <c r="R80" i="21"/>
  <c r="R69" i="21"/>
  <c r="R68" i="21"/>
  <c r="R60" i="21"/>
  <c r="R106" i="21"/>
  <c r="R105" i="21"/>
  <c r="R89" i="21"/>
  <c r="R96" i="21"/>
  <c r="R73" i="21"/>
  <c r="R56" i="21"/>
  <c r="R52" i="21"/>
  <c r="R48" i="21"/>
  <c r="R44" i="21"/>
  <c r="R108" i="21"/>
  <c r="R82" i="21"/>
  <c r="R53" i="21"/>
  <c r="R39" i="21"/>
  <c r="R35" i="21"/>
  <c r="R76" i="21"/>
  <c r="R70" i="21"/>
  <c r="R57" i="21"/>
  <c r="R26" i="21"/>
  <c r="R103" i="21"/>
  <c r="R94" i="21"/>
  <c r="R71" i="21"/>
  <c r="R49" i="21"/>
  <c r="R45" i="21"/>
  <c r="R64" i="21"/>
  <c r="R61" i="21"/>
  <c r="R40" i="21"/>
  <c r="R36" i="21"/>
  <c r="X12" i="21"/>
  <c r="R99" i="21"/>
  <c r="R95" i="21"/>
  <c r="R83" i="21"/>
  <c r="R77" i="21"/>
  <c r="R32" i="21"/>
  <c r="R27" i="21"/>
  <c r="R50" i="21"/>
  <c r="R46" i="21"/>
  <c r="R31" i="21"/>
  <c r="R104" i="21"/>
  <c r="R84" i="21"/>
  <c r="R65" i="21"/>
  <c r="R42" i="21"/>
  <c r="R41" i="21"/>
  <c r="R37" i="21"/>
  <c r="R33" i="21"/>
  <c r="P29" i="21"/>
  <c r="R29" i="21" s="1"/>
  <c r="R72" i="21"/>
  <c r="R51" i="21"/>
  <c r="R47" i="21"/>
  <c r="R43" i="21"/>
  <c r="R24" i="21"/>
  <c r="R38" i="21"/>
  <c r="R34" i="21"/>
  <c r="Z118" i="24"/>
  <c r="D16" i="9"/>
  <c r="R66" i="9"/>
  <c r="R67" i="9"/>
  <c r="R78" i="9"/>
  <c r="J89" i="9"/>
  <c r="R90" i="9"/>
  <c r="R91" i="9"/>
  <c r="V93" i="9"/>
  <c r="J97" i="9"/>
  <c r="J99" i="9"/>
  <c r="R103" i="9"/>
  <c r="R106" i="9"/>
  <c r="V163" i="12"/>
  <c r="V167" i="12"/>
  <c r="J175" i="12"/>
  <c r="J179" i="12"/>
  <c r="J193" i="12"/>
  <c r="V195" i="12"/>
  <c r="J201" i="12"/>
  <c r="J211" i="12"/>
  <c r="V215" i="12"/>
  <c r="V223" i="12"/>
  <c r="J227" i="12"/>
  <c r="J243" i="12"/>
  <c r="J247" i="12"/>
  <c r="V251" i="12"/>
  <c r="J255" i="12"/>
  <c r="J266" i="12"/>
  <c r="V271" i="12"/>
  <c r="V204" i="15"/>
  <c r="R107" i="21"/>
  <c r="X234" i="3"/>
  <c r="Z234" i="3" s="1"/>
  <c r="T16" i="6"/>
  <c r="V22" i="9"/>
  <c r="V26" i="9"/>
  <c r="V30" i="9"/>
  <c r="J34" i="9"/>
  <c r="R35" i="9"/>
  <c r="J38" i="9"/>
  <c r="R39" i="9"/>
  <c r="F42" i="9"/>
  <c r="F43" i="9"/>
  <c r="J44" i="9"/>
  <c r="R47" i="9"/>
  <c r="R48" i="9"/>
  <c r="V50" i="9"/>
  <c r="J54" i="9"/>
  <c r="V58" i="9"/>
  <c r="X61" i="9"/>
  <c r="Z61" i="9" s="1"/>
  <c r="V66" i="9"/>
  <c r="J70" i="9"/>
  <c r="R71" i="9"/>
  <c r="R72" i="9"/>
  <c r="F75" i="9"/>
  <c r="V78" i="9"/>
  <c r="J82" i="9"/>
  <c r="L83" i="9"/>
  <c r="N83" i="9" s="1"/>
  <c r="F87" i="9"/>
  <c r="J88" i="9"/>
  <c r="V90" i="9"/>
  <c r="X93" i="9"/>
  <c r="F95" i="9"/>
  <c r="L97" i="9"/>
  <c r="R101" i="9"/>
  <c r="J108" i="12"/>
  <c r="J112" i="12"/>
  <c r="J116" i="12"/>
  <c r="J120" i="12"/>
  <c r="J124" i="12"/>
  <c r="J128" i="12"/>
  <c r="J132" i="12"/>
  <c r="J136" i="12"/>
  <c r="J140" i="12"/>
  <c r="J144" i="12"/>
  <c r="J148" i="12"/>
  <c r="J152" i="12"/>
  <c r="H157" i="12"/>
  <c r="V172" i="12"/>
  <c r="V176" i="12"/>
  <c r="V180" i="12"/>
  <c r="V188" i="12"/>
  <c r="J192" i="12"/>
  <c r="V196" i="12"/>
  <c r="J200" i="12"/>
  <c r="V204" i="12"/>
  <c r="J210" i="12"/>
  <c r="V216" i="12"/>
  <c r="V224" i="12"/>
  <c r="V228" i="12"/>
  <c r="J232" i="12"/>
  <c r="V240" i="12"/>
  <c r="V244" i="12"/>
  <c r="V256" i="12"/>
  <c r="J265" i="12"/>
  <c r="J112" i="15"/>
  <c r="J136" i="15"/>
  <c r="N154" i="15"/>
  <c r="N165" i="15"/>
  <c r="N183" i="15"/>
  <c r="J232" i="15"/>
  <c r="P12" i="18"/>
  <c r="X13" i="18"/>
  <c r="Z13" i="18" s="1"/>
  <c r="Z118" i="18"/>
  <c r="Z230" i="18"/>
  <c r="X230" i="18"/>
  <c r="N238" i="18"/>
  <c r="L264" i="18"/>
  <c r="R100" i="21"/>
  <c r="V14" i="6"/>
  <c r="V16" i="6"/>
  <c r="V18" i="6"/>
  <c r="V20" i="6"/>
  <c r="V22" i="6"/>
  <c r="F26" i="6"/>
  <c r="F28" i="6"/>
  <c r="F29" i="6"/>
  <c r="F31" i="6"/>
  <c r="H16" i="9"/>
  <c r="F19" i="9"/>
  <c r="F20" i="9"/>
  <c r="F24" i="9"/>
  <c r="F28" i="9"/>
  <c r="V31" i="9"/>
  <c r="V35" i="9"/>
  <c r="V39" i="9"/>
  <c r="J43" i="9"/>
  <c r="V47" i="9"/>
  <c r="F52" i="9"/>
  <c r="J53" i="9"/>
  <c r="R56" i="9"/>
  <c r="R57" i="9"/>
  <c r="V59" i="9"/>
  <c r="F63" i="9"/>
  <c r="F64" i="9"/>
  <c r="V67" i="9"/>
  <c r="V71" i="9"/>
  <c r="J75" i="9"/>
  <c r="R76" i="9"/>
  <c r="R77" i="9"/>
  <c r="R84" i="9"/>
  <c r="J87" i="9"/>
  <c r="V91" i="9"/>
  <c r="J95" i="9"/>
  <c r="V101" i="9"/>
  <c r="V103" i="9"/>
  <c r="V106" i="9"/>
  <c r="V105" i="12"/>
  <c r="V109" i="12"/>
  <c r="V113" i="12"/>
  <c r="V117" i="12"/>
  <c r="V121" i="12"/>
  <c r="V125" i="12"/>
  <c r="V129" i="12"/>
  <c r="V133" i="12"/>
  <c r="V137" i="12"/>
  <c r="V141" i="12"/>
  <c r="V145" i="12"/>
  <c r="V149" i="12"/>
  <c r="V153" i="12"/>
  <c r="J157" i="12"/>
  <c r="J159" i="12"/>
  <c r="J161" i="12"/>
  <c r="J165" i="12"/>
  <c r="J169" i="12"/>
  <c r="J185" i="12"/>
  <c r="V189" i="12"/>
  <c r="J199" i="12"/>
  <c r="J209" i="12"/>
  <c r="V213" i="12"/>
  <c r="J221" i="12"/>
  <c r="V229" i="12"/>
  <c r="V233" i="12"/>
  <c r="J237" i="12"/>
  <c r="V249" i="12"/>
  <c r="V257" i="12"/>
  <c r="J264" i="12"/>
  <c r="V168" i="15"/>
  <c r="N178" i="15"/>
  <c r="Z200" i="15"/>
  <c r="N244" i="15"/>
  <c r="Z211" i="18"/>
  <c r="N219" i="18"/>
  <c r="X238" i="18"/>
  <c r="Z243" i="18"/>
  <c r="N259" i="18"/>
  <c r="N264" i="18"/>
  <c r="F127" i="24"/>
  <c r="F113" i="24"/>
  <c r="F104" i="24"/>
  <c r="F103" i="24"/>
  <c r="F68" i="24"/>
  <c r="F64" i="24"/>
  <c r="F60" i="24"/>
  <c r="F56" i="24"/>
  <c r="F52" i="24"/>
  <c r="F115" i="24"/>
  <c r="F114" i="24"/>
  <c r="F95" i="24"/>
  <c r="F91" i="24"/>
  <c r="F87" i="24"/>
  <c r="F106" i="24"/>
  <c r="F105" i="24"/>
  <c r="F82" i="24"/>
  <c r="F78" i="24"/>
  <c r="F108" i="24"/>
  <c r="F107" i="24"/>
  <c r="F92" i="24"/>
  <c r="F88" i="24"/>
  <c r="F119" i="24"/>
  <c r="F118" i="24"/>
  <c r="F99" i="24"/>
  <c r="F98" i="24"/>
  <c r="F83" i="24"/>
  <c r="F79" i="24"/>
  <c r="F110" i="24"/>
  <c r="F109" i="24"/>
  <c r="F70" i="24"/>
  <c r="F66" i="24"/>
  <c r="F62" i="24"/>
  <c r="F58" i="24"/>
  <c r="F54" i="24"/>
  <c r="F50" i="24"/>
  <c r="F74" i="24"/>
  <c r="F72" i="24"/>
  <c r="F67" i="24"/>
  <c r="F63" i="24"/>
  <c r="F59" i="24"/>
  <c r="F55" i="24"/>
  <c r="F51" i="24"/>
  <c r="F111" i="24"/>
  <c r="F69" i="24"/>
  <c r="F57" i="24"/>
  <c r="F116" i="24"/>
  <c r="F102" i="24"/>
  <c r="F97" i="24"/>
  <c r="F84" i="24"/>
  <c r="F100" i="24"/>
  <c r="F93" i="24"/>
  <c r="F89" i="24"/>
  <c r="F80" i="24"/>
  <c r="F76" i="24"/>
  <c r="F48" i="24"/>
  <c r="F121" i="24"/>
  <c r="F125" i="24"/>
  <c r="F85" i="24"/>
  <c r="F65" i="24"/>
  <c r="F53" i="24"/>
  <c r="F112" i="24"/>
  <c r="F101" i="24"/>
  <c r="F117" i="24"/>
  <c r="F90" i="24"/>
  <c r="F81" i="24"/>
  <c r="F77" i="24"/>
  <c r="F49" i="24"/>
  <c r="F96" i="24"/>
  <c r="F61" i="24"/>
  <c r="F94" i="24"/>
  <c r="F86" i="24"/>
  <c r="F75" i="24"/>
  <c r="L12" i="24"/>
  <c r="N12" i="24" s="1"/>
  <c r="F123" i="24"/>
  <c r="Z85" i="24"/>
  <c r="J14" i="9"/>
  <c r="J16" i="9"/>
  <c r="J18" i="9"/>
  <c r="J20" i="9"/>
  <c r="R21" i="9"/>
  <c r="J24" i="9"/>
  <c r="R25" i="9"/>
  <c r="J28" i="9"/>
  <c r="R29" i="9"/>
  <c r="F33" i="9"/>
  <c r="F37" i="9"/>
  <c r="F41" i="9"/>
  <c r="J42" i="9"/>
  <c r="R45" i="9"/>
  <c r="R46" i="9"/>
  <c r="V48" i="9"/>
  <c r="J52" i="9"/>
  <c r="V56" i="9"/>
  <c r="J64" i="9"/>
  <c r="R65" i="9"/>
  <c r="F69" i="9"/>
  <c r="V72" i="9"/>
  <c r="V76" i="9"/>
  <c r="F80" i="9"/>
  <c r="F81" i="9"/>
  <c r="V84" i="9"/>
  <c r="R89" i="9"/>
  <c r="J160" i="12"/>
  <c r="V162" i="12"/>
  <c r="V166" i="12"/>
  <c r="V170" i="12"/>
  <c r="J174" i="12"/>
  <c r="J178" i="12"/>
  <c r="J184" i="12"/>
  <c r="V186" i="12"/>
  <c r="V194" i="12"/>
  <c r="J198" i="12"/>
  <c r="V202" i="12"/>
  <c r="J208" i="12"/>
  <c r="V214" i="12"/>
  <c r="J220" i="12"/>
  <c r="V222" i="12"/>
  <c r="J226" i="12"/>
  <c r="J236" i="12"/>
  <c r="V238" i="12"/>
  <c r="J242" i="12"/>
  <c r="J246" i="12"/>
  <c r="J254" i="12"/>
  <c r="X257" i="12"/>
  <c r="Z257" i="12" s="1"/>
  <c r="J263" i="12"/>
  <c r="J108" i="15"/>
  <c r="J132" i="15"/>
  <c r="N181" i="15"/>
  <c r="Z183" i="15"/>
  <c r="X193" i="15"/>
  <c r="Z193" i="15" s="1"/>
  <c r="N214" i="15"/>
  <c r="L224" i="18"/>
  <c r="N224" i="18" s="1"/>
  <c r="Z238" i="18"/>
  <c r="P271" i="18"/>
  <c r="X271" i="18" s="1"/>
  <c r="Z271" i="18" s="1"/>
  <c r="J26" i="6"/>
  <c r="J28" i="6"/>
  <c r="J29" i="6"/>
  <c r="J19" i="9"/>
  <c r="V21" i="9"/>
  <c r="V25" i="9"/>
  <c r="V29" i="9"/>
  <c r="J33" i="9"/>
  <c r="R34" i="9"/>
  <c r="J37" i="9"/>
  <c r="R38" i="9"/>
  <c r="J41" i="9"/>
  <c r="V45" i="9"/>
  <c r="R54" i="9"/>
  <c r="R55" i="9"/>
  <c r="V57" i="9"/>
  <c r="F61" i="9"/>
  <c r="F62" i="9"/>
  <c r="J63" i="9"/>
  <c r="V65" i="9"/>
  <c r="J69" i="9"/>
  <c r="R70" i="9"/>
  <c r="F74" i="9"/>
  <c r="V77" i="9"/>
  <c r="J81" i="9"/>
  <c r="R82" i="9"/>
  <c r="R83" i="9"/>
  <c r="F86" i="9"/>
  <c r="V89" i="9"/>
  <c r="F93" i="9"/>
  <c r="F94" i="9"/>
  <c r="R97" i="9"/>
  <c r="R99" i="9"/>
  <c r="J107" i="12"/>
  <c r="J111" i="12"/>
  <c r="J115" i="12"/>
  <c r="J119" i="12"/>
  <c r="J123" i="12"/>
  <c r="J127" i="12"/>
  <c r="J131" i="12"/>
  <c r="J135" i="12"/>
  <c r="J139" i="12"/>
  <c r="J143" i="12"/>
  <c r="J147" i="12"/>
  <c r="J151" i="12"/>
  <c r="J155" i="12"/>
  <c r="V171" i="12"/>
  <c r="V175" i="12"/>
  <c r="V179" i="12"/>
  <c r="J183" i="12"/>
  <c r="V187" i="12"/>
  <c r="J191" i="12"/>
  <c r="V203" i="12"/>
  <c r="J207" i="12"/>
  <c r="V211" i="12"/>
  <c r="J219" i="12"/>
  <c r="V227" i="12"/>
  <c r="J231" i="12"/>
  <c r="J235" i="12"/>
  <c r="V239" i="12"/>
  <c r="V243" i="12"/>
  <c r="V247" i="12"/>
  <c r="J253" i="12"/>
  <c r="V255" i="12"/>
  <c r="J262" i="12"/>
  <c r="V267" i="12"/>
  <c r="N101" i="15"/>
  <c r="Z154" i="15"/>
  <c r="Z244" i="15"/>
  <c r="N200" i="18"/>
  <c r="N207" i="18"/>
  <c r="Z214" i="18"/>
  <c r="N262" i="18"/>
  <c r="Z264" i="18"/>
  <c r="Z32" i="21"/>
  <c r="Z73" i="21"/>
  <c r="D16" i="6"/>
  <c r="V34" i="9"/>
  <c r="V38" i="9"/>
  <c r="R43" i="9"/>
  <c r="R44" i="9"/>
  <c r="V46" i="9"/>
  <c r="F50" i="9"/>
  <c r="F51" i="9"/>
  <c r="V54" i="9"/>
  <c r="J62" i="9"/>
  <c r="V70" i="9"/>
  <c r="J74" i="9"/>
  <c r="R75" i="9"/>
  <c r="J80" i="9"/>
  <c r="J86" i="9"/>
  <c r="R87" i="9"/>
  <c r="R88" i="9"/>
  <c r="V108" i="12"/>
  <c r="V112" i="12"/>
  <c r="V116" i="12"/>
  <c r="V120" i="12"/>
  <c r="V124" i="12"/>
  <c r="V128" i="12"/>
  <c r="V132" i="12"/>
  <c r="V136" i="12"/>
  <c r="V140" i="12"/>
  <c r="V144" i="12"/>
  <c r="V148" i="12"/>
  <c r="V152" i="12"/>
  <c r="J164" i="12"/>
  <c r="J168" i="12"/>
  <c r="J182" i="12"/>
  <c r="V192" i="12"/>
  <c r="V200" i="12"/>
  <c r="J206" i="12"/>
  <c r="V212" i="12"/>
  <c r="J218" i="12"/>
  <c r="V232" i="12"/>
  <c r="V248" i="12"/>
  <c r="J252" i="12"/>
  <c r="J260" i="12"/>
  <c r="X101" i="15"/>
  <c r="Z101" i="15" s="1"/>
  <c r="J104" i="15"/>
  <c r="J128" i="15"/>
  <c r="J184" i="15"/>
  <c r="V224" i="15"/>
  <c r="N227" i="15"/>
  <c r="V252" i="15"/>
  <c r="Z259" i="18"/>
  <c r="H113" i="21"/>
  <c r="J113" i="21" s="1"/>
  <c r="J29" i="21"/>
  <c r="R91" i="21"/>
  <c r="X93" i="30"/>
  <c r="Z93" i="30" s="1"/>
  <c r="V118" i="18"/>
  <c r="V122" i="18"/>
  <c r="V126" i="18"/>
  <c r="V130" i="18"/>
  <c r="V134" i="18"/>
  <c r="V138" i="18"/>
  <c r="V142" i="18"/>
  <c r="V146" i="18"/>
  <c r="V150" i="18"/>
  <c r="V154" i="18"/>
  <c r="V158" i="18"/>
  <c r="V162" i="18"/>
  <c r="V166" i="18"/>
  <c r="V170" i="18"/>
  <c r="J182" i="18"/>
  <c r="J186" i="18"/>
  <c r="J200" i="18"/>
  <c r="V210" i="18"/>
  <c r="V218" i="18"/>
  <c r="J224" i="18"/>
  <c r="V230" i="18"/>
  <c r="V238" i="18"/>
  <c r="V242" i="18"/>
  <c r="J246" i="18"/>
  <c r="V254" i="18"/>
  <c r="V258" i="18"/>
  <c r="J264" i="18"/>
  <c r="V266" i="18"/>
  <c r="J273" i="18"/>
  <c r="V278" i="18"/>
  <c r="N65" i="21"/>
  <c r="Z79" i="21"/>
  <c r="Z48" i="24"/>
  <c r="N72" i="24"/>
  <c r="H125" i="24"/>
  <c r="Z116" i="24"/>
  <c r="F136" i="30"/>
  <c r="F124" i="30"/>
  <c r="F84" i="30"/>
  <c r="F80" i="30"/>
  <c r="F151" i="30"/>
  <c r="F131" i="30"/>
  <c r="F119" i="30"/>
  <c r="F111" i="30"/>
  <c r="F110" i="30"/>
  <c r="F99" i="30"/>
  <c r="F98" i="30"/>
  <c r="F91" i="30"/>
  <c r="F90" i="30"/>
  <c r="F75" i="30"/>
  <c r="F71" i="30"/>
  <c r="F138" i="30"/>
  <c r="F137" i="30"/>
  <c r="F126" i="30"/>
  <c r="F125" i="30"/>
  <c r="F62" i="30"/>
  <c r="F58" i="30"/>
  <c r="F54" i="30"/>
  <c r="F50" i="30"/>
  <c r="F46" i="30"/>
  <c r="F42" i="30"/>
  <c r="F41" i="30"/>
  <c r="F113" i="30"/>
  <c r="F112" i="30"/>
  <c r="F101" i="30"/>
  <c r="F100" i="30"/>
  <c r="F85" i="30"/>
  <c r="F81" i="30"/>
  <c r="F140" i="30"/>
  <c r="F139" i="30"/>
  <c r="F132" i="30"/>
  <c r="F120" i="30"/>
  <c r="F92" i="30"/>
  <c r="F76" i="30"/>
  <c r="F72" i="30"/>
  <c r="F68" i="30"/>
  <c r="F67" i="30"/>
  <c r="F127" i="30"/>
  <c r="F115" i="30"/>
  <c r="F114" i="30"/>
  <c r="F103" i="30"/>
  <c r="F102" i="30"/>
  <c r="F66" i="30"/>
  <c r="F59" i="30"/>
  <c r="F55" i="30"/>
  <c r="F51" i="30"/>
  <c r="F47" i="30"/>
  <c r="F43" i="30"/>
  <c r="F142" i="30"/>
  <c r="F141" i="30"/>
  <c r="F122" i="30"/>
  <c r="F121" i="30"/>
  <c r="F94" i="30"/>
  <c r="F93" i="30"/>
  <c r="F86" i="30"/>
  <c r="F82" i="30"/>
  <c r="F78" i="30"/>
  <c r="F77" i="30"/>
  <c r="D64" i="30"/>
  <c r="L12" i="30"/>
  <c r="F133" i="30"/>
  <c r="F129" i="30"/>
  <c r="F128" i="30"/>
  <c r="F105" i="30"/>
  <c r="F104" i="30"/>
  <c r="F73" i="30"/>
  <c r="F69" i="30"/>
  <c r="F145" i="30"/>
  <c r="F116" i="30"/>
  <c r="F96" i="30"/>
  <c r="F95" i="30"/>
  <c r="F147" i="30"/>
  <c r="F130" i="30"/>
  <c r="F118" i="30"/>
  <c r="F117" i="30"/>
  <c r="F74" i="30"/>
  <c r="F70" i="30"/>
  <c r="F106" i="30"/>
  <c r="F134" i="30"/>
  <c r="F144" i="30"/>
  <c r="P247" i="15"/>
  <c r="X247" i="15" s="1"/>
  <c r="Z247" i="15" s="1"/>
  <c r="V179" i="18"/>
  <c r="V183" i="18"/>
  <c r="V187" i="18"/>
  <c r="J191" i="18"/>
  <c r="J195" i="18"/>
  <c r="J199" i="18"/>
  <c r="V203" i="18"/>
  <c r="V211" i="18"/>
  <c r="J215" i="18"/>
  <c r="V219" i="18"/>
  <c r="J223" i="18"/>
  <c r="V227" i="18"/>
  <c r="J235" i="18"/>
  <c r="V243" i="18"/>
  <c r="V247" i="18"/>
  <c r="V259" i="18"/>
  <c r="J263" i="18"/>
  <c r="J271" i="18"/>
  <c r="J272" i="18"/>
  <c r="V277" i="18"/>
  <c r="J105" i="21"/>
  <c r="J95" i="21"/>
  <c r="J89" i="21"/>
  <c r="J71" i="21"/>
  <c r="J61" i="21"/>
  <c r="J106" i="21"/>
  <c r="J100" i="21"/>
  <c r="J96" i="21"/>
  <c r="J72" i="21"/>
  <c r="J107" i="21"/>
  <c r="J109" i="21"/>
  <c r="J101" i="21"/>
  <c r="J97" i="21"/>
  <c r="J85" i="21"/>
  <c r="J75" i="21"/>
  <c r="J63" i="21"/>
  <c r="J55" i="21"/>
  <c r="J111" i="21"/>
  <c r="J91" i="21"/>
  <c r="J77" i="21"/>
  <c r="J65" i="21"/>
  <c r="J57" i="21"/>
  <c r="J92" i="21"/>
  <c r="J88" i="21"/>
  <c r="J80" i="21"/>
  <c r="X13" i="21"/>
  <c r="Z13" i="21" s="1"/>
  <c r="J32" i="21"/>
  <c r="V34" i="21"/>
  <c r="V38" i="21"/>
  <c r="J46" i="21"/>
  <c r="J50" i="21"/>
  <c r="V62" i="21"/>
  <c r="J68" i="21"/>
  <c r="V79" i="21"/>
  <c r="X87" i="21"/>
  <c r="V89" i="21"/>
  <c r="V48" i="24"/>
  <c r="J72" i="24"/>
  <c r="V116" i="24"/>
  <c r="V81" i="27"/>
  <c r="F44" i="30"/>
  <c r="F48" i="30"/>
  <c r="F52" i="30"/>
  <c r="F56" i="30"/>
  <c r="F60" i="30"/>
  <c r="N106" i="30"/>
  <c r="F108" i="30"/>
  <c r="N134" i="30"/>
  <c r="Z58" i="36"/>
  <c r="R76" i="56"/>
  <c r="R68" i="56"/>
  <c r="R61" i="56"/>
  <c r="R60" i="56"/>
  <c r="R53" i="56"/>
  <c r="R52" i="56"/>
  <c r="R36" i="56"/>
  <c r="R32" i="56"/>
  <c r="X12" i="56"/>
  <c r="R80" i="56"/>
  <c r="R78" i="56"/>
  <c r="R44" i="56"/>
  <c r="R43" i="56"/>
  <c r="R27" i="56"/>
  <c r="R23" i="56"/>
  <c r="R62" i="56"/>
  <c r="R55" i="56"/>
  <c r="R54" i="56"/>
  <c r="R69" i="56"/>
  <c r="R45" i="56"/>
  <c r="R37" i="56"/>
  <c r="R33" i="56"/>
  <c r="R18" i="56"/>
  <c r="R16" i="56"/>
  <c r="R14" i="56"/>
  <c r="R82" i="56"/>
  <c r="R87" i="56"/>
  <c r="R84" i="56"/>
  <c r="R63" i="56"/>
  <c r="R25" i="56"/>
  <c r="R21" i="56"/>
  <c r="R75" i="56"/>
  <c r="R74" i="56"/>
  <c r="R67" i="56"/>
  <c r="R66" i="56"/>
  <c r="R51" i="56"/>
  <c r="R50" i="56"/>
  <c r="R26" i="56"/>
  <c r="R22" i="56"/>
  <c r="R46" i="56"/>
  <c r="R65" i="56"/>
  <c r="R57" i="56"/>
  <c r="R34" i="56"/>
  <c r="R49" i="56"/>
  <c r="R19" i="56"/>
  <c r="R70" i="56"/>
  <c r="R42" i="56"/>
  <c r="R39" i="56"/>
  <c r="R30" i="56"/>
  <c r="R73" i="56"/>
  <c r="R58" i="56"/>
  <c r="R47" i="56"/>
  <c r="R71" i="56"/>
  <c r="R40" i="56"/>
  <c r="R28" i="56"/>
  <c r="R35" i="56"/>
  <c r="R24" i="56"/>
  <c r="R20" i="56"/>
  <c r="P16" i="56"/>
  <c r="R41" i="56"/>
  <c r="R56" i="56"/>
  <c r="R72" i="56"/>
  <c r="R29" i="56"/>
  <c r="R48" i="56"/>
  <c r="R59" i="56"/>
  <c r="R31" i="56"/>
  <c r="R38" i="56"/>
  <c r="J120" i="18"/>
  <c r="J124" i="18"/>
  <c r="J128" i="18"/>
  <c r="J132" i="18"/>
  <c r="J136" i="18"/>
  <c r="J140" i="18"/>
  <c r="J144" i="18"/>
  <c r="J148" i="18"/>
  <c r="J152" i="18"/>
  <c r="J156" i="18"/>
  <c r="J160" i="18"/>
  <c r="J164" i="18"/>
  <c r="J168" i="18"/>
  <c r="J172" i="18"/>
  <c r="T175" i="18"/>
  <c r="V175" i="18" s="1"/>
  <c r="V192" i="18"/>
  <c r="V196" i="18"/>
  <c r="J208" i="18"/>
  <c r="J214" i="18"/>
  <c r="V216" i="18"/>
  <c r="X219" i="18"/>
  <c r="Z219" i="18" s="1"/>
  <c r="V228" i="18"/>
  <c r="J234" i="18"/>
  <c r="V236" i="18"/>
  <c r="J240" i="18"/>
  <c r="V248" i="18"/>
  <c r="J252" i="18"/>
  <c r="J256" i="18"/>
  <c r="J262" i="18"/>
  <c r="V276" i="18"/>
  <c r="J284" i="18"/>
  <c r="L32" i="21"/>
  <c r="N32" i="21" s="1"/>
  <c r="V51" i="21"/>
  <c r="V75" i="21"/>
  <c r="V78" i="21"/>
  <c r="J86" i="21"/>
  <c r="Z87" i="21"/>
  <c r="J99" i="21"/>
  <c r="L75" i="24"/>
  <c r="N75" i="24" s="1"/>
  <c r="V99" i="27"/>
  <c r="F87" i="30"/>
  <c r="F123" i="30"/>
  <c r="V121" i="18"/>
  <c r="V125" i="18"/>
  <c r="V129" i="18"/>
  <c r="V133" i="18"/>
  <c r="V137" i="18"/>
  <c r="V141" i="18"/>
  <c r="V145" i="18"/>
  <c r="V149" i="18"/>
  <c r="V153" i="18"/>
  <c r="V157" i="18"/>
  <c r="V161" i="18"/>
  <c r="V165" i="18"/>
  <c r="V169" i="18"/>
  <c r="V173" i="18"/>
  <c r="V177" i="18"/>
  <c r="J181" i="18"/>
  <c r="J185" i="18"/>
  <c r="V201" i="18"/>
  <c r="J207" i="18"/>
  <c r="V209" i="18"/>
  <c r="J213" i="18"/>
  <c r="V217" i="18"/>
  <c r="V225" i="18"/>
  <c r="J233" i="18"/>
  <c r="V241" i="18"/>
  <c r="J245" i="18"/>
  <c r="J251" i="18"/>
  <c r="V253" i="18"/>
  <c r="V257" i="18"/>
  <c r="J261" i="18"/>
  <c r="V265" i="18"/>
  <c r="J269" i="18"/>
  <c r="V275" i="18"/>
  <c r="X276" i="18"/>
  <c r="V24" i="21"/>
  <c r="J36" i="21"/>
  <c r="J40" i="21"/>
  <c r="V55" i="21"/>
  <c r="Z59" i="21"/>
  <c r="J64" i="21"/>
  <c r="J74" i="21"/>
  <c r="L77" i="21"/>
  <c r="J83" i="21"/>
  <c r="V87" i="21"/>
  <c r="X118" i="24"/>
  <c r="Z120" i="24"/>
  <c r="P12" i="27"/>
  <c r="L86" i="27"/>
  <c r="N86" i="27" s="1"/>
  <c r="Z95" i="27"/>
  <c r="Z111" i="27"/>
  <c r="F83" i="30"/>
  <c r="V178" i="18"/>
  <c r="V182" i="18"/>
  <c r="V186" i="18"/>
  <c r="J190" i="18"/>
  <c r="J194" i="18"/>
  <c r="J198" i="18"/>
  <c r="V202" i="18"/>
  <c r="J206" i="18"/>
  <c r="J222" i="18"/>
  <c r="V226" i="18"/>
  <c r="J232" i="18"/>
  <c r="V246" i="18"/>
  <c r="J250" i="18"/>
  <c r="J268" i="18"/>
  <c r="V274" i="18"/>
  <c r="V33" i="21"/>
  <c r="V37" i="21"/>
  <c r="V41" i="21"/>
  <c r="J45" i="21"/>
  <c r="J49" i="21"/>
  <c r="X55" i="21"/>
  <c r="Z55" i="21" s="1"/>
  <c r="V59" i="21"/>
  <c r="J90" i="21"/>
  <c r="J103" i="21"/>
  <c r="X106" i="21"/>
  <c r="L74" i="24"/>
  <c r="X123" i="24"/>
  <c r="V102" i="27"/>
  <c r="V82" i="27"/>
  <c r="V58" i="27"/>
  <c r="V54" i="27"/>
  <c r="V50" i="27"/>
  <c r="V46" i="27"/>
  <c r="V42" i="27"/>
  <c r="V109" i="27"/>
  <c r="V101" i="27"/>
  <c r="V93" i="27"/>
  <c r="V77" i="27"/>
  <c r="V73" i="27"/>
  <c r="T56" i="27"/>
  <c r="V56" i="27" s="1"/>
  <c r="V122" i="27"/>
  <c r="V108" i="27"/>
  <c r="V92" i="27"/>
  <c r="V84" i="27"/>
  <c r="V68" i="27"/>
  <c r="V64" i="27"/>
  <c r="V60" i="27"/>
  <c r="V111" i="27"/>
  <c r="V103" i="27"/>
  <c r="V95" i="27"/>
  <c r="V51" i="27"/>
  <c r="V47" i="27"/>
  <c r="V43" i="27"/>
  <c r="V110" i="27"/>
  <c r="V94" i="27"/>
  <c r="V86" i="27"/>
  <c r="V78" i="27"/>
  <c r="V74" i="27"/>
  <c r="V70" i="27"/>
  <c r="V97" i="27"/>
  <c r="V85" i="27"/>
  <c r="V69" i="27"/>
  <c r="V65" i="27"/>
  <c r="V61" i="27"/>
  <c r="V114" i="27"/>
  <c r="V112" i="27"/>
  <c r="V104" i="27"/>
  <c r="V96" i="27"/>
  <c r="V88" i="27"/>
  <c r="V52" i="27"/>
  <c r="V48" i="27"/>
  <c r="V44" i="27"/>
  <c r="V40" i="27"/>
  <c r="V115" i="27"/>
  <c r="V87" i="27"/>
  <c r="V79" i="27"/>
  <c r="V75" i="27"/>
  <c r="V71" i="27"/>
  <c r="V118" i="27"/>
  <c r="V100" i="27"/>
  <c r="V80" i="27"/>
  <c r="V76" i="27"/>
  <c r="V72" i="27"/>
  <c r="N88" i="27"/>
  <c r="Z97" i="27"/>
  <c r="V116" i="27"/>
  <c r="F97" i="30"/>
  <c r="Z100" i="30"/>
  <c r="J119" i="18"/>
  <c r="J123" i="18"/>
  <c r="J127" i="18"/>
  <c r="J131" i="18"/>
  <c r="J135" i="18"/>
  <c r="J139" i="18"/>
  <c r="J143" i="18"/>
  <c r="J147" i="18"/>
  <c r="J151" i="18"/>
  <c r="J155" i="18"/>
  <c r="J159" i="18"/>
  <c r="J163" i="18"/>
  <c r="J167" i="18"/>
  <c r="J171" i="18"/>
  <c r="J189" i="18"/>
  <c r="V191" i="18"/>
  <c r="V195" i="18"/>
  <c r="V199" i="18"/>
  <c r="J205" i="18"/>
  <c r="V215" i="18"/>
  <c r="J221" i="18"/>
  <c r="V223" i="18"/>
  <c r="J231" i="18"/>
  <c r="V235" i="18"/>
  <c r="J239" i="18"/>
  <c r="J255" i="18"/>
  <c r="V263" i="18"/>
  <c r="J267" i="18"/>
  <c r="V273" i="18"/>
  <c r="J280" i="18"/>
  <c r="V111" i="21"/>
  <c r="V109" i="21"/>
  <c r="V101" i="21"/>
  <c r="V97" i="21"/>
  <c r="V85" i="21"/>
  <c r="V77" i="21"/>
  <c r="V65" i="21"/>
  <c r="V57" i="21"/>
  <c r="V76" i="21"/>
  <c r="V64" i="21"/>
  <c r="V115" i="21"/>
  <c r="V93" i="21"/>
  <c r="V81" i="21"/>
  <c r="V69" i="21"/>
  <c r="V104" i="21"/>
  <c r="V92" i="21"/>
  <c r="V88" i="21"/>
  <c r="V80" i="21"/>
  <c r="V103" i="21"/>
  <c r="V99" i="21"/>
  <c r="V95" i="21"/>
  <c r="V71" i="21"/>
  <c r="V108" i="21"/>
  <c r="V100" i="21"/>
  <c r="V96" i="21"/>
  <c r="V84" i="21"/>
  <c r="V72" i="21"/>
  <c r="T29" i="21"/>
  <c r="V42" i="21"/>
  <c r="V46" i="21"/>
  <c r="V50" i="21"/>
  <c r="J53" i="21"/>
  <c r="V54" i="21"/>
  <c r="N57" i="21"/>
  <c r="V58" i="21"/>
  <c r="N67" i="21"/>
  <c r="J70" i="21"/>
  <c r="V74" i="21"/>
  <c r="J76" i="21"/>
  <c r="V86" i="21"/>
  <c r="J94" i="21"/>
  <c r="Z106" i="21"/>
  <c r="J115" i="21"/>
  <c r="N74" i="24"/>
  <c r="X96" i="24"/>
  <c r="X90" i="27"/>
  <c r="X106" i="27"/>
  <c r="F79" i="30"/>
  <c r="X99" i="33"/>
  <c r="Z99" i="33" s="1"/>
  <c r="P95" i="33"/>
  <c r="X95" i="33" s="1"/>
  <c r="Z95" i="33" s="1"/>
  <c r="J118" i="18"/>
  <c r="V120" i="18"/>
  <c r="V124" i="18"/>
  <c r="V128" i="18"/>
  <c r="V132" i="18"/>
  <c r="V136" i="18"/>
  <c r="V140" i="18"/>
  <c r="V144" i="18"/>
  <c r="V148" i="18"/>
  <c r="V152" i="18"/>
  <c r="V156" i="18"/>
  <c r="V160" i="18"/>
  <c r="V164" i="18"/>
  <c r="V168" i="18"/>
  <c r="V172" i="18"/>
  <c r="J180" i="18"/>
  <c r="J184" i="18"/>
  <c r="J188" i="18"/>
  <c r="V200" i="18"/>
  <c r="J204" i="18"/>
  <c r="V208" i="18"/>
  <c r="J212" i="18"/>
  <c r="J220" i="18"/>
  <c r="V224" i="18"/>
  <c r="J230" i="18"/>
  <c r="J238" i="18"/>
  <c r="V240" i="18"/>
  <c r="J244" i="18"/>
  <c r="V252" i="18"/>
  <c r="V256" i="18"/>
  <c r="J260" i="18"/>
  <c r="V264" i="18"/>
  <c r="V272" i="18"/>
  <c r="J279" i="18"/>
  <c r="V284" i="18"/>
  <c r="V83" i="21"/>
  <c r="V90" i="21"/>
  <c r="Z95" i="21"/>
  <c r="X95" i="21"/>
  <c r="V106" i="21"/>
  <c r="Z96" i="24"/>
  <c r="D12" i="27"/>
  <c r="Z90" i="27"/>
  <c r="Z106" i="27"/>
  <c r="P12" i="30"/>
  <c r="X13" i="30"/>
  <c r="Z13" i="30" s="1"/>
  <c r="F89" i="30"/>
  <c r="F107" i="30"/>
  <c r="F135" i="30"/>
  <c r="N139" i="30"/>
  <c r="L145" i="30"/>
  <c r="N145" i="30" s="1"/>
  <c r="D144" i="30"/>
  <c r="L144" i="30" s="1"/>
  <c r="N144" i="30" s="1"/>
  <c r="H153" i="30"/>
  <c r="D247" i="15"/>
  <c r="L247" i="15" s="1"/>
  <c r="N247" i="15" s="1"/>
  <c r="V181" i="18"/>
  <c r="V185" i="18"/>
  <c r="J193" i="18"/>
  <c r="J197" i="18"/>
  <c r="J211" i="18"/>
  <c r="V213" i="18"/>
  <c r="J219" i="18"/>
  <c r="J229" i="18"/>
  <c r="V233" i="18"/>
  <c r="J237" i="18"/>
  <c r="J243" i="18"/>
  <c r="V245" i="18"/>
  <c r="J249" i="18"/>
  <c r="J259" i="18"/>
  <c r="V261" i="18"/>
  <c r="V269" i="18"/>
  <c r="V271" i="18"/>
  <c r="J278" i="18"/>
  <c r="Z12" i="21"/>
  <c r="V32" i="21"/>
  <c r="V36" i="21"/>
  <c r="V40" i="21"/>
  <c r="J44" i="21"/>
  <c r="J48" i="21"/>
  <c r="J52" i="21"/>
  <c r="J56" i="21"/>
  <c r="V61" i="21"/>
  <c r="L63" i="21"/>
  <c r="N73" i="21"/>
  <c r="J98" i="21"/>
  <c r="N111" i="21"/>
  <c r="L111" i="21"/>
  <c r="N85" i="24"/>
  <c r="V96" i="24"/>
  <c r="Z70" i="27"/>
  <c r="V90" i="27"/>
  <c r="N100" i="27"/>
  <c r="V106" i="27"/>
  <c r="F45" i="30"/>
  <c r="F49" i="30"/>
  <c r="F53" i="30"/>
  <c r="F57" i="30"/>
  <c r="F61" i="30"/>
  <c r="X67" i="30"/>
  <c r="L117" i="30"/>
  <c r="Z121" i="30"/>
  <c r="X139" i="30"/>
  <c r="Z139" i="30" s="1"/>
  <c r="X141" i="30"/>
  <c r="Z141" i="30" s="1"/>
  <c r="J122" i="18"/>
  <c r="J126" i="18"/>
  <c r="J130" i="18"/>
  <c r="J134" i="18"/>
  <c r="J138" i="18"/>
  <c r="J142" i="18"/>
  <c r="J146" i="18"/>
  <c r="J150" i="18"/>
  <c r="J154" i="18"/>
  <c r="J158" i="18"/>
  <c r="J162" i="18"/>
  <c r="J166" i="18"/>
  <c r="J170" i="18"/>
  <c r="H175" i="18"/>
  <c r="V190" i="18"/>
  <c r="V194" i="18"/>
  <c r="V198" i="18"/>
  <c r="V206" i="18"/>
  <c r="J210" i="18"/>
  <c r="V214" i="18"/>
  <c r="J218" i="18"/>
  <c r="V222" i="18"/>
  <c r="J228" i="18"/>
  <c r="V234" i="18"/>
  <c r="J242" i="18"/>
  <c r="J248" i="18"/>
  <c r="V250" i="18"/>
  <c r="J254" i="18"/>
  <c r="J258" i="18"/>
  <c r="V262" i="18"/>
  <c r="J266" i="18"/>
  <c r="J277" i="18"/>
  <c r="J25" i="21"/>
  <c r="X32" i="21"/>
  <c r="V45" i="21"/>
  <c r="V49" i="21"/>
  <c r="J60" i="21"/>
  <c r="J73" i="21"/>
  <c r="N79" i="21"/>
  <c r="V94" i="21"/>
  <c r="P12" i="24"/>
  <c r="X13" i="24"/>
  <c r="Z13" i="24" s="1"/>
  <c r="Z103" i="24"/>
  <c r="N107" i="24"/>
  <c r="V66" i="27"/>
  <c r="V98" i="27"/>
  <c r="Z67" i="30"/>
  <c r="V67" i="30"/>
  <c r="F109" i="30"/>
  <c r="N117" i="30"/>
  <c r="V119" i="18"/>
  <c r="V123" i="18"/>
  <c r="V127" i="18"/>
  <c r="V131" i="18"/>
  <c r="V135" i="18"/>
  <c r="V139" i="18"/>
  <c r="V143" i="18"/>
  <c r="V147" i="18"/>
  <c r="V151" i="18"/>
  <c r="V155" i="18"/>
  <c r="V159" i="18"/>
  <c r="V163" i="18"/>
  <c r="V167" i="18"/>
  <c r="V171" i="18"/>
  <c r="J175" i="18"/>
  <c r="J177" i="18"/>
  <c r="J179" i="18"/>
  <c r="J183" i="18"/>
  <c r="J187" i="18"/>
  <c r="J203" i="18"/>
  <c r="V207" i="18"/>
  <c r="J217" i="18"/>
  <c r="J227" i="18"/>
  <c r="V231" i="18"/>
  <c r="V239" i="18"/>
  <c r="J247" i="18"/>
  <c r="V251" i="18"/>
  <c r="V255" i="18"/>
  <c r="V267" i="18"/>
  <c r="J276" i="18"/>
  <c r="V26" i="21"/>
  <c r="J34" i="21"/>
  <c r="J38" i="21"/>
  <c r="J66" i="21"/>
  <c r="Z67" i="21"/>
  <c r="V70" i="21"/>
  <c r="X71" i="21"/>
  <c r="Z71" i="21" s="1"/>
  <c r="J79" i="21"/>
  <c r="J102" i="21"/>
  <c r="V105" i="21"/>
  <c r="N109" i="24"/>
  <c r="L111" i="24"/>
  <c r="N111" i="24" s="1"/>
  <c r="V59" i="27"/>
  <c r="N81" i="27"/>
  <c r="N83" i="27"/>
  <c r="N93" i="27"/>
  <c r="L93" i="27"/>
  <c r="Z102" i="27"/>
  <c r="Z77" i="30"/>
  <c r="P12" i="36"/>
  <c r="X14" i="36"/>
  <c r="J178" i="18"/>
  <c r="V180" i="18"/>
  <c r="V184" i="18"/>
  <c r="V188" i="18"/>
  <c r="J192" i="18"/>
  <c r="J196" i="18"/>
  <c r="J202" i="18"/>
  <c r="V204" i="18"/>
  <c r="V212" i="18"/>
  <c r="J216" i="18"/>
  <c r="V220" i="18"/>
  <c r="J226" i="18"/>
  <c r="V232" i="18"/>
  <c r="J236" i="18"/>
  <c r="V244" i="18"/>
  <c r="V260" i="18"/>
  <c r="V268" i="18"/>
  <c r="V280" i="18"/>
  <c r="V35" i="21"/>
  <c r="V39" i="21"/>
  <c r="J43" i="21"/>
  <c r="J47" i="21"/>
  <c r="J51" i="21"/>
  <c r="Z53" i="21"/>
  <c r="J62" i="21"/>
  <c r="V67" i="21"/>
  <c r="J69" i="21"/>
  <c r="V82" i="21"/>
  <c r="N87" i="21"/>
  <c r="V98" i="21"/>
  <c r="X85" i="24"/>
  <c r="V62" i="27"/>
  <c r="V91" i="27"/>
  <c r="V107" i="27"/>
  <c r="F146" i="30"/>
  <c r="D95" i="33"/>
  <c r="L95" i="33" s="1"/>
  <c r="L97" i="33"/>
  <c r="V78" i="24"/>
  <c r="V82" i="24"/>
  <c r="J86" i="24"/>
  <c r="J90" i="24"/>
  <c r="J94" i="24"/>
  <c r="V98" i="24"/>
  <c r="J102" i="24"/>
  <c r="V106" i="24"/>
  <c r="V118" i="24"/>
  <c r="J44" i="27"/>
  <c r="J48" i="27"/>
  <c r="J52" i="27"/>
  <c r="J70" i="27"/>
  <c r="J86" i="27"/>
  <c r="J96" i="27"/>
  <c r="J104" i="27"/>
  <c r="J112" i="27"/>
  <c r="J45" i="30"/>
  <c r="J49" i="30"/>
  <c r="J53" i="30"/>
  <c r="J57" i="30"/>
  <c r="J61" i="30"/>
  <c r="T64" i="30"/>
  <c r="V77" i="30"/>
  <c r="V81" i="30"/>
  <c r="V85" i="30"/>
  <c r="J89" i="30"/>
  <c r="V93" i="30"/>
  <c r="J97" i="30"/>
  <c r="V101" i="30"/>
  <c r="J109" i="30"/>
  <c r="V113" i="30"/>
  <c r="V121" i="30"/>
  <c r="V141" i="30"/>
  <c r="J149" i="30"/>
  <c r="T37" i="33"/>
  <c r="X76" i="33"/>
  <c r="Z76" i="33" s="1"/>
  <c r="X80" i="33"/>
  <c r="Z80" i="33" s="1"/>
  <c r="N89" i="33"/>
  <c r="X92" i="33"/>
  <c r="N73" i="36"/>
  <c r="N82" i="36"/>
  <c r="N39" i="39"/>
  <c r="J107" i="30"/>
  <c r="J117" i="30"/>
  <c r="V119" i="30"/>
  <c r="J123" i="30"/>
  <c r="V131" i="30"/>
  <c r="J135" i="30"/>
  <c r="V139" i="30"/>
  <c r="J146" i="30"/>
  <c r="V151" i="30"/>
  <c r="V31" i="33"/>
  <c r="N50" i="33"/>
  <c r="V71" i="33"/>
  <c r="V80" i="33"/>
  <c r="V92" i="33"/>
  <c r="J75" i="24"/>
  <c r="V77" i="24"/>
  <c r="V81" i="24"/>
  <c r="J89" i="24"/>
  <c r="J93" i="24"/>
  <c r="J101" i="24"/>
  <c r="V105" i="24"/>
  <c r="J111" i="24"/>
  <c r="V113" i="24"/>
  <c r="J121" i="24"/>
  <c r="V127" i="24"/>
  <c r="J43" i="27"/>
  <c r="J47" i="27"/>
  <c r="J51" i="27"/>
  <c r="H56" i="27"/>
  <c r="J93" i="27"/>
  <c r="J103" i="27"/>
  <c r="J109" i="27"/>
  <c r="J44" i="30"/>
  <c r="J48" i="30"/>
  <c r="J52" i="30"/>
  <c r="J56" i="30"/>
  <c r="J60" i="30"/>
  <c r="V80" i="30"/>
  <c r="V84" i="30"/>
  <c r="J96" i="30"/>
  <c r="V100" i="30"/>
  <c r="J106" i="30"/>
  <c r="V112" i="30"/>
  <c r="J116" i="30"/>
  <c r="V124" i="30"/>
  <c r="J134" i="30"/>
  <c r="V136" i="30"/>
  <c r="J144" i="30"/>
  <c r="J145" i="30"/>
  <c r="J30" i="33"/>
  <c r="V54" i="33"/>
  <c r="V68" i="33"/>
  <c r="V75" i="33"/>
  <c r="Z75" i="36"/>
  <c r="Z129" i="39"/>
  <c r="V129" i="39"/>
  <c r="J50" i="24"/>
  <c r="J54" i="24"/>
  <c r="J58" i="24"/>
  <c r="J62" i="24"/>
  <c r="J66" i="24"/>
  <c r="J70" i="24"/>
  <c r="V86" i="24"/>
  <c r="V90" i="24"/>
  <c r="V94" i="24"/>
  <c r="J100" i="24"/>
  <c r="V102" i="24"/>
  <c r="J110" i="24"/>
  <c r="V114" i="24"/>
  <c r="J120" i="24"/>
  <c r="J58" i="27"/>
  <c r="J60" i="27"/>
  <c r="J64" i="27"/>
  <c r="J68" i="27"/>
  <c r="J84" i="27"/>
  <c r="J92" i="27"/>
  <c r="J102" i="27"/>
  <c r="J108" i="27"/>
  <c r="J122" i="27"/>
  <c r="V41" i="30"/>
  <c r="V45" i="30"/>
  <c r="V49" i="30"/>
  <c r="V53" i="30"/>
  <c r="V57" i="30"/>
  <c r="V61" i="30"/>
  <c r="J69" i="30"/>
  <c r="J73" i="30"/>
  <c r="V89" i="30"/>
  <c r="J95" i="30"/>
  <c r="V97" i="30"/>
  <c r="J105" i="30"/>
  <c r="V109" i="30"/>
  <c r="V125" i="30"/>
  <c r="J129" i="30"/>
  <c r="J133" i="30"/>
  <c r="V137" i="30"/>
  <c r="X40" i="33"/>
  <c r="Z40" i="33" s="1"/>
  <c r="V58" i="33"/>
  <c r="V63" i="33"/>
  <c r="L74" i="33"/>
  <c r="N74" i="33" s="1"/>
  <c r="D12" i="36"/>
  <c r="N26" i="36"/>
  <c r="L45" i="36"/>
  <c r="V75" i="36"/>
  <c r="T142" i="39"/>
  <c r="V51" i="24"/>
  <c r="V55" i="24"/>
  <c r="V59" i="24"/>
  <c r="V63" i="24"/>
  <c r="V67" i="24"/>
  <c r="J79" i="24"/>
  <c r="J83" i="24"/>
  <c r="J99" i="24"/>
  <c r="V103" i="24"/>
  <c r="J109" i="24"/>
  <c r="J119" i="24"/>
  <c r="J59" i="27"/>
  <c r="J73" i="27"/>
  <c r="J77" i="27"/>
  <c r="J83" i="27"/>
  <c r="J101" i="27"/>
  <c r="N12" i="30"/>
  <c r="V70" i="30"/>
  <c r="V74" i="30"/>
  <c r="J78" i="30"/>
  <c r="J82" i="30"/>
  <c r="J86" i="30"/>
  <c r="V90" i="30"/>
  <c r="J94" i="30"/>
  <c r="V98" i="30"/>
  <c r="J104" i="30"/>
  <c r="V110" i="30"/>
  <c r="V118" i="30"/>
  <c r="J122" i="30"/>
  <c r="J128" i="30"/>
  <c r="V130" i="30"/>
  <c r="J142" i="30"/>
  <c r="T136" i="36"/>
  <c r="N34" i="36"/>
  <c r="N45" i="36"/>
  <c r="J100" i="27"/>
  <c r="J127" i="30"/>
  <c r="J141" i="30"/>
  <c r="V147" i="30"/>
  <c r="V86" i="33"/>
  <c r="V70" i="33"/>
  <c r="V46" i="33"/>
  <c r="V42" i="33"/>
  <c r="V95" i="33"/>
  <c r="V93" i="33"/>
  <c r="V81" i="33"/>
  <c r="V61" i="33"/>
  <c r="V33" i="33"/>
  <c r="V96" i="33"/>
  <c r="V72" i="33"/>
  <c r="V60" i="33"/>
  <c r="V56" i="33"/>
  <c r="V52" i="33"/>
  <c r="V98" i="33"/>
  <c r="V82" i="33"/>
  <c r="V74" i="33"/>
  <c r="V62" i="33"/>
  <c r="V34" i="33"/>
  <c r="V30" i="33"/>
  <c r="V99" i="33"/>
  <c r="V89" i="33"/>
  <c r="V73" i="33"/>
  <c r="V65" i="33"/>
  <c r="V57" i="33"/>
  <c r="V53" i="33"/>
  <c r="V100" i="33"/>
  <c r="V88" i="33"/>
  <c r="V84" i="33"/>
  <c r="V76" i="33"/>
  <c r="V64" i="33"/>
  <c r="V48" i="33"/>
  <c r="V44" i="33"/>
  <c r="V40" i="33"/>
  <c r="V85" i="33"/>
  <c r="V77" i="33"/>
  <c r="V69" i="33"/>
  <c r="V49" i="33"/>
  <c r="V45" i="33"/>
  <c r="V41" i="33"/>
  <c r="V35" i="33"/>
  <c r="V50" i="33"/>
  <c r="V79" i="33"/>
  <c r="V97" i="33"/>
  <c r="L131" i="36"/>
  <c r="N131" i="36" s="1"/>
  <c r="D130" i="36"/>
  <c r="L130" i="36" s="1"/>
  <c r="N130" i="36" s="1"/>
  <c r="X21" i="42"/>
  <c r="P12" i="42"/>
  <c r="T72" i="24"/>
  <c r="V85" i="24"/>
  <c r="V89" i="24"/>
  <c r="V93" i="24"/>
  <c r="J97" i="24"/>
  <c r="V101" i="24"/>
  <c r="J107" i="24"/>
  <c r="J117" i="24"/>
  <c r="V121" i="24"/>
  <c r="V123" i="24"/>
  <c r="L13" i="27"/>
  <c r="J63" i="27"/>
  <c r="J67" i="27"/>
  <c r="J81" i="27"/>
  <c r="X86" i="27"/>
  <c r="Z86" i="27" s="1"/>
  <c r="J91" i="27"/>
  <c r="J99" i="27"/>
  <c r="J107" i="27"/>
  <c r="D114" i="27"/>
  <c r="L114" i="27" s="1"/>
  <c r="N114" i="27" s="1"/>
  <c r="J118" i="27"/>
  <c r="V44" i="30"/>
  <c r="V48" i="30"/>
  <c r="V52" i="30"/>
  <c r="V56" i="30"/>
  <c r="V60" i="30"/>
  <c r="J64" i="30"/>
  <c r="J66" i="30"/>
  <c r="J68" i="30"/>
  <c r="J72" i="30"/>
  <c r="J76" i="30"/>
  <c r="V88" i="30"/>
  <c r="J92" i="30"/>
  <c r="V96" i="30"/>
  <c r="J102" i="30"/>
  <c r="V108" i="30"/>
  <c r="J114" i="30"/>
  <c r="V116" i="30"/>
  <c r="J120" i="30"/>
  <c r="J132" i="30"/>
  <c r="J140" i="30"/>
  <c r="V146" i="30"/>
  <c r="Z39" i="33"/>
  <c r="L83" i="33"/>
  <c r="N83" i="33" s="1"/>
  <c r="Z107" i="36"/>
  <c r="L127" i="36"/>
  <c r="N127" i="36" s="1"/>
  <c r="J48" i="24"/>
  <c r="V50" i="24"/>
  <c r="V54" i="24"/>
  <c r="V58" i="24"/>
  <c r="V62" i="24"/>
  <c r="V66" i="24"/>
  <c r="V70" i="24"/>
  <c r="V72" i="24"/>
  <c r="V74" i="24"/>
  <c r="J78" i="24"/>
  <c r="J82" i="24"/>
  <c r="J96" i="24"/>
  <c r="J106" i="24"/>
  <c r="V110" i="24"/>
  <c r="J116" i="24"/>
  <c r="J72" i="27"/>
  <c r="J76" i="27"/>
  <c r="J80" i="27"/>
  <c r="J90" i="27"/>
  <c r="J106" i="27"/>
  <c r="J117" i="27"/>
  <c r="L66" i="30"/>
  <c r="N66" i="30" s="1"/>
  <c r="J67" i="30"/>
  <c r="V69" i="30"/>
  <c r="V73" i="30"/>
  <c r="J81" i="30"/>
  <c r="J85" i="30"/>
  <c r="X88" i="30"/>
  <c r="Z88" i="30" s="1"/>
  <c r="J101" i="30"/>
  <c r="L102" i="30"/>
  <c r="V105" i="30"/>
  <c r="X108" i="30"/>
  <c r="Z108" i="30" s="1"/>
  <c r="J113" i="30"/>
  <c r="L114" i="30"/>
  <c r="N114" i="30" s="1"/>
  <c r="V117" i="30"/>
  <c r="V129" i="30"/>
  <c r="V133" i="30"/>
  <c r="J139" i="30"/>
  <c r="V145" i="30"/>
  <c r="J153" i="30"/>
  <c r="V39" i="33"/>
  <c r="V43" i="33"/>
  <c r="V75" i="24"/>
  <c r="V79" i="24"/>
  <c r="V83" i="24"/>
  <c r="J87" i="24"/>
  <c r="J91" i="24"/>
  <c r="J95" i="24"/>
  <c r="V99" i="24"/>
  <c r="J105" i="24"/>
  <c r="V111" i="24"/>
  <c r="J115" i="24"/>
  <c r="J41" i="27"/>
  <c r="J45" i="27"/>
  <c r="J49" i="27"/>
  <c r="J53" i="27"/>
  <c r="J89" i="27"/>
  <c r="J105" i="27"/>
  <c r="J116" i="27"/>
  <c r="J42" i="30"/>
  <c r="J46" i="30"/>
  <c r="J50" i="30"/>
  <c r="J54" i="30"/>
  <c r="J58" i="30"/>
  <c r="J62" i="30"/>
  <c r="V78" i="30"/>
  <c r="V82" i="30"/>
  <c r="V86" i="30"/>
  <c r="V94" i="30"/>
  <c r="J100" i="30"/>
  <c r="V106" i="30"/>
  <c r="J112" i="30"/>
  <c r="V122" i="30"/>
  <c r="J126" i="30"/>
  <c r="V134" i="30"/>
  <c r="J138" i="30"/>
  <c r="V142" i="30"/>
  <c r="V144" i="30"/>
  <c r="D12" i="33"/>
  <c r="V47" i="33"/>
  <c r="V55" i="33"/>
  <c r="Z67" i="33"/>
  <c r="Z74" i="33"/>
  <c r="N78" i="33"/>
  <c r="N33" i="36"/>
  <c r="L66" i="42"/>
  <c r="N66" i="42" s="1"/>
  <c r="J40" i="27"/>
  <c r="J62" i="27"/>
  <c r="J66" i="27"/>
  <c r="J88" i="27"/>
  <c r="J98" i="27"/>
  <c r="J114" i="27"/>
  <c r="J41" i="30"/>
  <c r="V43" i="30"/>
  <c r="V47" i="30"/>
  <c r="V51" i="30"/>
  <c r="V55" i="30"/>
  <c r="V59" i="30"/>
  <c r="J71" i="30"/>
  <c r="J75" i="30"/>
  <c r="J91" i="30"/>
  <c r="V95" i="30"/>
  <c r="J99" i="30"/>
  <c r="V103" i="30"/>
  <c r="J111" i="30"/>
  <c r="V115" i="30"/>
  <c r="J119" i="30"/>
  <c r="J125" i="30"/>
  <c r="J131" i="30"/>
  <c r="J137" i="30"/>
  <c r="L13" i="33"/>
  <c r="N13" i="33" s="1"/>
  <c r="V59" i="33"/>
  <c r="N61" i="33"/>
  <c r="V67" i="33"/>
  <c r="N80" i="33"/>
  <c r="Z83" i="33"/>
  <c r="V90" i="33"/>
  <c r="N95" i="33"/>
  <c r="V105" i="33"/>
  <c r="L77" i="36"/>
  <c r="N77" i="36" s="1"/>
  <c r="P12" i="33"/>
  <c r="J53" i="33"/>
  <c r="J57" i="33"/>
  <c r="J63" i="33"/>
  <c r="J73" i="33"/>
  <c r="J83" i="33"/>
  <c r="J98" i="33"/>
  <c r="V29" i="36"/>
  <c r="V31" i="36"/>
  <c r="V33" i="36"/>
  <c r="J37" i="36"/>
  <c r="J41" i="36"/>
  <c r="V57" i="36"/>
  <c r="V58" i="36"/>
  <c r="J60" i="36"/>
  <c r="V62" i="36"/>
  <c r="J65" i="36"/>
  <c r="J78" i="36"/>
  <c r="V80" i="36"/>
  <c r="J83" i="36"/>
  <c r="V89" i="36"/>
  <c r="N95" i="36"/>
  <c r="V96" i="36"/>
  <c r="J98" i="36"/>
  <c r="P12" i="39"/>
  <c r="N63" i="39"/>
  <c r="Z85" i="39"/>
  <c r="Z100" i="39"/>
  <c r="J47" i="42"/>
  <c r="J52" i="33"/>
  <c r="J56" i="33"/>
  <c r="J60" i="33"/>
  <c r="J72" i="33"/>
  <c r="J26" i="36"/>
  <c r="J36" i="36"/>
  <c r="J40" i="36"/>
  <c r="J44" i="36"/>
  <c r="V56" i="36"/>
  <c r="Z99" i="36"/>
  <c r="Z105" i="36"/>
  <c r="N107" i="36"/>
  <c r="V110" i="36"/>
  <c r="J116" i="36"/>
  <c r="J124" i="36"/>
  <c r="J127" i="36"/>
  <c r="J127" i="39"/>
  <c r="J121" i="39"/>
  <c r="J117" i="39"/>
  <c r="J111" i="39"/>
  <c r="J101" i="39"/>
  <c r="J95" i="39"/>
  <c r="J144" i="39"/>
  <c r="J124" i="39"/>
  <c r="J104" i="39"/>
  <c r="J98" i="39"/>
  <c r="J138" i="39"/>
  <c r="J132" i="39"/>
  <c r="J118" i="39"/>
  <c r="J115" i="39"/>
  <c r="J73" i="39"/>
  <c r="J67" i="39"/>
  <c r="J129" i="39"/>
  <c r="J97" i="39"/>
  <c r="J92" i="39"/>
  <c r="J84" i="39"/>
  <c r="J74" i="39"/>
  <c r="J68" i="39"/>
  <c r="J50" i="39"/>
  <c r="J32" i="39"/>
  <c r="J133" i="39"/>
  <c r="J112" i="39"/>
  <c r="J85" i="39"/>
  <c r="J75" i="39"/>
  <c r="J59" i="39"/>
  <c r="J55" i="39"/>
  <c r="J51" i="39"/>
  <c r="J139" i="39"/>
  <c r="J125" i="39"/>
  <c r="J108" i="39"/>
  <c r="J105" i="39"/>
  <c r="J93" i="39"/>
  <c r="J86" i="39"/>
  <c r="J76" i="39"/>
  <c r="J46" i="39"/>
  <c r="J42" i="39"/>
  <c r="J140" i="39"/>
  <c r="J134" i="39"/>
  <c r="J130" i="39"/>
  <c r="J116" i="39"/>
  <c r="J113" i="39"/>
  <c r="J77" i="39"/>
  <c r="J69" i="39"/>
  <c r="J122" i="39"/>
  <c r="J119" i="39"/>
  <c r="J102" i="39"/>
  <c r="J94" i="39"/>
  <c r="J87" i="39"/>
  <c r="J78" i="39"/>
  <c r="J60" i="39"/>
  <c r="J56" i="39"/>
  <c r="J52" i="39"/>
  <c r="J109" i="39"/>
  <c r="J79" i="39"/>
  <c r="J61" i="39"/>
  <c r="J47" i="39"/>
  <c r="J43" i="39"/>
  <c r="J123" i="39"/>
  <c r="J110" i="39"/>
  <c r="J103" i="39"/>
  <c r="J90" i="39"/>
  <c r="J83" i="39"/>
  <c r="J71" i="39"/>
  <c r="J65" i="39"/>
  <c r="H36" i="39"/>
  <c r="J34" i="39"/>
  <c r="N76" i="39"/>
  <c r="N93" i="39"/>
  <c r="J128" i="39"/>
  <c r="Z133" i="39"/>
  <c r="J33" i="33"/>
  <c r="J71" i="33"/>
  <c r="J81" i="33"/>
  <c r="J93" i="33"/>
  <c r="V37" i="36"/>
  <c r="V41" i="36"/>
  <c r="J49" i="36"/>
  <c r="J53" i="36"/>
  <c r="J59" i="36"/>
  <c r="V60" i="36"/>
  <c r="V61" i="36"/>
  <c r="J64" i="36"/>
  <c r="V78" i="36"/>
  <c r="V83" i="36"/>
  <c r="V84" i="36"/>
  <c r="L90" i="36"/>
  <c r="N90" i="36" s="1"/>
  <c r="J91" i="36"/>
  <c r="V95" i="36"/>
  <c r="V98" i="36"/>
  <c r="V99" i="36"/>
  <c r="V105" i="36"/>
  <c r="V112" i="36"/>
  <c r="V131" i="36"/>
  <c r="J133" i="36"/>
  <c r="J49" i="39"/>
  <c r="X50" i="39"/>
  <c r="Z50" i="39" s="1"/>
  <c r="J58" i="39"/>
  <c r="J81" i="39"/>
  <c r="L137" i="39"/>
  <c r="N137" i="39" s="1"/>
  <c r="D136" i="39"/>
  <c r="L136" i="39" s="1"/>
  <c r="N136" i="39" s="1"/>
  <c r="P12" i="45"/>
  <c r="J42" i="33"/>
  <c r="J46" i="33"/>
  <c r="J70" i="33"/>
  <c r="J80" i="33"/>
  <c r="J86" i="33"/>
  <c r="J92" i="33"/>
  <c r="J121" i="36"/>
  <c r="J115" i="36"/>
  <c r="J111" i="36"/>
  <c r="J105" i="36"/>
  <c r="J87" i="36"/>
  <c r="J77" i="36"/>
  <c r="J67" i="36"/>
  <c r="J61" i="36"/>
  <c r="J131" i="36"/>
  <c r="J130" i="36"/>
  <c r="J122" i="36"/>
  <c r="J106" i="36"/>
  <c r="J94" i="36"/>
  <c r="J88" i="36"/>
  <c r="J132" i="36"/>
  <c r="J123" i="36"/>
  <c r="J107" i="36"/>
  <c r="J101" i="36"/>
  <c r="J95" i="36"/>
  <c r="J89" i="36"/>
  <c r="J69" i="36"/>
  <c r="J63" i="36"/>
  <c r="J134" i="36"/>
  <c r="J126" i="36"/>
  <c r="J114" i="36"/>
  <c r="J110" i="36"/>
  <c r="H31" i="36"/>
  <c r="V46" i="36"/>
  <c r="V50" i="36"/>
  <c r="V54" i="36"/>
  <c r="J71" i="36"/>
  <c r="J76" i="36"/>
  <c r="J81" i="36"/>
  <c r="J86" i="36"/>
  <c r="V88" i="36"/>
  <c r="J97" i="36"/>
  <c r="V104" i="36"/>
  <c r="V114" i="36"/>
  <c r="J118" i="36"/>
  <c r="X131" i="36"/>
  <c r="Z131" i="36" s="1"/>
  <c r="V134" i="36"/>
  <c r="X67" i="39"/>
  <c r="X74" i="39"/>
  <c r="Z74" i="39" s="1"/>
  <c r="J88" i="39"/>
  <c r="N95" i="39"/>
  <c r="J137" i="39"/>
  <c r="D12" i="42"/>
  <c r="J80" i="36"/>
  <c r="V94" i="36"/>
  <c r="V101" i="36"/>
  <c r="J103" i="36"/>
  <c r="J109" i="36"/>
  <c r="V116" i="36"/>
  <c r="V124" i="36"/>
  <c r="H37" i="33"/>
  <c r="J50" i="33"/>
  <c r="J68" i="33"/>
  <c r="J78" i="33"/>
  <c r="J34" i="36"/>
  <c r="V36" i="36"/>
  <c r="V40" i="36"/>
  <c r="V44" i="36"/>
  <c r="J48" i="36"/>
  <c r="J52" i="36"/>
  <c r="L63" i="36"/>
  <c r="N63" i="36" s="1"/>
  <c r="V64" i="36"/>
  <c r="J66" i="36"/>
  <c r="V67" i="36"/>
  <c r="V68" i="36"/>
  <c r="J70" i="36"/>
  <c r="X73" i="36"/>
  <c r="Z73" i="36" s="1"/>
  <c r="J85" i="36"/>
  <c r="J90" i="36"/>
  <c r="J93" i="36"/>
  <c r="J100" i="36"/>
  <c r="V107" i="36"/>
  <c r="J120" i="36"/>
  <c r="N123" i="36"/>
  <c r="Z127" i="36"/>
  <c r="V138" i="36"/>
  <c r="J33" i="39"/>
  <c r="J62" i="39"/>
  <c r="J66" i="39"/>
  <c r="Z67" i="39"/>
  <c r="X137" i="39"/>
  <c r="Z137" i="39" s="1"/>
  <c r="P136" i="39"/>
  <c r="X136" i="39" s="1"/>
  <c r="Z136" i="39" s="1"/>
  <c r="J37" i="33"/>
  <c r="J39" i="33"/>
  <c r="J41" i="33"/>
  <c r="J45" i="33"/>
  <c r="J49" i="33"/>
  <c r="J67" i="33"/>
  <c r="J77" i="33"/>
  <c r="J85" i="33"/>
  <c r="J29" i="36"/>
  <c r="L34" i="36"/>
  <c r="V45" i="36"/>
  <c r="V49" i="36"/>
  <c r="V53" i="36"/>
  <c r="J57" i="36"/>
  <c r="V59" i="36"/>
  <c r="J62" i="36"/>
  <c r="X68" i="36"/>
  <c r="Z68" i="36" s="1"/>
  <c r="J75" i="36"/>
  <c r="V77" i="36"/>
  <c r="V82" i="36"/>
  <c r="X107" i="36"/>
  <c r="J113" i="36"/>
  <c r="Z121" i="36"/>
  <c r="X31" i="39"/>
  <c r="Z31" i="39" s="1"/>
  <c r="N80" i="39"/>
  <c r="L80" i="39"/>
  <c r="J124" i="42"/>
  <c r="J123" i="42"/>
  <c r="J115" i="42"/>
  <c r="J99" i="42"/>
  <c r="J87" i="42"/>
  <c r="J81" i="42"/>
  <c r="J71" i="42"/>
  <c r="J63" i="42"/>
  <c r="J125" i="42"/>
  <c r="J116" i="42"/>
  <c r="J100" i="42"/>
  <c r="J94" i="42"/>
  <c r="J88" i="42"/>
  <c r="J82" i="42"/>
  <c r="J72" i="42"/>
  <c r="J54" i="42"/>
  <c r="J50" i="42"/>
  <c r="J46" i="42"/>
  <c r="J126" i="42"/>
  <c r="J117" i="42"/>
  <c r="J109" i="42"/>
  <c r="J105" i="42"/>
  <c r="J101" i="42"/>
  <c r="J89" i="42"/>
  <c r="J83" i="42"/>
  <c r="J73" i="42"/>
  <c r="J55" i="42"/>
  <c r="J41" i="42"/>
  <c r="J37" i="42"/>
  <c r="J127" i="42"/>
  <c r="J84" i="42"/>
  <c r="J64" i="42"/>
  <c r="J56" i="42"/>
  <c r="J28" i="42"/>
  <c r="J118" i="42"/>
  <c r="J110" i="42"/>
  <c r="J106" i="42"/>
  <c r="J102" i="42"/>
  <c r="J90" i="42"/>
  <c r="J74" i="42"/>
  <c r="J58" i="42"/>
  <c r="J42" i="42"/>
  <c r="J38" i="42"/>
  <c r="J34" i="42"/>
  <c r="J32" i="42"/>
  <c r="J131" i="42"/>
  <c r="J111" i="42"/>
  <c r="J85" i="42"/>
  <c r="J75" i="42"/>
  <c r="J65" i="42"/>
  <c r="J59" i="42"/>
  <c r="J112" i="42"/>
  <c r="J96" i="42"/>
  <c r="J76" i="42"/>
  <c r="J66" i="42"/>
  <c r="J60" i="42"/>
  <c r="J52" i="42"/>
  <c r="J48" i="42"/>
  <c r="J119" i="42"/>
  <c r="J107" i="42"/>
  <c r="J103" i="42"/>
  <c r="J91" i="42"/>
  <c r="J121" i="42"/>
  <c r="J113" i="42"/>
  <c r="J97" i="42"/>
  <c r="J93" i="42"/>
  <c r="J79" i="42"/>
  <c r="J69" i="42"/>
  <c r="J53" i="42"/>
  <c r="J49" i="42"/>
  <c r="J45" i="42"/>
  <c r="J43" i="42"/>
  <c r="J33" i="42"/>
  <c r="J39" i="42"/>
  <c r="J35" i="42"/>
  <c r="J104" i="42"/>
  <c r="J95" i="42"/>
  <c r="J25" i="42"/>
  <c r="J86" i="42"/>
  <c r="J61" i="42"/>
  <c r="J44" i="42"/>
  <c r="J92" i="42"/>
  <c r="J80" i="42"/>
  <c r="J78" i="42"/>
  <c r="J67" i="42"/>
  <c r="H30" i="42"/>
  <c r="J30" i="42" s="1"/>
  <c r="J26" i="42"/>
  <c r="J108" i="42"/>
  <c r="J57" i="42"/>
  <c r="J40" i="42"/>
  <c r="J98" i="42"/>
  <c r="J68" i="42"/>
  <c r="J77" i="42"/>
  <c r="J62" i="42"/>
  <c r="J51" i="42"/>
  <c r="J27" i="42"/>
  <c r="J36" i="42"/>
  <c r="J70" i="42"/>
  <c r="J40" i="33"/>
  <c r="J54" i="33"/>
  <c r="J58" i="33"/>
  <c r="J66" i="33"/>
  <c r="J76" i="33"/>
  <c r="J90" i="33"/>
  <c r="V91" i="36"/>
  <c r="V79" i="36"/>
  <c r="V71" i="36"/>
  <c r="V118" i="36"/>
  <c r="V102" i="36"/>
  <c r="V125" i="36"/>
  <c r="V117" i="36"/>
  <c r="V113" i="36"/>
  <c r="V109" i="36"/>
  <c r="V97" i="36"/>
  <c r="V81" i="36"/>
  <c r="V73" i="36"/>
  <c r="V65" i="36"/>
  <c r="V127" i="36"/>
  <c r="V119" i="36"/>
  <c r="V132" i="36"/>
  <c r="V122" i="36"/>
  <c r="V26" i="36"/>
  <c r="J38" i="36"/>
  <c r="J42" i="36"/>
  <c r="J56" i="36"/>
  <c r="X58" i="36"/>
  <c r="V76" i="36"/>
  <c r="J79" i="36"/>
  <c r="J96" i="36"/>
  <c r="V111" i="36"/>
  <c r="V121" i="36"/>
  <c r="V126" i="36"/>
  <c r="V130" i="36"/>
  <c r="X38" i="39"/>
  <c r="J40" i="39"/>
  <c r="J44" i="39"/>
  <c r="J57" i="39"/>
  <c r="J70" i="39"/>
  <c r="J80" i="39"/>
  <c r="J100" i="39"/>
  <c r="J106" i="39"/>
  <c r="J99" i="36"/>
  <c r="V103" i="36"/>
  <c r="V106" i="36"/>
  <c r="J117" i="36"/>
  <c r="V120" i="36"/>
  <c r="J125" i="36"/>
  <c r="J128" i="36"/>
  <c r="Z38" i="39"/>
  <c r="L61" i="39"/>
  <c r="N61" i="39" s="1"/>
  <c r="J72" i="39"/>
  <c r="J96" i="39"/>
  <c r="J114" i="39"/>
  <c r="D12" i="39"/>
  <c r="V51" i="39"/>
  <c r="V55" i="39"/>
  <c r="V59" i="39"/>
  <c r="V75" i="39"/>
  <c r="V101" i="39"/>
  <c r="X104" i="39"/>
  <c r="Z104" i="39" s="1"/>
  <c r="V112" i="39"/>
  <c r="V121" i="39"/>
  <c r="X124" i="39"/>
  <c r="Z124" i="39" s="1"/>
  <c r="V139" i="39"/>
  <c r="V28" i="42"/>
  <c r="V39" i="42"/>
  <c r="V43" i="42"/>
  <c r="Z75" i="42"/>
  <c r="P123" i="42"/>
  <c r="X123" i="42" s="1"/>
  <c r="Z123" i="42" s="1"/>
  <c r="Z60" i="45"/>
  <c r="N96" i="45"/>
  <c r="X68" i="48"/>
  <c r="Z68" i="48" s="1"/>
  <c r="Z92" i="45"/>
  <c r="N45" i="48"/>
  <c r="V67" i="39"/>
  <c r="V71" i="39"/>
  <c r="V83" i="39"/>
  <c r="V90" i="39"/>
  <c r="V99" i="39"/>
  <c r="V100" i="39"/>
  <c r="V103" i="39"/>
  <c r="V120" i="39"/>
  <c r="V111" i="42"/>
  <c r="V95" i="42"/>
  <c r="V75" i="42"/>
  <c r="V59" i="42"/>
  <c r="V51" i="42"/>
  <c r="V47" i="42"/>
  <c r="V118" i="42"/>
  <c r="V110" i="42"/>
  <c r="V106" i="42"/>
  <c r="V102" i="42"/>
  <c r="V90" i="42"/>
  <c r="V74" i="42"/>
  <c r="V66" i="42"/>
  <c r="V58" i="42"/>
  <c r="V42" i="42"/>
  <c r="V38" i="42"/>
  <c r="V34" i="42"/>
  <c r="V131" i="42"/>
  <c r="V85" i="42"/>
  <c r="V77" i="42"/>
  <c r="V65" i="42"/>
  <c r="V61" i="42"/>
  <c r="V120" i="42"/>
  <c r="V112" i="42"/>
  <c r="V96" i="42"/>
  <c r="V92" i="42"/>
  <c r="V76" i="42"/>
  <c r="V68" i="42"/>
  <c r="V60" i="42"/>
  <c r="V52" i="42"/>
  <c r="V48" i="42"/>
  <c r="V44" i="42"/>
  <c r="V119" i="42"/>
  <c r="V107" i="42"/>
  <c r="V103" i="42"/>
  <c r="V114" i="42"/>
  <c r="V98" i="42"/>
  <c r="V86" i="42"/>
  <c r="V78" i="42"/>
  <c r="V70" i="42"/>
  <c r="V62" i="42"/>
  <c r="V123" i="42"/>
  <c r="V121" i="42"/>
  <c r="V113" i="42"/>
  <c r="V97" i="42"/>
  <c r="V93" i="42"/>
  <c r="V81" i="42"/>
  <c r="V69" i="42"/>
  <c r="V53" i="42"/>
  <c r="V49" i="42"/>
  <c r="V45" i="42"/>
  <c r="V124" i="42"/>
  <c r="V116" i="42"/>
  <c r="V108" i="42"/>
  <c r="V104" i="42"/>
  <c r="V100" i="42"/>
  <c r="V88" i="42"/>
  <c r="V80" i="42"/>
  <c r="V72" i="42"/>
  <c r="V40" i="42"/>
  <c r="V36" i="42"/>
  <c r="V125" i="42"/>
  <c r="V115" i="42"/>
  <c r="V99" i="42"/>
  <c r="V87" i="42"/>
  <c r="V83" i="42"/>
  <c r="V127" i="42"/>
  <c r="V117" i="42"/>
  <c r="V109" i="42"/>
  <c r="V105" i="42"/>
  <c r="V101" i="42"/>
  <c r="V89" i="42"/>
  <c r="V73" i="42"/>
  <c r="V57" i="42"/>
  <c r="V41" i="42"/>
  <c r="V37" i="42"/>
  <c r="V33" i="42"/>
  <c r="V27" i="42"/>
  <c r="Z55" i="42"/>
  <c r="Z120" i="42"/>
  <c r="N55" i="45"/>
  <c r="L41" i="48"/>
  <c r="N41" i="48" s="1"/>
  <c r="F41" i="48"/>
  <c r="D76" i="57"/>
  <c r="V97" i="39"/>
  <c r="V89" i="39"/>
  <c r="V136" i="39"/>
  <c r="V134" i="39"/>
  <c r="V126" i="39"/>
  <c r="V110" i="39"/>
  <c r="V106" i="39"/>
  <c r="V94" i="39"/>
  <c r="V40" i="39"/>
  <c r="V44" i="39"/>
  <c r="V48" i="39"/>
  <c r="V64" i="39"/>
  <c r="V72" i="39"/>
  <c r="V91" i="39"/>
  <c r="V96" i="39"/>
  <c r="N113" i="39"/>
  <c r="V117" i="39"/>
  <c r="V131" i="39"/>
  <c r="V137" i="39"/>
  <c r="V32" i="42"/>
  <c r="V55" i="42"/>
  <c r="L61" i="42"/>
  <c r="N61" i="42" s="1"/>
  <c r="Z68" i="42"/>
  <c r="Z83" i="42"/>
  <c r="V94" i="42"/>
  <c r="Z98" i="42"/>
  <c r="V126" i="42"/>
  <c r="V114" i="39"/>
  <c r="V127" i="39"/>
  <c r="V63" i="42"/>
  <c r="Z70" i="42"/>
  <c r="N40" i="56"/>
  <c r="V34" i="39"/>
  <c r="V36" i="39"/>
  <c r="V38" i="39"/>
  <c r="V62" i="39"/>
  <c r="V70" i="39"/>
  <c r="V82" i="39"/>
  <c r="V88" i="39"/>
  <c r="X57" i="42"/>
  <c r="Z57" i="42" s="1"/>
  <c r="Z59" i="42"/>
  <c r="V67" i="42"/>
  <c r="Z72" i="42"/>
  <c r="X72" i="42"/>
  <c r="X92" i="42"/>
  <c r="Z92" i="42" s="1"/>
  <c r="Z28" i="45"/>
  <c r="N39" i="45"/>
  <c r="X55" i="45"/>
  <c r="Z55" i="45" s="1"/>
  <c r="Z70" i="45"/>
  <c r="V39" i="39"/>
  <c r="V43" i="39"/>
  <c r="V47" i="39"/>
  <c r="V63" i="39"/>
  <c r="V79" i="39"/>
  <c r="V95" i="39"/>
  <c r="V98" i="39"/>
  <c r="V102" i="39"/>
  <c r="V109" i="39"/>
  <c r="X113" i="39"/>
  <c r="Z113" i="39" s="1"/>
  <c r="V122" i="39"/>
  <c r="N129" i="39"/>
  <c r="V142" i="39"/>
  <c r="T30" i="42"/>
  <c r="V46" i="42"/>
  <c r="V50" i="42"/>
  <c r="V54" i="42"/>
  <c r="Z88" i="42"/>
  <c r="V52" i="39"/>
  <c r="V56" i="39"/>
  <c r="V60" i="39"/>
  <c r="V80" i="39"/>
  <c r="V116" i="39"/>
  <c r="V119" i="39"/>
  <c r="V130" i="39"/>
  <c r="V26" i="42"/>
  <c r="N33" i="42"/>
  <c r="X44" i="42"/>
  <c r="Z44" i="42" s="1"/>
  <c r="D12" i="45"/>
  <c r="L13" i="45"/>
  <c r="N27" i="45"/>
  <c r="Z82" i="45"/>
  <c r="V140" i="39"/>
  <c r="L77" i="42"/>
  <c r="N77" i="42" s="1"/>
  <c r="Z111" i="42"/>
  <c r="N123" i="42"/>
  <c r="Z39" i="45"/>
  <c r="N77" i="45"/>
  <c r="N57" i="48"/>
  <c r="N86" i="51"/>
  <c r="J23" i="45"/>
  <c r="V39" i="45"/>
  <c r="V43" i="45"/>
  <c r="V47" i="45"/>
  <c r="J51" i="45"/>
  <c r="V55" i="45"/>
  <c r="J59" i="45"/>
  <c r="V63" i="45"/>
  <c r="J71" i="45"/>
  <c r="J77" i="45"/>
  <c r="V79" i="45"/>
  <c r="J83" i="45"/>
  <c r="J87" i="45"/>
  <c r="J91" i="45"/>
  <c r="T102" i="45"/>
  <c r="Z95" i="51"/>
  <c r="N23" i="55"/>
  <c r="F20" i="56"/>
  <c r="J69" i="45"/>
  <c r="L60" i="48"/>
  <c r="N60" i="48" s="1"/>
  <c r="H70" i="48"/>
  <c r="L57" i="51"/>
  <c r="N57" i="51" s="1"/>
  <c r="R88" i="51"/>
  <c r="F63" i="56"/>
  <c r="L18" i="64"/>
  <c r="N18" i="64" s="1"/>
  <c r="X13" i="45"/>
  <c r="J22" i="45"/>
  <c r="J58" i="45"/>
  <c r="V62" i="45"/>
  <c r="J68" i="45"/>
  <c r="J86" i="45"/>
  <c r="J90" i="45"/>
  <c r="V94" i="45"/>
  <c r="J98" i="45"/>
  <c r="J104" i="45"/>
  <c r="L12" i="48"/>
  <c r="N43" i="48"/>
  <c r="L45" i="48"/>
  <c r="Z39" i="51"/>
  <c r="X39" i="51"/>
  <c r="R43" i="51"/>
  <c r="N101" i="51"/>
  <c r="X88" i="42"/>
  <c r="X100" i="42"/>
  <c r="Z100" i="42" s="1"/>
  <c r="X116" i="42"/>
  <c r="Z116" i="42" s="1"/>
  <c r="J31" i="45"/>
  <c r="J35" i="45"/>
  <c r="J57" i="45"/>
  <c r="X62" i="45"/>
  <c r="Z62" i="45" s="1"/>
  <c r="J67" i="45"/>
  <c r="L68" i="45"/>
  <c r="N68" i="45" s="1"/>
  <c r="J75" i="45"/>
  <c r="X94" i="45"/>
  <c r="Z94" i="45" s="1"/>
  <c r="R19" i="48"/>
  <c r="N47" i="48"/>
  <c r="J40" i="45"/>
  <c r="J44" i="45"/>
  <c r="J48" i="45"/>
  <c r="J56" i="45"/>
  <c r="J66" i="45"/>
  <c r="J80" i="45"/>
  <c r="F26" i="48"/>
  <c r="F49" i="48"/>
  <c r="R47" i="51"/>
  <c r="Z18" i="55"/>
  <c r="J55" i="45"/>
  <c r="J65" i="45"/>
  <c r="J85" i="45"/>
  <c r="J89" i="45"/>
  <c r="J97" i="45"/>
  <c r="V104" i="45"/>
  <c r="J20" i="45"/>
  <c r="V22" i="45"/>
  <c r="J30" i="45"/>
  <c r="J34" i="45"/>
  <c r="J38" i="45"/>
  <c r="V50" i="45"/>
  <c r="J54" i="45"/>
  <c r="V58" i="45"/>
  <c r="J64" i="45"/>
  <c r="V70" i="45"/>
  <c r="J74" i="45"/>
  <c r="V82" i="45"/>
  <c r="V86" i="45"/>
  <c r="V90" i="45"/>
  <c r="J96" i="45"/>
  <c r="V98" i="45"/>
  <c r="R47" i="48"/>
  <c r="X49" i="48"/>
  <c r="N55" i="48"/>
  <c r="L57" i="48"/>
  <c r="Z67" i="48"/>
  <c r="L15" i="51"/>
  <c r="D12" i="51"/>
  <c r="R40" i="51"/>
  <c r="R51" i="51"/>
  <c r="R87" i="51"/>
  <c r="Z98" i="51"/>
  <c r="L20" i="45"/>
  <c r="N20" i="45" s="1"/>
  <c r="J43" i="45"/>
  <c r="J47" i="45"/>
  <c r="X50" i="45"/>
  <c r="Z50" i="45" s="1"/>
  <c r="J63" i="45"/>
  <c r="J79" i="45"/>
  <c r="J95" i="45"/>
  <c r="F58" i="48"/>
  <c r="F57" i="48"/>
  <c r="F46" i="48"/>
  <c r="F45" i="48"/>
  <c r="F38" i="48"/>
  <c r="F34" i="48"/>
  <c r="F65" i="48"/>
  <c r="F64" i="48"/>
  <c r="F29" i="48"/>
  <c r="F25" i="48"/>
  <c r="F21" i="48"/>
  <c r="F20" i="48"/>
  <c r="F48" i="48"/>
  <c r="F47" i="48"/>
  <c r="F19" i="48"/>
  <c r="F17" i="48"/>
  <c r="F15" i="48"/>
  <c r="F68" i="48"/>
  <c r="F59" i="48"/>
  <c r="F39" i="48"/>
  <c r="F35" i="48"/>
  <c r="F31" i="48"/>
  <c r="F30" i="48"/>
  <c r="D17" i="48"/>
  <c r="F61" i="48"/>
  <c r="F60" i="48"/>
  <c r="F72" i="48"/>
  <c r="F52" i="48"/>
  <c r="F51" i="48"/>
  <c r="F40" i="48"/>
  <c r="F36" i="48"/>
  <c r="F32" i="48"/>
  <c r="F27" i="48"/>
  <c r="F23" i="48"/>
  <c r="F56" i="48"/>
  <c r="F55" i="48"/>
  <c r="F44" i="48"/>
  <c r="F43" i="48"/>
  <c r="F28" i="48"/>
  <c r="F24" i="48"/>
  <c r="X30" i="48"/>
  <c r="Z30" i="48" s="1"/>
  <c r="Z49" i="48"/>
  <c r="R78" i="51"/>
  <c r="F72" i="56"/>
  <c r="F71" i="56"/>
  <c r="F64" i="56"/>
  <c r="F48" i="56"/>
  <c r="F47" i="56"/>
  <c r="F59" i="56"/>
  <c r="F39" i="56"/>
  <c r="F35" i="56"/>
  <c r="F31" i="56"/>
  <c r="F74" i="56"/>
  <c r="F73" i="56"/>
  <c r="F66" i="56"/>
  <c r="F65" i="56"/>
  <c r="F50" i="56"/>
  <c r="F49" i="56"/>
  <c r="F41" i="56"/>
  <c r="F40" i="56"/>
  <c r="F76" i="56"/>
  <c r="F75" i="56"/>
  <c r="F68" i="56"/>
  <c r="F67" i="56"/>
  <c r="F43" i="56"/>
  <c r="F42" i="56"/>
  <c r="F27" i="56"/>
  <c r="F23" i="56"/>
  <c r="F80" i="56"/>
  <c r="F78" i="56"/>
  <c r="F69" i="56"/>
  <c r="F45" i="56"/>
  <c r="F44" i="56"/>
  <c r="F37" i="56"/>
  <c r="F33" i="56"/>
  <c r="F70" i="56"/>
  <c r="F58" i="56"/>
  <c r="F57" i="56"/>
  <c r="F46" i="56"/>
  <c r="F38" i="56"/>
  <c r="F34" i="56"/>
  <c r="F30" i="56"/>
  <c r="F29" i="56"/>
  <c r="D16" i="56"/>
  <c r="F54" i="56"/>
  <c r="F84" i="56"/>
  <c r="F62" i="56"/>
  <c r="F36" i="56"/>
  <c r="F51" i="56"/>
  <c r="F18" i="56"/>
  <c r="F25" i="56"/>
  <c r="F21" i="56"/>
  <c r="F14" i="56"/>
  <c r="F52" i="56"/>
  <c r="F60" i="56"/>
  <c r="F32" i="56"/>
  <c r="F82" i="56"/>
  <c r="F55" i="56"/>
  <c r="F19" i="56"/>
  <c r="F87" i="56"/>
  <c r="F61" i="56"/>
  <c r="F16" i="56"/>
  <c r="N16" i="56"/>
  <c r="H80" i="56"/>
  <c r="F26" i="56"/>
  <c r="F28" i="56"/>
  <c r="Z69" i="58"/>
  <c r="H25" i="45"/>
  <c r="J62" i="45"/>
  <c r="J84" i="45"/>
  <c r="J88" i="45"/>
  <c r="J94" i="45"/>
  <c r="L13" i="48"/>
  <c r="N13" i="48" s="1"/>
  <c r="P17" i="48"/>
  <c r="F22" i="48"/>
  <c r="F33" i="48"/>
  <c r="F42" i="48"/>
  <c r="V49" i="48"/>
  <c r="F63" i="48"/>
  <c r="L84" i="51"/>
  <c r="L47" i="56"/>
  <c r="N47" i="56" s="1"/>
  <c r="N67" i="58"/>
  <c r="J25" i="45"/>
  <c r="J27" i="45"/>
  <c r="J29" i="45"/>
  <c r="J33" i="45"/>
  <c r="J37" i="45"/>
  <c r="J53" i="45"/>
  <c r="J61" i="45"/>
  <c r="J73" i="45"/>
  <c r="J93" i="45"/>
  <c r="Z53" i="48"/>
  <c r="L68" i="48"/>
  <c r="N68" i="48" s="1"/>
  <c r="D67" i="48"/>
  <c r="L67" i="48" s="1"/>
  <c r="N67" i="48" s="1"/>
  <c r="R108" i="51"/>
  <c r="R99" i="51"/>
  <c r="R92" i="51"/>
  <c r="R91" i="51"/>
  <c r="R80" i="51"/>
  <c r="R79" i="51"/>
  <c r="R75" i="51"/>
  <c r="R71" i="51"/>
  <c r="R102" i="51"/>
  <c r="R101" i="51"/>
  <c r="R66" i="51"/>
  <c r="R62" i="51"/>
  <c r="X12" i="51"/>
  <c r="R103" i="51"/>
  <c r="R93" i="51"/>
  <c r="R82" i="51"/>
  <c r="R81" i="51"/>
  <c r="R58" i="51"/>
  <c r="R53" i="51"/>
  <c r="R49" i="51"/>
  <c r="R45" i="51"/>
  <c r="R41" i="51"/>
  <c r="R76" i="51"/>
  <c r="R72" i="51"/>
  <c r="R57" i="51"/>
  <c r="R104" i="51"/>
  <c r="R84" i="51"/>
  <c r="R83" i="51"/>
  <c r="R67" i="51"/>
  <c r="R63" i="51"/>
  <c r="R59" i="51"/>
  <c r="P55" i="51"/>
  <c r="R95" i="51"/>
  <c r="R94" i="51"/>
  <c r="R50" i="51"/>
  <c r="R46" i="51"/>
  <c r="R42" i="51"/>
  <c r="R86" i="51"/>
  <c r="R85" i="51"/>
  <c r="R77" i="51"/>
  <c r="R73" i="51"/>
  <c r="R96" i="51"/>
  <c r="R69" i="51"/>
  <c r="R68" i="51"/>
  <c r="R64" i="51"/>
  <c r="R60" i="51"/>
  <c r="R98" i="51"/>
  <c r="R97" i="51"/>
  <c r="R90" i="51"/>
  <c r="R89" i="51"/>
  <c r="R65" i="51"/>
  <c r="R61" i="51"/>
  <c r="H106" i="51"/>
  <c r="R74" i="51"/>
  <c r="N84" i="51"/>
  <c r="N28" i="54"/>
  <c r="L21" i="55"/>
  <c r="N21" i="55" s="1"/>
  <c r="F24" i="56"/>
  <c r="Z48" i="57"/>
  <c r="N15" i="48"/>
  <c r="V31" i="48"/>
  <c r="V35" i="48"/>
  <c r="V39" i="48"/>
  <c r="J45" i="48"/>
  <c r="R48" i="48"/>
  <c r="R49" i="48"/>
  <c r="V51" i="48"/>
  <c r="J57" i="48"/>
  <c r="V59" i="48"/>
  <c r="J63" i="48"/>
  <c r="R67" i="48"/>
  <c r="R68" i="48"/>
  <c r="V40" i="51"/>
  <c r="V44" i="51"/>
  <c r="V48" i="51"/>
  <c r="V52" i="51"/>
  <c r="J60" i="51"/>
  <c r="J64" i="51"/>
  <c r="J68" i="51"/>
  <c r="V80" i="51"/>
  <c r="J86" i="51"/>
  <c r="V92" i="51"/>
  <c r="J96" i="51"/>
  <c r="X14" i="55"/>
  <c r="Z19" i="55"/>
  <c r="L40" i="56"/>
  <c r="X51" i="56"/>
  <c r="R24" i="57"/>
  <c r="J28" i="57"/>
  <c r="R29" i="57"/>
  <c r="J52" i="57"/>
  <c r="J56" i="57"/>
  <c r="R14" i="58"/>
  <c r="R41" i="58"/>
  <c r="T17" i="48"/>
  <c r="R20" i="48"/>
  <c r="V30" i="48"/>
  <c r="V34" i="48"/>
  <c r="V38" i="48"/>
  <c r="J42" i="48"/>
  <c r="V46" i="48"/>
  <c r="J54" i="48"/>
  <c r="V58" i="48"/>
  <c r="J62" i="48"/>
  <c r="R63" i="48"/>
  <c r="R64" i="48"/>
  <c r="V39" i="51"/>
  <c r="V43" i="51"/>
  <c r="V47" i="51"/>
  <c r="V51" i="51"/>
  <c r="J55" i="51"/>
  <c r="J57" i="51"/>
  <c r="J59" i="51"/>
  <c r="J63" i="51"/>
  <c r="J67" i="51"/>
  <c r="J83" i="51"/>
  <c r="V87" i="51"/>
  <c r="N73" i="56"/>
  <c r="R56" i="57"/>
  <c r="F70" i="58"/>
  <c r="F69" i="58"/>
  <c r="F62" i="58"/>
  <c r="F61" i="58"/>
  <c r="F54" i="58"/>
  <c r="F53" i="58"/>
  <c r="F42" i="58"/>
  <c r="F41" i="58"/>
  <c r="F37" i="58"/>
  <c r="F33" i="58"/>
  <c r="F72" i="58"/>
  <c r="F71" i="58"/>
  <c r="F64" i="58"/>
  <c r="F63" i="58"/>
  <c r="F56" i="58"/>
  <c r="F55" i="58"/>
  <c r="F44" i="58"/>
  <c r="F43" i="58"/>
  <c r="F28" i="58"/>
  <c r="F24" i="58"/>
  <c r="F20" i="58"/>
  <c r="F19" i="58"/>
  <c r="F18" i="58"/>
  <c r="F16" i="58"/>
  <c r="F14" i="58"/>
  <c r="F68" i="58"/>
  <c r="F67" i="58"/>
  <c r="F60" i="58"/>
  <c r="F52" i="58"/>
  <c r="F51" i="58"/>
  <c r="F40" i="58"/>
  <c r="F36" i="58"/>
  <c r="F32" i="58"/>
  <c r="L12" i="58"/>
  <c r="F38" i="58"/>
  <c r="F27" i="58"/>
  <c r="F22" i="58"/>
  <c r="F57" i="58"/>
  <c r="F25" i="58"/>
  <c r="F48" i="58"/>
  <c r="F45" i="58"/>
  <c r="F30" i="58"/>
  <c r="F83" i="58"/>
  <c r="F39" i="58"/>
  <c r="F23" i="58"/>
  <c r="F78" i="58"/>
  <c r="F66" i="58"/>
  <c r="F31" i="58"/>
  <c r="F21" i="58"/>
  <c r="D16" i="58"/>
  <c r="F58" i="58"/>
  <c r="F46" i="58"/>
  <c r="F34" i="58"/>
  <c r="F65" i="58"/>
  <c r="F59" i="58"/>
  <c r="F29" i="58"/>
  <c r="F26" i="58"/>
  <c r="R54" i="58"/>
  <c r="Z18" i="60"/>
  <c r="V15" i="48"/>
  <c r="V17" i="48"/>
  <c r="V19" i="48"/>
  <c r="J23" i="48"/>
  <c r="R24" i="48"/>
  <c r="J27" i="48"/>
  <c r="R28" i="48"/>
  <c r="J41" i="48"/>
  <c r="R44" i="48"/>
  <c r="R45" i="48"/>
  <c r="V47" i="48"/>
  <c r="J53" i="48"/>
  <c r="R56" i="48"/>
  <c r="R57" i="48"/>
  <c r="V63" i="48"/>
  <c r="X13" i="51"/>
  <c r="Z13" i="51" s="1"/>
  <c r="J58" i="51"/>
  <c r="V60" i="51"/>
  <c r="V64" i="51"/>
  <c r="V68" i="51"/>
  <c r="J72" i="51"/>
  <c r="J76" i="51"/>
  <c r="J82" i="51"/>
  <c r="V88" i="51"/>
  <c r="V96" i="51"/>
  <c r="J103" i="51"/>
  <c r="J31" i="54"/>
  <c r="J29" i="54"/>
  <c r="J28" i="54"/>
  <c r="J26" i="54"/>
  <c r="L12" i="54"/>
  <c r="J24" i="54"/>
  <c r="R33" i="55"/>
  <c r="R38" i="55"/>
  <c r="R35" i="55"/>
  <c r="R23" i="55"/>
  <c r="R22" i="55"/>
  <c r="R25" i="55"/>
  <c r="R24" i="55"/>
  <c r="R26" i="55"/>
  <c r="X12" i="55"/>
  <c r="R18" i="55"/>
  <c r="R16" i="55"/>
  <c r="R14" i="55"/>
  <c r="T80" i="56"/>
  <c r="N42" i="56"/>
  <c r="R47" i="57"/>
  <c r="R58" i="57"/>
  <c r="N64" i="57"/>
  <c r="L64" i="57"/>
  <c r="R32" i="58"/>
  <c r="R38" i="58"/>
  <c r="F76" i="58"/>
  <c r="V20" i="48"/>
  <c r="V24" i="48"/>
  <c r="V28" i="48"/>
  <c r="J32" i="48"/>
  <c r="R33" i="48"/>
  <c r="J36" i="48"/>
  <c r="R37" i="48"/>
  <c r="J40" i="48"/>
  <c r="V44" i="48"/>
  <c r="J52" i="48"/>
  <c r="V56" i="48"/>
  <c r="V64" i="48"/>
  <c r="J72" i="48"/>
  <c r="J41" i="51"/>
  <c r="J45" i="51"/>
  <c r="J49" i="51"/>
  <c r="J53" i="51"/>
  <c r="V69" i="51"/>
  <c r="V73" i="51"/>
  <c r="V77" i="51"/>
  <c r="J81" i="51"/>
  <c r="V85" i="51"/>
  <c r="J93" i="51"/>
  <c r="J101" i="51"/>
  <c r="J102" i="51"/>
  <c r="J108" i="51"/>
  <c r="N12" i="54"/>
  <c r="D16" i="54"/>
  <c r="V22" i="55"/>
  <c r="V25" i="55"/>
  <c r="V31" i="55"/>
  <c r="V29" i="55"/>
  <c r="V27" i="55"/>
  <c r="V19" i="55"/>
  <c r="V20" i="55"/>
  <c r="V23" i="55"/>
  <c r="Z16" i="56"/>
  <c r="Z40" i="56"/>
  <c r="N49" i="56"/>
  <c r="L78" i="56"/>
  <c r="Z18" i="57"/>
  <c r="L69" i="59"/>
  <c r="V86" i="51"/>
  <c r="J92" i="51"/>
  <c r="V94" i="51"/>
  <c r="H22" i="54"/>
  <c r="P31" i="55"/>
  <c r="N44" i="56"/>
  <c r="L44" i="57"/>
  <c r="N44" i="57" s="1"/>
  <c r="R47" i="58"/>
  <c r="R46" i="58"/>
  <c r="R65" i="58"/>
  <c r="R58" i="58"/>
  <c r="R57" i="58"/>
  <c r="R30" i="58"/>
  <c r="R29" i="58"/>
  <c r="R25" i="58"/>
  <c r="R21" i="58"/>
  <c r="R78" i="58"/>
  <c r="R49" i="58"/>
  <c r="R48" i="58"/>
  <c r="R83" i="58"/>
  <c r="R80" i="58"/>
  <c r="R59" i="58"/>
  <c r="R39" i="58"/>
  <c r="R35" i="58"/>
  <c r="R31" i="58"/>
  <c r="R72" i="58"/>
  <c r="R64" i="58"/>
  <c r="R56" i="58"/>
  <c r="R45" i="58"/>
  <c r="R44" i="58"/>
  <c r="R28" i="58"/>
  <c r="R24" i="58"/>
  <c r="R20" i="58"/>
  <c r="P16" i="58"/>
  <c r="R69" i="58"/>
  <c r="R60" i="58"/>
  <c r="R33" i="58"/>
  <c r="R66" i="58"/>
  <c r="R42" i="58"/>
  <c r="R36" i="58"/>
  <c r="R23" i="58"/>
  <c r="R61" i="58"/>
  <c r="R55" i="58"/>
  <c r="R67" i="58"/>
  <c r="R52" i="58"/>
  <c r="R16" i="58"/>
  <c r="R43" i="58"/>
  <c r="R34" i="58"/>
  <c r="R26" i="58"/>
  <c r="R74" i="58"/>
  <c r="R70" i="58"/>
  <c r="R37" i="58"/>
  <c r="R18" i="58"/>
  <c r="R53" i="58"/>
  <c r="R40" i="58"/>
  <c r="R19" i="58"/>
  <c r="X12" i="58"/>
  <c r="R62" i="58"/>
  <c r="R50" i="58"/>
  <c r="R63" i="58"/>
  <c r="N12" i="48"/>
  <c r="J22" i="48"/>
  <c r="R23" i="48"/>
  <c r="J26" i="48"/>
  <c r="R27" i="48"/>
  <c r="V42" i="48"/>
  <c r="J50" i="48"/>
  <c r="V54" i="48"/>
  <c r="J60" i="48"/>
  <c r="V62" i="48"/>
  <c r="V59" i="51"/>
  <c r="V63" i="51"/>
  <c r="V67" i="51"/>
  <c r="J71" i="51"/>
  <c r="J75" i="51"/>
  <c r="J79" i="51"/>
  <c r="V83" i="51"/>
  <c r="J91" i="51"/>
  <c r="J99" i="51"/>
  <c r="Z12" i="54"/>
  <c r="X12" i="54"/>
  <c r="T16" i="54"/>
  <c r="J16" i="54"/>
  <c r="J22" i="54"/>
  <c r="T16" i="55"/>
  <c r="L19" i="55"/>
  <c r="N19" i="55" s="1"/>
  <c r="X25" i="55"/>
  <c r="Z25" i="55" s="1"/>
  <c r="V38" i="55"/>
  <c r="J68" i="57"/>
  <c r="J69" i="57"/>
  <c r="J59" i="57"/>
  <c r="J51" i="57"/>
  <c r="J39" i="57"/>
  <c r="J35" i="57"/>
  <c r="J70" i="57"/>
  <c r="J67" i="57"/>
  <c r="J47" i="57"/>
  <c r="J78" i="57"/>
  <c r="J66" i="57"/>
  <c r="J29" i="57"/>
  <c r="H16" i="57"/>
  <c r="J53" i="57"/>
  <c r="J41" i="57"/>
  <c r="J37" i="57"/>
  <c r="J34" i="57"/>
  <c r="J30" i="57"/>
  <c r="J62" i="57"/>
  <c r="J57" i="57"/>
  <c r="J25" i="57"/>
  <c r="J21" i="57"/>
  <c r="J74" i="57"/>
  <c r="J58" i="57"/>
  <c r="J48" i="57"/>
  <c r="J80" i="57"/>
  <c r="J54" i="57"/>
  <c r="J42" i="57"/>
  <c r="J31" i="57"/>
  <c r="J63" i="57"/>
  <c r="J49" i="57"/>
  <c r="J38" i="57"/>
  <c r="J26" i="57"/>
  <c r="J22" i="57"/>
  <c r="J76" i="57"/>
  <c r="J71" i="57"/>
  <c r="J55" i="57"/>
  <c r="J43" i="57"/>
  <c r="J60" i="57"/>
  <c r="J50" i="57"/>
  <c r="J32" i="57"/>
  <c r="N12" i="57"/>
  <c r="J72" i="57"/>
  <c r="J61" i="57"/>
  <c r="J33" i="57"/>
  <c r="J19" i="57"/>
  <c r="J16" i="57"/>
  <c r="J44" i="57"/>
  <c r="F35" i="58"/>
  <c r="R51" i="58"/>
  <c r="Z63" i="58"/>
  <c r="R68" i="58"/>
  <c r="L19" i="59"/>
  <c r="N19" i="59" s="1"/>
  <c r="R32" i="48"/>
  <c r="R36" i="48"/>
  <c r="R40" i="48"/>
  <c r="R41" i="48"/>
  <c r="V43" i="48"/>
  <c r="J49" i="48"/>
  <c r="R52" i="48"/>
  <c r="R53" i="48"/>
  <c r="V55" i="48"/>
  <c r="J59" i="48"/>
  <c r="J67" i="48"/>
  <c r="J68" i="48"/>
  <c r="R72" i="48"/>
  <c r="V104" i="51"/>
  <c r="J40" i="51"/>
  <c r="J44" i="51"/>
  <c r="J48" i="51"/>
  <c r="J52" i="51"/>
  <c r="T55" i="51"/>
  <c r="V55" i="51" s="1"/>
  <c r="V72" i="51"/>
  <c r="V76" i="51"/>
  <c r="V84" i="51"/>
  <c r="J90" i="51"/>
  <c r="J98" i="51"/>
  <c r="V108" i="51"/>
  <c r="L29" i="56"/>
  <c r="N29" i="56" s="1"/>
  <c r="X75" i="56"/>
  <c r="Z75" i="56" s="1"/>
  <c r="R20" i="57"/>
  <c r="R40" i="57"/>
  <c r="X51" i="59"/>
  <c r="Z51" i="59" s="1"/>
  <c r="J30" i="48"/>
  <c r="V32" i="48"/>
  <c r="V36" i="48"/>
  <c r="V40" i="48"/>
  <c r="J48" i="48"/>
  <c r="V52" i="48"/>
  <c r="R61" i="48"/>
  <c r="V72" i="48"/>
  <c r="J39" i="51"/>
  <c r="V41" i="51"/>
  <c r="V45" i="51"/>
  <c r="V49" i="51"/>
  <c r="V53" i="51"/>
  <c r="V57" i="51"/>
  <c r="J61" i="51"/>
  <c r="J65" i="51"/>
  <c r="V81" i="51"/>
  <c r="J89" i="51"/>
  <c r="V93" i="51"/>
  <c r="J97" i="51"/>
  <c r="V103" i="51"/>
  <c r="X14" i="56"/>
  <c r="L18" i="56"/>
  <c r="N18" i="56" s="1"/>
  <c r="Z19" i="56"/>
  <c r="R62" i="57"/>
  <c r="R61" i="57"/>
  <c r="R72" i="57"/>
  <c r="R36" i="57"/>
  <c r="R76" i="57"/>
  <c r="R74" i="57"/>
  <c r="R64" i="57"/>
  <c r="R63" i="57"/>
  <c r="R69" i="57"/>
  <c r="R68" i="57"/>
  <c r="R54" i="57"/>
  <c r="R48" i="57"/>
  <c r="R42" i="57"/>
  <c r="R80" i="57"/>
  <c r="R31" i="57"/>
  <c r="R70" i="57"/>
  <c r="R67" i="57"/>
  <c r="R59" i="57"/>
  <c r="R38" i="57"/>
  <c r="R35" i="57"/>
  <c r="R26" i="57"/>
  <c r="R22" i="57"/>
  <c r="R55" i="57"/>
  <c r="R50" i="57"/>
  <c r="R49" i="57"/>
  <c r="R43" i="57"/>
  <c r="R71" i="57"/>
  <c r="R44" i="57"/>
  <c r="R32" i="57"/>
  <c r="X12" i="57"/>
  <c r="R83" i="57"/>
  <c r="R60" i="57"/>
  <c r="R27" i="57"/>
  <c r="R23" i="57"/>
  <c r="R51" i="57"/>
  <c r="R45" i="57"/>
  <c r="R39" i="57"/>
  <c r="R19" i="57"/>
  <c r="R46" i="57"/>
  <c r="R33" i="57"/>
  <c r="R18" i="57"/>
  <c r="R16" i="57"/>
  <c r="R14" i="57"/>
  <c r="R37" i="57"/>
  <c r="R34" i="57"/>
  <c r="R30" i="57"/>
  <c r="P16" i="57"/>
  <c r="R57" i="57"/>
  <c r="R22" i="58"/>
  <c r="F50" i="58"/>
  <c r="X16" i="59"/>
  <c r="P71" i="59"/>
  <c r="J51" i="61"/>
  <c r="J64" i="61"/>
  <c r="J40" i="61"/>
  <c r="J26" i="61"/>
  <c r="J69" i="61"/>
  <c r="J66" i="61"/>
  <c r="J52" i="61"/>
  <c r="J42" i="61"/>
  <c r="J54" i="61"/>
  <c r="J44" i="61"/>
  <c r="J56" i="61"/>
  <c r="J46" i="61"/>
  <c r="J49" i="61"/>
  <c r="J43" i="61"/>
  <c r="J39" i="61"/>
  <c r="J36" i="61"/>
  <c r="J28" i="61"/>
  <c r="J62" i="61"/>
  <c r="J58" i="61"/>
  <c r="J29" i="61"/>
  <c r="J25" i="61"/>
  <c r="J21" i="61"/>
  <c r="J33" i="61"/>
  <c r="J53" i="61"/>
  <c r="J50" i="61"/>
  <c r="J30" i="61"/>
  <c r="J22" i="61"/>
  <c r="J47" i="61"/>
  <c r="J41" i="61"/>
  <c r="J37" i="61"/>
  <c r="J34" i="61"/>
  <c r="J60" i="61"/>
  <c r="J48" i="61"/>
  <c r="J31" i="61"/>
  <c r="J23" i="61"/>
  <c r="J57" i="61"/>
  <c r="J55" i="61"/>
  <c r="J32" i="61"/>
  <c r="J24" i="61"/>
  <c r="J20" i="61"/>
  <c r="J18" i="61"/>
  <c r="J16" i="61"/>
  <c r="J14" i="61"/>
  <c r="J45" i="61"/>
  <c r="J38" i="61"/>
  <c r="J19" i="61"/>
  <c r="J27" i="61"/>
  <c r="H16" i="61"/>
  <c r="X12" i="48"/>
  <c r="Z12" i="48" s="1"/>
  <c r="J15" i="48"/>
  <c r="J17" i="48"/>
  <c r="J19" i="48"/>
  <c r="J21" i="48"/>
  <c r="R22" i="48"/>
  <c r="J25" i="48"/>
  <c r="R26" i="48"/>
  <c r="J29" i="48"/>
  <c r="V41" i="48"/>
  <c r="J47" i="48"/>
  <c r="R50" i="48"/>
  <c r="V53" i="48"/>
  <c r="Z12" i="51"/>
  <c r="V58" i="51"/>
  <c r="V62" i="51"/>
  <c r="V66" i="51"/>
  <c r="J70" i="51"/>
  <c r="J74" i="51"/>
  <c r="J78" i="51"/>
  <c r="V82" i="51"/>
  <c r="J88" i="51"/>
  <c r="V102" i="51"/>
  <c r="J14" i="54"/>
  <c r="J20" i="54"/>
  <c r="N29" i="54"/>
  <c r="X18" i="56"/>
  <c r="Z18" i="56" s="1"/>
  <c r="T76" i="57"/>
  <c r="Z16" i="57"/>
  <c r="R66" i="57"/>
  <c r="F74" i="58"/>
  <c r="Z16" i="59"/>
  <c r="T71" i="59"/>
  <c r="N12" i="61"/>
  <c r="Z19" i="60"/>
  <c r="H60" i="68"/>
  <c r="N16" i="68"/>
  <c r="F14" i="54"/>
  <c r="F16" i="54"/>
  <c r="F18" i="54"/>
  <c r="F20" i="54"/>
  <c r="N12" i="55"/>
  <c r="J21" i="56"/>
  <c r="J25" i="56"/>
  <c r="V41" i="56"/>
  <c r="J47" i="56"/>
  <c r="V53" i="56"/>
  <c r="V61" i="56"/>
  <c r="J71" i="56"/>
  <c r="F83" i="57"/>
  <c r="F80" i="57"/>
  <c r="F68" i="57"/>
  <c r="F78" i="57"/>
  <c r="F56" i="57"/>
  <c r="L14" i="57"/>
  <c r="V21" i="57"/>
  <c r="V25" i="57"/>
  <c r="F36" i="57"/>
  <c r="V41" i="57"/>
  <c r="V42" i="57"/>
  <c r="F44" i="57"/>
  <c r="F45" i="57"/>
  <c r="V47" i="57"/>
  <c r="V48" i="57"/>
  <c r="V53" i="57"/>
  <c r="V54" i="57"/>
  <c r="V57" i="57"/>
  <c r="L60" i="57"/>
  <c r="N60" i="57" s="1"/>
  <c r="F64" i="57"/>
  <c r="J71" i="58"/>
  <c r="J63" i="58"/>
  <c r="J55" i="58"/>
  <c r="J43" i="58"/>
  <c r="J72" i="58"/>
  <c r="J64" i="58"/>
  <c r="J56" i="58"/>
  <c r="J44" i="58"/>
  <c r="J28" i="58"/>
  <c r="J24" i="58"/>
  <c r="J20" i="58"/>
  <c r="J18" i="58"/>
  <c r="J16" i="58"/>
  <c r="J14" i="58"/>
  <c r="J45" i="58"/>
  <c r="H16" i="58"/>
  <c r="J76" i="58"/>
  <c r="J74" i="58"/>
  <c r="J46" i="58"/>
  <c r="J38" i="58"/>
  <c r="J34" i="58"/>
  <c r="J69" i="58"/>
  <c r="J61" i="58"/>
  <c r="J53" i="58"/>
  <c r="J41" i="58"/>
  <c r="J27" i="58"/>
  <c r="J23" i="58"/>
  <c r="N19" i="58"/>
  <c r="V20" i="58"/>
  <c r="J35" i="58"/>
  <c r="N47" i="58"/>
  <c r="J50" i="58"/>
  <c r="V54" i="58"/>
  <c r="J62" i="58"/>
  <c r="R16" i="59"/>
  <c r="R20" i="59"/>
  <c r="J24" i="59"/>
  <c r="J51" i="59"/>
  <c r="J53" i="59"/>
  <c r="X19" i="60"/>
  <c r="V29" i="60"/>
  <c r="Z50" i="60"/>
  <c r="X55" i="60"/>
  <c r="F58" i="61"/>
  <c r="F57" i="61"/>
  <c r="F62" i="61"/>
  <c r="F60" i="61"/>
  <c r="F51" i="61"/>
  <c r="F50" i="61"/>
  <c r="F39" i="61"/>
  <c r="F35" i="61"/>
  <c r="F31" i="61"/>
  <c r="F69" i="61"/>
  <c r="F66" i="61"/>
  <c r="F43" i="61"/>
  <c r="F42" i="61"/>
  <c r="F45" i="61"/>
  <c r="F44" i="61"/>
  <c r="F37" i="61"/>
  <c r="F33" i="61"/>
  <c r="F55" i="61"/>
  <c r="F18" i="61"/>
  <c r="F16" i="61"/>
  <c r="F14" i="61"/>
  <c r="F52" i="61"/>
  <c r="F49" i="61"/>
  <c r="F46" i="61"/>
  <c r="F36" i="61"/>
  <c r="F28" i="61"/>
  <c r="D16" i="61"/>
  <c r="F25" i="61"/>
  <c r="F21" i="61"/>
  <c r="F56" i="61"/>
  <c r="F40" i="61"/>
  <c r="F29" i="61"/>
  <c r="F30" i="61"/>
  <c r="F53" i="61"/>
  <c r="F26" i="61"/>
  <c r="F22" i="61"/>
  <c r="F54" i="61"/>
  <c r="L12" i="61"/>
  <c r="F64" i="61"/>
  <c r="F23" i="61"/>
  <c r="F91" i="64"/>
  <c r="F90" i="64"/>
  <c r="F103" i="64"/>
  <c r="F54" i="64"/>
  <c r="F53" i="64"/>
  <c r="F38" i="64"/>
  <c r="F34" i="64"/>
  <c r="F30" i="64"/>
  <c r="F29" i="64"/>
  <c r="D16" i="64"/>
  <c r="F80" i="64"/>
  <c r="F48" i="64"/>
  <c r="F75" i="64"/>
  <c r="F74" i="64"/>
  <c r="F67" i="64"/>
  <c r="F66" i="64"/>
  <c r="F55" i="64"/>
  <c r="F39" i="64"/>
  <c r="F35" i="64"/>
  <c r="F31" i="64"/>
  <c r="F110" i="64"/>
  <c r="F107" i="64"/>
  <c r="F94" i="64"/>
  <c r="F86" i="64"/>
  <c r="F82" i="64"/>
  <c r="F81" i="64"/>
  <c r="F69" i="64"/>
  <c r="F68" i="64"/>
  <c r="F57" i="64"/>
  <c r="F56" i="64"/>
  <c r="F49" i="64"/>
  <c r="F41" i="64"/>
  <c r="F40" i="64"/>
  <c r="F96" i="64"/>
  <c r="F95" i="64"/>
  <c r="F76" i="64"/>
  <c r="F36" i="64"/>
  <c r="F32" i="64"/>
  <c r="F87" i="64"/>
  <c r="F83" i="64"/>
  <c r="F71" i="64"/>
  <c r="F70" i="64"/>
  <c r="F59" i="64"/>
  <c r="F58" i="64"/>
  <c r="F51" i="64"/>
  <c r="F50" i="64"/>
  <c r="F43" i="64"/>
  <c r="F42" i="64"/>
  <c r="F27" i="64"/>
  <c r="F23" i="64"/>
  <c r="F100" i="64"/>
  <c r="F98" i="64"/>
  <c r="F89" i="64"/>
  <c r="F88" i="64"/>
  <c r="F77" i="64"/>
  <c r="F61" i="64"/>
  <c r="F60" i="64"/>
  <c r="F45" i="64"/>
  <c r="F44" i="64"/>
  <c r="F37" i="64"/>
  <c r="F33" i="64"/>
  <c r="F101" i="64"/>
  <c r="F79" i="64"/>
  <c r="F72" i="64"/>
  <c r="F25" i="64"/>
  <c r="F21" i="64"/>
  <c r="F46" i="64"/>
  <c r="F92" i="64"/>
  <c r="F19" i="64"/>
  <c r="F84" i="64"/>
  <c r="F63" i="64"/>
  <c r="L12" i="64"/>
  <c r="F105" i="64"/>
  <c r="F28" i="64"/>
  <c r="F26" i="64"/>
  <c r="F24" i="64"/>
  <c r="F22" i="64"/>
  <c r="F20" i="64"/>
  <c r="F16" i="64"/>
  <c r="F73" i="64"/>
  <c r="F47" i="64"/>
  <c r="F93" i="64"/>
  <c r="F78" i="64"/>
  <c r="F64" i="64"/>
  <c r="F52" i="64"/>
  <c r="F18" i="64"/>
  <c r="N40" i="64"/>
  <c r="F23" i="55"/>
  <c r="F24" i="55"/>
  <c r="J25" i="55"/>
  <c r="F35" i="55"/>
  <c r="F38" i="55"/>
  <c r="J14" i="56"/>
  <c r="J16" i="56"/>
  <c r="J18" i="56"/>
  <c r="J20" i="56"/>
  <c r="J24" i="56"/>
  <c r="J28" i="56"/>
  <c r="V40" i="56"/>
  <c r="V48" i="56"/>
  <c r="J56" i="56"/>
  <c r="V64" i="56"/>
  <c r="V72" i="56"/>
  <c r="J82" i="56"/>
  <c r="F55" i="57"/>
  <c r="V56" i="57"/>
  <c r="V65" i="57"/>
  <c r="Z66" i="57"/>
  <c r="N71" i="57"/>
  <c r="V65" i="58"/>
  <c r="V57" i="58"/>
  <c r="V49" i="58"/>
  <c r="V83" i="58"/>
  <c r="V80" i="58"/>
  <c r="V78" i="58"/>
  <c r="V48" i="58"/>
  <c r="V67" i="58"/>
  <c r="V59" i="58"/>
  <c r="V51" i="58"/>
  <c r="V39" i="58"/>
  <c r="V35" i="58"/>
  <c r="V31" i="58"/>
  <c r="V66" i="58"/>
  <c r="V50" i="58"/>
  <c r="V26" i="58"/>
  <c r="V22" i="58"/>
  <c r="V47" i="58"/>
  <c r="V29" i="58"/>
  <c r="V32" i="58"/>
  <c r="Z41" i="58"/>
  <c r="N43" i="58"/>
  <c r="J67" i="58"/>
  <c r="F62" i="59"/>
  <c r="F54" i="59"/>
  <c r="F46" i="59"/>
  <c r="F45" i="59"/>
  <c r="F38" i="59"/>
  <c r="F34" i="59"/>
  <c r="D16" i="59"/>
  <c r="F29" i="59"/>
  <c r="F25" i="59"/>
  <c r="F21" i="59"/>
  <c r="F78" i="59"/>
  <c r="F75" i="59"/>
  <c r="F64" i="59"/>
  <c r="F63" i="59"/>
  <c r="F48" i="59"/>
  <c r="F47" i="59"/>
  <c r="F55" i="59"/>
  <c r="F39" i="59"/>
  <c r="F35" i="59"/>
  <c r="F31" i="59"/>
  <c r="F30" i="59"/>
  <c r="F66" i="59"/>
  <c r="F65" i="59"/>
  <c r="F57" i="59"/>
  <c r="F56" i="59"/>
  <c r="F67" i="59"/>
  <c r="F59" i="59"/>
  <c r="F58" i="59"/>
  <c r="F71" i="59"/>
  <c r="F69" i="59"/>
  <c r="F44" i="59"/>
  <c r="F43" i="59"/>
  <c r="F28" i="59"/>
  <c r="F24" i="59"/>
  <c r="F20" i="59"/>
  <c r="F19" i="59"/>
  <c r="F18" i="59"/>
  <c r="F36" i="59"/>
  <c r="R45" i="59"/>
  <c r="J57" i="59"/>
  <c r="J59" i="59"/>
  <c r="R20" i="60"/>
  <c r="N58" i="58"/>
  <c r="J78" i="59"/>
  <c r="J75" i="59"/>
  <c r="J63" i="59"/>
  <c r="J47" i="59"/>
  <c r="J29" i="59"/>
  <c r="J25" i="59"/>
  <c r="J21" i="59"/>
  <c r="J64" i="59"/>
  <c r="J48" i="59"/>
  <c r="J30" i="59"/>
  <c r="J65" i="59"/>
  <c r="J55" i="59"/>
  <c r="J49" i="59"/>
  <c r="J39" i="59"/>
  <c r="J35" i="59"/>
  <c r="J31" i="59"/>
  <c r="J66" i="59"/>
  <c r="J56" i="59"/>
  <c r="J50" i="59"/>
  <c r="J26" i="59"/>
  <c r="J22" i="59"/>
  <c r="J58" i="59"/>
  <c r="J52" i="59"/>
  <c r="J60" i="59"/>
  <c r="J42" i="59"/>
  <c r="J73" i="59"/>
  <c r="J45" i="59"/>
  <c r="H16" i="59"/>
  <c r="J28" i="59"/>
  <c r="J36" i="59"/>
  <c r="J44" i="59"/>
  <c r="Z45" i="59"/>
  <c r="Z42" i="60"/>
  <c r="Z66" i="64"/>
  <c r="L14" i="68"/>
  <c r="N14" i="68"/>
  <c r="P16" i="54"/>
  <c r="D16" i="55"/>
  <c r="F21" i="55"/>
  <c r="F22" i="55"/>
  <c r="J23" i="55"/>
  <c r="J35" i="55"/>
  <c r="J38" i="55"/>
  <c r="V30" i="56"/>
  <c r="V34" i="56"/>
  <c r="V38" i="56"/>
  <c r="J44" i="56"/>
  <c r="V46" i="56"/>
  <c r="J54" i="56"/>
  <c r="V58" i="56"/>
  <c r="J62" i="56"/>
  <c r="V70" i="56"/>
  <c r="J78" i="56"/>
  <c r="J80" i="56"/>
  <c r="V76" i="57"/>
  <c r="V74" i="57"/>
  <c r="V72" i="57"/>
  <c r="V64" i="57"/>
  <c r="V63" i="57"/>
  <c r="V55" i="57"/>
  <c r="V43" i="57"/>
  <c r="V66" i="57"/>
  <c r="V71" i="57"/>
  <c r="V59" i="57"/>
  <c r="V51" i="57"/>
  <c r="V39" i="57"/>
  <c r="V35" i="57"/>
  <c r="V14" i="57"/>
  <c r="V16" i="57"/>
  <c r="V18" i="57"/>
  <c r="F31" i="57"/>
  <c r="F35" i="57"/>
  <c r="V45" i="57"/>
  <c r="V46" i="57"/>
  <c r="F48" i="57"/>
  <c r="F58" i="57"/>
  <c r="F59" i="57"/>
  <c r="F67" i="57"/>
  <c r="F70" i="57"/>
  <c r="F74" i="57"/>
  <c r="Z12" i="58"/>
  <c r="V40" i="58"/>
  <c r="Z53" i="58"/>
  <c r="N55" i="58"/>
  <c r="J58" i="58"/>
  <c r="L61" i="58"/>
  <c r="L12" i="59"/>
  <c r="J18" i="59"/>
  <c r="F23" i="59"/>
  <c r="J33" i="59"/>
  <c r="J61" i="59"/>
  <c r="V70" i="58"/>
  <c r="N12" i="59"/>
  <c r="J23" i="59"/>
  <c r="J38" i="59"/>
  <c r="J41" i="59"/>
  <c r="J54" i="59"/>
  <c r="R60" i="60"/>
  <c r="R58" i="60"/>
  <c r="R48" i="60"/>
  <c r="R47" i="60"/>
  <c r="R38" i="60"/>
  <c r="R34" i="60"/>
  <c r="R30" i="60"/>
  <c r="R50" i="60"/>
  <c r="R49" i="60"/>
  <c r="R25" i="60"/>
  <c r="R21" i="60"/>
  <c r="R62" i="60"/>
  <c r="R67" i="60"/>
  <c r="R64" i="60"/>
  <c r="R51" i="60"/>
  <c r="R40" i="60"/>
  <c r="R39" i="60"/>
  <c r="R35" i="60"/>
  <c r="R31" i="60"/>
  <c r="R26" i="60"/>
  <c r="R22" i="60"/>
  <c r="R53" i="60"/>
  <c r="R52" i="60"/>
  <c r="R36" i="60"/>
  <c r="R32" i="60"/>
  <c r="X12" i="60"/>
  <c r="R46" i="60"/>
  <c r="R45" i="60"/>
  <c r="R37" i="60"/>
  <c r="R33" i="60"/>
  <c r="R18" i="60"/>
  <c r="R16" i="60"/>
  <c r="R14" i="60"/>
  <c r="P16" i="60"/>
  <c r="N48" i="60"/>
  <c r="X14" i="69"/>
  <c r="P12" i="69"/>
  <c r="T22" i="70"/>
  <c r="X17" i="70"/>
  <c r="Z17" i="70" s="1"/>
  <c r="V17" i="70"/>
  <c r="H16" i="55"/>
  <c r="F19" i="55"/>
  <c r="F20" i="55"/>
  <c r="J21" i="55"/>
  <c r="F29" i="55"/>
  <c r="J33" i="55"/>
  <c r="N12" i="56"/>
  <c r="V20" i="56"/>
  <c r="V24" i="56"/>
  <c r="V28" i="56"/>
  <c r="J32" i="56"/>
  <c r="J36" i="56"/>
  <c r="J42" i="56"/>
  <c r="J52" i="56"/>
  <c r="V56" i="56"/>
  <c r="J60" i="56"/>
  <c r="J68" i="56"/>
  <c r="J76" i="56"/>
  <c r="V82" i="56"/>
  <c r="V84" i="56"/>
  <c r="V87" i="56"/>
  <c r="Z12" i="57"/>
  <c r="F21" i="57"/>
  <c r="F25" i="57"/>
  <c r="V32" i="57"/>
  <c r="F57" i="57"/>
  <c r="V60" i="57"/>
  <c r="V83" i="57"/>
  <c r="V18" i="58"/>
  <c r="V21" i="58"/>
  <c r="J33" i="58"/>
  <c r="V34" i="58"/>
  <c r="J39" i="58"/>
  <c r="J60" i="58"/>
  <c r="X61" i="58"/>
  <c r="V74" i="58"/>
  <c r="R66" i="59"/>
  <c r="R51" i="59"/>
  <c r="R50" i="59"/>
  <c r="R26" i="59"/>
  <c r="R22" i="59"/>
  <c r="R58" i="59"/>
  <c r="R57" i="59"/>
  <c r="R52" i="59"/>
  <c r="R41" i="59"/>
  <c r="R40" i="59"/>
  <c r="R36" i="59"/>
  <c r="R32" i="59"/>
  <c r="X12" i="59"/>
  <c r="R67" i="59"/>
  <c r="R60" i="59"/>
  <c r="R59" i="59"/>
  <c r="R27" i="59"/>
  <c r="R23" i="59"/>
  <c r="R71" i="59"/>
  <c r="R69" i="59"/>
  <c r="R61" i="59"/>
  <c r="R53" i="59"/>
  <c r="R73" i="59"/>
  <c r="R65" i="59"/>
  <c r="R64" i="59"/>
  <c r="R49" i="59"/>
  <c r="R48" i="59"/>
  <c r="F16" i="59"/>
  <c r="R28" i="59"/>
  <c r="J46" i="59"/>
  <c r="R47" i="59"/>
  <c r="F49" i="59"/>
  <c r="L56" i="59"/>
  <c r="N63" i="59"/>
  <c r="R75" i="59"/>
  <c r="V50" i="60"/>
  <c r="V38" i="60"/>
  <c r="V34" i="60"/>
  <c r="V30" i="60"/>
  <c r="V49" i="60"/>
  <c r="V25" i="60"/>
  <c r="V21" i="60"/>
  <c r="V67" i="60"/>
  <c r="V64" i="60"/>
  <c r="V62" i="60"/>
  <c r="V40" i="60"/>
  <c r="V51" i="60"/>
  <c r="V39" i="60"/>
  <c r="V35" i="60"/>
  <c r="V31" i="60"/>
  <c r="V42" i="60"/>
  <c r="V26" i="60"/>
  <c r="V22" i="60"/>
  <c r="V53" i="60"/>
  <c r="V41" i="60"/>
  <c r="V55" i="60"/>
  <c r="V43" i="60"/>
  <c r="V27" i="60"/>
  <c r="V23" i="60"/>
  <c r="V19" i="60"/>
  <c r="V60" i="60"/>
  <c r="V58" i="60"/>
  <c r="V56" i="60"/>
  <c r="V48" i="60"/>
  <c r="V28" i="60"/>
  <c r="V24" i="60"/>
  <c r="V20" i="60"/>
  <c r="T16" i="60"/>
  <c r="V32" i="60"/>
  <c r="R41" i="60"/>
  <c r="X50" i="61"/>
  <c r="F85" i="64"/>
  <c r="L74" i="57"/>
  <c r="T76" i="58"/>
  <c r="X18" i="58"/>
  <c r="Z18" i="58" s="1"/>
  <c r="N30" i="58"/>
  <c r="J16" i="59"/>
  <c r="N56" i="59"/>
  <c r="J67" i="59"/>
  <c r="Z50" i="61"/>
  <c r="J19" i="55"/>
  <c r="J29" i="55"/>
  <c r="V14" i="56"/>
  <c r="V16" i="56"/>
  <c r="V18" i="56"/>
  <c r="J22" i="56"/>
  <c r="J26" i="56"/>
  <c r="J40" i="56"/>
  <c r="J50" i="56"/>
  <c r="V54" i="56"/>
  <c r="V62" i="56"/>
  <c r="J66" i="56"/>
  <c r="J74" i="56"/>
  <c r="V26" i="57"/>
  <c r="V38" i="57"/>
  <c r="F40" i="57"/>
  <c r="X42" i="57"/>
  <c r="Z42" i="57" s="1"/>
  <c r="F46" i="57"/>
  <c r="V50" i="57"/>
  <c r="F52" i="57"/>
  <c r="X54" i="57"/>
  <c r="V67" i="57"/>
  <c r="V70" i="57"/>
  <c r="V16" i="58"/>
  <c r="J51" i="58"/>
  <c r="J57" i="58"/>
  <c r="V58" i="58"/>
  <c r="Z61" i="58"/>
  <c r="X69" i="58"/>
  <c r="J20" i="59"/>
  <c r="F27" i="59"/>
  <c r="J40" i="59"/>
  <c r="L58" i="59"/>
  <c r="N58" i="59" s="1"/>
  <c r="F60" i="59"/>
  <c r="J71" i="59"/>
  <c r="R43" i="60"/>
  <c r="J31" i="56"/>
  <c r="J35" i="56"/>
  <c r="J39" i="56"/>
  <c r="V43" i="56"/>
  <c r="J49" i="56"/>
  <c r="J59" i="56"/>
  <c r="J65" i="56"/>
  <c r="V31" i="57"/>
  <c r="F65" i="57"/>
  <c r="V23" i="58"/>
  <c r="V36" i="58"/>
  <c r="V42" i="58"/>
  <c r="V55" i="58"/>
  <c r="V61" i="58"/>
  <c r="J68" i="58"/>
  <c r="V72" i="58"/>
  <c r="Z18" i="59"/>
  <c r="F22" i="59"/>
  <c r="J27" i="59"/>
  <c r="F32" i="59"/>
  <c r="F37" i="59"/>
  <c r="J43" i="59"/>
  <c r="F51" i="59"/>
  <c r="R56" i="59"/>
  <c r="N60" i="59"/>
  <c r="R63" i="59"/>
  <c r="R19" i="60"/>
  <c r="R23" i="60"/>
  <c r="R27" i="60"/>
  <c r="R29" i="60"/>
  <c r="L40" i="60"/>
  <c r="N40" i="60" s="1"/>
  <c r="Z53" i="60"/>
  <c r="R55" i="60"/>
  <c r="Z18" i="61"/>
  <c r="X40" i="61"/>
  <c r="Z40" i="61" s="1"/>
  <c r="T103" i="64"/>
  <c r="Z16" i="64"/>
  <c r="V31" i="59"/>
  <c r="V35" i="59"/>
  <c r="V39" i="59"/>
  <c r="V51" i="59"/>
  <c r="V55" i="59"/>
  <c r="N12" i="60"/>
  <c r="J32" i="60"/>
  <c r="J36" i="60"/>
  <c r="F40" i="60"/>
  <c r="F41" i="60"/>
  <c r="J42" i="60"/>
  <c r="J52" i="60"/>
  <c r="F64" i="60"/>
  <c r="F67" i="60"/>
  <c r="R21" i="61"/>
  <c r="R25" i="61"/>
  <c r="X29" i="61"/>
  <c r="Z29" i="61" s="1"/>
  <c r="V33" i="61"/>
  <c r="R36" i="61"/>
  <c r="R40" i="61"/>
  <c r="X46" i="61"/>
  <c r="V52" i="61"/>
  <c r="L57" i="61"/>
  <c r="N57" i="61" s="1"/>
  <c r="V66" i="61"/>
  <c r="R19" i="64"/>
  <c r="R41" i="64"/>
  <c r="X46" i="64"/>
  <c r="Z46" i="64" s="1"/>
  <c r="Z58" i="64"/>
  <c r="N62" i="64"/>
  <c r="Z68" i="64"/>
  <c r="R107" i="64"/>
  <c r="N42" i="61"/>
  <c r="N48" i="61"/>
  <c r="N50" i="64"/>
  <c r="P16" i="61"/>
  <c r="R24" i="61"/>
  <c r="V29" i="61"/>
  <c r="R32" i="61"/>
  <c r="Z29" i="64"/>
  <c r="L56" i="64"/>
  <c r="N56" i="64" s="1"/>
  <c r="Z74" i="64"/>
  <c r="N78" i="64"/>
  <c r="L98" i="64"/>
  <c r="N55" i="68"/>
  <c r="D16" i="60"/>
  <c r="R64" i="61"/>
  <c r="R53" i="61"/>
  <c r="R52" i="61"/>
  <c r="R44" i="61"/>
  <c r="R43" i="61"/>
  <c r="R27" i="61"/>
  <c r="R46" i="61"/>
  <c r="R45" i="61"/>
  <c r="R48" i="61"/>
  <c r="R47" i="61"/>
  <c r="R62" i="61"/>
  <c r="R60" i="61"/>
  <c r="R50" i="61"/>
  <c r="R49" i="61"/>
  <c r="T16" i="61"/>
  <c r="R19" i="61"/>
  <c r="V27" i="61"/>
  <c r="V35" i="61"/>
  <c r="R38" i="61"/>
  <c r="R42" i="61"/>
  <c r="N44" i="61"/>
  <c r="V51" i="61"/>
  <c r="R54" i="61"/>
  <c r="R57" i="61"/>
  <c r="R69" i="61"/>
  <c r="N42" i="64"/>
  <c r="L88" i="64"/>
  <c r="N98" i="64"/>
  <c r="N19" i="68"/>
  <c r="L87" i="69"/>
  <c r="N87" i="69" s="1"/>
  <c r="Z98" i="69"/>
  <c r="X98" i="69"/>
  <c r="H120" i="71"/>
  <c r="J120" i="71" s="1"/>
  <c r="J56" i="71"/>
  <c r="V55" i="61"/>
  <c r="V43" i="61"/>
  <c r="V54" i="61"/>
  <c r="V46" i="61"/>
  <c r="V56" i="61"/>
  <c r="V48" i="61"/>
  <c r="V62" i="61"/>
  <c r="V60" i="61"/>
  <c r="V58" i="61"/>
  <c r="V50" i="61"/>
  <c r="V40" i="61"/>
  <c r="V14" i="61"/>
  <c r="V16" i="61"/>
  <c r="V18" i="61"/>
  <c r="V38" i="61"/>
  <c r="Z42" i="61"/>
  <c r="Z48" i="61"/>
  <c r="V69" i="61"/>
  <c r="H103" i="64"/>
  <c r="N16" i="64"/>
  <c r="N88" i="64"/>
  <c r="J39" i="68"/>
  <c r="J35" i="68"/>
  <c r="J31" i="68"/>
  <c r="J53" i="68"/>
  <c r="J45" i="68"/>
  <c r="J37" i="68"/>
  <c r="J33" i="68"/>
  <c r="J55" i="68"/>
  <c r="J52" i="68"/>
  <c r="J34" i="68"/>
  <c r="J19" i="68"/>
  <c r="J47" i="68"/>
  <c r="J24" i="68"/>
  <c r="J20" i="68"/>
  <c r="J18" i="68"/>
  <c r="J16" i="68"/>
  <c r="J14" i="68"/>
  <c r="J64" i="68"/>
  <c r="J56" i="68"/>
  <c r="J48" i="68"/>
  <c r="J42" i="68"/>
  <c r="J32" i="68"/>
  <c r="J29" i="68"/>
  <c r="J49" i="68"/>
  <c r="J43" i="68"/>
  <c r="J25" i="68"/>
  <c r="J21" i="68"/>
  <c r="J67" i="68"/>
  <c r="J58" i="68"/>
  <c r="J38" i="68"/>
  <c r="J44" i="68"/>
  <c r="J30" i="68"/>
  <c r="J60" i="68"/>
  <c r="J26" i="68"/>
  <c r="J22" i="68"/>
  <c r="J50" i="68"/>
  <c r="J36" i="68"/>
  <c r="J54" i="68"/>
  <c r="J51" i="68"/>
  <c r="N12" i="68"/>
  <c r="J46" i="68"/>
  <c r="J27" i="68"/>
  <c r="J23" i="68"/>
  <c r="J28" i="68"/>
  <c r="X29" i="68"/>
  <c r="Z29" i="68" s="1"/>
  <c r="J41" i="68"/>
  <c r="N76" i="69"/>
  <c r="L76" i="69"/>
  <c r="Z91" i="69"/>
  <c r="X91" i="69"/>
  <c r="V14" i="59"/>
  <c r="V16" i="59"/>
  <c r="V18" i="59"/>
  <c r="V42" i="59"/>
  <c r="H16" i="60"/>
  <c r="F19" i="60"/>
  <c r="F20" i="60"/>
  <c r="F24" i="60"/>
  <c r="F28" i="60"/>
  <c r="J29" i="60"/>
  <c r="J47" i="60"/>
  <c r="F55" i="60"/>
  <c r="F56" i="60"/>
  <c r="X12" i="61"/>
  <c r="V19" i="61"/>
  <c r="V23" i="61"/>
  <c r="V31" i="61"/>
  <c r="V42" i="61"/>
  <c r="V57" i="61"/>
  <c r="R95" i="64"/>
  <c r="R94" i="64"/>
  <c r="R86" i="64"/>
  <c r="R82" i="64"/>
  <c r="R26" i="64"/>
  <c r="R22" i="64"/>
  <c r="R96" i="64"/>
  <c r="R76" i="64"/>
  <c r="R36" i="64"/>
  <c r="R32" i="64"/>
  <c r="X12" i="64"/>
  <c r="R99" i="64"/>
  <c r="R98" i="64"/>
  <c r="R88" i="64"/>
  <c r="R87" i="64"/>
  <c r="R83" i="64"/>
  <c r="R71" i="64"/>
  <c r="R60" i="64"/>
  <c r="R59" i="64"/>
  <c r="R51" i="64"/>
  <c r="R44" i="64"/>
  <c r="R43" i="64"/>
  <c r="R27" i="64"/>
  <c r="R23" i="64"/>
  <c r="R100" i="64"/>
  <c r="R101" i="64"/>
  <c r="R90" i="64"/>
  <c r="R89" i="64"/>
  <c r="R78" i="64"/>
  <c r="R77" i="64"/>
  <c r="R62" i="64"/>
  <c r="R61" i="64"/>
  <c r="R46" i="64"/>
  <c r="R45" i="64"/>
  <c r="R37" i="64"/>
  <c r="R33" i="64"/>
  <c r="R18" i="64"/>
  <c r="R16" i="64"/>
  <c r="R14" i="64"/>
  <c r="R103" i="64"/>
  <c r="R84" i="64"/>
  <c r="R72" i="64"/>
  <c r="R53" i="64"/>
  <c r="R52" i="64"/>
  <c r="R29" i="64"/>
  <c r="R28" i="64"/>
  <c r="R24" i="64"/>
  <c r="R20" i="64"/>
  <c r="R92" i="64"/>
  <c r="R91" i="64"/>
  <c r="R79" i="64"/>
  <c r="R64" i="64"/>
  <c r="R63" i="64"/>
  <c r="R47" i="64"/>
  <c r="R105" i="64"/>
  <c r="R93" i="64"/>
  <c r="R85" i="64"/>
  <c r="R74" i="64"/>
  <c r="R73" i="64"/>
  <c r="R66" i="64"/>
  <c r="R65" i="64"/>
  <c r="R25" i="64"/>
  <c r="R21" i="64"/>
  <c r="X40" i="64"/>
  <c r="Z40" i="64" s="1"/>
  <c r="N44" i="64"/>
  <c r="V19" i="59"/>
  <c r="V23" i="59"/>
  <c r="V27" i="59"/>
  <c r="V43" i="59"/>
  <c r="V59" i="59"/>
  <c r="V67" i="59"/>
  <c r="V69" i="59"/>
  <c r="V71" i="59"/>
  <c r="J14" i="60"/>
  <c r="J16" i="60"/>
  <c r="J18" i="60"/>
  <c r="J20" i="60"/>
  <c r="J24" i="60"/>
  <c r="J28" i="60"/>
  <c r="F33" i="60"/>
  <c r="F37" i="60"/>
  <c r="F44" i="60"/>
  <c r="F45" i="60"/>
  <c r="J46" i="60"/>
  <c r="J56" i="60"/>
  <c r="Z12" i="61"/>
  <c r="R26" i="61"/>
  <c r="R34" i="61"/>
  <c r="R37" i="61"/>
  <c r="R41" i="61"/>
  <c r="V47" i="61"/>
  <c r="P16" i="64"/>
  <c r="R30" i="64"/>
  <c r="R39" i="64"/>
  <c r="R42" i="64"/>
  <c r="L53" i="64"/>
  <c r="N53" i="64" s="1"/>
  <c r="R56" i="64"/>
  <c r="N58" i="64"/>
  <c r="L60" i="64"/>
  <c r="R75" i="64"/>
  <c r="R80" i="64"/>
  <c r="L90" i="64"/>
  <c r="N90" i="64" s="1"/>
  <c r="Z19" i="68"/>
  <c r="V32" i="59"/>
  <c r="V36" i="59"/>
  <c r="V40" i="59"/>
  <c r="V52" i="59"/>
  <c r="V60" i="59"/>
  <c r="J19" i="60"/>
  <c r="J33" i="60"/>
  <c r="J37" i="60"/>
  <c r="J45" i="60"/>
  <c r="F53" i="60"/>
  <c r="F54" i="60"/>
  <c r="J55" i="60"/>
  <c r="R22" i="61"/>
  <c r="V26" i="61"/>
  <c r="V34" i="61"/>
  <c r="V37" i="61"/>
  <c r="V41" i="61"/>
  <c r="V44" i="61"/>
  <c r="R56" i="61"/>
  <c r="Z42" i="64"/>
  <c r="N60" i="64"/>
  <c r="N65" i="69"/>
  <c r="P12" i="73"/>
  <c r="X15" i="73"/>
  <c r="Z15" i="73" s="1"/>
  <c r="V41" i="59"/>
  <c r="F23" i="60"/>
  <c r="F27" i="60"/>
  <c r="F42" i="60"/>
  <c r="J44" i="60"/>
  <c r="V22" i="61"/>
  <c r="R30" i="61"/>
  <c r="L29" i="64"/>
  <c r="N29" i="64" s="1"/>
  <c r="R34" i="64"/>
  <c r="N46" i="64"/>
  <c r="X56" i="64"/>
  <c r="Z56" i="64" s="1"/>
  <c r="X66" i="64"/>
  <c r="N18" i="68"/>
  <c r="F116" i="71"/>
  <c r="F114" i="71"/>
  <c r="F105" i="71"/>
  <c r="F89" i="71"/>
  <c r="F88" i="71"/>
  <c r="F117" i="71"/>
  <c r="F122" i="71"/>
  <c r="F108" i="71"/>
  <c r="F92" i="71"/>
  <c r="F84" i="71"/>
  <c r="F83" i="71"/>
  <c r="F68" i="71"/>
  <c r="F64" i="71"/>
  <c r="F103" i="71"/>
  <c r="F102" i="71"/>
  <c r="F110" i="71"/>
  <c r="F109" i="71"/>
  <c r="F94" i="71"/>
  <c r="F93" i="71"/>
  <c r="F78" i="71"/>
  <c r="F74" i="71"/>
  <c r="F112" i="71"/>
  <c r="F98" i="71"/>
  <c r="F95" i="71"/>
  <c r="F82" i="71"/>
  <c r="F79" i="71"/>
  <c r="F66" i="71"/>
  <c r="F58" i="71"/>
  <c r="F51" i="71"/>
  <c r="F47" i="71"/>
  <c r="F43" i="71"/>
  <c r="F107" i="71"/>
  <c r="F104" i="71"/>
  <c r="F101" i="71"/>
  <c r="F86" i="71"/>
  <c r="F72" i="71"/>
  <c r="D56" i="71"/>
  <c r="F56" i="71" s="1"/>
  <c r="F77" i="71"/>
  <c r="F69" i="71"/>
  <c r="F61" i="71"/>
  <c r="F52" i="71"/>
  <c r="F48" i="71"/>
  <c r="F44" i="71"/>
  <c r="L12" i="71"/>
  <c r="F90" i="71"/>
  <c r="F87" i="71"/>
  <c r="F75" i="71"/>
  <c r="F99" i="71"/>
  <c r="F96" i="71"/>
  <c r="F80" i="71"/>
  <c r="F70" i="71"/>
  <c r="F67" i="71"/>
  <c r="F73" i="71"/>
  <c r="F62" i="71"/>
  <c r="F53" i="71"/>
  <c r="F49" i="71"/>
  <c r="F45" i="71"/>
  <c r="F41" i="71"/>
  <c r="F40" i="71"/>
  <c r="F115" i="71"/>
  <c r="F111" i="71"/>
  <c r="F91" i="71"/>
  <c r="F118" i="71"/>
  <c r="F81" i="71"/>
  <c r="F71" i="71"/>
  <c r="F65" i="71"/>
  <c r="F100" i="71"/>
  <c r="F97" i="71"/>
  <c r="F54" i="71"/>
  <c r="F50" i="71"/>
  <c r="F46" i="71"/>
  <c r="F42" i="71"/>
  <c r="F106" i="71"/>
  <c r="F85" i="71"/>
  <c r="F76" i="71"/>
  <c r="F60" i="71"/>
  <c r="F63" i="71"/>
  <c r="F59" i="71"/>
  <c r="J14" i="64"/>
  <c r="J16" i="64"/>
  <c r="J18" i="64"/>
  <c r="J20" i="64"/>
  <c r="J24" i="64"/>
  <c r="J28" i="64"/>
  <c r="V40" i="64"/>
  <c r="J46" i="64"/>
  <c r="V48" i="64"/>
  <c r="J52" i="64"/>
  <c r="V56" i="64"/>
  <c r="J62" i="64"/>
  <c r="V68" i="64"/>
  <c r="J72" i="64"/>
  <c r="J78" i="64"/>
  <c r="V80" i="64"/>
  <c r="J84" i="64"/>
  <c r="J90" i="64"/>
  <c r="J101" i="64"/>
  <c r="L12" i="68"/>
  <c r="P16" i="68"/>
  <c r="R20" i="68"/>
  <c r="R24" i="68"/>
  <c r="V28" i="68"/>
  <c r="V29" i="68"/>
  <c r="F39" i="68"/>
  <c r="V41" i="68"/>
  <c r="V47" i="68"/>
  <c r="N51" i="68"/>
  <c r="F54" i="68"/>
  <c r="V64" i="68"/>
  <c r="V49" i="69"/>
  <c r="V52" i="69"/>
  <c r="J54" i="69"/>
  <c r="J65" i="69"/>
  <c r="V71" i="69"/>
  <c r="J73" i="69"/>
  <c r="J76" i="69"/>
  <c r="J87" i="69"/>
  <c r="V90" i="69"/>
  <c r="V98" i="69"/>
  <c r="R65" i="70"/>
  <c r="R58" i="70"/>
  <c r="R57" i="70"/>
  <c r="R46" i="70"/>
  <c r="R45" i="70"/>
  <c r="R41" i="70"/>
  <c r="R37" i="70"/>
  <c r="R32" i="70"/>
  <c r="R28" i="70"/>
  <c r="R60" i="70"/>
  <c r="R59" i="70"/>
  <c r="R48" i="70"/>
  <c r="R47" i="70"/>
  <c r="R19" i="70"/>
  <c r="R67" i="70"/>
  <c r="R66" i="70"/>
  <c r="R42" i="70"/>
  <c r="R38" i="70"/>
  <c r="X12" i="70"/>
  <c r="Z12" i="70" s="1"/>
  <c r="R61" i="70"/>
  <c r="R50" i="70"/>
  <c r="R49" i="70"/>
  <c r="R33" i="70"/>
  <c r="R29" i="70"/>
  <c r="R69" i="70"/>
  <c r="R68" i="70"/>
  <c r="R25" i="70"/>
  <c r="R20" i="70"/>
  <c r="R70" i="70"/>
  <c r="R63" i="70"/>
  <c r="R62" i="70"/>
  <c r="R35" i="70"/>
  <c r="R34" i="70"/>
  <c r="R30" i="70"/>
  <c r="R26" i="70"/>
  <c r="R72" i="70"/>
  <c r="R54" i="70"/>
  <c r="R53" i="70"/>
  <c r="R64" i="70"/>
  <c r="R44" i="70"/>
  <c r="R40" i="70"/>
  <c r="R36" i="70"/>
  <c r="R17" i="70"/>
  <c r="R56" i="70"/>
  <c r="R55" i="70"/>
  <c r="R31" i="70"/>
  <c r="R27" i="70"/>
  <c r="F47" i="70"/>
  <c r="J50" i="70"/>
  <c r="X63" i="70"/>
  <c r="Z40" i="71"/>
  <c r="V40" i="71"/>
  <c r="Z58" i="71"/>
  <c r="X54" i="74"/>
  <c r="Z54" i="74" s="1"/>
  <c r="V54" i="74"/>
  <c r="F36" i="68"/>
  <c r="F50" i="68"/>
  <c r="F60" i="68"/>
  <c r="Z63" i="70"/>
  <c r="V38" i="64"/>
  <c r="J44" i="64"/>
  <c r="V54" i="64"/>
  <c r="J60" i="64"/>
  <c r="V66" i="64"/>
  <c r="V74" i="64"/>
  <c r="J88" i="64"/>
  <c r="J98" i="64"/>
  <c r="J99" i="64"/>
  <c r="R62" i="68"/>
  <c r="R52" i="68"/>
  <c r="R36" i="68"/>
  <c r="R32" i="68"/>
  <c r="R55" i="68"/>
  <c r="R54" i="68"/>
  <c r="R38" i="68"/>
  <c r="R34" i="68"/>
  <c r="R30" i="68"/>
  <c r="T16" i="68"/>
  <c r="R19" i="68"/>
  <c r="F22" i="68"/>
  <c r="F26" i="68"/>
  <c r="R31" i="68"/>
  <c r="F33" i="68"/>
  <c r="R40" i="68"/>
  <c r="F44" i="68"/>
  <c r="F45" i="68"/>
  <c r="J48" i="69"/>
  <c r="V57" i="69"/>
  <c r="V60" i="69"/>
  <c r="H63" i="69"/>
  <c r="J81" i="69"/>
  <c r="V84" i="69"/>
  <c r="J86" i="69"/>
  <c r="V97" i="69"/>
  <c r="R18" i="70"/>
  <c r="J20" i="70"/>
  <c r="R43" i="70"/>
  <c r="R52" i="70"/>
  <c r="F95" i="75"/>
  <c r="F113" i="75"/>
  <c r="F96" i="75"/>
  <c r="F88" i="75"/>
  <c r="F87" i="75"/>
  <c r="F114" i="75"/>
  <c r="F112" i="75"/>
  <c r="F103" i="75"/>
  <c r="F119" i="75"/>
  <c r="F99" i="75"/>
  <c r="F106" i="75"/>
  <c r="F105" i="75"/>
  <c r="F94" i="75"/>
  <c r="F93" i="75"/>
  <c r="F98" i="75"/>
  <c r="F80" i="75"/>
  <c r="F64" i="75"/>
  <c r="F60" i="75"/>
  <c r="F56" i="75"/>
  <c r="F55" i="75"/>
  <c r="F101" i="75"/>
  <c r="F54" i="75"/>
  <c r="F47" i="75"/>
  <c r="F43" i="75"/>
  <c r="F39" i="75"/>
  <c r="F115" i="75"/>
  <c r="F109" i="75"/>
  <c r="F82" i="75"/>
  <c r="F81" i="75"/>
  <c r="F74" i="75"/>
  <c r="F70" i="75"/>
  <c r="F66" i="75"/>
  <c r="F65" i="75"/>
  <c r="D52" i="75"/>
  <c r="L12" i="75"/>
  <c r="F61" i="75"/>
  <c r="F57" i="75"/>
  <c r="F83" i="75"/>
  <c r="F48" i="75"/>
  <c r="F44" i="75"/>
  <c r="F40" i="75"/>
  <c r="F36" i="75"/>
  <c r="F35" i="75"/>
  <c r="F110" i="75"/>
  <c r="F89" i="75"/>
  <c r="F84" i="75"/>
  <c r="F75" i="75"/>
  <c r="F71" i="75"/>
  <c r="F67" i="75"/>
  <c r="F102" i="75"/>
  <c r="F62" i="75"/>
  <c r="F58" i="75"/>
  <c r="F104" i="75"/>
  <c r="F90" i="75"/>
  <c r="F85" i="75"/>
  <c r="F77" i="75"/>
  <c r="F76" i="75"/>
  <c r="F49" i="75"/>
  <c r="F45" i="75"/>
  <c r="F41" i="75"/>
  <c r="F37" i="75"/>
  <c r="F107" i="75"/>
  <c r="F72" i="75"/>
  <c r="F68" i="75"/>
  <c r="F92" i="75"/>
  <c r="F79" i="75"/>
  <c r="F69" i="75"/>
  <c r="F100" i="75"/>
  <c r="F73" i="75"/>
  <c r="F91" i="75"/>
  <c r="F86" i="75"/>
  <c r="F50" i="75"/>
  <c r="F46" i="75"/>
  <c r="F42" i="75"/>
  <c r="F38" i="75"/>
  <c r="F78" i="75"/>
  <c r="F97" i="75"/>
  <c r="F59" i="75"/>
  <c r="F63" i="75"/>
  <c r="F108" i="75"/>
  <c r="J51" i="64"/>
  <c r="J59" i="64"/>
  <c r="J71" i="64"/>
  <c r="V79" i="64"/>
  <c r="J83" i="64"/>
  <c r="J87" i="64"/>
  <c r="V91" i="64"/>
  <c r="V43" i="68"/>
  <c r="V27" i="68"/>
  <c r="V49" i="68"/>
  <c r="V14" i="68"/>
  <c r="V16" i="68"/>
  <c r="V18" i="68"/>
  <c r="F30" i="68"/>
  <c r="V31" i="68"/>
  <c r="R46" i="68"/>
  <c r="V55" i="68"/>
  <c r="F58" i="68"/>
  <c r="J108" i="69"/>
  <c r="J98" i="69"/>
  <c r="J88" i="69"/>
  <c r="J109" i="69"/>
  <c r="J99" i="69"/>
  <c r="J89" i="69"/>
  <c r="J83" i="69"/>
  <c r="J79" i="69"/>
  <c r="J110" i="69"/>
  <c r="J100" i="69"/>
  <c r="J90" i="69"/>
  <c r="J74" i="69"/>
  <c r="J70" i="69"/>
  <c r="J101" i="69"/>
  <c r="J91" i="69"/>
  <c r="J61" i="69"/>
  <c r="J57" i="69"/>
  <c r="J53" i="69"/>
  <c r="J49" i="69"/>
  <c r="J45" i="69"/>
  <c r="J112" i="69"/>
  <c r="J102" i="69"/>
  <c r="J92" i="69"/>
  <c r="J84" i="69"/>
  <c r="J80" i="69"/>
  <c r="J66" i="69"/>
  <c r="J103" i="69"/>
  <c r="J105" i="69"/>
  <c r="J95" i="69"/>
  <c r="J59" i="69"/>
  <c r="J55" i="69"/>
  <c r="J51" i="69"/>
  <c r="J47" i="69"/>
  <c r="Z43" i="69"/>
  <c r="V54" i="69"/>
  <c r="J63" i="69"/>
  <c r="Z65" i="69"/>
  <c r="V73" i="69"/>
  <c r="J75" i="69"/>
  <c r="J94" i="69"/>
  <c r="L96" i="69"/>
  <c r="N96" i="69" s="1"/>
  <c r="V102" i="69"/>
  <c r="Z107" i="69"/>
  <c r="J116" i="69"/>
  <c r="R24" i="70"/>
  <c r="J35" i="70"/>
  <c r="R39" i="70"/>
  <c r="J66" i="70"/>
  <c r="N12" i="64"/>
  <c r="J32" i="64"/>
  <c r="J36" i="64"/>
  <c r="J42" i="64"/>
  <c r="J50" i="64"/>
  <c r="V52" i="64"/>
  <c r="J58" i="64"/>
  <c r="V64" i="64"/>
  <c r="J70" i="64"/>
  <c r="V72" i="64"/>
  <c r="J76" i="64"/>
  <c r="V84" i="64"/>
  <c r="V92" i="64"/>
  <c r="J96" i="64"/>
  <c r="X12" i="68"/>
  <c r="V19" i="68"/>
  <c r="V23" i="68"/>
  <c r="F38" i="68"/>
  <c r="V39" i="68"/>
  <c r="V40" i="68"/>
  <c r="R51" i="68"/>
  <c r="V54" i="68"/>
  <c r="F67" i="68"/>
  <c r="V43" i="69"/>
  <c r="V51" i="69"/>
  <c r="J56" i="69"/>
  <c r="V65" i="69"/>
  <c r="J72" i="69"/>
  <c r="V76" i="69"/>
  <c r="J78" i="69"/>
  <c r="Z87" i="69"/>
  <c r="Z109" i="69"/>
  <c r="Z24" i="70"/>
  <c r="F29" i="70"/>
  <c r="F49" i="70"/>
  <c r="F58" i="70"/>
  <c r="F21" i="68"/>
  <c r="F25" i="68"/>
  <c r="F29" i="68"/>
  <c r="F35" i="68"/>
  <c r="F42" i="68"/>
  <c r="F43" i="68"/>
  <c r="F48" i="68"/>
  <c r="F49" i="68"/>
  <c r="Z51" i="68"/>
  <c r="F53" i="68"/>
  <c r="J67" i="69"/>
  <c r="J96" i="69"/>
  <c r="V109" i="69"/>
  <c r="J72" i="70"/>
  <c r="J64" i="70"/>
  <c r="J54" i="70"/>
  <c r="J44" i="70"/>
  <c r="J40" i="70"/>
  <c r="J36" i="70"/>
  <c r="J55" i="70"/>
  <c r="J31" i="70"/>
  <c r="J27" i="70"/>
  <c r="J17" i="70"/>
  <c r="J76" i="70"/>
  <c r="J56" i="70"/>
  <c r="J18" i="70"/>
  <c r="J65" i="70"/>
  <c r="J57" i="70"/>
  <c r="J45" i="70"/>
  <c r="J41" i="70"/>
  <c r="J37" i="70"/>
  <c r="J58" i="70"/>
  <c r="J46" i="70"/>
  <c r="J32" i="70"/>
  <c r="J28" i="70"/>
  <c r="J59" i="70"/>
  <c r="J47" i="70"/>
  <c r="J19" i="70"/>
  <c r="J67" i="70"/>
  <c r="J61" i="70"/>
  <c r="J49" i="70"/>
  <c r="J33" i="70"/>
  <c r="J29" i="70"/>
  <c r="J68" i="70"/>
  <c r="J69" i="70"/>
  <c r="J51" i="70"/>
  <c r="J43" i="70"/>
  <c r="J39" i="70"/>
  <c r="J25" i="70"/>
  <c r="J70" i="70"/>
  <c r="J62" i="70"/>
  <c r="J52" i="70"/>
  <c r="J34" i="70"/>
  <c r="J30" i="70"/>
  <c r="J26" i="70"/>
  <c r="J24" i="70"/>
  <c r="J53" i="70"/>
  <c r="F70" i="70"/>
  <c r="V14" i="64"/>
  <c r="V16" i="64"/>
  <c r="V18" i="64"/>
  <c r="J22" i="64"/>
  <c r="J26" i="64"/>
  <c r="J40" i="64"/>
  <c r="V46" i="64"/>
  <c r="J56" i="64"/>
  <c r="V62" i="64"/>
  <c r="J68" i="64"/>
  <c r="V78" i="64"/>
  <c r="J82" i="64"/>
  <c r="J86" i="64"/>
  <c r="V90" i="64"/>
  <c r="J94" i="64"/>
  <c r="V100" i="64"/>
  <c r="D16" i="68"/>
  <c r="R22" i="68"/>
  <c r="R26" i="68"/>
  <c r="N29" i="68"/>
  <c r="F32" i="68"/>
  <c r="V33" i="68"/>
  <c r="V45" i="68"/>
  <c r="V50" i="68"/>
  <c r="V51" i="68"/>
  <c r="R60" i="68"/>
  <c r="F64" i="68"/>
  <c r="V59" i="69"/>
  <c r="T63" i="69"/>
  <c r="V86" i="69"/>
  <c r="V89" i="69"/>
  <c r="J93" i="69"/>
  <c r="L12" i="70"/>
  <c r="N12" i="70" s="1"/>
  <c r="F34" i="70"/>
  <c r="Z35" i="70"/>
  <c r="F46" i="70"/>
  <c r="X58" i="70"/>
  <c r="Z58" i="70" s="1"/>
  <c r="J31" i="64"/>
  <c r="J35" i="64"/>
  <c r="J39" i="64"/>
  <c r="V43" i="64"/>
  <c r="V51" i="64"/>
  <c r="J55" i="64"/>
  <c r="V59" i="64"/>
  <c r="J67" i="64"/>
  <c r="V71" i="64"/>
  <c r="J75" i="64"/>
  <c r="J81" i="64"/>
  <c r="V83" i="64"/>
  <c r="V87" i="64"/>
  <c r="V99" i="64"/>
  <c r="J107" i="64"/>
  <c r="J110" i="64"/>
  <c r="F14" i="68"/>
  <c r="F16" i="68"/>
  <c r="F18" i="68"/>
  <c r="V22" i="68"/>
  <c r="V26" i="68"/>
  <c r="F28" i="68"/>
  <c r="V30" i="68"/>
  <c r="F41" i="68"/>
  <c r="X58" i="68"/>
  <c r="V92" i="69"/>
  <c r="V103" i="69"/>
  <c r="V75" i="69"/>
  <c r="V116" i="69"/>
  <c r="V94" i="69"/>
  <c r="V105" i="69"/>
  <c r="V93" i="69"/>
  <c r="V85" i="69"/>
  <c r="V81" i="69"/>
  <c r="V77" i="69"/>
  <c r="V104" i="69"/>
  <c r="V96" i="69"/>
  <c r="V72" i="69"/>
  <c r="V68" i="69"/>
  <c r="V107" i="69"/>
  <c r="V95" i="69"/>
  <c r="V87" i="69"/>
  <c r="V99" i="69"/>
  <c r="V91" i="69"/>
  <c r="V83" i="69"/>
  <c r="V79" i="69"/>
  <c r="J44" i="69"/>
  <c r="V53" i="69"/>
  <c r="V56" i="69"/>
  <c r="J58" i="69"/>
  <c r="V63" i="69"/>
  <c r="L66" i="69"/>
  <c r="V67" i="69"/>
  <c r="J69" i="69"/>
  <c r="J85" i="69"/>
  <c r="X89" i="69"/>
  <c r="V101" i="69"/>
  <c r="V108" i="69"/>
  <c r="V112" i="69"/>
  <c r="F19" i="70"/>
  <c r="H22" i="70"/>
  <c r="F25" i="70"/>
  <c r="J38" i="70"/>
  <c r="J42" i="70"/>
  <c r="F48" i="70"/>
  <c r="V58" i="70"/>
  <c r="P12" i="71"/>
  <c r="F74" i="76"/>
  <c r="F66" i="76"/>
  <c r="F65" i="76"/>
  <c r="F54" i="76"/>
  <c r="F53" i="76"/>
  <c r="F81" i="76"/>
  <c r="F80" i="76"/>
  <c r="F49" i="76"/>
  <c r="F45" i="76"/>
  <c r="F68" i="76"/>
  <c r="F67" i="76"/>
  <c r="F56" i="76"/>
  <c r="F55" i="76"/>
  <c r="F40" i="76"/>
  <c r="F36" i="76"/>
  <c r="F84" i="76"/>
  <c r="F75" i="76"/>
  <c r="F85" i="76"/>
  <c r="F83" i="76"/>
  <c r="F70" i="76"/>
  <c r="F69" i="76"/>
  <c r="F58" i="76"/>
  <c r="F57" i="76"/>
  <c r="F50" i="76"/>
  <c r="F46" i="76"/>
  <c r="F76" i="76"/>
  <c r="F89" i="76"/>
  <c r="F71" i="76"/>
  <c r="F51" i="76"/>
  <c r="F47" i="76"/>
  <c r="F43" i="76"/>
  <c r="F42" i="76"/>
  <c r="D29" i="76"/>
  <c r="F78" i="76"/>
  <c r="F77" i="76"/>
  <c r="F62" i="76"/>
  <c r="F61" i="76"/>
  <c r="F38" i="76"/>
  <c r="F34" i="76"/>
  <c r="L12" i="76"/>
  <c r="N12" i="76" s="1"/>
  <c r="F73" i="76"/>
  <c r="F72" i="76"/>
  <c r="F59" i="76"/>
  <c r="F52" i="76"/>
  <c r="F48" i="76"/>
  <c r="F79" i="76"/>
  <c r="F64" i="76"/>
  <c r="F32" i="76"/>
  <c r="F29" i="76"/>
  <c r="F41" i="76"/>
  <c r="F60" i="76"/>
  <c r="F39" i="76"/>
  <c r="F37" i="76"/>
  <c r="F44" i="76"/>
  <c r="F63" i="76"/>
  <c r="F31" i="76"/>
  <c r="F35" i="76"/>
  <c r="F33" i="76"/>
  <c r="F27" i="76"/>
  <c r="J21" i="64"/>
  <c r="J25" i="64"/>
  <c r="V41" i="64"/>
  <c r="V49" i="64"/>
  <c r="V57" i="64"/>
  <c r="J65" i="64"/>
  <c r="J73" i="64"/>
  <c r="J85" i="64"/>
  <c r="J93" i="64"/>
  <c r="R21" i="68"/>
  <c r="R25" i="68"/>
  <c r="F34" i="68"/>
  <c r="V35" i="68"/>
  <c r="F37" i="68"/>
  <c r="F40" i="68"/>
  <c r="R43" i="68"/>
  <c r="L46" i="68"/>
  <c r="N46" i="68" s="1"/>
  <c r="R49" i="68"/>
  <c r="V53" i="68"/>
  <c r="R67" i="68"/>
  <c r="J52" i="69"/>
  <c r="V61" i="69"/>
  <c r="L65" i="69"/>
  <c r="N66" i="69"/>
  <c r="J77" i="69"/>
  <c r="V80" i="69"/>
  <c r="J82" i="69"/>
  <c r="P22" i="70"/>
  <c r="J48" i="70"/>
  <c r="R76" i="70"/>
  <c r="L58" i="71"/>
  <c r="F56" i="68"/>
  <c r="F55" i="68"/>
  <c r="F46" i="68"/>
  <c r="F62" i="68"/>
  <c r="D12" i="69"/>
  <c r="N43" i="69"/>
  <c r="N107" i="69"/>
  <c r="F53" i="70"/>
  <c r="F52" i="70"/>
  <c r="F24" i="70"/>
  <c r="F64" i="70"/>
  <c r="F63" i="70"/>
  <c r="F44" i="70"/>
  <c r="F40" i="70"/>
  <c r="F36" i="70"/>
  <c r="F35" i="70"/>
  <c r="D22" i="70"/>
  <c r="F72" i="70"/>
  <c r="F55" i="70"/>
  <c r="F54" i="70"/>
  <c r="F31" i="70"/>
  <c r="F27" i="70"/>
  <c r="F76" i="70"/>
  <c r="F18" i="70"/>
  <c r="F17" i="70"/>
  <c r="F65" i="70"/>
  <c r="F57" i="70"/>
  <c r="F56" i="70"/>
  <c r="F45" i="70"/>
  <c r="F41" i="70"/>
  <c r="F37" i="70"/>
  <c r="F32" i="70"/>
  <c r="F28" i="70"/>
  <c r="F66" i="70"/>
  <c r="F42" i="70"/>
  <c r="F38" i="70"/>
  <c r="F61" i="70"/>
  <c r="F60" i="70"/>
  <c r="F68" i="70"/>
  <c r="F67" i="70"/>
  <c r="F20" i="70"/>
  <c r="F51" i="70"/>
  <c r="F50" i="70"/>
  <c r="F43" i="70"/>
  <c r="F39" i="70"/>
  <c r="Z46" i="70"/>
  <c r="J63" i="70"/>
  <c r="F69" i="70"/>
  <c r="N58" i="71"/>
  <c r="J58" i="71"/>
  <c r="Z95" i="71"/>
  <c r="V44" i="71"/>
  <c r="V48" i="71"/>
  <c r="V52" i="71"/>
  <c r="V61" i="71"/>
  <c r="V69" i="71"/>
  <c r="V77" i="71"/>
  <c r="X95" i="71"/>
  <c r="V101" i="71"/>
  <c r="J116" i="71"/>
  <c r="N79" i="73"/>
  <c r="J79" i="73"/>
  <c r="L86" i="74"/>
  <c r="N55" i="75"/>
  <c r="X83" i="75"/>
  <c r="N42" i="76"/>
  <c r="L42" i="76"/>
  <c r="V27" i="70"/>
  <c r="V31" i="70"/>
  <c r="V55" i="70"/>
  <c r="X14" i="71"/>
  <c r="J59" i="71"/>
  <c r="J68" i="71"/>
  <c r="V72" i="71"/>
  <c r="L81" i="71"/>
  <c r="N81" i="71" s="1"/>
  <c r="Z83" i="71"/>
  <c r="V104" i="71"/>
  <c r="V107" i="71"/>
  <c r="J20" i="73"/>
  <c r="X51" i="73"/>
  <c r="J59" i="73"/>
  <c r="L79" i="73"/>
  <c r="Z80" i="74"/>
  <c r="V98" i="75"/>
  <c r="V119" i="75"/>
  <c r="V107" i="75"/>
  <c r="V99" i="75"/>
  <c r="V106" i="75"/>
  <c r="V112" i="75"/>
  <c r="V110" i="75"/>
  <c r="V102" i="75"/>
  <c r="V113" i="75"/>
  <c r="V97" i="75"/>
  <c r="V89" i="75"/>
  <c r="V115" i="75"/>
  <c r="V85" i="75"/>
  <c r="V84" i="75"/>
  <c r="V75" i="75"/>
  <c r="V71" i="75"/>
  <c r="V67" i="75"/>
  <c r="V78" i="75"/>
  <c r="V62" i="75"/>
  <c r="V58" i="75"/>
  <c r="V96" i="75"/>
  <c r="V91" i="75"/>
  <c r="V90" i="75"/>
  <c r="V77" i="75"/>
  <c r="V49" i="75"/>
  <c r="V45" i="75"/>
  <c r="V41" i="75"/>
  <c r="V37" i="75"/>
  <c r="V94" i="75"/>
  <c r="V72" i="75"/>
  <c r="V68" i="75"/>
  <c r="V104" i="75"/>
  <c r="V100" i="75"/>
  <c r="V79" i="75"/>
  <c r="V63" i="75"/>
  <c r="V59" i="75"/>
  <c r="V55" i="75"/>
  <c r="V114" i="75"/>
  <c r="V86" i="75"/>
  <c r="V54" i="75"/>
  <c r="V52" i="75"/>
  <c r="V50" i="75"/>
  <c r="V46" i="75"/>
  <c r="V42" i="75"/>
  <c r="V38" i="75"/>
  <c r="V108" i="75"/>
  <c r="V105" i="75"/>
  <c r="V87" i="75"/>
  <c r="V81" i="75"/>
  <c r="V73" i="75"/>
  <c r="V69" i="75"/>
  <c r="V65" i="75"/>
  <c r="T52" i="75"/>
  <c r="V109" i="75"/>
  <c r="V92" i="75"/>
  <c r="V80" i="75"/>
  <c r="V64" i="75"/>
  <c r="V60" i="75"/>
  <c r="V56" i="75"/>
  <c r="V47" i="75"/>
  <c r="V43" i="75"/>
  <c r="V39" i="75"/>
  <c r="V35" i="75"/>
  <c r="N35" i="75"/>
  <c r="J55" i="75"/>
  <c r="L114" i="75"/>
  <c r="N114" i="75" s="1"/>
  <c r="D112" i="75"/>
  <c r="L112" i="75" s="1"/>
  <c r="N112" i="75" s="1"/>
  <c r="L14" i="76"/>
  <c r="J42" i="76"/>
  <c r="X26" i="79"/>
  <c r="Z26" i="79" s="1"/>
  <c r="D84" i="80"/>
  <c r="Z86" i="71"/>
  <c r="L100" i="71"/>
  <c r="N100" i="71" s="1"/>
  <c r="V112" i="71"/>
  <c r="N53" i="73"/>
  <c r="Z68" i="73"/>
  <c r="X68" i="73"/>
  <c r="N86" i="74"/>
  <c r="P12" i="75"/>
  <c r="X14" i="75"/>
  <c r="Z83" i="75"/>
  <c r="X84" i="76"/>
  <c r="Z84" i="76" s="1"/>
  <c r="P83" i="76"/>
  <c r="X83" i="76" s="1"/>
  <c r="Z83" i="76" s="1"/>
  <c r="L13" i="71"/>
  <c r="V43" i="71"/>
  <c r="V47" i="71"/>
  <c r="V51" i="71"/>
  <c r="J71" i="71"/>
  <c r="V74" i="71"/>
  <c r="V86" i="71"/>
  <c r="J97" i="71"/>
  <c r="J100" i="71"/>
  <c r="X116" i="71"/>
  <c r="P114" i="71"/>
  <c r="X114" i="71" s="1"/>
  <c r="Z114" i="71" s="1"/>
  <c r="V28" i="73"/>
  <c r="J53" i="73"/>
  <c r="V62" i="73"/>
  <c r="V68" i="73"/>
  <c r="V70" i="73"/>
  <c r="D12" i="74"/>
  <c r="V83" i="75"/>
  <c r="H28" i="83"/>
  <c r="L97" i="71"/>
  <c r="N97" i="71" s="1"/>
  <c r="V109" i="71"/>
  <c r="J115" i="71"/>
  <c r="X20" i="73"/>
  <c r="Z20" i="73" s="1"/>
  <c r="J95" i="74"/>
  <c r="H98" i="74"/>
  <c r="N77" i="74"/>
  <c r="Z86" i="74"/>
  <c r="Z35" i="75"/>
  <c r="D12" i="77"/>
  <c r="L103" i="77"/>
  <c r="D101" i="77"/>
  <c r="L101" i="77" s="1"/>
  <c r="N101" i="77" s="1"/>
  <c r="V35" i="70"/>
  <c r="V39" i="70"/>
  <c r="V43" i="70"/>
  <c r="L48" i="70"/>
  <c r="V51" i="70"/>
  <c r="X54" i="70"/>
  <c r="L60" i="70"/>
  <c r="N60" i="70" s="1"/>
  <c r="V63" i="70"/>
  <c r="X72" i="70"/>
  <c r="J41" i="71"/>
  <c r="J45" i="71"/>
  <c r="J49" i="71"/>
  <c r="J53" i="71"/>
  <c r="T56" i="71"/>
  <c r="J62" i="71"/>
  <c r="J73" i="71"/>
  <c r="J84" i="71"/>
  <c r="V94" i="71"/>
  <c r="V20" i="73"/>
  <c r="V59" i="73"/>
  <c r="V64" i="73"/>
  <c r="V72" i="73"/>
  <c r="X79" i="73"/>
  <c r="P12" i="74"/>
  <c r="T91" i="74"/>
  <c r="N64" i="74"/>
  <c r="J77" i="74"/>
  <c r="X93" i="75"/>
  <c r="Z93" i="75" s="1"/>
  <c r="H80" i="81"/>
  <c r="V20" i="70"/>
  <c r="V22" i="70"/>
  <c r="V24" i="70"/>
  <c r="V52" i="70"/>
  <c r="V68" i="70"/>
  <c r="J117" i="71"/>
  <c r="J106" i="71"/>
  <c r="J90" i="71"/>
  <c r="J80" i="71"/>
  <c r="J76" i="71"/>
  <c r="J72" i="71"/>
  <c r="J118" i="71"/>
  <c r="J107" i="71"/>
  <c r="J99" i="71"/>
  <c r="J91" i="71"/>
  <c r="J109" i="71"/>
  <c r="J103" i="71"/>
  <c r="J93" i="71"/>
  <c r="J110" i="71"/>
  <c r="J94" i="71"/>
  <c r="J78" i="71"/>
  <c r="J74" i="71"/>
  <c r="J111" i="71"/>
  <c r="J95" i="71"/>
  <c r="J85" i="71"/>
  <c r="J69" i="71"/>
  <c r="J65" i="71"/>
  <c r="J61" i="71"/>
  <c r="J40" i="71"/>
  <c r="V42" i="71"/>
  <c r="V46" i="71"/>
  <c r="V50" i="71"/>
  <c r="V54" i="71"/>
  <c r="V56" i="71"/>
  <c r="V58" i="71"/>
  <c r="V65" i="71"/>
  <c r="J67" i="71"/>
  <c r="N70" i="71"/>
  <c r="X81" i="71"/>
  <c r="J96" i="71"/>
  <c r="Z97" i="71"/>
  <c r="Z100" i="71"/>
  <c r="J102" i="71"/>
  <c r="J114" i="71"/>
  <c r="V118" i="71"/>
  <c r="V32" i="73"/>
  <c r="V45" i="73"/>
  <c r="V50" i="73"/>
  <c r="Z53" i="73"/>
  <c r="X59" i="73"/>
  <c r="L63" i="73"/>
  <c r="X55" i="74"/>
  <c r="X64" i="74"/>
  <c r="Z64" i="74" s="1"/>
  <c r="V25" i="70"/>
  <c r="V29" i="70"/>
  <c r="V33" i="70"/>
  <c r="V49" i="70"/>
  <c r="V61" i="70"/>
  <c r="V69" i="70"/>
  <c r="V59" i="71"/>
  <c r="J64" i="71"/>
  <c r="J70" i="71"/>
  <c r="J75" i="71"/>
  <c r="V78" i="71"/>
  <c r="J87" i="71"/>
  <c r="V88" i="71"/>
  <c r="V91" i="71"/>
  <c r="V97" i="71"/>
  <c r="V100" i="71"/>
  <c r="L117" i="71"/>
  <c r="V47" i="73"/>
  <c r="V53" i="73"/>
  <c r="V36" i="75"/>
  <c r="V40" i="75"/>
  <c r="V44" i="75"/>
  <c r="V48" i="75"/>
  <c r="V93" i="75"/>
  <c r="N61" i="76"/>
  <c r="V38" i="70"/>
  <c r="V42" i="70"/>
  <c r="V50" i="70"/>
  <c r="V66" i="70"/>
  <c r="N12" i="71"/>
  <c r="J44" i="71"/>
  <c r="J48" i="71"/>
  <c r="J52" i="71"/>
  <c r="V73" i="71"/>
  <c r="Z81" i="71"/>
  <c r="J83" i="71"/>
  <c r="L86" i="71"/>
  <c r="V96" i="71"/>
  <c r="V71" i="73"/>
  <c r="V55" i="73"/>
  <c r="V66" i="73"/>
  <c r="V54" i="73"/>
  <c r="V46" i="73"/>
  <c r="V42" i="73"/>
  <c r="V38" i="73"/>
  <c r="T25" i="73"/>
  <c r="V25" i="73" s="1"/>
  <c r="V83" i="73"/>
  <c r="V65" i="73"/>
  <c r="V57" i="73"/>
  <c r="V37" i="73"/>
  <c r="V33" i="73"/>
  <c r="V29" i="73"/>
  <c r="V73" i="73"/>
  <c r="V69" i="73"/>
  <c r="V61" i="73"/>
  <c r="V49" i="73"/>
  <c r="V21" i="73"/>
  <c r="V76" i="73"/>
  <c r="V60" i="73"/>
  <c r="V48" i="73"/>
  <c r="V44" i="73"/>
  <c r="V40" i="73"/>
  <c r="V75" i="73"/>
  <c r="V63" i="73"/>
  <c r="V51" i="73"/>
  <c r="V35" i="73"/>
  <c r="V31" i="73"/>
  <c r="V34" i="73"/>
  <c r="L57" i="73"/>
  <c r="N63" i="73"/>
  <c r="L68" i="73"/>
  <c r="Z55" i="74"/>
  <c r="J91" i="74"/>
  <c r="V47" i="70"/>
  <c r="V59" i="70"/>
  <c r="V67" i="70"/>
  <c r="V41" i="71"/>
  <c r="V45" i="71"/>
  <c r="V49" i="71"/>
  <c r="V53" i="71"/>
  <c r="J77" i="71"/>
  <c r="V80" i="71"/>
  <c r="L95" i="71"/>
  <c r="N95" i="71" s="1"/>
  <c r="V39" i="73"/>
  <c r="V52" i="73"/>
  <c r="X63" i="73"/>
  <c r="Z63" i="73" s="1"/>
  <c r="V77" i="73"/>
  <c r="V55" i="74"/>
  <c r="J31" i="76"/>
  <c r="V122" i="71"/>
  <c r="V108" i="71"/>
  <c r="V92" i="71"/>
  <c r="V84" i="71"/>
  <c r="V68" i="71"/>
  <c r="V64" i="71"/>
  <c r="V111" i="71"/>
  <c r="V103" i="71"/>
  <c r="V95" i="71"/>
  <c r="V115" i="71"/>
  <c r="V87" i="71"/>
  <c r="V79" i="71"/>
  <c r="V75" i="71"/>
  <c r="V71" i="71"/>
  <c r="V116" i="71"/>
  <c r="V106" i="71"/>
  <c r="V98" i="71"/>
  <c r="V90" i="71"/>
  <c r="V66" i="71"/>
  <c r="V62" i="71"/>
  <c r="V117" i="71"/>
  <c r="V105" i="71"/>
  <c r="V89" i="71"/>
  <c r="V81" i="71"/>
  <c r="V67" i="71"/>
  <c r="Z70" i="71"/>
  <c r="N86" i="71"/>
  <c r="J92" i="71"/>
  <c r="V93" i="71"/>
  <c r="J101" i="71"/>
  <c r="J104" i="71"/>
  <c r="V114" i="71"/>
  <c r="D12" i="73"/>
  <c r="L20" i="73"/>
  <c r="N20" i="73" s="1"/>
  <c r="V36" i="73"/>
  <c r="L51" i="73"/>
  <c r="N68" i="73"/>
  <c r="V74" i="73"/>
  <c r="X59" i="76"/>
  <c r="Z59" i="76" s="1"/>
  <c r="T87" i="80"/>
  <c r="N48" i="84"/>
  <c r="J39" i="73"/>
  <c r="J43" i="73"/>
  <c r="J47" i="73"/>
  <c r="J57" i="73"/>
  <c r="J67" i="73"/>
  <c r="J36" i="74"/>
  <c r="J40" i="74"/>
  <c r="J44" i="74"/>
  <c r="J48" i="74"/>
  <c r="V64" i="74"/>
  <c r="V68" i="74"/>
  <c r="V72" i="74"/>
  <c r="J76" i="74"/>
  <c r="V80" i="74"/>
  <c r="J86" i="74"/>
  <c r="J59" i="75"/>
  <c r="J63" i="75"/>
  <c r="J79" i="75"/>
  <c r="J86" i="75"/>
  <c r="N91" i="75"/>
  <c r="X105" i="75"/>
  <c r="Z105" i="75" s="1"/>
  <c r="Z109" i="75"/>
  <c r="X109" i="75"/>
  <c r="N27" i="76"/>
  <c r="J27" i="76"/>
  <c r="Z31" i="76"/>
  <c r="V48" i="76"/>
  <c r="V52" i="76"/>
  <c r="V59" i="76"/>
  <c r="L65" i="76"/>
  <c r="V70" i="76"/>
  <c r="L56" i="79"/>
  <c r="F60" i="79"/>
  <c r="H25" i="73"/>
  <c r="J38" i="73"/>
  <c r="J56" i="73"/>
  <c r="J66" i="73"/>
  <c r="J72" i="73"/>
  <c r="J35" i="74"/>
  <c r="V37" i="74"/>
  <c r="V41" i="74"/>
  <c r="V45" i="74"/>
  <c r="V49" i="74"/>
  <c r="J57" i="74"/>
  <c r="J61" i="74"/>
  <c r="J75" i="74"/>
  <c r="J85" i="74"/>
  <c r="J68" i="75"/>
  <c r="J72" i="75"/>
  <c r="J78" i="75"/>
  <c r="J91" i="75"/>
  <c r="X27" i="76"/>
  <c r="V31" i="76"/>
  <c r="Z42" i="76"/>
  <c r="V44" i="76"/>
  <c r="N65" i="76"/>
  <c r="N56" i="79"/>
  <c r="F65" i="79"/>
  <c r="F73" i="81"/>
  <c r="J25" i="73"/>
  <c r="J27" i="73"/>
  <c r="J29" i="73"/>
  <c r="J33" i="73"/>
  <c r="J37" i="73"/>
  <c r="J55" i="73"/>
  <c r="J65" i="73"/>
  <c r="J83" i="73"/>
  <c r="V58" i="74"/>
  <c r="V62" i="74"/>
  <c r="J66" i="74"/>
  <c r="J70" i="74"/>
  <c r="J74" i="74"/>
  <c r="V78" i="74"/>
  <c r="J84" i="74"/>
  <c r="J37" i="75"/>
  <c r="J41" i="75"/>
  <c r="J45" i="75"/>
  <c r="J49" i="75"/>
  <c r="J77" i="75"/>
  <c r="J90" i="75"/>
  <c r="J104" i="75"/>
  <c r="P12" i="76"/>
  <c r="L84" i="77"/>
  <c r="F39" i="79"/>
  <c r="F43" i="79"/>
  <c r="X58" i="79"/>
  <c r="V67" i="74"/>
  <c r="V71" i="74"/>
  <c r="V87" i="74"/>
  <c r="V89" i="74"/>
  <c r="V91" i="74"/>
  <c r="J58" i="75"/>
  <c r="J62" i="75"/>
  <c r="J76" i="75"/>
  <c r="J85" i="75"/>
  <c r="J96" i="75"/>
  <c r="X97" i="75"/>
  <c r="Z97" i="75" s="1"/>
  <c r="J99" i="75"/>
  <c r="V77" i="76"/>
  <c r="V61" i="76"/>
  <c r="V41" i="76"/>
  <c r="V37" i="76"/>
  <c r="V33" i="76"/>
  <c r="V76" i="76"/>
  <c r="V72" i="76"/>
  <c r="V60" i="76"/>
  <c r="V89" i="76"/>
  <c r="V71" i="76"/>
  <c r="V63" i="76"/>
  <c r="V51" i="76"/>
  <c r="V47" i="76"/>
  <c r="V43" i="76"/>
  <c r="V78" i="76"/>
  <c r="V62" i="76"/>
  <c r="V38" i="76"/>
  <c r="V34" i="76"/>
  <c r="V73" i="76"/>
  <c r="V65" i="76"/>
  <c r="V53" i="76"/>
  <c r="V79" i="76"/>
  <c r="V74" i="76"/>
  <c r="V66" i="76"/>
  <c r="V54" i="76"/>
  <c r="V83" i="76"/>
  <c r="V81" i="76"/>
  <c r="V69" i="76"/>
  <c r="V57" i="76"/>
  <c r="V49" i="76"/>
  <c r="V45" i="76"/>
  <c r="V84" i="76"/>
  <c r="V68" i="76"/>
  <c r="V56" i="76"/>
  <c r="V40" i="76"/>
  <c r="V36" i="76"/>
  <c r="V32" i="76"/>
  <c r="V27" i="76"/>
  <c r="V35" i="76"/>
  <c r="X65" i="76"/>
  <c r="X39" i="77"/>
  <c r="N84" i="77"/>
  <c r="X90" i="77"/>
  <c r="L49" i="79"/>
  <c r="T99" i="88"/>
  <c r="V36" i="74"/>
  <c r="V40" i="74"/>
  <c r="V44" i="74"/>
  <c r="V48" i="74"/>
  <c r="J52" i="74"/>
  <c r="J54" i="74"/>
  <c r="V76" i="74"/>
  <c r="J82" i="74"/>
  <c r="J67" i="75"/>
  <c r="J71" i="75"/>
  <c r="J75" i="75"/>
  <c r="J84" i="75"/>
  <c r="L53" i="76"/>
  <c r="V58" i="76"/>
  <c r="V85" i="76"/>
  <c r="X98" i="77"/>
  <c r="Z56" i="79"/>
  <c r="Z58" i="79"/>
  <c r="L54" i="74"/>
  <c r="N54" i="74" s="1"/>
  <c r="V57" i="74"/>
  <c r="V61" i="74"/>
  <c r="V77" i="74"/>
  <c r="V85" i="74"/>
  <c r="J110" i="75"/>
  <c r="J102" i="75"/>
  <c r="J113" i="75"/>
  <c r="J112" i="75"/>
  <c r="J114" i="75"/>
  <c r="J103" i="75"/>
  <c r="J97" i="75"/>
  <c r="J89" i="75"/>
  <c r="J115" i="75"/>
  <c r="J98" i="75"/>
  <c r="J106" i="75"/>
  <c r="J100" i="75"/>
  <c r="J94" i="75"/>
  <c r="J107" i="75"/>
  <c r="J101" i="75"/>
  <c r="J83" i="75"/>
  <c r="J36" i="75"/>
  <c r="J40" i="75"/>
  <c r="J44" i="75"/>
  <c r="J48" i="75"/>
  <c r="Z91" i="75"/>
  <c r="J29" i="76"/>
  <c r="N53" i="76"/>
  <c r="Z65" i="76"/>
  <c r="H87" i="76"/>
  <c r="Z39" i="77"/>
  <c r="Z98" i="77"/>
  <c r="F72" i="79"/>
  <c r="F66" i="79"/>
  <c r="F64" i="79"/>
  <c r="F67" i="79"/>
  <c r="F68" i="79"/>
  <c r="F57" i="79"/>
  <c r="F56" i="79"/>
  <c r="F21" i="79"/>
  <c r="F52" i="79"/>
  <c r="F51" i="79"/>
  <c r="F44" i="79"/>
  <c r="F40" i="79"/>
  <c r="F61" i="79"/>
  <c r="F35" i="79"/>
  <c r="F31" i="79"/>
  <c r="F62" i="79"/>
  <c r="F22" i="79"/>
  <c r="F18" i="79"/>
  <c r="F17" i="79"/>
  <c r="F58" i="79"/>
  <c r="F53" i="79"/>
  <c r="F45" i="79"/>
  <c r="F41" i="79"/>
  <c r="F37" i="79"/>
  <c r="F36" i="79"/>
  <c r="F32" i="79"/>
  <c r="F28" i="79"/>
  <c r="F27" i="79"/>
  <c r="F54" i="79"/>
  <c r="F26" i="79"/>
  <c r="F19" i="79"/>
  <c r="F59" i="79"/>
  <c r="F46" i="79"/>
  <c r="F42" i="79"/>
  <c r="F38" i="79"/>
  <c r="D24" i="79"/>
  <c r="F24" i="79" s="1"/>
  <c r="L12" i="79"/>
  <c r="F55" i="79"/>
  <c r="F33" i="79"/>
  <c r="F29" i="79"/>
  <c r="F48" i="79"/>
  <c r="F47" i="79"/>
  <c r="F20" i="79"/>
  <c r="T70" i="79"/>
  <c r="Z24" i="79"/>
  <c r="N49" i="79"/>
  <c r="J51" i="73"/>
  <c r="J63" i="73"/>
  <c r="J77" i="73"/>
  <c r="L55" i="74"/>
  <c r="N55" i="74" s="1"/>
  <c r="J64" i="74"/>
  <c r="V66" i="74"/>
  <c r="V70" i="74"/>
  <c r="V74" i="74"/>
  <c r="X77" i="74"/>
  <c r="Z77" i="74" s="1"/>
  <c r="J80" i="74"/>
  <c r="V86" i="74"/>
  <c r="J35" i="75"/>
  <c r="J57" i="75"/>
  <c r="J61" i="75"/>
  <c r="J88" i="75"/>
  <c r="J93" i="75"/>
  <c r="T29" i="76"/>
  <c r="J53" i="76"/>
  <c r="V67" i="76"/>
  <c r="Z84" i="77"/>
  <c r="V98" i="77"/>
  <c r="Z27" i="79"/>
  <c r="V49" i="80"/>
  <c r="Z60" i="84"/>
  <c r="J22" i="73"/>
  <c r="J50" i="73"/>
  <c r="J62" i="73"/>
  <c r="J70" i="73"/>
  <c r="V35" i="74"/>
  <c r="V39" i="74"/>
  <c r="V43" i="74"/>
  <c r="V47" i="74"/>
  <c r="J59" i="74"/>
  <c r="J63" i="74"/>
  <c r="V75" i="74"/>
  <c r="J79" i="74"/>
  <c r="V83" i="74"/>
  <c r="N12" i="75"/>
  <c r="J66" i="75"/>
  <c r="J70" i="75"/>
  <c r="J74" i="75"/>
  <c r="J82" i="75"/>
  <c r="N109" i="75"/>
  <c r="X53" i="76"/>
  <c r="Z53" i="76" s="1"/>
  <c r="L59" i="76"/>
  <c r="N59" i="76" s="1"/>
  <c r="V75" i="76"/>
  <c r="V80" i="76"/>
  <c r="N57" i="77"/>
  <c r="H106" i="77"/>
  <c r="F30" i="79"/>
  <c r="F25" i="81"/>
  <c r="H127" i="85"/>
  <c r="J123" i="85"/>
  <c r="V56" i="74"/>
  <c r="V60" i="74"/>
  <c r="J39" i="75"/>
  <c r="J43" i="75"/>
  <c r="J47" i="75"/>
  <c r="H52" i="75"/>
  <c r="J65" i="75"/>
  <c r="J81" i="75"/>
  <c r="J109" i="75"/>
  <c r="L31" i="76"/>
  <c r="N31" i="76" s="1"/>
  <c r="Z32" i="76"/>
  <c r="X32" i="76"/>
  <c r="P12" i="77"/>
  <c r="F34" i="79"/>
  <c r="J44" i="76"/>
  <c r="J48" i="76"/>
  <c r="J52" i="76"/>
  <c r="J64" i="76"/>
  <c r="V39" i="77"/>
  <c r="V43" i="77"/>
  <c r="V47" i="77"/>
  <c r="V51" i="77"/>
  <c r="J55" i="77"/>
  <c r="J57" i="77"/>
  <c r="J59" i="77"/>
  <c r="J63" i="77"/>
  <c r="J67" i="77"/>
  <c r="J83" i="77"/>
  <c r="V87" i="77"/>
  <c r="J104" i="77"/>
  <c r="R17" i="79"/>
  <c r="V27" i="79"/>
  <c r="V31" i="79"/>
  <c r="V35" i="79"/>
  <c r="J39" i="79"/>
  <c r="R40" i="79"/>
  <c r="J43" i="79"/>
  <c r="R44" i="79"/>
  <c r="J49" i="79"/>
  <c r="R52" i="79"/>
  <c r="V57" i="79"/>
  <c r="R61" i="79"/>
  <c r="F28" i="80"/>
  <c r="F30" i="80"/>
  <c r="F32" i="80"/>
  <c r="L34" i="80"/>
  <c r="N34" i="80" s="1"/>
  <c r="F44" i="80"/>
  <c r="F54" i="80"/>
  <c r="X55" i="80"/>
  <c r="Z78" i="80"/>
  <c r="X78" i="80"/>
  <c r="N35" i="81"/>
  <c r="F69" i="81"/>
  <c r="X56" i="84"/>
  <c r="Z56" i="84" s="1"/>
  <c r="J63" i="76"/>
  <c r="J73" i="76"/>
  <c r="J58" i="77"/>
  <c r="V60" i="77"/>
  <c r="V64" i="77"/>
  <c r="V68" i="77"/>
  <c r="J72" i="77"/>
  <c r="J76" i="77"/>
  <c r="J82" i="77"/>
  <c r="V88" i="77"/>
  <c r="V96" i="77"/>
  <c r="J103" i="77"/>
  <c r="V108" i="77"/>
  <c r="J77" i="79"/>
  <c r="J74" i="79"/>
  <c r="J60" i="79"/>
  <c r="J62" i="79"/>
  <c r="J67" i="79"/>
  <c r="J68" i="79"/>
  <c r="J70" i="79"/>
  <c r="J58" i="79"/>
  <c r="J20" i="79"/>
  <c r="R21" i="79"/>
  <c r="V36" i="79"/>
  <c r="V40" i="79"/>
  <c r="V44" i="79"/>
  <c r="J48" i="79"/>
  <c r="V52" i="79"/>
  <c r="R66" i="79"/>
  <c r="X24" i="80"/>
  <c r="Z24" i="80" s="1"/>
  <c r="Z55" i="80"/>
  <c r="F60" i="80"/>
  <c r="F68" i="80"/>
  <c r="L73" i="80"/>
  <c r="F76" i="81"/>
  <c r="F75" i="81"/>
  <c r="F64" i="81"/>
  <c r="F63" i="81"/>
  <c r="F44" i="81"/>
  <c r="F40" i="81"/>
  <c r="F36" i="81"/>
  <c r="F35" i="81"/>
  <c r="D22" i="81"/>
  <c r="F55" i="81"/>
  <c r="F54" i="81"/>
  <c r="F31" i="81"/>
  <c r="F27" i="81"/>
  <c r="F78" i="81"/>
  <c r="F65" i="81"/>
  <c r="F57" i="81"/>
  <c r="F56" i="81"/>
  <c r="F45" i="81"/>
  <c r="F41" i="81"/>
  <c r="F37" i="81"/>
  <c r="F82" i="81"/>
  <c r="F32" i="81"/>
  <c r="F28" i="81"/>
  <c r="F71" i="81"/>
  <c r="F59" i="81"/>
  <c r="F58" i="81"/>
  <c r="F47" i="81"/>
  <c r="F46" i="81"/>
  <c r="F19" i="81"/>
  <c r="F66" i="81"/>
  <c r="F42" i="81"/>
  <c r="F38" i="81"/>
  <c r="F61" i="81"/>
  <c r="F60" i="81"/>
  <c r="F49" i="81"/>
  <c r="F48" i="81"/>
  <c r="F33" i="81"/>
  <c r="F29" i="81"/>
  <c r="F72" i="81"/>
  <c r="F68" i="81"/>
  <c r="F67" i="81"/>
  <c r="F20" i="81"/>
  <c r="F51" i="81"/>
  <c r="F50" i="81"/>
  <c r="F43" i="81"/>
  <c r="F39" i="81"/>
  <c r="Z49" i="89"/>
  <c r="X49" i="89"/>
  <c r="J62" i="76"/>
  <c r="J72" i="76"/>
  <c r="J78" i="76"/>
  <c r="V69" i="77"/>
  <c r="V73" i="77"/>
  <c r="V77" i="77"/>
  <c r="J81" i="77"/>
  <c r="V85" i="77"/>
  <c r="J93" i="77"/>
  <c r="J101" i="77"/>
  <c r="J102" i="77"/>
  <c r="V21" i="79"/>
  <c r="R30" i="79"/>
  <c r="R34" i="79"/>
  <c r="R50" i="79"/>
  <c r="R51" i="79"/>
  <c r="R60" i="79"/>
  <c r="V61" i="79"/>
  <c r="N64" i="79"/>
  <c r="N73" i="80"/>
  <c r="X58" i="81"/>
  <c r="Z58" i="81" s="1"/>
  <c r="Z48" i="84"/>
  <c r="X48" i="84"/>
  <c r="Z64" i="84"/>
  <c r="X84" i="84"/>
  <c r="Z84" i="84" s="1"/>
  <c r="P12" i="85"/>
  <c r="J66" i="77"/>
  <c r="J80" i="77"/>
  <c r="V86" i="77"/>
  <c r="J92" i="77"/>
  <c r="V94" i="77"/>
  <c r="V30" i="79"/>
  <c r="V34" i="79"/>
  <c r="R39" i="79"/>
  <c r="R43" i="79"/>
  <c r="V50" i="79"/>
  <c r="N22" i="80"/>
  <c r="H80" i="80"/>
  <c r="L80" i="80" s="1"/>
  <c r="F53" i="80"/>
  <c r="J73" i="80"/>
  <c r="Z25" i="81"/>
  <c r="Z73" i="81"/>
  <c r="L24" i="83"/>
  <c r="L14" i="84"/>
  <c r="D12" i="84"/>
  <c r="N17" i="84"/>
  <c r="V115" i="85"/>
  <c r="V103" i="85"/>
  <c r="V87" i="85"/>
  <c r="V75" i="85"/>
  <c r="V59" i="85"/>
  <c r="V55" i="85"/>
  <c r="V51" i="85"/>
  <c r="V118" i="85"/>
  <c r="V98" i="85"/>
  <c r="V86" i="85"/>
  <c r="V50" i="85"/>
  <c r="V46" i="85"/>
  <c r="V117" i="85"/>
  <c r="V109" i="85"/>
  <c r="V105" i="85"/>
  <c r="V97" i="85"/>
  <c r="V89" i="85"/>
  <c r="V77" i="85"/>
  <c r="V69" i="85"/>
  <c r="V65" i="85"/>
  <c r="V61" i="85"/>
  <c r="V104" i="85"/>
  <c r="V88" i="85"/>
  <c r="V76" i="85"/>
  <c r="V60" i="85"/>
  <c r="V56" i="85"/>
  <c r="V52" i="85"/>
  <c r="V121" i="85"/>
  <c r="V119" i="85"/>
  <c r="V111" i="85"/>
  <c r="V99" i="85"/>
  <c r="V91" i="85"/>
  <c r="V79" i="85"/>
  <c r="V112" i="85"/>
  <c r="V100" i="85"/>
  <c r="V92" i="85"/>
  <c r="V80" i="85"/>
  <c r="V125" i="85"/>
  <c r="V107" i="85"/>
  <c r="V95" i="85"/>
  <c r="V83" i="85"/>
  <c r="V71" i="85"/>
  <c r="V67" i="85"/>
  <c r="V63" i="85"/>
  <c r="V114" i="85"/>
  <c r="V102" i="85"/>
  <c r="V94" i="85"/>
  <c r="V82" i="85"/>
  <c r="V74" i="85"/>
  <c r="V58" i="85"/>
  <c r="V54" i="85"/>
  <c r="V113" i="85"/>
  <c r="V36" i="85"/>
  <c r="V116" i="85"/>
  <c r="V101" i="85"/>
  <c r="V33" i="85"/>
  <c r="V84" i="85"/>
  <c r="V43" i="85"/>
  <c r="V73" i="85"/>
  <c r="V40" i="85"/>
  <c r="V106" i="85"/>
  <c r="V37" i="85"/>
  <c r="V34" i="85"/>
  <c r="V96" i="85"/>
  <c r="T48" i="85"/>
  <c r="V48" i="85" s="1"/>
  <c r="V108" i="85"/>
  <c r="V85" i="85"/>
  <c r="V78" i="85"/>
  <c r="V44" i="85"/>
  <c r="V110" i="85"/>
  <c r="V41" i="85"/>
  <c r="V38" i="85"/>
  <c r="V81" i="85"/>
  <c r="V57" i="85"/>
  <c r="V35" i="85"/>
  <c r="V32" i="85"/>
  <c r="V90" i="85"/>
  <c r="V72" i="85"/>
  <c r="V53" i="85"/>
  <c r="V95" i="77"/>
  <c r="R65" i="79"/>
  <c r="R67" i="79"/>
  <c r="R56" i="79"/>
  <c r="R55" i="79"/>
  <c r="R72" i="79"/>
  <c r="R20" i="79"/>
  <c r="R48" i="79"/>
  <c r="R49" i="79"/>
  <c r="N54" i="79"/>
  <c r="V56" i="79"/>
  <c r="P12" i="81"/>
  <c r="X15" i="81"/>
  <c r="L63" i="81"/>
  <c r="J28" i="83"/>
  <c r="J26" i="83"/>
  <c r="J24" i="83"/>
  <c r="J22" i="83"/>
  <c r="J30" i="83"/>
  <c r="J17" i="83"/>
  <c r="J18" i="83"/>
  <c r="J19" i="83"/>
  <c r="N12" i="83"/>
  <c r="X17" i="83"/>
  <c r="Z17" i="83" s="1"/>
  <c r="J37" i="76"/>
  <c r="J41" i="76"/>
  <c r="J59" i="76"/>
  <c r="X80" i="76"/>
  <c r="J87" i="76"/>
  <c r="T55" i="77"/>
  <c r="V72" i="77"/>
  <c r="V76" i="77"/>
  <c r="V84" i="77"/>
  <c r="J90" i="77"/>
  <c r="X95" i="77"/>
  <c r="Z95" i="77" s="1"/>
  <c r="J98" i="77"/>
  <c r="P101" i="77"/>
  <c r="X101" i="77" s="1"/>
  <c r="Z101" i="77" s="1"/>
  <c r="V104" i="77"/>
  <c r="V66" i="79"/>
  <c r="V70" i="79"/>
  <c r="V68" i="79"/>
  <c r="V58" i="79"/>
  <c r="V77" i="79"/>
  <c r="V74" i="79"/>
  <c r="V72" i="79"/>
  <c r="V60" i="79"/>
  <c r="V20" i="79"/>
  <c r="R29" i="79"/>
  <c r="R33" i="79"/>
  <c r="V48" i="79"/>
  <c r="X51" i="79"/>
  <c r="Z51" i="79" s="1"/>
  <c r="V55" i="79"/>
  <c r="P64" i="79"/>
  <c r="X64" i="79" s="1"/>
  <c r="L24" i="81"/>
  <c r="N24" i="81" s="1"/>
  <c r="Z46" i="81"/>
  <c r="X46" i="81"/>
  <c r="T93" i="84"/>
  <c r="D12" i="85"/>
  <c r="J32" i="76"/>
  <c r="J46" i="76"/>
  <c r="J50" i="76"/>
  <c r="J58" i="76"/>
  <c r="J70" i="76"/>
  <c r="J85" i="76"/>
  <c r="J39" i="77"/>
  <c r="V41" i="77"/>
  <c r="V45" i="77"/>
  <c r="V49" i="77"/>
  <c r="V53" i="77"/>
  <c r="V55" i="77"/>
  <c r="V57" i="77"/>
  <c r="J61" i="77"/>
  <c r="J65" i="77"/>
  <c r="V81" i="77"/>
  <c r="J89" i="77"/>
  <c r="V93" i="77"/>
  <c r="J97" i="77"/>
  <c r="V103" i="77"/>
  <c r="X12" i="79"/>
  <c r="J27" i="79"/>
  <c r="V29" i="79"/>
  <c r="V33" i="79"/>
  <c r="J37" i="79"/>
  <c r="R38" i="79"/>
  <c r="J41" i="79"/>
  <c r="R42" i="79"/>
  <c r="J45" i="79"/>
  <c r="R46" i="79"/>
  <c r="R47" i="79"/>
  <c r="V49" i="79"/>
  <c r="J53" i="79"/>
  <c r="R59" i="79"/>
  <c r="Z64" i="79"/>
  <c r="H70" i="79"/>
  <c r="F74" i="80"/>
  <c r="F73" i="80"/>
  <c r="F50" i="80"/>
  <c r="F49" i="80"/>
  <c r="F42" i="80"/>
  <c r="F38" i="80"/>
  <c r="L12" i="80"/>
  <c r="N12" i="80" s="1"/>
  <c r="F61" i="80"/>
  <c r="F33" i="80"/>
  <c r="F29" i="80"/>
  <c r="F63" i="80"/>
  <c r="F62" i="80"/>
  <c r="F43" i="80"/>
  <c r="F39" i="80"/>
  <c r="F35" i="80"/>
  <c r="F34" i="80"/>
  <c r="F80" i="80"/>
  <c r="F78" i="80"/>
  <c r="F71" i="80"/>
  <c r="F31" i="80"/>
  <c r="F27" i="80"/>
  <c r="F66" i="80"/>
  <c r="F65" i="80"/>
  <c r="F58" i="80"/>
  <c r="F57" i="80"/>
  <c r="F46" i="80"/>
  <c r="F45" i="80"/>
  <c r="F18" i="80"/>
  <c r="F17" i="80"/>
  <c r="F41" i="80"/>
  <c r="F37" i="80"/>
  <c r="L49" i="80"/>
  <c r="F26" i="81"/>
  <c r="X50" i="81"/>
  <c r="Z50" i="81" s="1"/>
  <c r="N52" i="81"/>
  <c r="L52" i="81"/>
  <c r="J63" i="81"/>
  <c r="F74" i="81"/>
  <c r="P12" i="83"/>
  <c r="V17" i="83"/>
  <c r="P12" i="84"/>
  <c r="V68" i="85"/>
  <c r="J57" i="76"/>
  <c r="J69" i="76"/>
  <c r="J75" i="76"/>
  <c r="J83" i="76"/>
  <c r="J84" i="76"/>
  <c r="V58" i="77"/>
  <c r="V62" i="77"/>
  <c r="V66" i="77"/>
  <c r="J70" i="77"/>
  <c r="J74" i="77"/>
  <c r="J78" i="77"/>
  <c r="V82" i="77"/>
  <c r="J88" i="77"/>
  <c r="V102" i="77"/>
  <c r="R19" i="79"/>
  <c r="V38" i="79"/>
  <c r="V42" i="79"/>
  <c r="V46" i="79"/>
  <c r="V59" i="79"/>
  <c r="V64" i="79"/>
  <c r="N49" i="80"/>
  <c r="X16" i="86"/>
  <c r="Z16" i="86" s="1"/>
  <c r="P20" i="86"/>
  <c r="J56" i="76"/>
  <c r="J68" i="76"/>
  <c r="J69" i="77"/>
  <c r="V71" i="77"/>
  <c r="V75" i="77"/>
  <c r="V79" i="77"/>
  <c r="J87" i="77"/>
  <c r="V91" i="77"/>
  <c r="V99" i="77"/>
  <c r="V101" i="77"/>
  <c r="V19" i="79"/>
  <c r="P24" i="79"/>
  <c r="R28" i="79"/>
  <c r="R32" i="79"/>
  <c r="V47" i="79"/>
  <c r="R54" i="79"/>
  <c r="J57" i="79"/>
  <c r="J49" i="80"/>
  <c r="F20" i="83"/>
  <c r="F26" i="83"/>
  <c r="F24" i="83"/>
  <c r="F30" i="83"/>
  <c r="D22" i="83"/>
  <c r="F18" i="83"/>
  <c r="F17" i="83"/>
  <c r="F19" i="83"/>
  <c r="Z35" i="84"/>
  <c r="V93" i="85"/>
  <c r="R16" i="86"/>
  <c r="J45" i="76"/>
  <c r="J49" i="76"/>
  <c r="J55" i="76"/>
  <c r="J67" i="76"/>
  <c r="V40" i="77"/>
  <c r="V44" i="77"/>
  <c r="V48" i="77"/>
  <c r="V52" i="77"/>
  <c r="J60" i="77"/>
  <c r="J64" i="77"/>
  <c r="J68" i="77"/>
  <c r="V80" i="77"/>
  <c r="J86" i="77"/>
  <c r="J96" i="77"/>
  <c r="R24" i="79"/>
  <c r="R26" i="79"/>
  <c r="V28" i="79"/>
  <c r="V32" i="79"/>
  <c r="R37" i="79"/>
  <c r="J40" i="79"/>
  <c r="R41" i="79"/>
  <c r="J44" i="79"/>
  <c r="R45" i="79"/>
  <c r="J52" i="79"/>
  <c r="R53" i="79"/>
  <c r="Z54" i="79"/>
  <c r="J61" i="79"/>
  <c r="R62" i="79"/>
  <c r="J66" i="79"/>
  <c r="V67" i="79"/>
  <c r="P12" i="80"/>
  <c r="X49" i="80"/>
  <c r="Z49" i="80" s="1"/>
  <c r="F51" i="80"/>
  <c r="F69" i="80"/>
  <c r="L26" i="83"/>
  <c r="X24" i="84"/>
  <c r="Z24" i="84" s="1"/>
  <c r="N62" i="84"/>
  <c r="L66" i="84"/>
  <c r="N66" i="84" s="1"/>
  <c r="J91" i="84"/>
  <c r="V64" i="85"/>
  <c r="V20" i="80"/>
  <c r="V22" i="80"/>
  <c r="V24" i="80"/>
  <c r="J28" i="80"/>
  <c r="J32" i="80"/>
  <c r="J48" i="80"/>
  <c r="V52" i="80"/>
  <c r="J60" i="80"/>
  <c r="V68" i="80"/>
  <c r="J72" i="80"/>
  <c r="V76" i="80"/>
  <c r="V78" i="80"/>
  <c r="V80" i="80"/>
  <c r="V18" i="81"/>
  <c r="J22" i="81"/>
  <c r="J24" i="81"/>
  <c r="J26" i="81"/>
  <c r="J30" i="81"/>
  <c r="J34" i="81"/>
  <c r="V46" i="81"/>
  <c r="J52" i="81"/>
  <c r="V58" i="81"/>
  <c r="J62" i="81"/>
  <c r="V70" i="81"/>
  <c r="J74" i="81"/>
  <c r="V28" i="84"/>
  <c r="V32" i="84"/>
  <c r="J36" i="84"/>
  <c r="J40" i="84"/>
  <c r="J44" i="84"/>
  <c r="V48" i="84"/>
  <c r="V56" i="84"/>
  <c r="J62" i="84"/>
  <c r="V72" i="84"/>
  <c r="V84" i="84"/>
  <c r="J48" i="85"/>
  <c r="J52" i="85"/>
  <c r="X74" i="85"/>
  <c r="Z74" i="85" s="1"/>
  <c r="Z79" i="85"/>
  <c r="Z81" i="85"/>
  <c r="N85" i="85"/>
  <c r="N87" i="85"/>
  <c r="R20" i="88"/>
  <c r="L25" i="88"/>
  <c r="R31" i="88"/>
  <c r="N76" i="88"/>
  <c r="H77" i="94"/>
  <c r="V29" i="80"/>
  <c r="V33" i="80"/>
  <c r="J37" i="80"/>
  <c r="J41" i="80"/>
  <c r="J47" i="80"/>
  <c r="V53" i="80"/>
  <c r="J59" i="80"/>
  <c r="V61" i="80"/>
  <c r="V69" i="80"/>
  <c r="J25" i="81"/>
  <c r="J39" i="81"/>
  <c r="J43" i="81"/>
  <c r="J51" i="81"/>
  <c r="V55" i="81"/>
  <c r="J73" i="81"/>
  <c r="T80" i="81"/>
  <c r="V80" i="81" s="1"/>
  <c r="T22" i="83"/>
  <c r="H22" i="84"/>
  <c r="J35" i="84"/>
  <c r="V37" i="84"/>
  <c r="V41" i="84"/>
  <c r="V45" i="84"/>
  <c r="J53" i="84"/>
  <c r="J61" i="84"/>
  <c r="V65" i="84"/>
  <c r="J77" i="84"/>
  <c r="J81" i="84"/>
  <c r="J89" i="84"/>
  <c r="V95" i="84"/>
  <c r="J34" i="85"/>
  <c r="J37" i="85"/>
  <c r="X85" i="85"/>
  <c r="Z85" i="85" s="1"/>
  <c r="J87" i="85"/>
  <c r="J100" i="85"/>
  <c r="J112" i="85"/>
  <c r="X49" i="92"/>
  <c r="V34" i="80"/>
  <c r="V38" i="80"/>
  <c r="V42" i="80"/>
  <c r="J46" i="80"/>
  <c r="V50" i="80"/>
  <c r="J58" i="80"/>
  <c r="V62" i="80"/>
  <c r="J66" i="80"/>
  <c r="V74" i="80"/>
  <c r="J20" i="81"/>
  <c r="V40" i="81"/>
  <c r="V44" i="81"/>
  <c r="J50" i="81"/>
  <c r="V56" i="81"/>
  <c r="V64" i="81"/>
  <c r="J68" i="81"/>
  <c r="J72" i="81"/>
  <c r="V76" i="81"/>
  <c r="V78" i="81"/>
  <c r="V20" i="83"/>
  <c r="V22" i="83"/>
  <c r="V24" i="83"/>
  <c r="V26" i="83"/>
  <c r="J22" i="84"/>
  <c r="J24" i="84"/>
  <c r="J26" i="84"/>
  <c r="J30" i="84"/>
  <c r="J34" i="84"/>
  <c r="V46" i="84"/>
  <c r="J52" i="84"/>
  <c r="V54" i="84"/>
  <c r="J60" i="84"/>
  <c r="V66" i="84"/>
  <c r="J70" i="84"/>
  <c r="J76" i="84"/>
  <c r="V78" i="84"/>
  <c r="V82" i="84"/>
  <c r="J88" i="84"/>
  <c r="J40" i="85"/>
  <c r="J56" i="85"/>
  <c r="J69" i="85"/>
  <c r="J80" i="85"/>
  <c r="X26" i="86"/>
  <c r="N25" i="88"/>
  <c r="J25" i="88"/>
  <c r="X74" i="88"/>
  <c r="L25" i="89"/>
  <c r="Z49" i="92"/>
  <c r="J51" i="84"/>
  <c r="J59" i="84"/>
  <c r="J69" i="84"/>
  <c r="J75" i="84"/>
  <c r="J87" i="84"/>
  <c r="J43" i="85"/>
  <c r="J65" i="85"/>
  <c r="H95" i="88"/>
  <c r="Z35" i="88"/>
  <c r="N25" i="89"/>
  <c r="V72" i="80"/>
  <c r="J82" i="80"/>
  <c r="J38" i="81"/>
  <c r="J42" i="81"/>
  <c r="J48" i="81"/>
  <c r="V54" i="81"/>
  <c r="J60" i="81"/>
  <c r="V62" i="81"/>
  <c r="J66" i="81"/>
  <c r="V74" i="81"/>
  <c r="J20" i="84"/>
  <c r="V40" i="84"/>
  <c r="V44" i="84"/>
  <c r="J50" i="84"/>
  <c r="J58" i="84"/>
  <c r="V64" i="84"/>
  <c r="J68" i="84"/>
  <c r="J74" i="84"/>
  <c r="J80" i="84"/>
  <c r="J86" i="84"/>
  <c r="L13" i="85"/>
  <c r="N13" i="85" s="1"/>
  <c r="J46" i="85"/>
  <c r="N116" i="85"/>
  <c r="L121" i="85"/>
  <c r="J22" i="88"/>
  <c r="X46" i="88"/>
  <c r="V74" i="88"/>
  <c r="J25" i="89"/>
  <c r="N73" i="89"/>
  <c r="L48" i="81"/>
  <c r="X54" i="81"/>
  <c r="J59" i="81"/>
  <c r="L60" i="81"/>
  <c r="N60" i="81" s="1"/>
  <c r="J71" i="81"/>
  <c r="V75" i="81"/>
  <c r="J29" i="84"/>
  <c r="J33" i="84"/>
  <c r="J49" i="84"/>
  <c r="L50" i="84"/>
  <c r="N50" i="84" s="1"/>
  <c r="J57" i="84"/>
  <c r="L58" i="84"/>
  <c r="N58" i="84" s="1"/>
  <c r="V61" i="84"/>
  <c r="X64" i="84"/>
  <c r="J73" i="84"/>
  <c r="L74" i="84"/>
  <c r="N74" i="84" s="1"/>
  <c r="V77" i="84"/>
  <c r="V81" i="84"/>
  <c r="J85" i="84"/>
  <c r="L86" i="84"/>
  <c r="V89" i="84"/>
  <c r="V91" i="84"/>
  <c r="V93" i="84"/>
  <c r="J33" i="85"/>
  <c r="J36" i="85"/>
  <c r="J51" i="85"/>
  <c r="J60" i="85"/>
  <c r="J91" i="85"/>
  <c r="Z102" i="85"/>
  <c r="X114" i="85"/>
  <c r="J116" i="85"/>
  <c r="R17" i="86"/>
  <c r="R23" i="86"/>
  <c r="R18" i="86"/>
  <c r="R22" i="86"/>
  <c r="R20" i="86"/>
  <c r="R26" i="86"/>
  <c r="R30" i="86"/>
  <c r="X12" i="86"/>
  <c r="R88" i="88"/>
  <c r="R87" i="88"/>
  <c r="R71" i="88"/>
  <c r="R90" i="88"/>
  <c r="R89" i="88"/>
  <c r="R65" i="88"/>
  <c r="R86" i="88"/>
  <c r="R85" i="88"/>
  <c r="R81" i="88"/>
  <c r="R77" i="88"/>
  <c r="R70" i="88"/>
  <c r="R69" i="88"/>
  <c r="R62" i="88"/>
  <c r="R61" i="88"/>
  <c r="R74" i="88"/>
  <c r="R46" i="88"/>
  <c r="R45" i="88"/>
  <c r="R41" i="88"/>
  <c r="R37" i="88"/>
  <c r="R83" i="88"/>
  <c r="R67" i="88"/>
  <c r="R63" i="88"/>
  <c r="R32" i="88"/>
  <c r="R28" i="88"/>
  <c r="R78" i="88"/>
  <c r="R64" i="88"/>
  <c r="R56" i="88"/>
  <c r="R55" i="88"/>
  <c r="R48" i="88"/>
  <c r="R47" i="88"/>
  <c r="R19" i="88"/>
  <c r="R68" i="88"/>
  <c r="R42" i="88"/>
  <c r="R38" i="88"/>
  <c r="X12" i="88"/>
  <c r="Z12" i="88" s="1"/>
  <c r="R75" i="88"/>
  <c r="R72" i="88"/>
  <c r="R58" i="88"/>
  <c r="R57" i="88"/>
  <c r="R50" i="88"/>
  <c r="R49" i="88"/>
  <c r="R33" i="88"/>
  <c r="R29" i="88"/>
  <c r="R25" i="88"/>
  <c r="R97" i="88"/>
  <c r="R91" i="88"/>
  <c r="R84" i="88"/>
  <c r="R60" i="88"/>
  <c r="R59" i="88"/>
  <c r="R52" i="88"/>
  <c r="R51" i="88"/>
  <c r="R43" i="88"/>
  <c r="R39" i="88"/>
  <c r="R24" i="88"/>
  <c r="R22" i="88"/>
  <c r="R79" i="88"/>
  <c r="R76" i="88"/>
  <c r="R35" i="88"/>
  <c r="R34" i="88"/>
  <c r="R30" i="88"/>
  <c r="R26" i="88"/>
  <c r="P22" i="88"/>
  <c r="R93" i="88"/>
  <c r="R82" i="88"/>
  <c r="R53" i="88"/>
  <c r="R66" i="88"/>
  <c r="R44" i="88"/>
  <c r="R40" i="88"/>
  <c r="R36" i="88"/>
  <c r="R17" i="88"/>
  <c r="Z46" i="88"/>
  <c r="V18" i="80"/>
  <c r="J22" i="80"/>
  <c r="J24" i="80"/>
  <c r="J26" i="80"/>
  <c r="J30" i="80"/>
  <c r="V46" i="80"/>
  <c r="J54" i="80"/>
  <c r="V58" i="80"/>
  <c r="V66" i="80"/>
  <c r="J70" i="80"/>
  <c r="J78" i="80"/>
  <c r="V20" i="81"/>
  <c r="V22" i="81"/>
  <c r="V24" i="81"/>
  <c r="J28" i="81"/>
  <c r="J32" i="81"/>
  <c r="J46" i="81"/>
  <c r="V52" i="81"/>
  <c r="J58" i="81"/>
  <c r="V68" i="81"/>
  <c r="V72" i="81"/>
  <c r="J82" i="81"/>
  <c r="V34" i="84"/>
  <c r="J38" i="84"/>
  <c r="J42" i="84"/>
  <c r="J48" i="84"/>
  <c r="J56" i="84"/>
  <c r="V62" i="84"/>
  <c r="V70" i="84"/>
  <c r="J84" i="84"/>
  <c r="J39" i="85"/>
  <c r="L51" i="85"/>
  <c r="N51" i="85" s="1"/>
  <c r="J86" i="85"/>
  <c r="X91" i="85"/>
  <c r="J109" i="85"/>
  <c r="L111" i="85"/>
  <c r="V23" i="86"/>
  <c r="V22" i="86"/>
  <c r="V20" i="86"/>
  <c r="V18" i="86"/>
  <c r="T20" i="86"/>
  <c r="V26" i="86"/>
  <c r="V24" i="86"/>
  <c r="V30" i="86"/>
  <c r="V16" i="86"/>
  <c r="Z12" i="86"/>
  <c r="L24" i="88"/>
  <c r="V46" i="88"/>
  <c r="L52" i="88"/>
  <c r="N60" i="88"/>
  <c r="X62" i="88"/>
  <c r="J125" i="85"/>
  <c r="J107" i="85"/>
  <c r="J93" i="85"/>
  <c r="J81" i="85"/>
  <c r="J71" i="85"/>
  <c r="J67" i="85"/>
  <c r="J63" i="85"/>
  <c r="J94" i="85"/>
  <c r="J82" i="85"/>
  <c r="J72" i="85"/>
  <c r="J58" i="85"/>
  <c r="J54" i="85"/>
  <c r="J113" i="85"/>
  <c r="J101" i="85"/>
  <c r="J95" i="85"/>
  <c r="J83" i="85"/>
  <c r="J73" i="85"/>
  <c r="J114" i="85"/>
  <c r="J108" i="85"/>
  <c r="J102" i="85"/>
  <c r="J96" i="85"/>
  <c r="J84" i="85"/>
  <c r="J74" i="85"/>
  <c r="J68" i="85"/>
  <c r="J64" i="85"/>
  <c r="J115" i="85"/>
  <c r="J103" i="85"/>
  <c r="J85" i="85"/>
  <c r="J75" i="85"/>
  <c r="J59" i="85"/>
  <c r="J55" i="85"/>
  <c r="J118" i="85"/>
  <c r="J104" i="85"/>
  <c r="J98" i="85"/>
  <c r="J88" i="85"/>
  <c r="J76" i="85"/>
  <c r="J119" i="85"/>
  <c r="J105" i="85"/>
  <c r="J99" i="85"/>
  <c r="J89" i="85"/>
  <c r="J77" i="85"/>
  <c r="J61" i="85"/>
  <c r="J110" i="85"/>
  <c r="J106" i="85"/>
  <c r="J90" i="85"/>
  <c r="J78" i="85"/>
  <c r="J70" i="85"/>
  <c r="J66" i="85"/>
  <c r="J62" i="85"/>
  <c r="J42" i="85"/>
  <c r="J45" i="85"/>
  <c r="J53" i="85"/>
  <c r="J97" i="85"/>
  <c r="N111" i="85"/>
  <c r="N24" i="88"/>
  <c r="N52" i="88"/>
  <c r="R54" i="88"/>
  <c r="Z62" i="88"/>
  <c r="R73" i="88"/>
  <c r="J20" i="80"/>
  <c r="J34" i="80"/>
  <c r="V36" i="80"/>
  <c r="V40" i="80"/>
  <c r="V44" i="80"/>
  <c r="J52" i="80"/>
  <c r="V56" i="80"/>
  <c r="J62" i="80"/>
  <c r="V64" i="80"/>
  <c r="J68" i="80"/>
  <c r="J76" i="80"/>
  <c r="V82" i="80"/>
  <c r="V84" i="80"/>
  <c r="V87" i="80"/>
  <c r="J18" i="81"/>
  <c r="V38" i="81"/>
  <c r="V42" i="81"/>
  <c r="V50" i="81"/>
  <c r="J56" i="81"/>
  <c r="V66" i="81"/>
  <c r="J70" i="81"/>
  <c r="J78" i="81"/>
  <c r="V20" i="84"/>
  <c r="V22" i="84"/>
  <c r="V24" i="84"/>
  <c r="J28" i="84"/>
  <c r="J32" i="84"/>
  <c r="J46" i="84"/>
  <c r="V52" i="84"/>
  <c r="V60" i="84"/>
  <c r="J66" i="84"/>
  <c r="V68" i="84"/>
  <c r="J72" i="84"/>
  <c r="V76" i="84"/>
  <c r="V80" i="84"/>
  <c r="V88" i="84"/>
  <c r="J50" i="85"/>
  <c r="N79" i="85"/>
  <c r="Z91" i="85"/>
  <c r="J111" i="85"/>
  <c r="D12" i="86"/>
  <c r="R24" i="86"/>
  <c r="D12" i="88"/>
  <c r="J24" i="88"/>
  <c r="J52" i="88"/>
  <c r="J51" i="89"/>
  <c r="Z59" i="89"/>
  <c r="J29" i="80"/>
  <c r="J33" i="80"/>
  <c r="V45" i="80"/>
  <c r="J51" i="80"/>
  <c r="V57" i="80"/>
  <c r="J61" i="80"/>
  <c r="J17" i="81"/>
  <c r="V19" i="81"/>
  <c r="J27" i="81"/>
  <c r="J31" i="81"/>
  <c r="V47" i="81"/>
  <c r="V59" i="81"/>
  <c r="V67" i="81"/>
  <c r="V25" i="84"/>
  <c r="V29" i="84"/>
  <c r="V33" i="84"/>
  <c r="J37" i="84"/>
  <c r="J41" i="84"/>
  <c r="J45" i="84"/>
  <c r="V49" i="84"/>
  <c r="V57" i="84"/>
  <c r="J65" i="84"/>
  <c r="V69" i="84"/>
  <c r="V73" i="84"/>
  <c r="J32" i="85"/>
  <c r="J35" i="85"/>
  <c r="J57" i="85"/>
  <c r="Z77" i="85"/>
  <c r="J79" i="85"/>
  <c r="Z93" i="85"/>
  <c r="X111" i="85"/>
  <c r="Z111" i="85" s="1"/>
  <c r="L13" i="86"/>
  <c r="N13" i="86" s="1"/>
  <c r="Z60" i="88"/>
  <c r="J88" i="88"/>
  <c r="F96" i="92"/>
  <c r="F83" i="92"/>
  <c r="F61" i="92"/>
  <c r="F37" i="92"/>
  <c r="F33" i="92"/>
  <c r="F90" i="92"/>
  <c r="F76" i="92"/>
  <c r="F72" i="92"/>
  <c r="F52" i="92"/>
  <c r="F51" i="92"/>
  <c r="F44" i="92"/>
  <c r="F43" i="92"/>
  <c r="F28" i="92"/>
  <c r="F24" i="92"/>
  <c r="F20" i="92"/>
  <c r="F19" i="92"/>
  <c r="F99" i="92"/>
  <c r="F67" i="92"/>
  <c r="F18" i="92"/>
  <c r="F16" i="92"/>
  <c r="F14" i="92"/>
  <c r="F84" i="92"/>
  <c r="F78" i="92"/>
  <c r="F77" i="92"/>
  <c r="F62" i="92"/>
  <c r="F54" i="92"/>
  <c r="F53" i="92"/>
  <c r="F38" i="92"/>
  <c r="F34" i="92"/>
  <c r="D16" i="92"/>
  <c r="F73" i="92"/>
  <c r="F92" i="92"/>
  <c r="F85" i="92"/>
  <c r="F80" i="92"/>
  <c r="F79" i="92"/>
  <c r="F68" i="92"/>
  <c r="F64" i="92"/>
  <c r="F63" i="92"/>
  <c r="F56" i="92"/>
  <c r="F55" i="92"/>
  <c r="F86" i="92"/>
  <c r="F39" i="92"/>
  <c r="F35" i="92"/>
  <c r="F31" i="92"/>
  <c r="F30" i="92"/>
  <c r="F74" i="92"/>
  <c r="F70" i="92"/>
  <c r="F69" i="92"/>
  <c r="F58" i="92"/>
  <c r="F57" i="92"/>
  <c r="F46" i="92"/>
  <c r="F26" i="92"/>
  <c r="F22" i="92"/>
  <c r="F89" i="92"/>
  <c r="F88" i="92"/>
  <c r="F75" i="92"/>
  <c r="F71" i="92"/>
  <c r="F27" i="92"/>
  <c r="F23" i="92"/>
  <c r="F48" i="92"/>
  <c r="F81" i="92"/>
  <c r="F65" i="92"/>
  <c r="F49" i="92"/>
  <c r="F21" i="92"/>
  <c r="F42" i="92"/>
  <c r="F59" i="92"/>
  <c r="F25" i="92"/>
  <c r="F29" i="92"/>
  <c r="F94" i="92"/>
  <c r="F66" i="92"/>
  <c r="F47" i="92"/>
  <c r="F82" i="92"/>
  <c r="F50" i="92"/>
  <c r="F45" i="92"/>
  <c r="F40" i="92"/>
  <c r="F36" i="92"/>
  <c r="L12" i="92"/>
  <c r="Z16" i="92"/>
  <c r="T92" i="92"/>
  <c r="F60" i="92"/>
  <c r="N75" i="93"/>
  <c r="L75" i="93"/>
  <c r="H20" i="86"/>
  <c r="V27" i="88"/>
  <c r="V31" i="88"/>
  <c r="J39" i="88"/>
  <c r="J43" i="88"/>
  <c r="J51" i="88"/>
  <c r="J59" i="88"/>
  <c r="V62" i="88"/>
  <c r="J69" i="88"/>
  <c r="V73" i="88"/>
  <c r="J91" i="88"/>
  <c r="X93" i="88"/>
  <c r="V99" i="88"/>
  <c r="R18" i="89"/>
  <c r="F20" i="89"/>
  <c r="V41" i="89"/>
  <c r="X57" i="89"/>
  <c r="F62" i="89"/>
  <c r="V63" i="89"/>
  <c r="F69" i="89"/>
  <c r="R72" i="89"/>
  <c r="Z51" i="92"/>
  <c r="N55" i="92"/>
  <c r="L78" i="95"/>
  <c r="N78" i="95" s="1"/>
  <c r="J20" i="86"/>
  <c r="J22" i="86"/>
  <c r="J24" i="86"/>
  <c r="J76" i="88"/>
  <c r="J86" i="88"/>
  <c r="J70" i="88"/>
  <c r="J62" i="88"/>
  <c r="J87" i="88"/>
  <c r="J84" i="88"/>
  <c r="J80" i="88"/>
  <c r="J74" i="88"/>
  <c r="J20" i="88"/>
  <c r="V36" i="88"/>
  <c r="V40" i="88"/>
  <c r="V44" i="88"/>
  <c r="J50" i="88"/>
  <c r="J58" i="88"/>
  <c r="V61" i="88"/>
  <c r="J65" i="88"/>
  <c r="V66" i="88"/>
  <c r="V70" i="88"/>
  <c r="J75" i="89"/>
  <c r="J57" i="89"/>
  <c r="J19" i="89"/>
  <c r="J76" i="89"/>
  <c r="J70" i="89"/>
  <c r="J58" i="89"/>
  <c r="J46" i="89"/>
  <c r="J42" i="89"/>
  <c r="J77" i="89"/>
  <c r="J65" i="89"/>
  <c r="J59" i="89"/>
  <c r="J47" i="89"/>
  <c r="J33" i="89"/>
  <c r="J29" i="89"/>
  <c r="J78" i="89"/>
  <c r="J66" i="89"/>
  <c r="J60" i="89"/>
  <c r="J48" i="89"/>
  <c r="J20" i="89"/>
  <c r="J50" i="89"/>
  <c r="J34" i="89"/>
  <c r="J30" i="89"/>
  <c r="J81" i="89"/>
  <c r="J69" i="89"/>
  <c r="J55" i="89"/>
  <c r="J45" i="89"/>
  <c r="J41" i="89"/>
  <c r="J37" i="89"/>
  <c r="Z18" i="89"/>
  <c r="D23" i="89"/>
  <c r="V31" i="89"/>
  <c r="R33" i="89"/>
  <c r="F40" i="89"/>
  <c r="R54" i="89"/>
  <c r="J56" i="89"/>
  <c r="R57" i="89"/>
  <c r="F59" i="89"/>
  <c r="V60" i="89"/>
  <c r="N62" i="89"/>
  <c r="R77" i="89"/>
  <c r="V30" i="93"/>
  <c r="V36" i="93"/>
  <c r="R50" i="93"/>
  <c r="R60" i="93"/>
  <c r="X36" i="94"/>
  <c r="V53" i="88"/>
  <c r="J57" i="88"/>
  <c r="N68" i="88"/>
  <c r="J72" i="88"/>
  <c r="J75" i="88"/>
  <c r="V18" i="89"/>
  <c r="F47" i="89"/>
  <c r="Z51" i="89"/>
  <c r="J53" i="89"/>
  <c r="J62" i="89"/>
  <c r="J71" i="89"/>
  <c r="J74" i="89"/>
  <c r="J79" i="89"/>
  <c r="X41" i="92"/>
  <c r="R20" i="93"/>
  <c r="V68" i="93"/>
  <c r="V77" i="93"/>
  <c r="Z36" i="94"/>
  <c r="V81" i="89"/>
  <c r="V79" i="89"/>
  <c r="V71" i="89"/>
  <c r="V67" i="89"/>
  <c r="V51" i="89"/>
  <c r="V43" i="89"/>
  <c r="V39" i="89"/>
  <c r="V62" i="89"/>
  <c r="V50" i="89"/>
  <c r="V73" i="89"/>
  <c r="V61" i="89"/>
  <c r="V53" i="89"/>
  <c r="V25" i="89"/>
  <c r="V21" i="89"/>
  <c r="V72" i="89"/>
  <c r="V68" i="89"/>
  <c r="V52" i="89"/>
  <c r="V44" i="89"/>
  <c r="V40" i="89"/>
  <c r="V36" i="89"/>
  <c r="T23" i="89"/>
  <c r="V23" i="89" s="1"/>
  <c r="V74" i="89"/>
  <c r="V54" i="89"/>
  <c r="V77" i="89"/>
  <c r="V65" i="89"/>
  <c r="V49" i="89"/>
  <c r="V33" i="89"/>
  <c r="V29" i="89"/>
  <c r="R60" i="89"/>
  <c r="R49" i="89"/>
  <c r="R48" i="89"/>
  <c r="R20" i="89"/>
  <c r="R79" i="89"/>
  <c r="R71" i="89"/>
  <c r="R67" i="89"/>
  <c r="R43" i="89"/>
  <c r="R39" i="89"/>
  <c r="R81" i="89"/>
  <c r="R51" i="89"/>
  <c r="R50" i="89"/>
  <c r="R34" i="89"/>
  <c r="R30" i="89"/>
  <c r="R62" i="89"/>
  <c r="R61" i="89"/>
  <c r="R26" i="89"/>
  <c r="R21" i="89"/>
  <c r="R85" i="89"/>
  <c r="R63" i="89"/>
  <c r="R36" i="89"/>
  <c r="R35" i="89"/>
  <c r="R31" i="89"/>
  <c r="R70" i="89"/>
  <c r="R59" i="89"/>
  <c r="R58" i="89"/>
  <c r="R47" i="89"/>
  <c r="R46" i="89"/>
  <c r="R42" i="89"/>
  <c r="R38" i="89"/>
  <c r="V20" i="89"/>
  <c r="R25" i="89"/>
  <c r="V26" i="89"/>
  <c r="V35" i="89"/>
  <c r="V38" i="89"/>
  <c r="V45" i="89"/>
  <c r="V57" i="89"/>
  <c r="L66" i="89"/>
  <c r="N66" i="89" s="1"/>
  <c r="R69" i="89"/>
  <c r="H83" i="89"/>
  <c r="X16" i="92"/>
  <c r="Z41" i="92"/>
  <c r="N47" i="92"/>
  <c r="L47" i="92"/>
  <c r="X53" i="92"/>
  <c r="Z53" i="92" s="1"/>
  <c r="V20" i="93"/>
  <c r="V39" i="93"/>
  <c r="V41" i="93"/>
  <c r="N66" i="95"/>
  <c r="Z25" i="89"/>
  <c r="R40" i="89"/>
  <c r="R56" i="89"/>
  <c r="V69" i="89"/>
  <c r="V75" i="93"/>
  <c r="V63" i="93"/>
  <c r="V55" i="93"/>
  <c r="V31" i="93"/>
  <c r="V27" i="93"/>
  <c r="V76" i="93"/>
  <c r="V56" i="93"/>
  <c r="V48" i="93"/>
  <c r="V32" i="93"/>
  <c r="V28" i="93"/>
  <c r="Z12" i="93"/>
  <c r="V73" i="93"/>
  <c r="V69" i="93"/>
  <c r="V61" i="93"/>
  <c r="V53" i="93"/>
  <c r="V71" i="93"/>
  <c r="V58" i="93"/>
  <c r="V42" i="93"/>
  <c r="T22" i="93"/>
  <c r="V18" i="93"/>
  <c r="V78" i="93"/>
  <c r="V62" i="93"/>
  <c r="V46" i="93"/>
  <c r="V45" i="93"/>
  <c r="V37" i="93"/>
  <c r="V24" i="93"/>
  <c r="V84" i="93"/>
  <c r="V74" i="93"/>
  <c r="V59" i="93"/>
  <c r="V54" i="93"/>
  <c r="V25" i="93"/>
  <c r="V80" i="93"/>
  <c r="V51" i="93"/>
  <c r="V34" i="93"/>
  <c r="V72" i="93"/>
  <c r="V66" i="93"/>
  <c r="V52" i="93"/>
  <c r="V43" i="93"/>
  <c r="V40" i="93"/>
  <c r="V35" i="93"/>
  <c r="V19" i="93"/>
  <c r="V47" i="93"/>
  <c r="V64" i="93"/>
  <c r="V38" i="93"/>
  <c r="V26" i="93"/>
  <c r="V60" i="93"/>
  <c r="V57" i="93"/>
  <c r="V29" i="93"/>
  <c r="V67" i="93"/>
  <c r="N55" i="93"/>
  <c r="L55" i="93"/>
  <c r="J55" i="93"/>
  <c r="V90" i="88"/>
  <c r="V82" i="88"/>
  <c r="V78" i="88"/>
  <c r="V72" i="88"/>
  <c r="V95" i="88"/>
  <c r="V93" i="88"/>
  <c r="V91" i="88"/>
  <c r="V83" i="88"/>
  <c r="V88" i="88"/>
  <c r="V64" i="88"/>
  <c r="V20" i="88"/>
  <c r="V22" i="88"/>
  <c r="V24" i="88"/>
  <c r="J28" i="88"/>
  <c r="J32" i="88"/>
  <c r="X35" i="88"/>
  <c r="J46" i="88"/>
  <c r="V52" i="88"/>
  <c r="V60" i="88"/>
  <c r="J63" i="88"/>
  <c r="L64" i="88"/>
  <c r="N64" i="88" s="1"/>
  <c r="J67" i="88"/>
  <c r="X76" i="88"/>
  <c r="Z76" i="88" s="1"/>
  <c r="J83" i="88"/>
  <c r="N86" i="88"/>
  <c r="L90" i="88"/>
  <c r="N90" i="88" s="1"/>
  <c r="J95" i="88"/>
  <c r="Z12" i="89"/>
  <c r="R28" i="89"/>
  <c r="V30" i="89"/>
  <c r="F34" i="89"/>
  <c r="F52" i="89"/>
  <c r="V56" i="89"/>
  <c r="F61" i="89"/>
  <c r="J68" i="89"/>
  <c r="R74" i="89"/>
  <c r="L59" i="92"/>
  <c r="N59" i="92" s="1"/>
  <c r="R44" i="93"/>
  <c r="R40" i="93"/>
  <c r="R36" i="93"/>
  <c r="R65" i="93"/>
  <c r="R46" i="93"/>
  <c r="R45" i="93"/>
  <c r="R41" i="93"/>
  <c r="R37" i="93"/>
  <c r="R18" i="93"/>
  <c r="R77" i="93"/>
  <c r="R84" i="93"/>
  <c r="R35" i="93"/>
  <c r="R34" i="93"/>
  <c r="R30" i="93"/>
  <c r="R26" i="93"/>
  <c r="P22" i="93"/>
  <c r="R39" i="93"/>
  <c r="R33" i="93"/>
  <c r="R71" i="93"/>
  <c r="R68" i="93"/>
  <c r="R61" i="93"/>
  <c r="R58" i="93"/>
  <c r="R42" i="93"/>
  <c r="R22" i="93"/>
  <c r="R78" i="93"/>
  <c r="R75" i="93"/>
  <c r="R74" i="93"/>
  <c r="R62" i="93"/>
  <c r="R55" i="93"/>
  <c r="R54" i="93"/>
  <c r="R31" i="93"/>
  <c r="R28" i="93"/>
  <c r="R24" i="93"/>
  <c r="R59" i="93"/>
  <c r="R51" i="93"/>
  <c r="R25" i="93"/>
  <c r="R80" i="93"/>
  <c r="R72" i="93"/>
  <c r="R69" i="93"/>
  <c r="R66" i="93"/>
  <c r="R63" i="93"/>
  <c r="R43" i="93"/>
  <c r="R19" i="93"/>
  <c r="R52" i="93"/>
  <c r="R48" i="93"/>
  <c r="R47" i="93"/>
  <c r="R76" i="93"/>
  <c r="R56" i="93"/>
  <c r="R38" i="93"/>
  <c r="R32" i="93"/>
  <c r="R73" i="93"/>
  <c r="R70" i="93"/>
  <c r="R53" i="93"/>
  <c r="R49" i="93"/>
  <c r="R27" i="93"/>
  <c r="X12" i="93"/>
  <c r="R67" i="93"/>
  <c r="J17" i="86"/>
  <c r="V25" i="88"/>
  <c r="V29" i="88"/>
  <c r="V33" i="88"/>
  <c r="J37" i="88"/>
  <c r="J41" i="88"/>
  <c r="J45" i="88"/>
  <c r="V49" i="88"/>
  <c r="V57" i="88"/>
  <c r="J71" i="88"/>
  <c r="V75" i="88"/>
  <c r="V81" i="88"/>
  <c r="J89" i="88"/>
  <c r="P23" i="89"/>
  <c r="F27" i="89"/>
  <c r="V28" i="89"/>
  <c r="V42" i="89"/>
  <c r="J52" i="89"/>
  <c r="R53" i="89"/>
  <c r="L55" i="89"/>
  <c r="V59" i="89"/>
  <c r="J61" i="89"/>
  <c r="R64" i="89"/>
  <c r="R66" i="89"/>
  <c r="J73" i="89"/>
  <c r="R76" i="89"/>
  <c r="L81" i="89"/>
  <c r="H92" i="92"/>
  <c r="N16" i="92"/>
  <c r="D12" i="93"/>
  <c r="L13" i="93"/>
  <c r="N13" i="93" s="1"/>
  <c r="N59" i="93"/>
  <c r="Z50" i="96"/>
  <c r="J16" i="86"/>
  <c r="V38" i="88"/>
  <c r="V42" i="88"/>
  <c r="V50" i="88"/>
  <c r="J54" i="88"/>
  <c r="V58" i="88"/>
  <c r="F64" i="89"/>
  <c r="F56" i="89"/>
  <c r="F55" i="89"/>
  <c r="F32" i="89"/>
  <c r="F28" i="89"/>
  <c r="L12" i="89"/>
  <c r="N12" i="89" s="1"/>
  <c r="F75" i="89"/>
  <c r="F70" i="89"/>
  <c r="F58" i="89"/>
  <c r="F57" i="89"/>
  <c r="F46" i="89"/>
  <c r="F42" i="89"/>
  <c r="F38" i="89"/>
  <c r="F77" i="89"/>
  <c r="F76" i="89"/>
  <c r="F65" i="89"/>
  <c r="F33" i="89"/>
  <c r="F29" i="89"/>
  <c r="F79" i="89"/>
  <c r="F78" i="89"/>
  <c r="F71" i="89"/>
  <c r="F67" i="89"/>
  <c r="F66" i="89"/>
  <c r="F43" i="89"/>
  <c r="F39" i="89"/>
  <c r="F74" i="89"/>
  <c r="F73" i="89"/>
  <c r="F54" i="89"/>
  <c r="F53" i="89"/>
  <c r="F25" i="89"/>
  <c r="F18" i="89"/>
  <c r="R19" i="89"/>
  <c r="F21" i="89"/>
  <c r="R23" i="89"/>
  <c r="R32" i="89"/>
  <c r="V34" i="89"/>
  <c r="F36" i="89"/>
  <c r="R37" i="89"/>
  <c r="R44" i="89"/>
  <c r="V47" i="89"/>
  <c r="F49" i="89"/>
  <c r="V64" i="89"/>
  <c r="F81" i="89"/>
  <c r="J85" i="89"/>
  <c r="V22" i="93"/>
  <c r="R29" i="93"/>
  <c r="V33" i="93"/>
  <c r="V49" i="93"/>
  <c r="J27" i="88"/>
  <c r="J31" i="88"/>
  <c r="V47" i="88"/>
  <c r="V55" i="88"/>
  <c r="V68" i="88"/>
  <c r="J73" i="88"/>
  <c r="J77" i="88"/>
  <c r="J85" i="88"/>
  <c r="L88" i="88"/>
  <c r="Z90" i="88"/>
  <c r="L13" i="89"/>
  <c r="N13" i="89" s="1"/>
  <c r="V19" i="89"/>
  <c r="F26" i="89"/>
  <c r="V32" i="89"/>
  <c r="V37" i="89"/>
  <c r="F41" i="89"/>
  <c r="L51" i="89"/>
  <c r="N51" i="89" s="1"/>
  <c r="R52" i="89"/>
  <c r="V58" i="89"/>
  <c r="F63" i="89"/>
  <c r="V66" i="89"/>
  <c r="R68" i="89"/>
  <c r="F72" i="89"/>
  <c r="V76" i="89"/>
  <c r="R78" i="89"/>
  <c r="Z19" i="92"/>
  <c r="N69" i="92"/>
  <c r="V65" i="93"/>
  <c r="V28" i="88"/>
  <c r="V32" i="88"/>
  <c r="J36" i="88"/>
  <c r="J40" i="88"/>
  <c r="J44" i="88"/>
  <c r="V48" i="88"/>
  <c r="V56" i="88"/>
  <c r="V63" i="88"/>
  <c r="J66" i="88"/>
  <c r="V67" i="88"/>
  <c r="N70" i="88"/>
  <c r="V71" i="88"/>
  <c r="V86" i="88"/>
  <c r="V89" i="88"/>
  <c r="J93" i="88"/>
  <c r="F31" i="89"/>
  <c r="V46" i="89"/>
  <c r="J49" i="89"/>
  <c r="F51" i="89"/>
  <c r="R55" i="89"/>
  <c r="J63" i="89"/>
  <c r="J72" i="89"/>
  <c r="R75" i="89"/>
  <c r="X76" i="89"/>
  <c r="Z76" i="89" s="1"/>
  <c r="V85" i="89"/>
  <c r="X77" i="92"/>
  <c r="Z77" i="92" s="1"/>
  <c r="N88" i="92"/>
  <c r="Z25" i="93"/>
  <c r="Z35" i="93"/>
  <c r="V44" i="93"/>
  <c r="R57" i="93"/>
  <c r="V70" i="93"/>
  <c r="J89" i="92"/>
  <c r="J88" i="92"/>
  <c r="J80" i="92"/>
  <c r="N14" i="92"/>
  <c r="V30" i="92"/>
  <c r="V34" i="92"/>
  <c r="V38" i="92"/>
  <c r="J42" i="92"/>
  <c r="J50" i="92"/>
  <c r="V54" i="92"/>
  <c r="V62" i="92"/>
  <c r="J66" i="92"/>
  <c r="R67" i="92"/>
  <c r="V78" i="92"/>
  <c r="V84" i="92"/>
  <c r="V85" i="92"/>
  <c r="V92" i="92"/>
  <c r="J32" i="93"/>
  <c r="J38" i="93"/>
  <c r="J48" i="93"/>
  <c r="Z50" i="93"/>
  <c r="J56" i="93"/>
  <c r="J76" i="93"/>
  <c r="P12" i="94"/>
  <c r="V18" i="94"/>
  <c r="F26" i="94"/>
  <c r="N51" i="94"/>
  <c r="J51" i="94"/>
  <c r="V70" i="94"/>
  <c r="L75" i="94"/>
  <c r="D74" i="94"/>
  <c r="L74" i="94" s="1"/>
  <c r="R42" i="95"/>
  <c r="R74" i="95"/>
  <c r="N24" i="96"/>
  <c r="L55" i="96"/>
  <c r="N55" i="96" s="1"/>
  <c r="R19" i="92"/>
  <c r="V33" i="92"/>
  <c r="V37" i="92"/>
  <c r="R42" i="92"/>
  <c r="R43" i="92"/>
  <c r="R50" i="92"/>
  <c r="R51" i="92"/>
  <c r="V53" i="92"/>
  <c r="V61" i="92"/>
  <c r="R66" i="92"/>
  <c r="V77" i="92"/>
  <c r="J94" i="92"/>
  <c r="R96" i="92"/>
  <c r="N25" i="93"/>
  <c r="J69" i="93"/>
  <c r="J75" i="93"/>
  <c r="T23" i="94"/>
  <c r="F61" i="94"/>
  <c r="V64" i="94"/>
  <c r="N36" i="95"/>
  <c r="J36" i="95"/>
  <c r="N64" i="95"/>
  <c r="J55" i="96"/>
  <c r="Z57" i="96"/>
  <c r="N14" i="99"/>
  <c r="H16" i="99"/>
  <c r="L14" i="99"/>
  <c r="V99" i="92"/>
  <c r="V96" i="92"/>
  <c r="V94" i="92"/>
  <c r="V89" i="92"/>
  <c r="V14" i="92"/>
  <c r="V16" i="92"/>
  <c r="V18" i="92"/>
  <c r="R23" i="92"/>
  <c r="R27" i="92"/>
  <c r="V42" i="92"/>
  <c r="V50" i="92"/>
  <c r="V66" i="92"/>
  <c r="R71" i="92"/>
  <c r="R75" i="92"/>
  <c r="J81" i="92"/>
  <c r="P88" i="92"/>
  <c r="X88" i="92" s="1"/>
  <c r="Z88" i="92" s="1"/>
  <c r="R89" i="92"/>
  <c r="J24" i="93"/>
  <c r="L68" i="93"/>
  <c r="N68" i="93" s="1"/>
  <c r="X80" i="93"/>
  <c r="L12" i="94"/>
  <c r="N12" i="94" s="1"/>
  <c r="F21" i="94"/>
  <c r="V28" i="94"/>
  <c r="Z47" i="94"/>
  <c r="Z49" i="94"/>
  <c r="X12" i="92"/>
  <c r="V19" i="92"/>
  <c r="V23" i="92"/>
  <c r="V27" i="92"/>
  <c r="R32" i="92"/>
  <c r="R36" i="92"/>
  <c r="R40" i="92"/>
  <c r="R41" i="92"/>
  <c r="V43" i="92"/>
  <c r="R48" i="92"/>
  <c r="R49" i="92"/>
  <c r="V51" i="92"/>
  <c r="R60" i="92"/>
  <c r="V71" i="92"/>
  <c r="V75" i="92"/>
  <c r="R82" i="92"/>
  <c r="R88" i="92"/>
  <c r="J18" i="93"/>
  <c r="J78" i="93"/>
  <c r="N25" i="94"/>
  <c r="F31" i="94"/>
  <c r="F67" i="94"/>
  <c r="F74" i="94"/>
  <c r="H23" i="95"/>
  <c r="N18" i="95"/>
  <c r="T89" i="95"/>
  <c r="X70" i="95"/>
  <c r="Z70" i="95" s="1"/>
  <c r="V85" i="95"/>
  <c r="R94" i="92"/>
  <c r="V65" i="94"/>
  <c r="V49" i="94"/>
  <c r="V33" i="94"/>
  <c r="V29" i="94"/>
  <c r="V74" i="94"/>
  <c r="V72" i="94"/>
  <c r="V60" i="94"/>
  <c r="V48" i="94"/>
  <c r="V20" i="94"/>
  <c r="V75" i="94"/>
  <c r="V59" i="94"/>
  <c r="V51" i="94"/>
  <c r="V43" i="94"/>
  <c r="V39" i="94"/>
  <c r="V66" i="94"/>
  <c r="V62" i="94"/>
  <c r="V50" i="94"/>
  <c r="V34" i="94"/>
  <c r="V30" i="94"/>
  <c r="V26" i="94"/>
  <c r="V61" i="94"/>
  <c r="V53" i="94"/>
  <c r="V25" i="94"/>
  <c r="V23" i="94"/>
  <c r="V21" i="94"/>
  <c r="V68" i="94"/>
  <c r="V52" i="94"/>
  <c r="V44" i="94"/>
  <c r="V40" i="94"/>
  <c r="V36" i="94"/>
  <c r="V79" i="94"/>
  <c r="V67" i="94"/>
  <c r="V63" i="94"/>
  <c r="V55" i="94"/>
  <c r="V54" i="94"/>
  <c r="V69" i="94"/>
  <c r="V57" i="94"/>
  <c r="V45" i="94"/>
  <c r="V41" i="94"/>
  <c r="V37" i="94"/>
  <c r="V71" i="94"/>
  <c r="V47" i="94"/>
  <c r="V19" i="94"/>
  <c r="V56" i="94"/>
  <c r="D12" i="96"/>
  <c r="L13" i="96"/>
  <c r="J21" i="92"/>
  <c r="R22" i="92"/>
  <c r="J25" i="92"/>
  <c r="R26" i="92"/>
  <c r="J29" i="92"/>
  <c r="V41" i="92"/>
  <c r="J45" i="92"/>
  <c r="R46" i="92"/>
  <c r="R47" i="92"/>
  <c r="V49" i="92"/>
  <c r="J55" i="92"/>
  <c r="R58" i="92"/>
  <c r="R59" i="92"/>
  <c r="J63" i="92"/>
  <c r="V65" i="92"/>
  <c r="R70" i="92"/>
  <c r="J73" i="92"/>
  <c r="R74" i="92"/>
  <c r="J79" i="92"/>
  <c r="R81" i="92"/>
  <c r="J85" i="92"/>
  <c r="V88" i="92"/>
  <c r="J92" i="92"/>
  <c r="J67" i="93"/>
  <c r="J51" i="93"/>
  <c r="J43" i="93"/>
  <c r="J39" i="93"/>
  <c r="J25" i="93"/>
  <c r="J89" i="93"/>
  <c r="J86" i="93"/>
  <c r="J62" i="93"/>
  <c r="J44" i="93"/>
  <c r="J40" i="93"/>
  <c r="J36" i="93"/>
  <c r="J59" i="93"/>
  <c r="J49" i="93"/>
  <c r="J33" i="93"/>
  <c r="J29" i="93"/>
  <c r="X15" i="93"/>
  <c r="Z15" i="93" s="1"/>
  <c r="J22" i="93"/>
  <c r="X52" i="93"/>
  <c r="Z52" i="93" s="1"/>
  <c r="J61" i="93"/>
  <c r="V31" i="94"/>
  <c r="V58" i="94"/>
  <c r="F63" i="94"/>
  <c r="F79" i="94"/>
  <c r="R75" i="95"/>
  <c r="R71" i="95"/>
  <c r="R60" i="95"/>
  <c r="R59" i="95"/>
  <c r="R43" i="95"/>
  <c r="R39" i="95"/>
  <c r="R51" i="95"/>
  <c r="R50" i="95"/>
  <c r="R34" i="95"/>
  <c r="R30" i="95"/>
  <c r="R87" i="95"/>
  <c r="R62" i="95"/>
  <c r="R61" i="95"/>
  <c r="R26" i="95"/>
  <c r="R21" i="95"/>
  <c r="R76" i="95"/>
  <c r="R72" i="95"/>
  <c r="R53" i="95"/>
  <c r="R52" i="95"/>
  <c r="R44" i="95"/>
  <c r="R40" i="95"/>
  <c r="R25" i="95"/>
  <c r="R64" i="95"/>
  <c r="R63" i="95"/>
  <c r="R36" i="95"/>
  <c r="R35" i="95"/>
  <c r="R31" i="95"/>
  <c r="R27" i="95"/>
  <c r="P23" i="95"/>
  <c r="R23" i="95" s="1"/>
  <c r="R54" i="95"/>
  <c r="R78" i="95"/>
  <c r="R77" i="95"/>
  <c r="R73" i="95"/>
  <c r="R66" i="95"/>
  <c r="R65" i="95"/>
  <c r="R45" i="95"/>
  <c r="R41" i="95"/>
  <c r="R37" i="95"/>
  <c r="R18" i="95"/>
  <c r="R32" i="95"/>
  <c r="R28" i="95"/>
  <c r="X12" i="95"/>
  <c r="Z12" i="95" s="1"/>
  <c r="R80" i="95"/>
  <c r="R79" i="95"/>
  <c r="R68" i="95"/>
  <c r="R67" i="95"/>
  <c r="R56" i="95"/>
  <c r="R55" i="95"/>
  <c r="R19" i="95"/>
  <c r="R81" i="95"/>
  <c r="R70" i="95"/>
  <c r="R69" i="95"/>
  <c r="R58" i="95"/>
  <c r="R57" i="95"/>
  <c r="R33" i="95"/>
  <c r="R29" i="95"/>
  <c r="R20" i="95"/>
  <c r="R47" i="95"/>
  <c r="V22" i="92"/>
  <c r="V26" i="92"/>
  <c r="R31" i="92"/>
  <c r="J34" i="92"/>
  <c r="R35" i="92"/>
  <c r="J38" i="92"/>
  <c r="R39" i="92"/>
  <c r="V46" i="92"/>
  <c r="J54" i="92"/>
  <c r="V58" i="92"/>
  <c r="J62" i="92"/>
  <c r="V70" i="92"/>
  <c r="V74" i="92"/>
  <c r="J78" i="92"/>
  <c r="R80" i="92"/>
  <c r="J84" i="92"/>
  <c r="L85" i="92"/>
  <c r="N85" i="92" s="1"/>
  <c r="V86" i="92"/>
  <c r="X18" i="93"/>
  <c r="Z18" i="93" s="1"/>
  <c r="J30" i="93"/>
  <c r="J50" i="93"/>
  <c r="Z55" i="93"/>
  <c r="J65" i="93"/>
  <c r="Z75" i="93"/>
  <c r="N18" i="94"/>
  <c r="V46" i="94"/>
  <c r="R49" i="95"/>
  <c r="X60" i="95"/>
  <c r="Z60" i="95" s="1"/>
  <c r="N17" i="96"/>
  <c r="V31" i="92"/>
  <c r="V35" i="92"/>
  <c r="V39" i="92"/>
  <c r="V47" i="92"/>
  <c r="R56" i="92"/>
  <c r="R57" i="92"/>
  <c r="V59" i="92"/>
  <c r="R64" i="92"/>
  <c r="R68" i="92"/>
  <c r="R69" i="92"/>
  <c r="J77" i="92"/>
  <c r="V80" i="92"/>
  <c r="V81" i="92"/>
  <c r="J99" i="92"/>
  <c r="J77" i="93"/>
  <c r="F54" i="94"/>
  <c r="F53" i="94"/>
  <c r="F25" i="94"/>
  <c r="F69" i="94"/>
  <c r="F68" i="94"/>
  <c r="F45" i="94"/>
  <c r="F41" i="94"/>
  <c r="F37" i="94"/>
  <c r="F36" i="94"/>
  <c r="D23" i="94"/>
  <c r="F64" i="94"/>
  <c r="F56" i="94"/>
  <c r="F55" i="94"/>
  <c r="F32" i="94"/>
  <c r="F28" i="94"/>
  <c r="F19" i="94"/>
  <c r="F18" i="94"/>
  <c r="F70" i="94"/>
  <c r="F58" i="94"/>
  <c r="F57" i="94"/>
  <c r="F46" i="94"/>
  <c r="F42" i="94"/>
  <c r="F38" i="94"/>
  <c r="F65" i="94"/>
  <c r="F33" i="94"/>
  <c r="F29" i="94"/>
  <c r="F72" i="94"/>
  <c r="F71" i="94"/>
  <c r="F48" i="94"/>
  <c r="F47" i="94"/>
  <c r="F59" i="94"/>
  <c r="F43" i="94"/>
  <c r="F39" i="94"/>
  <c r="F75" i="94"/>
  <c r="F66" i="94"/>
  <c r="F50" i="94"/>
  <c r="F49" i="94"/>
  <c r="F34" i="94"/>
  <c r="F30" i="94"/>
  <c r="F52" i="94"/>
  <c r="F51" i="94"/>
  <c r="F44" i="94"/>
  <c r="F40" i="94"/>
  <c r="F20" i="94"/>
  <c r="Z71" i="94"/>
  <c r="R21" i="92"/>
  <c r="J24" i="92"/>
  <c r="R25" i="92"/>
  <c r="J28" i="92"/>
  <c r="R29" i="92"/>
  <c r="R30" i="92"/>
  <c r="J44" i="92"/>
  <c r="R45" i="92"/>
  <c r="J52" i="92"/>
  <c r="V56" i="92"/>
  <c r="V64" i="92"/>
  <c r="V68" i="92"/>
  <c r="J72" i="92"/>
  <c r="R73" i="92"/>
  <c r="J76" i="92"/>
  <c r="R85" i="92"/>
  <c r="J90" i="92"/>
  <c r="R92" i="92"/>
  <c r="J20" i="93"/>
  <c r="J53" i="93"/>
  <c r="N64" i="93"/>
  <c r="J70" i="93"/>
  <c r="J73" i="93"/>
  <c r="J82" i="93"/>
  <c r="L13" i="94"/>
  <c r="N13" i="94" s="1"/>
  <c r="V27" i="94"/>
  <c r="V42" i="94"/>
  <c r="N53" i="94"/>
  <c r="X71" i="94"/>
  <c r="D12" i="95"/>
  <c r="R46" i="95"/>
  <c r="N80" i="95"/>
  <c r="J23" i="94"/>
  <c r="J25" i="94"/>
  <c r="J27" i="94"/>
  <c r="J31" i="94"/>
  <c r="J35" i="94"/>
  <c r="J53" i="94"/>
  <c r="J63" i="94"/>
  <c r="J67" i="94"/>
  <c r="J79" i="94"/>
  <c r="J18" i="95"/>
  <c r="V20" i="95"/>
  <c r="J28" i="95"/>
  <c r="J32" i="95"/>
  <c r="V48" i="95"/>
  <c r="V60" i="95"/>
  <c r="J66" i="95"/>
  <c r="J78" i="95"/>
  <c r="H22" i="96"/>
  <c r="J24" i="96"/>
  <c r="J30" i="96"/>
  <c r="J36" i="96"/>
  <c r="V69" i="96"/>
  <c r="V81" i="96"/>
  <c r="R89" i="98"/>
  <c r="R80" i="98"/>
  <c r="R76" i="98"/>
  <c r="R93" i="98"/>
  <c r="R64" i="98"/>
  <c r="R63" i="98"/>
  <c r="R55" i="98"/>
  <c r="R70" i="98"/>
  <c r="R47" i="98"/>
  <c r="R82" i="98"/>
  <c r="R81" i="98"/>
  <c r="R77" i="98"/>
  <c r="R65" i="98"/>
  <c r="R78" i="98"/>
  <c r="R66" i="98"/>
  <c r="R59" i="98"/>
  <c r="R58" i="98"/>
  <c r="R51" i="98"/>
  <c r="R50" i="98"/>
  <c r="R67" i="98"/>
  <c r="R54" i="98"/>
  <c r="R19" i="98"/>
  <c r="R85" i="98"/>
  <c r="R72" i="98"/>
  <c r="R42" i="98"/>
  <c r="R38" i="98"/>
  <c r="R46" i="98"/>
  <c r="R33" i="98"/>
  <c r="R29" i="98"/>
  <c r="R83" i="98"/>
  <c r="R20" i="98"/>
  <c r="R86" i="98"/>
  <c r="R75" i="98"/>
  <c r="R68" i="98"/>
  <c r="R62" i="98"/>
  <c r="R43" i="98"/>
  <c r="R39" i="98"/>
  <c r="R79" i="98"/>
  <c r="R34" i="98"/>
  <c r="R30" i="98"/>
  <c r="R84" i="98"/>
  <c r="R52" i="98"/>
  <c r="R26" i="98"/>
  <c r="R21" i="98"/>
  <c r="R53" i="98"/>
  <c r="R48" i="98"/>
  <c r="R44" i="98"/>
  <c r="R40" i="98"/>
  <c r="R25" i="98"/>
  <c r="R73" i="98"/>
  <c r="R56" i="98"/>
  <c r="R36" i="98"/>
  <c r="R35" i="98"/>
  <c r="R31" i="98"/>
  <c r="R27" i="98"/>
  <c r="P23" i="98"/>
  <c r="R23" i="98" s="1"/>
  <c r="R71" i="98"/>
  <c r="R60" i="98"/>
  <c r="R45" i="98"/>
  <c r="R41" i="98"/>
  <c r="R37" i="98"/>
  <c r="R18" i="98"/>
  <c r="R74" i="98"/>
  <c r="R61" i="98"/>
  <c r="R57" i="98"/>
  <c r="R32" i="98"/>
  <c r="R28" i="98"/>
  <c r="X12" i="98"/>
  <c r="Z18" i="98"/>
  <c r="X18" i="98"/>
  <c r="Z61" i="98"/>
  <c r="V38" i="95"/>
  <c r="V42" i="95"/>
  <c r="V46" i="95"/>
  <c r="J54" i="95"/>
  <c r="V58" i="95"/>
  <c r="J64" i="95"/>
  <c r="V70" i="95"/>
  <c r="V74" i="95"/>
  <c r="J52" i="96"/>
  <c r="N68" i="96"/>
  <c r="N74" i="96"/>
  <c r="V77" i="96"/>
  <c r="V87" i="96"/>
  <c r="V92" i="96"/>
  <c r="N36" i="98"/>
  <c r="X64" i="98"/>
  <c r="Z64" i="98" s="1"/>
  <c r="V19" i="95"/>
  <c r="V47" i="95"/>
  <c r="J53" i="95"/>
  <c r="V55" i="95"/>
  <c r="J63" i="95"/>
  <c r="V67" i="95"/>
  <c r="V79" i="95"/>
  <c r="J72" i="96"/>
  <c r="J92" i="96"/>
  <c r="J93" i="96"/>
  <c r="J84" i="96"/>
  <c r="J80" i="96"/>
  <c r="J74" i="96"/>
  <c r="J60" i="96"/>
  <c r="J50" i="96"/>
  <c r="J86" i="96"/>
  <c r="J76" i="96"/>
  <c r="J70" i="96"/>
  <c r="J99" i="96"/>
  <c r="J87" i="96"/>
  <c r="J81" i="96"/>
  <c r="J77" i="96"/>
  <c r="J63" i="96"/>
  <c r="J53" i="96"/>
  <c r="J35" i="96"/>
  <c r="J89" i="96"/>
  <c r="J71" i="96"/>
  <c r="J65" i="96"/>
  <c r="J31" i="96"/>
  <c r="J27" i="96"/>
  <c r="J90" i="96"/>
  <c r="J82" i="96"/>
  <c r="J78" i="96"/>
  <c r="J66" i="96"/>
  <c r="J54" i="96"/>
  <c r="J20" i="96"/>
  <c r="Z25" i="96"/>
  <c r="J38" i="96"/>
  <c r="J41" i="96"/>
  <c r="J44" i="96"/>
  <c r="J51" i="96"/>
  <c r="J58" i="96"/>
  <c r="J68" i="96"/>
  <c r="V72" i="96"/>
  <c r="V85" i="96"/>
  <c r="J91" i="96"/>
  <c r="V95" i="96"/>
  <c r="F34" i="98"/>
  <c r="R87" i="98"/>
  <c r="V56" i="95"/>
  <c r="V68" i="95"/>
  <c r="V80" i="95"/>
  <c r="V25" i="96"/>
  <c r="J32" i="96"/>
  <c r="L61" i="96"/>
  <c r="N61" i="96" s="1"/>
  <c r="N65" i="96"/>
  <c r="X74" i="96"/>
  <c r="Z74" i="96" s="1"/>
  <c r="V37" i="95"/>
  <c r="V41" i="95"/>
  <c r="V45" i="95"/>
  <c r="J51" i="95"/>
  <c r="V65" i="95"/>
  <c r="V73" i="95"/>
  <c r="V77" i="95"/>
  <c r="J87" i="95"/>
  <c r="T97" i="96"/>
  <c r="V24" i="96"/>
  <c r="J88" i="96"/>
  <c r="J72" i="101"/>
  <c r="J71" i="101"/>
  <c r="J45" i="101"/>
  <c r="J65" i="101"/>
  <c r="J57" i="101"/>
  <c r="J47" i="101"/>
  <c r="J41" i="101"/>
  <c r="J37" i="101"/>
  <c r="J76" i="101"/>
  <c r="J58" i="101"/>
  <c r="J48" i="101"/>
  <c r="J32" i="101"/>
  <c r="J28" i="101"/>
  <c r="J81" i="101"/>
  <c r="J78" i="101"/>
  <c r="J66" i="101"/>
  <c r="J50" i="101"/>
  <c r="J42" i="101"/>
  <c r="J38" i="101"/>
  <c r="N12" i="101"/>
  <c r="J62" i="101"/>
  <c r="J54" i="101"/>
  <c r="J30" i="101"/>
  <c r="J53" i="101"/>
  <c r="J29" i="101"/>
  <c r="J68" i="101"/>
  <c r="J63" i="101"/>
  <c r="J40" i="101"/>
  <c r="J26" i="101"/>
  <c r="J46" i="101"/>
  <c r="J35" i="101"/>
  <c r="J60" i="101"/>
  <c r="J43" i="101"/>
  <c r="J19" i="101"/>
  <c r="J74" i="101"/>
  <c r="J61" i="101"/>
  <c r="J27" i="101"/>
  <c r="J69" i="101"/>
  <c r="J55" i="101"/>
  <c r="J51" i="101"/>
  <c r="J36" i="101"/>
  <c r="J33" i="101"/>
  <c r="J20" i="101"/>
  <c r="J64" i="101"/>
  <c r="J67" i="101"/>
  <c r="J52" i="101"/>
  <c r="J49" i="101"/>
  <c r="J34" i="101"/>
  <c r="J31" i="101"/>
  <c r="J24" i="101"/>
  <c r="J59" i="101"/>
  <c r="J56" i="101"/>
  <c r="J25" i="101"/>
  <c r="J22" i="101"/>
  <c r="H22" i="101"/>
  <c r="J18" i="101"/>
  <c r="J44" i="101"/>
  <c r="J17" i="101"/>
  <c r="X68" i="94"/>
  <c r="Z68" i="94" s="1"/>
  <c r="L51" i="95"/>
  <c r="N51" i="95" s="1"/>
  <c r="V54" i="95"/>
  <c r="V66" i="95"/>
  <c r="V78" i="95"/>
  <c r="P12" i="96"/>
  <c r="X24" i="96"/>
  <c r="Z24" i="96" s="1"/>
  <c r="J47" i="96"/>
  <c r="Z52" i="96"/>
  <c r="J57" i="96"/>
  <c r="Z59" i="96"/>
  <c r="J61" i="96"/>
  <c r="D91" i="98"/>
  <c r="X13" i="94"/>
  <c r="Z13" i="94" s="1"/>
  <c r="J38" i="94"/>
  <c r="J42" i="94"/>
  <c r="J46" i="94"/>
  <c r="J58" i="94"/>
  <c r="J70" i="94"/>
  <c r="L13" i="95"/>
  <c r="N13" i="95" s="1"/>
  <c r="V27" i="95"/>
  <c r="V31" i="95"/>
  <c r="V35" i="95"/>
  <c r="J39" i="95"/>
  <c r="J43" i="95"/>
  <c r="J49" i="95"/>
  <c r="J59" i="95"/>
  <c r="V63" i="95"/>
  <c r="J71" i="95"/>
  <c r="J75" i="95"/>
  <c r="J83" i="95"/>
  <c r="V84" i="96"/>
  <c r="V80" i="96"/>
  <c r="V76" i="96"/>
  <c r="V86" i="96"/>
  <c r="V99" i="96"/>
  <c r="V89" i="96"/>
  <c r="V88" i="96"/>
  <c r="V64" i="96"/>
  <c r="V44" i="96"/>
  <c r="V40" i="96"/>
  <c r="V36" i="96"/>
  <c r="V90" i="96"/>
  <c r="V82" i="96"/>
  <c r="V78" i="96"/>
  <c r="V66" i="96"/>
  <c r="V57" i="96"/>
  <c r="V45" i="96"/>
  <c r="V41" i="96"/>
  <c r="V37" i="96"/>
  <c r="V91" i="96"/>
  <c r="V83" i="96"/>
  <c r="V79" i="96"/>
  <c r="V67" i="96"/>
  <c r="V59" i="96"/>
  <c r="V47" i="96"/>
  <c r="V74" i="96"/>
  <c r="V58" i="96"/>
  <c r="V50" i="96"/>
  <c r="V42" i="96"/>
  <c r="V38" i="96"/>
  <c r="V20" i="96"/>
  <c r="J26" i="96"/>
  <c r="V32" i="96"/>
  <c r="J40" i="96"/>
  <c r="J43" i="96"/>
  <c r="V51" i="96"/>
  <c r="V52" i="96"/>
  <c r="J64" i="96"/>
  <c r="V68" i="96"/>
  <c r="J73" i="96"/>
  <c r="V97" i="96"/>
  <c r="J39" i="101"/>
  <c r="V36" i="95"/>
  <c r="V40" i="95"/>
  <c r="V44" i="95"/>
  <c r="V52" i="95"/>
  <c r="V64" i="95"/>
  <c r="V72" i="95"/>
  <c r="V76" i="95"/>
  <c r="N46" i="96"/>
  <c r="J67" i="96"/>
  <c r="J75" i="96"/>
  <c r="Z76" i="96"/>
  <c r="V21" i="95"/>
  <c r="V23" i="95"/>
  <c r="V25" i="95"/>
  <c r="V53" i="95"/>
  <c r="V61" i="95"/>
  <c r="J81" i="95"/>
  <c r="V87" i="95"/>
  <c r="V89" i="95"/>
  <c r="J46" i="96"/>
  <c r="J49" i="96"/>
  <c r="X50" i="96"/>
  <c r="J56" i="96"/>
  <c r="J69" i="96"/>
  <c r="X76" i="96"/>
  <c r="J83" i="96"/>
  <c r="Z17" i="100"/>
  <c r="T53" i="100"/>
  <c r="J37" i="94"/>
  <c r="J41" i="94"/>
  <c r="J45" i="94"/>
  <c r="J55" i="94"/>
  <c r="J69" i="94"/>
  <c r="V26" i="95"/>
  <c r="V30" i="95"/>
  <c r="V34" i="95"/>
  <c r="J38" i="95"/>
  <c r="J42" i="95"/>
  <c r="J46" i="95"/>
  <c r="V50" i="95"/>
  <c r="J56" i="95"/>
  <c r="J68" i="95"/>
  <c r="J74" i="95"/>
  <c r="J17" i="96"/>
  <c r="J28" i="96"/>
  <c r="Z61" i="96"/>
  <c r="V73" i="96"/>
  <c r="J85" i="96"/>
  <c r="N92" i="96"/>
  <c r="J95" i="96"/>
  <c r="F85" i="98"/>
  <c r="F84" i="98"/>
  <c r="F73" i="98"/>
  <c r="F72" i="98"/>
  <c r="F87" i="98"/>
  <c r="F86" i="98"/>
  <c r="F79" i="98"/>
  <c r="F75" i="98"/>
  <c r="F74" i="98"/>
  <c r="F67" i="98"/>
  <c r="F62" i="98"/>
  <c r="F61" i="98"/>
  <c r="F54" i="98"/>
  <c r="F53" i="98"/>
  <c r="F69" i="98"/>
  <c r="F68" i="98"/>
  <c r="F70" i="98"/>
  <c r="F46" i="98"/>
  <c r="F82" i="98"/>
  <c r="F71" i="98"/>
  <c r="F56" i="98"/>
  <c r="F35" i="98"/>
  <c r="F31" i="98"/>
  <c r="F27" i="98"/>
  <c r="F26" i="98"/>
  <c r="F80" i="98"/>
  <c r="F76" i="98"/>
  <c r="F25" i="98"/>
  <c r="F23" i="98"/>
  <c r="F78" i="98"/>
  <c r="F64" i="98"/>
  <c r="F60" i="98"/>
  <c r="F49" i="98"/>
  <c r="F45" i="98"/>
  <c r="F41" i="98"/>
  <c r="F37" i="98"/>
  <c r="F36" i="98"/>
  <c r="F32" i="98"/>
  <c r="F28" i="98"/>
  <c r="L12" i="98"/>
  <c r="N12" i="98" s="1"/>
  <c r="F65" i="98"/>
  <c r="F57" i="98"/>
  <c r="F19" i="98"/>
  <c r="F18" i="98"/>
  <c r="F83" i="98"/>
  <c r="F50" i="98"/>
  <c r="F42" i="98"/>
  <c r="F38" i="98"/>
  <c r="F89" i="98"/>
  <c r="F33" i="98"/>
  <c r="F29" i="98"/>
  <c r="F81" i="98"/>
  <c r="F58" i="98"/>
  <c r="F55" i="98"/>
  <c r="F20" i="98"/>
  <c r="F93" i="98"/>
  <c r="F77" i="98"/>
  <c r="F51" i="98"/>
  <c r="F43" i="98"/>
  <c r="F39" i="98"/>
  <c r="F66" i="98"/>
  <c r="F52" i="98"/>
  <c r="F21" i="98"/>
  <c r="F91" i="98"/>
  <c r="F63" i="98"/>
  <c r="F59" i="98"/>
  <c r="F48" i="98"/>
  <c r="F44" i="98"/>
  <c r="F40" i="98"/>
  <c r="V19" i="98"/>
  <c r="J25" i="98"/>
  <c r="J27" i="98"/>
  <c r="J31" i="98"/>
  <c r="J35" i="98"/>
  <c r="J53" i="98"/>
  <c r="V54" i="98"/>
  <c r="J56" i="98"/>
  <c r="P27" i="99"/>
  <c r="X16" i="99"/>
  <c r="N12" i="100"/>
  <c r="J36" i="100"/>
  <c r="V19" i="101"/>
  <c r="Z12" i="98"/>
  <c r="J26" i="98"/>
  <c r="V28" i="98"/>
  <c r="V32" i="98"/>
  <c r="J40" i="98"/>
  <c r="J44" i="98"/>
  <c r="J48" i="98"/>
  <c r="J63" i="98"/>
  <c r="J73" i="98"/>
  <c r="V78" i="98"/>
  <c r="J82" i="98"/>
  <c r="R55" i="100"/>
  <c r="R45" i="100"/>
  <c r="R44" i="100"/>
  <c r="R34" i="100"/>
  <c r="R19" i="100"/>
  <c r="R17" i="100"/>
  <c r="R42" i="100"/>
  <c r="R30" i="100"/>
  <c r="R29" i="100"/>
  <c r="R25" i="100"/>
  <c r="R21" i="100"/>
  <c r="P17" i="100"/>
  <c r="R48" i="100"/>
  <c r="R38" i="100"/>
  <c r="R43" i="100"/>
  <c r="R31" i="100"/>
  <c r="R57" i="100"/>
  <c r="R35" i="100"/>
  <c r="R26" i="100"/>
  <c r="R22" i="100"/>
  <c r="R50" i="100"/>
  <c r="R60" i="100"/>
  <c r="R51" i="100"/>
  <c r="R39" i="100"/>
  <c r="R32" i="100"/>
  <c r="X12" i="100"/>
  <c r="R27" i="100"/>
  <c r="R23" i="100"/>
  <c r="R40" i="100"/>
  <c r="R28" i="100"/>
  <c r="R24" i="100"/>
  <c r="R15" i="100"/>
  <c r="N50" i="100"/>
  <c r="X49" i="101"/>
  <c r="Z49" i="101" s="1"/>
  <c r="V18" i="98"/>
  <c r="J30" i="98"/>
  <c r="J34" i="98"/>
  <c r="V64" i="98"/>
  <c r="V69" i="98"/>
  <c r="R36" i="100"/>
  <c r="R76" i="101"/>
  <c r="R49" i="101"/>
  <c r="R48" i="101"/>
  <c r="R67" i="101"/>
  <c r="R66" i="101"/>
  <c r="R51" i="101"/>
  <c r="R50" i="101"/>
  <c r="R42" i="101"/>
  <c r="R38" i="101"/>
  <c r="X12" i="101"/>
  <c r="R34" i="101"/>
  <c r="R33" i="101"/>
  <c r="R29" i="101"/>
  <c r="R43" i="101"/>
  <c r="R39" i="101"/>
  <c r="R35" i="101"/>
  <c r="R24" i="101"/>
  <c r="R72" i="101"/>
  <c r="R71" i="101"/>
  <c r="R64" i="101"/>
  <c r="R31" i="101"/>
  <c r="R60" i="101"/>
  <c r="R54" i="101"/>
  <c r="R32" i="101"/>
  <c r="R19" i="101"/>
  <c r="R61" i="101"/>
  <c r="R57" i="101"/>
  <c r="R47" i="101"/>
  <c r="R27" i="101"/>
  <c r="R69" i="101"/>
  <c r="R55" i="101"/>
  <c r="R41" i="101"/>
  <c r="R36" i="101"/>
  <c r="R30" i="101"/>
  <c r="R20" i="101"/>
  <c r="R58" i="101"/>
  <c r="R17" i="101"/>
  <c r="R44" i="101"/>
  <c r="P22" i="101"/>
  <c r="R62" i="101"/>
  <c r="R28" i="101"/>
  <c r="R52" i="101"/>
  <c r="R45" i="101"/>
  <c r="R25" i="101"/>
  <c r="R59" i="101"/>
  <c r="R65" i="101"/>
  <c r="R40" i="101"/>
  <c r="R26" i="101"/>
  <c r="R68" i="101"/>
  <c r="R63" i="101"/>
  <c r="V27" i="98"/>
  <c r="V31" i="98"/>
  <c r="V35" i="98"/>
  <c r="J39" i="98"/>
  <c r="J43" i="98"/>
  <c r="V63" i="98"/>
  <c r="J93" i="98"/>
  <c r="V67" i="101"/>
  <c r="V59" i="101"/>
  <c r="V51" i="101"/>
  <c r="V61" i="101"/>
  <c r="V53" i="101"/>
  <c r="V33" i="101"/>
  <c r="V29" i="101"/>
  <c r="V25" i="101"/>
  <c r="V68" i="101"/>
  <c r="V60" i="101"/>
  <c r="V52" i="101"/>
  <c r="V62" i="101"/>
  <c r="V54" i="101"/>
  <c r="V30" i="101"/>
  <c r="V26" i="101"/>
  <c r="V58" i="101"/>
  <c r="V46" i="101"/>
  <c r="V57" i="101"/>
  <c r="V43" i="101"/>
  <c r="V38" i="101"/>
  <c r="V55" i="101"/>
  <c r="V50" i="101"/>
  <c r="V27" i="101"/>
  <c r="V69" i="101"/>
  <c r="V66" i="101"/>
  <c r="V41" i="101"/>
  <c r="V36" i="101"/>
  <c r="V20" i="101"/>
  <c r="V17" i="101"/>
  <c r="V22" i="101"/>
  <c r="V64" i="101"/>
  <c r="V48" i="101"/>
  <c r="V44" i="101"/>
  <c r="T22" i="101"/>
  <c r="V71" i="101"/>
  <c r="V45" i="101"/>
  <c r="V39" i="101"/>
  <c r="V28" i="101"/>
  <c r="V24" i="101"/>
  <c r="V34" i="101"/>
  <c r="V56" i="101"/>
  <c r="V49" i="101"/>
  <c r="V42" i="101"/>
  <c r="V37" i="101"/>
  <c r="V31" i="101"/>
  <c r="V18" i="101"/>
  <c r="Z12" i="101"/>
  <c r="T23" i="98"/>
  <c r="V36" i="98"/>
  <c r="V40" i="98"/>
  <c r="V44" i="98"/>
  <c r="V48" i="98"/>
  <c r="J51" i="98"/>
  <c r="J55" i="98"/>
  <c r="J58" i="98"/>
  <c r="V66" i="98"/>
  <c r="J14" i="100"/>
  <c r="V21" i="98"/>
  <c r="V25" i="98"/>
  <c r="J29" i="98"/>
  <c r="J33" i="98"/>
  <c r="J46" i="98"/>
  <c r="V52" i="98"/>
  <c r="Z59" i="98"/>
  <c r="X84" i="98"/>
  <c r="Z84" i="98" s="1"/>
  <c r="F18" i="99"/>
  <c r="F16" i="99"/>
  <c r="F14" i="99"/>
  <c r="D16" i="99"/>
  <c r="F21" i="99"/>
  <c r="F23" i="99"/>
  <c r="F22" i="99"/>
  <c r="F29" i="99"/>
  <c r="J44" i="100"/>
  <c r="L51" i="100"/>
  <c r="N51" i="100" s="1"/>
  <c r="V35" i="101"/>
  <c r="V72" i="101"/>
  <c r="J83" i="98"/>
  <c r="J71" i="98"/>
  <c r="J86" i="98"/>
  <c r="J74" i="98"/>
  <c r="J87" i="98"/>
  <c r="J79" i="98"/>
  <c r="J75" i="98"/>
  <c r="J68" i="98"/>
  <c r="J62" i="98"/>
  <c r="J54" i="98"/>
  <c r="J89" i="98"/>
  <c r="J69" i="98"/>
  <c r="J80" i="98"/>
  <c r="J76" i="98"/>
  <c r="J81" i="98"/>
  <c r="J77" i="98"/>
  <c r="J65" i="98"/>
  <c r="J47" i="98"/>
  <c r="X25" i="98"/>
  <c r="Z25" i="98" s="1"/>
  <c r="V26" i="98"/>
  <c r="V30" i="98"/>
  <c r="V34" i="98"/>
  <c r="J38" i="98"/>
  <c r="J42" i="98"/>
  <c r="J50" i="98"/>
  <c r="V55" i="98"/>
  <c r="V59" i="98"/>
  <c r="J72" i="98"/>
  <c r="T27" i="99"/>
  <c r="Z16" i="99"/>
  <c r="J39" i="100"/>
  <c r="J19" i="98"/>
  <c r="V39" i="98"/>
  <c r="V43" i="98"/>
  <c r="V47" i="98"/>
  <c r="N57" i="98"/>
  <c r="V58" i="98"/>
  <c r="J61" i="98"/>
  <c r="V62" i="98"/>
  <c r="J67" i="98"/>
  <c r="J85" i="98"/>
  <c r="N25" i="99"/>
  <c r="L25" i="99"/>
  <c r="D74" i="101"/>
  <c r="L22" i="101"/>
  <c r="J28" i="98"/>
  <c r="J32" i="98"/>
  <c r="Z51" i="98"/>
  <c r="J57" i="98"/>
  <c r="V68" i="98"/>
  <c r="V83" i="98"/>
  <c r="V86" i="98"/>
  <c r="Z14" i="100"/>
  <c r="X14" i="100"/>
  <c r="J18" i="102"/>
  <c r="H23" i="102"/>
  <c r="V29" i="98"/>
  <c r="V33" i="98"/>
  <c r="J37" i="98"/>
  <c r="J41" i="98"/>
  <c r="J45" i="98"/>
  <c r="N49" i="98"/>
  <c r="V50" i="98"/>
  <c r="L57" i="98"/>
  <c r="J60" i="98"/>
  <c r="J78" i="98"/>
  <c r="X89" i="98"/>
  <c r="V63" i="101"/>
  <c r="V89" i="98"/>
  <c r="V87" i="98"/>
  <c r="V79" i="98"/>
  <c r="V75" i="98"/>
  <c r="V67" i="98"/>
  <c r="V80" i="98"/>
  <c r="V76" i="98"/>
  <c r="V93" i="98"/>
  <c r="V82" i="98"/>
  <c r="V70" i="98"/>
  <c r="V46" i="98"/>
  <c r="V81" i="98"/>
  <c r="V77" i="98"/>
  <c r="V65" i="98"/>
  <c r="V57" i="98"/>
  <c r="V49" i="98"/>
  <c r="V84" i="98"/>
  <c r="V72" i="98"/>
  <c r="V56" i="98"/>
  <c r="V85" i="98"/>
  <c r="V73" i="98"/>
  <c r="V61" i="98"/>
  <c r="V53" i="98"/>
  <c r="H23" i="98"/>
  <c r="J23" i="98" s="1"/>
  <c r="J36" i="98"/>
  <c r="V38" i="98"/>
  <c r="V42" i="98"/>
  <c r="J49" i="98"/>
  <c r="J64" i="98"/>
  <c r="Z72" i="98"/>
  <c r="X72" i="98"/>
  <c r="J51" i="100"/>
  <c r="J50" i="100"/>
  <c r="J55" i="100"/>
  <c r="J41" i="100"/>
  <c r="J53" i="100"/>
  <c r="J33" i="100"/>
  <c r="J40" i="100"/>
  <c r="J28" i="100"/>
  <c r="J24" i="100"/>
  <c r="J46" i="100"/>
  <c r="J37" i="100"/>
  <c r="J15" i="100"/>
  <c r="J47" i="100"/>
  <c r="J34" i="100"/>
  <c r="J20" i="100"/>
  <c r="J42" i="100"/>
  <c r="J29" i="100"/>
  <c r="J25" i="100"/>
  <c r="J21" i="100"/>
  <c r="J19" i="100"/>
  <c r="J17" i="100"/>
  <c r="J48" i="100"/>
  <c r="J38" i="100"/>
  <c r="J30" i="100"/>
  <c r="H17" i="100"/>
  <c r="J43" i="100"/>
  <c r="J31" i="100"/>
  <c r="J57" i="100"/>
  <c r="J35" i="100"/>
  <c r="J26" i="100"/>
  <c r="J22" i="100"/>
  <c r="J27" i="100"/>
  <c r="J23" i="100"/>
  <c r="J32" i="100"/>
  <c r="N17" i="101"/>
  <c r="L17" i="101"/>
  <c r="N34" i="101"/>
  <c r="V22" i="99"/>
  <c r="L12" i="100"/>
  <c r="V15" i="100"/>
  <c r="V17" i="100"/>
  <c r="V19" i="100"/>
  <c r="F32" i="100"/>
  <c r="V37" i="100"/>
  <c r="F50" i="100"/>
  <c r="F51" i="100"/>
  <c r="L12" i="101"/>
  <c r="F22" i="101"/>
  <c r="F42" i="101"/>
  <c r="Z63" i="101"/>
  <c r="L67" i="101"/>
  <c r="N67" i="101" s="1"/>
  <c r="L18" i="102"/>
  <c r="N18" i="102" s="1"/>
  <c r="N25" i="102"/>
  <c r="V44" i="102"/>
  <c r="J71" i="102"/>
  <c r="F92" i="104"/>
  <c r="F70" i="104"/>
  <c r="F81" i="104"/>
  <c r="F80" i="104"/>
  <c r="F65" i="104"/>
  <c r="F64" i="104"/>
  <c r="F53" i="104"/>
  <c r="F52" i="104"/>
  <c r="F76" i="104"/>
  <c r="F83" i="104"/>
  <c r="F82" i="104"/>
  <c r="F71" i="104"/>
  <c r="F55" i="104"/>
  <c r="F54" i="104"/>
  <c r="F85" i="104"/>
  <c r="F84" i="104"/>
  <c r="F77" i="104"/>
  <c r="F73" i="104"/>
  <c r="F72" i="104"/>
  <c r="F57" i="104"/>
  <c r="F56" i="104"/>
  <c r="F59" i="104"/>
  <c r="F58" i="104"/>
  <c r="F47" i="104"/>
  <c r="F86" i="104"/>
  <c r="F78" i="104"/>
  <c r="F74" i="104"/>
  <c r="F69" i="104"/>
  <c r="F61" i="104"/>
  <c r="F60" i="104"/>
  <c r="F63" i="104"/>
  <c r="F50" i="104"/>
  <c r="F33" i="104"/>
  <c r="F29" i="104"/>
  <c r="F20" i="104"/>
  <c r="F75" i="104"/>
  <c r="F43" i="104"/>
  <c r="F39" i="104"/>
  <c r="F34" i="104"/>
  <c r="F30" i="104"/>
  <c r="F68" i="104"/>
  <c r="F51" i="104"/>
  <c r="F21" i="104"/>
  <c r="F66" i="104"/>
  <c r="F44" i="104"/>
  <c r="F40" i="104"/>
  <c r="F79" i="104"/>
  <c r="F35" i="104"/>
  <c r="F31" i="104"/>
  <c r="F27" i="104"/>
  <c r="F26" i="104"/>
  <c r="F88" i="104"/>
  <c r="F62" i="104"/>
  <c r="F48" i="104"/>
  <c r="F25" i="104"/>
  <c r="F45" i="104"/>
  <c r="F41" i="104"/>
  <c r="D23" i="104"/>
  <c r="F23" i="104" s="1"/>
  <c r="F67" i="104"/>
  <c r="F19" i="104"/>
  <c r="F18" i="104"/>
  <c r="F42" i="104"/>
  <c r="F38" i="104"/>
  <c r="F46" i="104"/>
  <c r="F36" i="104"/>
  <c r="F32" i="104"/>
  <c r="F28" i="104"/>
  <c r="F49" i="104"/>
  <c r="F37" i="104"/>
  <c r="L12" i="104"/>
  <c r="N12" i="104" s="1"/>
  <c r="P12" i="102"/>
  <c r="X13" i="102"/>
  <c r="Z13" i="102" s="1"/>
  <c r="Z71" i="102"/>
  <c r="R19" i="99"/>
  <c r="R31" i="99"/>
  <c r="R34" i="99"/>
  <c r="V42" i="100"/>
  <c r="V47" i="100"/>
  <c r="V14" i="100"/>
  <c r="D17" i="100"/>
  <c r="F30" i="100"/>
  <c r="F31" i="100"/>
  <c r="V36" i="100"/>
  <c r="V53" i="100"/>
  <c r="F20" i="101"/>
  <c r="F33" i="101"/>
  <c r="F36" i="101"/>
  <c r="F48" i="101"/>
  <c r="F61" i="101"/>
  <c r="F69" i="101"/>
  <c r="F78" i="101"/>
  <c r="F33" i="102"/>
  <c r="N19" i="103"/>
  <c r="V14" i="99"/>
  <c r="V16" i="99"/>
  <c r="V18" i="99"/>
  <c r="R29" i="99"/>
  <c r="F17" i="100"/>
  <c r="F19" i="100"/>
  <c r="V23" i="100"/>
  <c r="V27" i="100"/>
  <c r="F38" i="100"/>
  <c r="V45" i="100"/>
  <c r="F48" i="100"/>
  <c r="F27" i="101"/>
  <c r="F30" i="101"/>
  <c r="F47" i="101"/>
  <c r="V41" i="102"/>
  <c r="F45" i="102"/>
  <c r="V77" i="102"/>
  <c r="J58" i="103"/>
  <c r="J50" i="103"/>
  <c r="J40" i="103"/>
  <c r="J26" i="103"/>
  <c r="J22" i="103"/>
  <c r="J63" i="103"/>
  <c r="J61" i="103"/>
  <c r="J41" i="103"/>
  <c r="J52" i="103"/>
  <c r="J70" i="103"/>
  <c r="J67" i="103"/>
  <c r="J53" i="103"/>
  <c r="J45" i="103"/>
  <c r="J37" i="103"/>
  <c r="J33" i="103"/>
  <c r="J19" i="103"/>
  <c r="J42" i="103"/>
  <c r="J38" i="103"/>
  <c r="J25" i="103"/>
  <c r="J46" i="103"/>
  <c r="J35" i="103"/>
  <c r="J32" i="103"/>
  <c r="J28" i="103"/>
  <c r="J55" i="103"/>
  <c r="J49" i="103"/>
  <c r="J29" i="103"/>
  <c r="J14" i="103"/>
  <c r="J23" i="103"/>
  <c r="J59" i="103"/>
  <c r="J43" i="103"/>
  <c r="J39" i="103"/>
  <c r="J36" i="103"/>
  <c r="J30" i="103"/>
  <c r="J16" i="103"/>
  <c r="J56" i="103"/>
  <c r="J47" i="103"/>
  <c r="J21" i="103"/>
  <c r="H16" i="103"/>
  <c r="J65" i="103"/>
  <c r="J51" i="103"/>
  <c r="J44" i="103"/>
  <c r="J24" i="103"/>
  <c r="J18" i="103"/>
  <c r="J54" i="103"/>
  <c r="J34" i="103"/>
  <c r="J31" i="103"/>
  <c r="J27" i="103"/>
  <c r="N12" i="103"/>
  <c r="X12" i="99"/>
  <c r="V19" i="99"/>
  <c r="V29" i="99"/>
  <c r="V31" i="99"/>
  <c r="Z12" i="100"/>
  <c r="F20" i="100"/>
  <c r="F21" i="100"/>
  <c r="F25" i="100"/>
  <c r="F29" i="100"/>
  <c r="V32" i="100"/>
  <c r="V39" i="100"/>
  <c r="F42" i="100"/>
  <c r="V44" i="100"/>
  <c r="F47" i="100"/>
  <c r="V51" i="100"/>
  <c r="V60" i="100"/>
  <c r="X17" i="101"/>
  <c r="Z17" i="101" s="1"/>
  <c r="F66" i="101"/>
  <c r="F83" i="102"/>
  <c r="F82" i="102"/>
  <c r="F75" i="102"/>
  <c r="F63" i="102"/>
  <c r="F35" i="102"/>
  <c r="F31" i="102"/>
  <c r="F27" i="102"/>
  <c r="F26" i="102"/>
  <c r="F86" i="102"/>
  <c r="F60" i="102"/>
  <c r="F59" i="102"/>
  <c r="F48" i="102"/>
  <c r="F47" i="102"/>
  <c r="F71" i="102"/>
  <c r="F67" i="102"/>
  <c r="F37" i="102"/>
  <c r="F90" i="102"/>
  <c r="F72" i="102"/>
  <c r="F54" i="102"/>
  <c r="F44" i="102"/>
  <c r="F30" i="102"/>
  <c r="F25" i="102"/>
  <c r="F68" i="102"/>
  <c r="F41" i="102"/>
  <c r="F38" i="102"/>
  <c r="D23" i="102"/>
  <c r="F23" i="102" s="1"/>
  <c r="F85" i="102"/>
  <c r="F80" i="102"/>
  <c r="F64" i="102"/>
  <c r="F76" i="102"/>
  <c r="F69" i="102"/>
  <c r="F55" i="102"/>
  <c r="F49" i="102"/>
  <c r="F19" i="102"/>
  <c r="F18" i="102"/>
  <c r="F73" i="102"/>
  <c r="F61" i="102"/>
  <c r="F81" i="102"/>
  <c r="F77" i="102"/>
  <c r="F65" i="102"/>
  <c r="F56" i="102"/>
  <c r="F50" i="102"/>
  <c r="F39" i="102"/>
  <c r="F28" i="102"/>
  <c r="F78" i="102"/>
  <c r="F66" i="102"/>
  <c r="F62" i="102"/>
  <c r="F20" i="102"/>
  <c r="F74" i="102"/>
  <c r="F70" i="102"/>
  <c r="F57" i="102"/>
  <c r="F51" i="102"/>
  <c r="F46" i="102"/>
  <c r="V29" i="102"/>
  <c r="V43" i="102"/>
  <c r="V54" i="102"/>
  <c r="V61" i="102"/>
  <c r="V65" i="102"/>
  <c r="L12" i="103"/>
  <c r="J57" i="103"/>
  <c r="F34" i="100"/>
  <c r="F41" i="100"/>
  <c r="F55" i="100"/>
  <c r="F50" i="101"/>
  <c r="F60" i="101"/>
  <c r="N47" i="102"/>
  <c r="L48" i="103"/>
  <c r="R25" i="99"/>
  <c r="F14" i="100"/>
  <c r="F15" i="100"/>
  <c r="V26" i="100"/>
  <c r="V35" i="100"/>
  <c r="F37" i="100"/>
  <c r="F46" i="100"/>
  <c r="V50" i="100"/>
  <c r="V57" i="100"/>
  <c r="F32" i="101"/>
  <c r="F38" i="101"/>
  <c r="F54" i="101"/>
  <c r="F40" i="102"/>
  <c r="X85" i="102"/>
  <c r="F24" i="100"/>
  <c r="V31" i="100"/>
  <c r="F26" i="101"/>
  <c r="F40" i="101"/>
  <c r="F53" i="101"/>
  <c r="Z55" i="101"/>
  <c r="V90" i="102"/>
  <c r="V78" i="102"/>
  <c r="V66" i="102"/>
  <c r="V58" i="102"/>
  <c r="V46" i="102"/>
  <c r="V42" i="102"/>
  <c r="V38" i="102"/>
  <c r="V80" i="102"/>
  <c r="V85" i="102"/>
  <c r="V83" i="102"/>
  <c r="V75" i="102"/>
  <c r="V71" i="102"/>
  <c r="V63" i="102"/>
  <c r="V55" i="102"/>
  <c r="V35" i="102"/>
  <c r="V31" i="102"/>
  <c r="V27" i="102"/>
  <c r="V76" i="102"/>
  <c r="V64" i="102"/>
  <c r="V19" i="102"/>
  <c r="V82" i="102"/>
  <c r="V81" i="102"/>
  <c r="V56" i="102"/>
  <c r="V51" i="102"/>
  <c r="V50" i="102"/>
  <c r="V62" i="102"/>
  <c r="V39" i="102"/>
  <c r="V28" i="102"/>
  <c r="V20" i="102"/>
  <c r="V74" i="102"/>
  <c r="V36" i="102"/>
  <c r="V70" i="102"/>
  <c r="V47" i="102"/>
  <c r="V32" i="102"/>
  <c r="V59" i="102"/>
  <c r="V53" i="102"/>
  <c r="V52" i="102"/>
  <c r="V40" i="102"/>
  <c r="V37" i="102"/>
  <c r="T23" i="102"/>
  <c r="V68" i="102"/>
  <c r="V67" i="102"/>
  <c r="V33" i="102"/>
  <c r="V79" i="102"/>
  <c r="V48" i="102"/>
  <c r="V30" i="102"/>
  <c r="V18" i="102"/>
  <c r="L26" i="102"/>
  <c r="N26" i="102" s="1"/>
  <c r="F42" i="102"/>
  <c r="N49" i="102"/>
  <c r="F53" i="102"/>
  <c r="V60" i="102"/>
  <c r="J48" i="103"/>
  <c r="T63" i="103"/>
  <c r="F72" i="101"/>
  <c r="L36" i="102"/>
  <c r="N36" i="102" s="1"/>
  <c r="X80" i="102"/>
  <c r="Z80" i="102" s="1"/>
  <c r="Z85" i="102"/>
  <c r="F39" i="100"/>
  <c r="F35" i="100"/>
  <c r="F53" i="100"/>
  <c r="F40" i="100"/>
  <c r="F36" i="100"/>
  <c r="V29" i="100"/>
  <c r="F64" i="101"/>
  <c r="F63" i="101"/>
  <c r="F56" i="101"/>
  <c r="F55" i="101"/>
  <c r="F44" i="101"/>
  <c r="F71" i="101"/>
  <c r="F46" i="101"/>
  <c r="F45" i="101"/>
  <c r="F18" i="101"/>
  <c r="F17" i="101"/>
  <c r="F74" i="101"/>
  <c r="F65" i="101"/>
  <c r="F57" i="101"/>
  <c r="F41" i="101"/>
  <c r="F37" i="101"/>
  <c r="F59" i="101"/>
  <c r="F58" i="101"/>
  <c r="F19" i="101"/>
  <c r="F68" i="101"/>
  <c r="F67" i="101"/>
  <c r="F43" i="101"/>
  <c r="F39" i="101"/>
  <c r="F35" i="101"/>
  <c r="F34" i="101"/>
  <c r="F24" i="101"/>
  <c r="F49" i="101"/>
  <c r="F76" i="101"/>
  <c r="Z49" i="102"/>
  <c r="L71" i="102"/>
  <c r="N71" i="102" s="1"/>
  <c r="Z42" i="103"/>
  <c r="Z68" i="102"/>
  <c r="R22" i="103"/>
  <c r="R25" i="103"/>
  <c r="L18" i="104"/>
  <c r="N18" i="104" s="1"/>
  <c r="N51" i="102"/>
  <c r="R63" i="103"/>
  <c r="R61" i="103"/>
  <c r="R42" i="103"/>
  <c r="R41" i="103"/>
  <c r="R65" i="103"/>
  <c r="R44" i="103"/>
  <c r="R43" i="103"/>
  <c r="R27" i="103"/>
  <c r="R23" i="103"/>
  <c r="R70" i="103"/>
  <c r="R67" i="103"/>
  <c r="R54" i="103"/>
  <c r="R53" i="103"/>
  <c r="R46" i="103"/>
  <c r="R45" i="103"/>
  <c r="R38" i="103"/>
  <c r="R34" i="103"/>
  <c r="R30" i="103"/>
  <c r="L16" i="103"/>
  <c r="H23" i="104"/>
  <c r="J18" i="104"/>
  <c r="T94" i="104"/>
  <c r="J51" i="102"/>
  <c r="J57" i="102"/>
  <c r="R19" i="103"/>
  <c r="R57" i="103"/>
  <c r="N40" i="103"/>
  <c r="Z54" i="103"/>
  <c r="L60" i="104"/>
  <c r="N60" i="104" s="1"/>
  <c r="J70" i="102"/>
  <c r="J54" i="102"/>
  <c r="J36" i="102"/>
  <c r="J79" i="102"/>
  <c r="J67" i="102"/>
  <c r="J61" i="102"/>
  <c r="J49" i="102"/>
  <c r="J43" i="102"/>
  <c r="J39" i="102"/>
  <c r="J31" i="102"/>
  <c r="J42" i="102"/>
  <c r="J45" i="102"/>
  <c r="J65" i="102"/>
  <c r="J73" i="102"/>
  <c r="J77" i="102"/>
  <c r="L80" i="102"/>
  <c r="D85" i="102"/>
  <c r="L85" i="102" s="1"/>
  <c r="J86" i="102"/>
  <c r="L14" i="103"/>
  <c r="R18" i="103"/>
  <c r="Z48" i="103"/>
  <c r="X48" i="103"/>
  <c r="Z26" i="104"/>
  <c r="Z37" i="104"/>
  <c r="L58" i="104"/>
  <c r="L65" i="102"/>
  <c r="N65" i="102" s="1"/>
  <c r="L77" i="102"/>
  <c r="N77" i="102" s="1"/>
  <c r="Z18" i="103"/>
  <c r="R47" i="103"/>
  <c r="R51" i="103"/>
  <c r="N58" i="104"/>
  <c r="J55" i="102"/>
  <c r="J64" i="102"/>
  <c r="Z82" i="102"/>
  <c r="P16" i="103"/>
  <c r="R21" i="103"/>
  <c r="R26" i="103"/>
  <c r="N29" i="103"/>
  <c r="R33" i="103"/>
  <c r="R40" i="103"/>
  <c r="J27" i="102"/>
  <c r="J38" i="102"/>
  <c r="J41" i="102"/>
  <c r="J60" i="102"/>
  <c r="X61" i="102"/>
  <c r="Z61" i="102" s="1"/>
  <c r="J80" i="102"/>
  <c r="J85" i="102"/>
  <c r="R16" i="103"/>
  <c r="R56" i="103"/>
  <c r="D63" i="103"/>
  <c r="P12" i="104"/>
  <c r="X13" i="104"/>
  <c r="L42" i="103"/>
  <c r="N42" i="103" s="1"/>
  <c r="X56" i="103"/>
  <c r="Z56" i="103" s="1"/>
  <c r="Z54" i="104"/>
  <c r="X54" i="104"/>
  <c r="Z65" i="102"/>
  <c r="Z77" i="102"/>
  <c r="X29" i="103"/>
  <c r="Z29" i="103" s="1"/>
  <c r="L54" i="103"/>
  <c r="N54" i="103" s="1"/>
  <c r="R55" i="103"/>
  <c r="L50" i="104"/>
  <c r="N50" i="104" s="1"/>
  <c r="V21" i="103"/>
  <c r="V25" i="103"/>
  <c r="V49" i="103"/>
  <c r="V57" i="103"/>
  <c r="J81" i="104"/>
  <c r="J65" i="104"/>
  <c r="J53" i="104"/>
  <c r="J82" i="104"/>
  <c r="J76" i="104"/>
  <c r="J54" i="104"/>
  <c r="J83" i="104"/>
  <c r="J71" i="104"/>
  <c r="J84" i="104"/>
  <c r="J72" i="104"/>
  <c r="J66" i="104"/>
  <c r="J56" i="104"/>
  <c r="J46" i="104"/>
  <c r="J68" i="104"/>
  <c r="J58" i="104"/>
  <c r="J86" i="104"/>
  <c r="J78" i="104"/>
  <c r="J74" i="104"/>
  <c r="J60" i="104"/>
  <c r="J48" i="104"/>
  <c r="J69" i="104"/>
  <c r="J88" i="104"/>
  <c r="J62" i="104"/>
  <c r="J79" i="104"/>
  <c r="J75" i="104"/>
  <c r="J63" i="104"/>
  <c r="V26" i="104"/>
  <c r="V30" i="104"/>
  <c r="V34" i="104"/>
  <c r="J38" i="104"/>
  <c r="J42" i="104"/>
  <c r="J50" i="104"/>
  <c r="J80" i="104"/>
  <c r="V53" i="104"/>
  <c r="Z56" i="104"/>
  <c r="Z58" i="104"/>
  <c r="Z80" i="104"/>
  <c r="P12" i="106"/>
  <c r="X16" i="106"/>
  <c r="V46" i="104"/>
  <c r="Z50" i="104"/>
  <c r="Z51" i="110"/>
  <c r="V53" i="103"/>
  <c r="V85" i="104"/>
  <c r="V77" i="104"/>
  <c r="V73" i="104"/>
  <c r="V57" i="104"/>
  <c r="V68" i="104"/>
  <c r="V60" i="104"/>
  <c r="V90" i="104"/>
  <c r="V88" i="104"/>
  <c r="V86" i="104"/>
  <c r="V78" i="104"/>
  <c r="V74" i="104"/>
  <c r="V62" i="104"/>
  <c r="V50" i="104"/>
  <c r="V80" i="104"/>
  <c r="V64" i="104"/>
  <c r="V52" i="104"/>
  <c r="V79" i="104"/>
  <c r="V94" i="104"/>
  <c r="V92" i="104"/>
  <c r="V82" i="104"/>
  <c r="V70" i="104"/>
  <c r="V54" i="104"/>
  <c r="V81" i="104"/>
  <c r="V65" i="104"/>
  <c r="V84" i="104"/>
  <c r="V76" i="104"/>
  <c r="V72" i="104"/>
  <c r="V56" i="104"/>
  <c r="V83" i="104"/>
  <c r="V71" i="104"/>
  <c r="V67" i="104"/>
  <c r="V55" i="104"/>
  <c r="V38" i="104"/>
  <c r="V42" i="104"/>
  <c r="N62" i="104"/>
  <c r="X67" i="104"/>
  <c r="Z67" i="104" s="1"/>
  <c r="N46" i="105"/>
  <c r="Z52" i="105"/>
  <c r="V14" i="103"/>
  <c r="V16" i="103"/>
  <c r="V18" i="103"/>
  <c r="V46" i="103"/>
  <c r="V54" i="103"/>
  <c r="F59" i="103"/>
  <c r="V19" i="104"/>
  <c r="J25" i="104"/>
  <c r="V49" i="104"/>
  <c r="J57" i="104"/>
  <c r="J59" i="104"/>
  <c r="J70" i="104"/>
  <c r="N72" i="104"/>
  <c r="J85" i="104"/>
  <c r="X19" i="109"/>
  <c r="Z19" i="109" s="1"/>
  <c r="F56" i="105"/>
  <c r="F32" i="105"/>
  <c r="F28" i="105"/>
  <c r="L12" i="105"/>
  <c r="N12" i="105" s="1"/>
  <c r="F47" i="105"/>
  <c r="F46" i="105"/>
  <c r="F19" i="105"/>
  <c r="F18" i="105"/>
  <c r="F58" i="105"/>
  <c r="F57" i="105"/>
  <c r="F42" i="105"/>
  <c r="F38" i="105"/>
  <c r="F49" i="105"/>
  <c r="F48" i="105"/>
  <c r="F33" i="105"/>
  <c r="F29" i="105"/>
  <c r="F20" i="105"/>
  <c r="F60" i="105"/>
  <c r="F51" i="105"/>
  <c r="F50" i="105"/>
  <c r="F43" i="105"/>
  <c r="F39" i="105"/>
  <c r="F64" i="105"/>
  <c r="F34" i="105"/>
  <c r="F30" i="105"/>
  <c r="F53" i="105"/>
  <c r="F52" i="105"/>
  <c r="F21" i="105"/>
  <c r="F44" i="105"/>
  <c r="F40" i="105"/>
  <c r="F36" i="105"/>
  <c r="F35" i="105"/>
  <c r="F55" i="105"/>
  <c r="F54" i="105"/>
  <c r="F31" i="105"/>
  <c r="F27" i="105"/>
  <c r="F26" i="105"/>
  <c r="F25" i="105"/>
  <c r="F23" i="105"/>
  <c r="Z12" i="103"/>
  <c r="F21" i="103"/>
  <c r="F25" i="103"/>
  <c r="V32" i="103"/>
  <c r="V36" i="103"/>
  <c r="V44" i="103"/>
  <c r="F48" i="103"/>
  <c r="F49" i="103"/>
  <c r="F56" i="103"/>
  <c r="J21" i="104"/>
  <c r="V37" i="104"/>
  <c r="V41" i="104"/>
  <c r="V45" i="104"/>
  <c r="J47" i="104"/>
  <c r="J51" i="104"/>
  <c r="J61" i="104"/>
  <c r="Z62" i="104"/>
  <c r="J64" i="104"/>
  <c r="V66" i="104"/>
  <c r="J77" i="104"/>
  <c r="X37" i="104"/>
  <c r="Z52" i="104"/>
  <c r="V59" i="104"/>
  <c r="Z35" i="105"/>
  <c r="D12" i="106"/>
  <c r="L13" i="106"/>
  <c r="X60" i="106"/>
  <c r="Z60" i="106" s="1"/>
  <c r="D23" i="105"/>
  <c r="F45" i="105"/>
  <c r="L66" i="106"/>
  <c r="N66" i="106" s="1"/>
  <c r="V40" i="104"/>
  <c r="V44" i="104"/>
  <c r="V47" i="104"/>
  <c r="V51" i="104"/>
  <c r="N56" i="104"/>
  <c r="V61" i="104"/>
  <c r="X64" i="104"/>
  <c r="Z64" i="104" s="1"/>
  <c r="L84" i="104"/>
  <c r="N84" i="104" s="1"/>
  <c r="P12" i="105"/>
  <c r="V29" i="105"/>
  <c r="V33" i="105"/>
  <c r="J37" i="105"/>
  <c r="J41" i="105"/>
  <c r="J45" i="105"/>
  <c r="V49" i="105"/>
  <c r="V27" i="106"/>
  <c r="V31" i="106"/>
  <c r="V35" i="106"/>
  <c r="J39" i="106"/>
  <c r="J43" i="106"/>
  <c r="V49" i="106"/>
  <c r="Z50" i="106"/>
  <c r="J53" i="106"/>
  <c r="X54" i="106"/>
  <c r="Z54" i="106" s="1"/>
  <c r="J64" i="106"/>
  <c r="J68" i="106"/>
  <c r="J74" i="106"/>
  <c r="V78" i="106"/>
  <c r="V31" i="108"/>
  <c r="V70" i="108"/>
  <c r="N83" i="108"/>
  <c r="L83" i="108"/>
  <c r="H23" i="105"/>
  <c r="V38" i="105"/>
  <c r="V42" i="105"/>
  <c r="V50" i="105"/>
  <c r="V58" i="105"/>
  <c r="V60" i="105"/>
  <c r="J20" i="106"/>
  <c r="T23" i="106"/>
  <c r="V40" i="106"/>
  <c r="V44" i="106"/>
  <c r="V50" i="106"/>
  <c r="V57" i="106"/>
  <c r="V88" i="106"/>
  <c r="R26" i="107"/>
  <c r="J23" i="105"/>
  <c r="J25" i="105"/>
  <c r="J27" i="105"/>
  <c r="J31" i="105"/>
  <c r="V47" i="105"/>
  <c r="J55" i="105"/>
  <c r="J33" i="106"/>
  <c r="V59" i="106"/>
  <c r="V76" i="106"/>
  <c r="V48" i="109"/>
  <c r="V34" i="109"/>
  <c r="V26" i="109"/>
  <c r="V22" i="109"/>
  <c r="V50" i="109"/>
  <c r="V41" i="109"/>
  <c r="V35" i="109"/>
  <c r="V42" i="109"/>
  <c r="T16" i="109"/>
  <c r="V43" i="109"/>
  <c r="V32" i="109"/>
  <c r="V24" i="109"/>
  <c r="V20" i="109"/>
  <c r="V46" i="109"/>
  <c r="V29" i="109"/>
  <c r="V44" i="109"/>
  <c r="V25" i="109"/>
  <c r="V38" i="109"/>
  <c r="V33" i="109"/>
  <c r="V30" i="109"/>
  <c r="V28" i="109"/>
  <c r="V14" i="109"/>
  <c r="V53" i="109"/>
  <c r="V40" i="109"/>
  <c r="V36" i="109"/>
  <c r="V23" i="109"/>
  <c r="V31" i="109"/>
  <c r="V21" i="109"/>
  <c r="V16" i="109"/>
  <c r="V37" i="109"/>
  <c r="V18" i="109"/>
  <c r="Z12" i="109"/>
  <c r="V19" i="109"/>
  <c r="X12" i="109"/>
  <c r="L16" i="105"/>
  <c r="J26" i="105"/>
  <c r="V28" i="105"/>
  <c r="V32" i="105"/>
  <c r="J36" i="105"/>
  <c r="J40" i="105"/>
  <c r="J44" i="105"/>
  <c r="V48" i="105"/>
  <c r="J54" i="105"/>
  <c r="V56" i="105"/>
  <c r="J94" i="106"/>
  <c r="J72" i="106"/>
  <c r="J66" i="106"/>
  <c r="J54" i="106"/>
  <c r="J67" i="106"/>
  <c r="J82" i="106"/>
  <c r="J78" i="106"/>
  <c r="J56" i="106"/>
  <c r="J83" i="106"/>
  <c r="J73" i="106"/>
  <c r="J57" i="106"/>
  <c r="J85" i="106"/>
  <c r="J79" i="106"/>
  <c r="J59" i="106"/>
  <c r="J87" i="106"/>
  <c r="J75" i="106"/>
  <c r="J69" i="106"/>
  <c r="J61" i="106"/>
  <c r="J88" i="106"/>
  <c r="J80" i="106"/>
  <c r="J76" i="106"/>
  <c r="J70" i="106"/>
  <c r="J62" i="106"/>
  <c r="J71" i="106"/>
  <c r="J63" i="106"/>
  <c r="V26" i="106"/>
  <c r="V30" i="106"/>
  <c r="V34" i="106"/>
  <c r="J38" i="106"/>
  <c r="J42" i="106"/>
  <c r="V47" i="106"/>
  <c r="J52" i="106"/>
  <c r="V54" i="106"/>
  <c r="J81" i="106"/>
  <c r="R89" i="108"/>
  <c r="R77" i="108"/>
  <c r="R85" i="108"/>
  <c r="R84" i="108"/>
  <c r="R72" i="108"/>
  <c r="R65" i="108"/>
  <c r="R64" i="108"/>
  <c r="R86" i="108"/>
  <c r="R78" i="108"/>
  <c r="R67" i="108"/>
  <c r="R66" i="108"/>
  <c r="R87" i="108"/>
  <c r="R51" i="108"/>
  <c r="R35" i="108"/>
  <c r="R31" i="108"/>
  <c r="R27" i="108"/>
  <c r="P23" i="108"/>
  <c r="R23" i="108" s="1"/>
  <c r="R93" i="108"/>
  <c r="R70" i="108"/>
  <c r="R63" i="108"/>
  <c r="R81" i="108"/>
  <c r="R73" i="108"/>
  <c r="R45" i="108"/>
  <c r="R41" i="108"/>
  <c r="R18" i="108"/>
  <c r="R53" i="108"/>
  <c r="R52" i="108"/>
  <c r="R37" i="108"/>
  <c r="R36" i="108"/>
  <c r="R32" i="108"/>
  <c r="R28" i="108"/>
  <c r="X12" i="108"/>
  <c r="R76" i="108"/>
  <c r="R71" i="108"/>
  <c r="R60" i="108"/>
  <c r="R74" i="108"/>
  <c r="R55" i="108"/>
  <c r="R54" i="108"/>
  <c r="R46" i="108"/>
  <c r="R42" i="108"/>
  <c r="R38" i="108"/>
  <c r="R82" i="108"/>
  <c r="R79" i="108"/>
  <c r="R33" i="108"/>
  <c r="R29" i="108"/>
  <c r="R68" i="108"/>
  <c r="R61" i="108"/>
  <c r="R57" i="108"/>
  <c r="R56" i="108"/>
  <c r="R20" i="108"/>
  <c r="R83" i="108"/>
  <c r="R48" i="108"/>
  <c r="R47" i="108"/>
  <c r="R43" i="108"/>
  <c r="R39" i="108"/>
  <c r="R34" i="108"/>
  <c r="R30" i="108"/>
  <c r="R75" i="108"/>
  <c r="R58" i="108"/>
  <c r="R50" i="108"/>
  <c r="R49" i="108"/>
  <c r="R26" i="108"/>
  <c r="R21" i="108"/>
  <c r="J21" i="105"/>
  <c r="L26" i="105"/>
  <c r="N26" i="105" s="1"/>
  <c r="J35" i="105"/>
  <c r="V37" i="105"/>
  <c r="V41" i="105"/>
  <c r="V45" i="105"/>
  <c r="X48" i="105"/>
  <c r="Z48" i="105" s="1"/>
  <c r="J53" i="105"/>
  <c r="L54" i="105"/>
  <c r="N54" i="105" s="1"/>
  <c r="V57" i="105"/>
  <c r="J19" i="106"/>
  <c r="X26" i="106"/>
  <c r="Z26" i="106" s="1"/>
  <c r="J37" i="106"/>
  <c r="V39" i="106"/>
  <c r="V43" i="106"/>
  <c r="X48" i="106"/>
  <c r="Z48" i="106" s="1"/>
  <c r="L52" i="106"/>
  <c r="N52" i="106" s="1"/>
  <c r="V53" i="106"/>
  <c r="V64" i="106"/>
  <c r="V66" i="106"/>
  <c r="N83" i="106"/>
  <c r="N85" i="106"/>
  <c r="T22" i="107"/>
  <c r="R69" i="108"/>
  <c r="V18" i="105"/>
  <c r="J30" i="105"/>
  <c r="J34" i="105"/>
  <c r="V46" i="105"/>
  <c r="J52" i="105"/>
  <c r="J64" i="105"/>
  <c r="J18" i="106"/>
  <c r="J28" i="106"/>
  <c r="J32" i="106"/>
  <c r="J36" i="106"/>
  <c r="J45" i="106"/>
  <c r="J51" i="106"/>
  <c r="L85" i="106"/>
  <c r="V20" i="108"/>
  <c r="J39" i="105"/>
  <c r="J43" i="105"/>
  <c r="J51" i="105"/>
  <c r="V55" i="105"/>
  <c r="J41" i="106"/>
  <c r="J55" i="106"/>
  <c r="J65" i="106"/>
  <c r="N75" i="106"/>
  <c r="J77" i="106"/>
  <c r="J90" i="106"/>
  <c r="X16" i="109"/>
  <c r="J20" i="105"/>
  <c r="T23" i="105"/>
  <c r="V36" i="105"/>
  <c r="V40" i="105"/>
  <c r="V44" i="105"/>
  <c r="J50" i="105"/>
  <c r="J60" i="105"/>
  <c r="V84" i="106"/>
  <c r="V68" i="106"/>
  <c r="V60" i="106"/>
  <c r="V48" i="106"/>
  <c r="V87" i="106"/>
  <c r="V79" i="106"/>
  <c r="V75" i="106"/>
  <c r="V86" i="106"/>
  <c r="V74" i="106"/>
  <c r="V70" i="106"/>
  <c r="V62" i="106"/>
  <c r="V69" i="106"/>
  <c r="V61" i="106"/>
  <c r="V71" i="106"/>
  <c r="V63" i="106"/>
  <c r="V81" i="106"/>
  <c r="V77" i="106"/>
  <c r="V65" i="106"/>
  <c r="V94" i="106"/>
  <c r="V72" i="106"/>
  <c r="V56" i="106"/>
  <c r="V83" i="106"/>
  <c r="V67" i="106"/>
  <c r="H23" i="106"/>
  <c r="V38" i="106"/>
  <c r="V42" i="106"/>
  <c r="J50" i="106"/>
  <c r="J58" i="106"/>
  <c r="Z83" i="106"/>
  <c r="X83" i="106"/>
  <c r="Z85" i="106"/>
  <c r="V27" i="108"/>
  <c r="R44" i="108"/>
  <c r="V87" i="108"/>
  <c r="V21" i="105"/>
  <c r="V23" i="105"/>
  <c r="V25" i="105"/>
  <c r="J29" i="105"/>
  <c r="J33" i="105"/>
  <c r="J49" i="105"/>
  <c r="L50" i="105"/>
  <c r="N50" i="105" s="1"/>
  <c r="V53" i="105"/>
  <c r="L60" i="105"/>
  <c r="J23" i="106"/>
  <c r="J25" i="106"/>
  <c r="J27" i="106"/>
  <c r="J31" i="106"/>
  <c r="J35" i="106"/>
  <c r="J49" i="106"/>
  <c r="L50" i="106"/>
  <c r="N50" i="106" s="1"/>
  <c r="Z52" i="106"/>
  <c r="J60" i="106"/>
  <c r="V85" i="106"/>
  <c r="R25" i="108"/>
  <c r="V35" i="108"/>
  <c r="R80" i="108"/>
  <c r="V26" i="105"/>
  <c r="V30" i="105"/>
  <c r="V34" i="105"/>
  <c r="J38" i="105"/>
  <c r="J42" i="105"/>
  <c r="J48" i="105"/>
  <c r="V54" i="105"/>
  <c r="J58" i="105"/>
  <c r="V64" i="105"/>
  <c r="J40" i="106"/>
  <c r="J44" i="106"/>
  <c r="V45" i="106"/>
  <c r="V51" i="106"/>
  <c r="V52" i="106"/>
  <c r="Z58" i="106"/>
  <c r="V73" i="106"/>
  <c r="J84" i="106"/>
  <c r="R22" i="107"/>
  <c r="R20" i="107"/>
  <c r="R18" i="107"/>
  <c r="R16" i="107"/>
  <c r="R14" i="107"/>
  <c r="P16" i="107"/>
  <c r="R24" i="107"/>
  <c r="X12" i="107"/>
  <c r="J19" i="105"/>
  <c r="V35" i="105"/>
  <c r="V39" i="105"/>
  <c r="V43" i="105"/>
  <c r="J47" i="105"/>
  <c r="J21" i="106"/>
  <c r="V37" i="106"/>
  <c r="V41" i="106"/>
  <c r="J48" i="106"/>
  <c r="V55" i="106"/>
  <c r="V58" i="106"/>
  <c r="L64" i="106"/>
  <c r="N64" i="106" s="1"/>
  <c r="V90" i="106"/>
  <c r="V29" i="107"/>
  <c r="V26" i="107"/>
  <c r="V24" i="107"/>
  <c r="Z12" i="107"/>
  <c r="V22" i="107"/>
  <c r="V20" i="107"/>
  <c r="V16" i="107"/>
  <c r="V81" i="108"/>
  <c r="V69" i="108"/>
  <c r="V61" i="108"/>
  <c r="V84" i="108"/>
  <c r="V72" i="108"/>
  <c r="V64" i="108"/>
  <c r="V67" i="108"/>
  <c r="V73" i="108"/>
  <c r="V93" i="108"/>
  <c r="V66" i="108"/>
  <c r="V18" i="108"/>
  <c r="V53" i="108"/>
  <c r="V45" i="108"/>
  <c r="V41" i="108"/>
  <c r="V37" i="108"/>
  <c r="V89" i="108"/>
  <c r="V85" i="108"/>
  <c r="V78" i="108"/>
  <c r="V52" i="108"/>
  <c r="V36" i="108"/>
  <c r="V32" i="108"/>
  <c r="V28" i="108"/>
  <c r="Z12" i="108"/>
  <c r="V76" i="108"/>
  <c r="V74" i="108"/>
  <c r="V71" i="108"/>
  <c r="V60" i="108"/>
  <c r="V55" i="108"/>
  <c r="V19" i="108"/>
  <c r="V54" i="108"/>
  <c r="V46" i="108"/>
  <c r="V42" i="108"/>
  <c r="V38" i="108"/>
  <c r="V82" i="108"/>
  <c r="V79" i="108"/>
  <c r="V57" i="108"/>
  <c r="V33" i="108"/>
  <c r="V29" i="108"/>
  <c r="V83" i="108"/>
  <c r="V68" i="108"/>
  <c r="V56" i="108"/>
  <c r="V48" i="108"/>
  <c r="V86" i="108"/>
  <c r="V65" i="108"/>
  <c r="V47" i="108"/>
  <c r="V43" i="108"/>
  <c r="V39" i="108"/>
  <c r="V50" i="108"/>
  <c r="V34" i="108"/>
  <c r="V30" i="108"/>
  <c r="V26" i="108"/>
  <c r="V77" i="108"/>
  <c r="V75" i="108"/>
  <c r="V59" i="108"/>
  <c r="V58" i="108"/>
  <c r="V49" i="108"/>
  <c r="V25" i="108"/>
  <c r="V23" i="108"/>
  <c r="V21" i="108"/>
  <c r="V80" i="108"/>
  <c r="V62" i="108"/>
  <c r="V44" i="108"/>
  <c r="V40" i="108"/>
  <c r="T23" i="108"/>
  <c r="D46" i="109"/>
  <c r="L16" i="109"/>
  <c r="J56" i="108"/>
  <c r="J68" i="108"/>
  <c r="J86" i="108"/>
  <c r="H46" i="109"/>
  <c r="N16" i="109"/>
  <c r="D12" i="108"/>
  <c r="J29" i="108"/>
  <c r="J33" i="108"/>
  <c r="J55" i="108"/>
  <c r="J79" i="108"/>
  <c r="F31" i="109"/>
  <c r="F40" i="109"/>
  <c r="N60" i="110"/>
  <c r="X67" i="110"/>
  <c r="Z67" i="110" s="1"/>
  <c r="J26" i="107"/>
  <c r="J29" i="107"/>
  <c r="J73" i="108"/>
  <c r="J67" i="108"/>
  <c r="J80" i="108"/>
  <c r="J76" i="108"/>
  <c r="J70" i="108"/>
  <c r="J60" i="108"/>
  <c r="J93" i="108"/>
  <c r="J81" i="108"/>
  <c r="J71" i="108"/>
  <c r="J61" i="108"/>
  <c r="J83" i="108"/>
  <c r="J77" i="108"/>
  <c r="J63" i="108"/>
  <c r="X25" i="108"/>
  <c r="Z25" i="108" s="1"/>
  <c r="J38" i="108"/>
  <c r="J42" i="108"/>
  <c r="J46" i="108"/>
  <c r="J54" i="108"/>
  <c r="L55" i="108"/>
  <c r="N55" i="108" s="1"/>
  <c r="X59" i="108"/>
  <c r="J74" i="108"/>
  <c r="N40" i="109"/>
  <c r="D16" i="107"/>
  <c r="J19" i="108"/>
  <c r="J37" i="108"/>
  <c r="J53" i="108"/>
  <c r="J64" i="108"/>
  <c r="N85" i="108"/>
  <c r="J89" i="108"/>
  <c r="J52" i="108"/>
  <c r="J85" i="108"/>
  <c r="F20" i="109"/>
  <c r="F28" i="109"/>
  <c r="F33" i="109"/>
  <c r="F53" i="109"/>
  <c r="X64" i="110"/>
  <c r="Z64" i="110" s="1"/>
  <c r="H16" i="107"/>
  <c r="J41" i="108"/>
  <c r="J45" i="108"/>
  <c r="J78" i="108"/>
  <c r="X83" i="108"/>
  <c r="Z83" i="108" s="1"/>
  <c r="L19" i="109"/>
  <c r="N19" i="109" s="1"/>
  <c r="F25" i="109"/>
  <c r="F30" i="109"/>
  <c r="Z40" i="109"/>
  <c r="X30" i="110"/>
  <c r="Z30" i="110" s="1"/>
  <c r="F33" i="110"/>
  <c r="N63" i="108"/>
  <c r="F36" i="109"/>
  <c r="F32" i="109"/>
  <c r="F43" i="109"/>
  <c r="F29" i="109"/>
  <c r="F18" i="109"/>
  <c r="F16" i="109"/>
  <c r="F14" i="109"/>
  <c r="F44" i="109"/>
  <c r="F46" i="109"/>
  <c r="F37" i="109"/>
  <c r="F48" i="109"/>
  <c r="F34" i="109"/>
  <c r="F26" i="109"/>
  <c r="F22" i="109"/>
  <c r="F38" i="109"/>
  <c r="F50" i="109"/>
  <c r="F35" i="109"/>
  <c r="F27" i="109"/>
  <c r="F23" i="109"/>
  <c r="F19" i="109"/>
  <c r="J23" i="108"/>
  <c r="J25" i="108"/>
  <c r="J27" i="108"/>
  <c r="J31" i="108"/>
  <c r="J35" i="108"/>
  <c r="J51" i="108"/>
  <c r="J59" i="108"/>
  <c r="J66" i="108"/>
  <c r="X67" i="108"/>
  <c r="Z67" i="108" s="1"/>
  <c r="Z20" i="110"/>
  <c r="V20" i="110"/>
  <c r="J41" i="110"/>
  <c r="N41" i="110"/>
  <c r="N53" i="110"/>
  <c r="L55" i="110"/>
  <c r="N55" i="110" s="1"/>
  <c r="H70" i="110"/>
  <c r="J70" i="110" s="1"/>
  <c r="J26" i="108"/>
  <c r="J40" i="108"/>
  <c r="J44" i="108"/>
  <c r="J50" i="108"/>
  <c r="J62" i="108"/>
  <c r="J69" i="108"/>
  <c r="J84" i="108"/>
  <c r="J87" i="108"/>
  <c r="L12" i="109"/>
  <c r="N18" i="109"/>
  <c r="X42" i="109"/>
  <c r="Z42" i="109" s="1"/>
  <c r="P40" i="109"/>
  <c r="X40" i="109" s="1"/>
  <c r="L41" i="110"/>
  <c r="N45" i="110"/>
  <c r="J49" i="108"/>
  <c r="J58" i="108"/>
  <c r="F41" i="109"/>
  <c r="J30" i="108"/>
  <c r="J34" i="108"/>
  <c r="J48" i="108"/>
  <c r="Z63" i="108"/>
  <c r="N65" i="108"/>
  <c r="J75" i="108"/>
  <c r="F24" i="109"/>
  <c r="F56" i="110"/>
  <c r="F55" i="110"/>
  <c r="F44" i="110"/>
  <c r="F43" i="110"/>
  <c r="F63" i="110"/>
  <c r="F58" i="110"/>
  <c r="F57" i="110"/>
  <c r="F65" i="110"/>
  <c r="F64" i="110"/>
  <c r="F29" i="110"/>
  <c r="F25" i="110"/>
  <c r="F21" i="110"/>
  <c r="F20" i="110"/>
  <c r="F48" i="110"/>
  <c r="F47" i="110"/>
  <c r="F19" i="110"/>
  <c r="F15" i="110"/>
  <c r="F68" i="110"/>
  <c r="F59" i="110"/>
  <c r="F39" i="110"/>
  <c r="F35" i="110"/>
  <c r="F31" i="110"/>
  <c r="F30" i="110"/>
  <c r="F67" i="110"/>
  <c r="F52" i="110"/>
  <c r="F61" i="110"/>
  <c r="F49" i="110"/>
  <c r="F45" i="110"/>
  <c r="F41" i="110"/>
  <c r="F72" i="110"/>
  <c r="F53" i="110"/>
  <c r="F50" i="110"/>
  <c r="F46" i="110"/>
  <c r="F28" i="110"/>
  <c r="F62" i="110"/>
  <c r="F34" i="110"/>
  <c r="F54" i="110"/>
  <c r="F51" i="110"/>
  <c r="F23" i="110"/>
  <c r="F60" i="110"/>
  <c r="F40" i="110"/>
  <c r="F32" i="110"/>
  <c r="D17" i="110"/>
  <c r="X15" i="110"/>
  <c r="R15" i="110"/>
  <c r="F27" i="110"/>
  <c r="F36" i="110"/>
  <c r="R36" i="109"/>
  <c r="J41" i="109"/>
  <c r="R44" i="109"/>
  <c r="J63" i="110"/>
  <c r="J57" i="110"/>
  <c r="J45" i="110"/>
  <c r="J64" i="110"/>
  <c r="J58" i="110"/>
  <c r="J65" i="110"/>
  <c r="J48" i="110"/>
  <c r="J30" i="110"/>
  <c r="J68" i="110"/>
  <c r="J67" i="110"/>
  <c r="J59" i="110"/>
  <c r="J49" i="110"/>
  <c r="J39" i="110"/>
  <c r="J35" i="110"/>
  <c r="J31" i="110"/>
  <c r="J60" i="110"/>
  <c r="J50" i="110"/>
  <c r="J26" i="110"/>
  <c r="J22" i="110"/>
  <c r="J29" i="110"/>
  <c r="R30" i="110"/>
  <c r="J44" i="110"/>
  <c r="J55" i="110"/>
  <c r="V64" i="110"/>
  <c r="R14" i="109"/>
  <c r="R16" i="109"/>
  <c r="R18" i="109"/>
  <c r="R28" i="109"/>
  <c r="J31" i="109"/>
  <c r="R42" i="109"/>
  <c r="J50" i="109"/>
  <c r="N12" i="110"/>
  <c r="J17" i="110"/>
  <c r="L20" i="110"/>
  <c r="N20" i="110" s="1"/>
  <c r="V21" i="110"/>
  <c r="V24" i="110"/>
  <c r="R29" i="110"/>
  <c r="V30" i="110"/>
  <c r="R35" i="110"/>
  <c r="J37" i="110"/>
  <c r="V38" i="110"/>
  <c r="Z45" i="110"/>
  <c r="V58" i="110"/>
  <c r="V63" i="110"/>
  <c r="V67" i="110"/>
  <c r="R19" i="109"/>
  <c r="R27" i="109"/>
  <c r="J38" i="109"/>
  <c r="V59" i="110"/>
  <c r="V51" i="110"/>
  <c r="V39" i="110"/>
  <c r="V35" i="110"/>
  <c r="V31" i="110"/>
  <c r="V61" i="110"/>
  <c r="V53" i="110"/>
  <c r="V72" i="110"/>
  <c r="V52" i="110"/>
  <c r="V40" i="110"/>
  <c r="V36" i="110"/>
  <c r="V32" i="110"/>
  <c r="V55" i="110"/>
  <c r="V43" i="110"/>
  <c r="V27" i="110"/>
  <c r="V23" i="110"/>
  <c r="V62" i="110"/>
  <c r="V54" i="110"/>
  <c r="V42" i="110"/>
  <c r="J15" i="110"/>
  <c r="J23" i="110"/>
  <c r="V29" i="110"/>
  <c r="V41" i="110"/>
  <c r="R44" i="110"/>
  <c r="V45" i="110"/>
  <c r="V48" i="110"/>
  <c r="N51" i="110"/>
  <c r="J54" i="110"/>
  <c r="X12" i="110"/>
  <c r="Z12" i="110" s="1"/>
  <c r="R26" i="110"/>
  <c r="J34" i="110"/>
  <c r="J43" i="110"/>
  <c r="V44" i="110"/>
  <c r="J47" i="110"/>
  <c r="J51" i="110"/>
  <c r="R55" i="110"/>
  <c r="V60" i="110"/>
  <c r="J62" i="110"/>
  <c r="P17" i="110"/>
  <c r="R19" i="110"/>
  <c r="R20" i="110"/>
  <c r="R37" i="110"/>
  <c r="R65" i="110"/>
  <c r="R54" i="110"/>
  <c r="T70" i="110"/>
  <c r="V70" i="110" s="1"/>
  <c r="R34" i="110"/>
  <c r="R47" i="110"/>
  <c r="X51" i="110"/>
  <c r="J53" i="110"/>
  <c r="R57" i="110"/>
  <c r="R62" i="110"/>
  <c r="L28" i="109"/>
  <c r="N28" i="109" s="1"/>
  <c r="J44" i="109"/>
  <c r="V17" i="110"/>
  <c r="R25" i="110"/>
  <c r="R28" i="110"/>
  <c r="R31" i="110"/>
  <c r="V34" i="110"/>
  <c r="R39" i="110"/>
  <c r="R43" i="110"/>
  <c r="Z57" i="110"/>
  <c r="V68" i="110"/>
  <c r="R68" i="110"/>
  <c r="R67" i="110"/>
  <c r="R49" i="110"/>
  <c r="R48" i="110"/>
  <c r="R60" i="110"/>
  <c r="R59" i="110"/>
  <c r="R51" i="110"/>
  <c r="R61" i="110"/>
  <c r="R72" i="110"/>
  <c r="R53" i="110"/>
  <c r="R52" i="110"/>
  <c r="R41" i="110"/>
  <c r="R40" i="110"/>
  <c r="R36" i="110"/>
  <c r="R32" i="110"/>
  <c r="R27" i="110"/>
  <c r="R23" i="110"/>
  <c r="R33" i="110"/>
  <c r="R42" i="110"/>
  <c r="R56" i="110"/>
  <c r="R64" i="110"/>
  <c r="H95" i="108" l="1"/>
  <c r="J91" i="108"/>
  <c r="J80" i="80"/>
  <c r="R20" i="105"/>
  <c r="R52" i="105"/>
  <c r="R51" i="105"/>
  <c r="R43" i="105"/>
  <c r="R39" i="105"/>
  <c r="R64" i="105"/>
  <c r="R35" i="105"/>
  <c r="R34" i="105"/>
  <c r="R30" i="105"/>
  <c r="R54" i="105"/>
  <c r="R53" i="105"/>
  <c r="R26" i="105"/>
  <c r="R21" i="105"/>
  <c r="R44" i="105"/>
  <c r="R40" i="105"/>
  <c r="R36" i="105"/>
  <c r="R25" i="105"/>
  <c r="R55" i="105"/>
  <c r="R31" i="105"/>
  <c r="R27" i="105"/>
  <c r="P23" i="105"/>
  <c r="R46" i="105"/>
  <c r="R45" i="105"/>
  <c r="R41" i="105"/>
  <c r="R37" i="105"/>
  <c r="R18" i="105"/>
  <c r="R57" i="105"/>
  <c r="R56" i="105"/>
  <c r="R32" i="105"/>
  <c r="R28" i="105"/>
  <c r="X12" i="105"/>
  <c r="Z12" i="105" s="1"/>
  <c r="R48" i="105"/>
  <c r="R47" i="105"/>
  <c r="R19" i="105"/>
  <c r="R58" i="105"/>
  <c r="R42" i="105"/>
  <c r="R38" i="105"/>
  <c r="R49" i="105"/>
  <c r="R33" i="105"/>
  <c r="R60" i="105"/>
  <c r="R50" i="105"/>
  <c r="R29" i="105"/>
  <c r="D53" i="100"/>
  <c r="L17" i="100"/>
  <c r="D78" i="101"/>
  <c r="N16" i="99"/>
  <c r="H27" i="99"/>
  <c r="F72" i="93"/>
  <c r="F60" i="93"/>
  <c r="F59" i="93"/>
  <c r="F20" i="93"/>
  <c r="F73" i="93"/>
  <c r="F69" i="93"/>
  <c r="F68" i="93"/>
  <c r="F61" i="93"/>
  <c r="F53" i="93"/>
  <c r="F52" i="93"/>
  <c r="F24" i="93"/>
  <c r="F78" i="93"/>
  <c r="F77" i="93"/>
  <c r="F66" i="93"/>
  <c r="F58" i="93"/>
  <c r="F57" i="93"/>
  <c r="F42" i="93"/>
  <c r="F38" i="93"/>
  <c r="F48" i="93"/>
  <c r="F44" i="93"/>
  <c r="F41" i="93"/>
  <c r="F36" i="93"/>
  <c r="F70" i="93"/>
  <c r="F67" i="93"/>
  <c r="F64" i="93"/>
  <c r="F49" i="93"/>
  <c r="F39" i="93"/>
  <c r="F27" i="93"/>
  <c r="L12" i="93"/>
  <c r="N12" i="93" s="1"/>
  <c r="F65" i="93"/>
  <c r="F33" i="93"/>
  <c r="F30" i="93"/>
  <c r="F50" i="93"/>
  <c r="F71" i="93"/>
  <c r="F45" i="93"/>
  <c r="F37" i="93"/>
  <c r="D22" i="93"/>
  <c r="F84" i="93"/>
  <c r="F74" i="93"/>
  <c r="F54" i="93"/>
  <c r="F51" i="93"/>
  <c r="F40" i="93"/>
  <c r="F34" i="93"/>
  <c r="F31" i="93"/>
  <c r="F28" i="93"/>
  <c r="F18" i="93"/>
  <c r="F80" i="93"/>
  <c r="F47" i="93"/>
  <c r="F35" i="93"/>
  <c r="F26" i="93"/>
  <c r="F75" i="93"/>
  <c r="F56" i="93"/>
  <c r="F46" i="93"/>
  <c r="F63" i="93"/>
  <c r="F19" i="93"/>
  <c r="F25" i="93"/>
  <c r="F29" i="93"/>
  <c r="F76" i="93"/>
  <c r="F55" i="93"/>
  <c r="F43" i="93"/>
  <c r="F62" i="93"/>
  <c r="F32" i="93"/>
  <c r="H130" i="85"/>
  <c r="X22" i="70"/>
  <c r="P74" i="70"/>
  <c r="N16" i="60"/>
  <c r="H60" i="60"/>
  <c r="Z16" i="60"/>
  <c r="T60" i="60"/>
  <c r="R112" i="69"/>
  <c r="R102" i="69"/>
  <c r="R101" i="69"/>
  <c r="R92" i="69"/>
  <c r="R84" i="69"/>
  <c r="R80" i="69"/>
  <c r="R103" i="69"/>
  <c r="R76" i="69"/>
  <c r="R75" i="69"/>
  <c r="R71" i="69"/>
  <c r="R67" i="69"/>
  <c r="R116" i="69"/>
  <c r="R58" i="69"/>
  <c r="R54" i="69"/>
  <c r="R50" i="69"/>
  <c r="R46" i="69"/>
  <c r="X12" i="69"/>
  <c r="Z12" i="69" s="1"/>
  <c r="R94" i="69"/>
  <c r="R93" i="69"/>
  <c r="R85" i="69"/>
  <c r="R81" i="69"/>
  <c r="R77" i="69"/>
  <c r="R105" i="69"/>
  <c r="R104" i="69"/>
  <c r="R109" i="69"/>
  <c r="R108" i="69"/>
  <c r="R89" i="69"/>
  <c r="R88" i="69"/>
  <c r="R60" i="69"/>
  <c r="R56" i="69"/>
  <c r="R52" i="69"/>
  <c r="R48" i="69"/>
  <c r="R44" i="69"/>
  <c r="R110" i="69"/>
  <c r="R98" i="69"/>
  <c r="R55" i="69"/>
  <c r="R74" i="69"/>
  <c r="R69" i="69"/>
  <c r="R91" i="69"/>
  <c r="R83" i="69"/>
  <c r="R78" i="69"/>
  <c r="R72" i="69"/>
  <c r="R53" i="69"/>
  <c r="R106" i="69"/>
  <c r="R86" i="69"/>
  <c r="R63" i="69"/>
  <c r="R59" i="69"/>
  <c r="R99" i="69"/>
  <c r="R70" i="69"/>
  <c r="P63" i="69"/>
  <c r="R45" i="69"/>
  <c r="R87" i="69"/>
  <c r="R51" i="69"/>
  <c r="R107" i="69"/>
  <c r="R79" i="69"/>
  <c r="R73" i="69"/>
  <c r="R68" i="69"/>
  <c r="R65" i="69"/>
  <c r="R43" i="69"/>
  <c r="R97" i="69"/>
  <c r="R57" i="69"/>
  <c r="R95" i="69"/>
  <c r="R82" i="69"/>
  <c r="R49" i="69"/>
  <c r="R47" i="69"/>
  <c r="R66" i="69"/>
  <c r="R96" i="69"/>
  <c r="R61" i="69"/>
  <c r="R100" i="69"/>
  <c r="R90" i="69"/>
  <c r="L16" i="64"/>
  <c r="D103" i="64"/>
  <c r="P70" i="48"/>
  <c r="X17" i="48"/>
  <c r="R17" i="48"/>
  <c r="H84" i="56"/>
  <c r="T129" i="42"/>
  <c r="R84" i="42"/>
  <c r="R64" i="42"/>
  <c r="R57" i="42"/>
  <c r="R56" i="42"/>
  <c r="R33" i="42"/>
  <c r="R95" i="42"/>
  <c r="R51" i="42"/>
  <c r="R47" i="42"/>
  <c r="R32" i="42"/>
  <c r="R118" i="42"/>
  <c r="R111" i="42"/>
  <c r="R110" i="42"/>
  <c r="R106" i="42"/>
  <c r="R102" i="42"/>
  <c r="R90" i="42"/>
  <c r="R75" i="42"/>
  <c r="R74" i="42"/>
  <c r="R59" i="42"/>
  <c r="R58" i="42"/>
  <c r="R42" i="42"/>
  <c r="R38" i="42"/>
  <c r="R34" i="42"/>
  <c r="R131" i="42"/>
  <c r="R85" i="42"/>
  <c r="R66" i="42"/>
  <c r="R65" i="42"/>
  <c r="R112" i="42"/>
  <c r="R120" i="42"/>
  <c r="R119" i="42"/>
  <c r="R107" i="42"/>
  <c r="R103" i="42"/>
  <c r="R92" i="42"/>
  <c r="R91" i="42"/>
  <c r="R68" i="42"/>
  <c r="R67" i="42"/>
  <c r="R44" i="42"/>
  <c r="R43" i="42"/>
  <c r="R39" i="42"/>
  <c r="R35" i="42"/>
  <c r="R86" i="42"/>
  <c r="R79" i="42"/>
  <c r="R78" i="42"/>
  <c r="R62" i="42"/>
  <c r="R121" i="42"/>
  <c r="R114" i="42"/>
  <c r="R113" i="42"/>
  <c r="R98" i="42"/>
  <c r="R97" i="42"/>
  <c r="R93" i="42"/>
  <c r="R70" i="42"/>
  <c r="R69" i="42"/>
  <c r="R53" i="42"/>
  <c r="R49" i="42"/>
  <c r="R45" i="42"/>
  <c r="R124" i="42"/>
  <c r="R123" i="42"/>
  <c r="R108" i="42"/>
  <c r="R104" i="42"/>
  <c r="R126" i="42"/>
  <c r="R94" i="42"/>
  <c r="R83" i="42"/>
  <c r="R82" i="42"/>
  <c r="R55" i="42"/>
  <c r="R54" i="42"/>
  <c r="R50" i="42"/>
  <c r="R46" i="42"/>
  <c r="R71" i="42"/>
  <c r="R99" i="42"/>
  <c r="R61" i="42"/>
  <c r="R117" i="42"/>
  <c r="R115" i="42"/>
  <c r="R101" i="42"/>
  <c r="R80" i="42"/>
  <c r="R52" i="42"/>
  <c r="R48" i="42"/>
  <c r="R26" i="42"/>
  <c r="R88" i="42"/>
  <c r="R40" i="42"/>
  <c r="P30" i="42"/>
  <c r="R76" i="42"/>
  <c r="R72" i="42"/>
  <c r="R36" i="42"/>
  <c r="R63" i="42"/>
  <c r="X12" i="42"/>
  <c r="Z12" i="42" s="1"/>
  <c r="R105" i="42"/>
  <c r="R100" i="42"/>
  <c r="R81" i="42"/>
  <c r="R77" i="42"/>
  <c r="R109" i="42"/>
  <c r="R89" i="42"/>
  <c r="R87" i="42"/>
  <c r="R37" i="42"/>
  <c r="R25" i="42"/>
  <c r="R41" i="42"/>
  <c r="R125" i="42"/>
  <c r="R60" i="42"/>
  <c r="R127" i="42"/>
  <c r="R28" i="42"/>
  <c r="R116" i="42"/>
  <c r="R96" i="42"/>
  <c r="R73" i="42"/>
  <c r="R27" i="42"/>
  <c r="R141" i="30"/>
  <c r="R140" i="30"/>
  <c r="R132" i="30"/>
  <c r="R121" i="30"/>
  <c r="R120" i="30"/>
  <c r="R93" i="30"/>
  <c r="R92" i="30"/>
  <c r="R77" i="30"/>
  <c r="R76" i="30"/>
  <c r="R72" i="30"/>
  <c r="R68" i="30"/>
  <c r="P64" i="30"/>
  <c r="R128" i="30"/>
  <c r="R127" i="30"/>
  <c r="R115" i="30"/>
  <c r="R104" i="30"/>
  <c r="R103" i="30"/>
  <c r="R59" i="30"/>
  <c r="R55" i="30"/>
  <c r="R51" i="30"/>
  <c r="R47" i="30"/>
  <c r="R43" i="30"/>
  <c r="R142" i="30"/>
  <c r="R122" i="30"/>
  <c r="R95" i="30"/>
  <c r="R94" i="30"/>
  <c r="R86" i="30"/>
  <c r="R82" i="30"/>
  <c r="R78" i="30"/>
  <c r="X12" i="30"/>
  <c r="Z12" i="30" s="1"/>
  <c r="R145" i="30"/>
  <c r="R144" i="30"/>
  <c r="R134" i="30"/>
  <c r="R133" i="30"/>
  <c r="R129" i="30"/>
  <c r="R106" i="30"/>
  <c r="R105" i="30"/>
  <c r="R73" i="30"/>
  <c r="R69" i="30"/>
  <c r="R146" i="30"/>
  <c r="R117" i="30"/>
  <c r="R116" i="30"/>
  <c r="R96" i="30"/>
  <c r="R60" i="30"/>
  <c r="R56" i="30"/>
  <c r="R52" i="30"/>
  <c r="R48" i="30"/>
  <c r="R44" i="30"/>
  <c r="R147" i="30"/>
  <c r="R135" i="30"/>
  <c r="R123" i="30"/>
  <c r="R108" i="30"/>
  <c r="R107" i="30"/>
  <c r="R88" i="30"/>
  <c r="R87" i="30"/>
  <c r="R83" i="30"/>
  <c r="R79" i="30"/>
  <c r="R130" i="30"/>
  <c r="R118" i="30"/>
  <c r="R74" i="30"/>
  <c r="R70" i="30"/>
  <c r="R110" i="30"/>
  <c r="R109" i="30"/>
  <c r="R98" i="30"/>
  <c r="R97" i="30"/>
  <c r="R90" i="30"/>
  <c r="R89" i="30"/>
  <c r="R61" i="30"/>
  <c r="R57" i="30"/>
  <c r="R53" i="30"/>
  <c r="R49" i="30"/>
  <c r="R45" i="30"/>
  <c r="R137" i="30"/>
  <c r="R136" i="30"/>
  <c r="R125" i="30"/>
  <c r="R124" i="30"/>
  <c r="R84" i="30"/>
  <c r="R80" i="30"/>
  <c r="R139" i="30"/>
  <c r="R138" i="30"/>
  <c r="R126" i="30"/>
  <c r="R67" i="30"/>
  <c r="R62" i="30"/>
  <c r="R58" i="30"/>
  <c r="R54" i="30"/>
  <c r="R50" i="30"/>
  <c r="R46" i="30"/>
  <c r="R42" i="30"/>
  <c r="R151" i="30"/>
  <c r="R131" i="30"/>
  <c r="R91" i="30"/>
  <c r="R112" i="30"/>
  <c r="R101" i="30"/>
  <c r="R99" i="30"/>
  <c r="R81" i="30"/>
  <c r="R75" i="30"/>
  <c r="R64" i="30"/>
  <c r="R85" i="30"/>
  <c r="R119" i="30"/>
  <c r="R114" i="30"/>
  <c r="R100" i="30"/>
  <c r="R102" i="30"/>
  <c r="R71" i="30"/>
  <c r="R66" i="30"/>
  <c r="R41" i="30"/>
  <c r="R111" i="30"/>
  <c r="R113" i="30"/>
  <c r="F274" i="18"/>
  <c r="F265" i="18"/>
  <c r="F264" i="18"/>
  <c r="F257" i="18"/>
  <c r="F253" i="18"/>
  <c r="F241" i="18"/>
  <c r="F225" i="18"/>
  <c r="F224" i="18"/>
  <c r="F209" i="18"/>
  <c r="F201" i="18"/>
  <c r="F200" i="18"/>
  <c r="F173" i="18"/>
  <c r="F169" i="18"/>
  <c r="F165" i="18"/>
  <c r="F161" i="18"/>
  <c r="F157" i="18"/>
  <c r="F153" i="18"/>
  <c r="F149" i="18"/>
  <c r="F145" i="18"/>
  <c r="F141" i="18"/>
  <c r="F137" i="18"/>
  <c r="F133" i="18"/>
  <c r="F129" i="18"/>
  <c r="F125" i="18"/>
  <c r="F121" i="18"/>
  <c r="F275" i="18"/>
  <c r="F236" i="18"/>
  <c r="F216" i="18"/>
  <c r="F196" i="18"/>
  <c r="F192" i="18"/>
  <c r="F276" i="18"/>
  <c r="F247" i="18"/>
  <c r="F227" i="18"/>
  <c r="F226" i="18"/>
  <c r="F203" i="18"/>
  <c r="F202" i="18"/>
  <c r="F187" i="18"/>
  <c r="F183" i="18"/>
  <c r="F179" i="18"/>
  <c r="F178" i="18"/>
  <c r="F277" i="18"/>
  <c r="F266" i="18"/>
  <c r="F258" i="18"/>
  <c r="F254" i="18"/>
  <c r="F242" i="18"/>
  <c r="F218" i="18"/>
  <c r="F217" i="18"/>
  <c r="F210" i="18"/>
  <c r="F177" i="18"/>
  <c r="F170" i="18"/>
  <c r="F166" i="18"/>
  <c r="F162" i="18"/>
  <c r="F158" i="18"/>
  <c r="F154" i="18"/>
  <c r="F150" i="18"/>
  <c r="F146" i="18"/>
  <c r="F142" i="18"/>
  <c r="F138" i="18"/>
  <c r="F134" i="18"/>
  <c r="F130" i="18"/>
  <c r="F126" i="18"/>
  <c r="F122" i="18"/>
  <c r="F278" i="18"/>
  <c r="F249" i="18"/>
  <c r="F248" i="18"/>
  <c r="F237" i="18"/>
  <c r="F229" i="18"/>
  <c r="F228" i="18"/>
  <c r="F197" i="18"/>
  <c r="F193" i="18"/>
  <c r="D175" i="18"/>
  <c r="F175" i="18" s="1"/>
  <c r="F279" i="18"/>
  <c r="F260" i="18"/>
  <c r="F259" i="18"/>
  <c r="F244" i="18"/>
  <c r="F243" i="18"/>
  <c r="F220" i="18"/>
  <c r="F219" i="18"/>
  <c r="F212" i="18"/>
  <c r="F211" i="18"/>
  <c r="F204" i="18"/>
  <c r="F188" i="18"/>
  <c r="F184" i="18"/>
  <c r="F180" i="18"/>
  <c r="F280" i="18"/>
  <c r="F267" i="18"/>
  <c r="F255" i="18"/>
  <c r="F239" i="18"/>
  <c r="F238" i="18"/>
  <c r="F231" i="18"/>
  <c r="F230" i="18"/>
  <c r="F171" i="18"/>
  <c r="F167" i="18"/>
  <c r="F163" i="18"/>
  <c r="F159" i="18"/>
  <c r="F155" i="18"/>
  <c r="F151" i="18"/>
  <c r="F147" i="18"/>
  <c r="F143" i="18"/>
  <c r="F139" i="18"/>
  <c r="F135" i="18"/>
  <c r="F131" i="18"/>
  <c r="F127" i="18"/>
  <c r="F123" i="18"/>
  <c r="F119" i="18"/>
  <c r="F118" i="18"/>
  <c r="F250" i="18"/>
  <c r="F222" i="18"/>
  <c r="F221" i="18"/>
  <c r="F206" i="18"/>
  <c r="F205" i="18"/>
  <c r="F198" i="18"/>
  <c r="F194" i="18"/>
  <c r="F190" i="18"/>
  <c r="F189" i="18"/>
  <c r="F269" i="18"/>
  <c r="F268" i="18"/>
  <c r="F261" i="18"/>
  <c r="F245" i="18"/>
  <c r="F233" i="18"/>
  <c r="F232" i="18"/>
  <c r="F213" i="18"/>
  <c r="F185" i="18"/>
  <c r="F181" i="18"/>
  <c r="F284" i="18"/>
  <c r="F256" i="18"/>
  <c r="F252" i="18"/>
  <c r="F251" i="18"/>
  <c r="F240" i="18"/>
  <c r="F208" i="18"/>
  <c r="F207" i="18"/>
  <c r="F172" i="18"/>
  <c r="F168" i="18"/>
  <c r="F164" i="18"/>
  <c r="F160" i="18"/>
  <c r="F156" i="18"/>
  <c r="F152" i="18"/>
  <c r="F148" i="18"/>
  <c r="F144" i="18"/>
  <c r="F140" i="18"/>
  <c r="F136" i="18"/>
  <c r="F132" i="18"/>
  <c r="F128" i="18"/>
  <c r="F124" i="18"/>
  <c r="F120" i="18"/>
  <c r="L12" i="18"/>
  <c r="N12" i="18" s="1"/>
  <c r="F272" i="18"/>
  <c r="F263" i="18"/>
  <c r="F262" i="18"/>
  <c r="F235" i="18"/>
  <c r="F234" i="18"/>
  <c r="F223" i="18"/>
  <c r="F215" i="18"/>
  <c r="F214" i="18"/>
  <c r="F199" i="18"/>
  <c r="F195" i="18"/>
  <c r="F191" i="18"/>
  <c r="F273" i="18"/>
  <c r="F182" i="18"/>
  <c r="F246" i="18"/>
  <c r="F186" i="18"/>
  <c r="F271" i="18"/>
  <c r="P27" i="49"/>
  <c r="X18" i="49"/>
  <c r="H27" i="43"/>
  <c r="N18" i="43"/>
  <c r="H27" i="38"/>
  <c r="N18" i="38"/>
  <c r="X18" i="29"/>
  <c r="P27" i="29"/>
  <c r="P27" i="22"/>
  <c r="X18" i="22"/>
  <c r="L18" i="22"/>
  <c r="D27" i="22"/>
  <c r="X18" i="19"/>
  <c r="P27" i="19"/>
  <c r="L18" i="29"/>
  <c r="D27" i="29"/>
  <c r="T27" i="10"/>
  <c r="Z18" i="10"/>
  <c r="T27" i="13"/>
  <c r="Z18" i="13"/>
  <c r="H27" i="11"/>
  <c r="N18" i="11"/>
  <c r="X18" i="8"/>
  <c r="P27" i="8"/>
  <c r="T27" i="7"/>
  <c r="Z18" i="7"/>
  <c r="L23" i="89"/>
  <c r="N23" i="89" s="1"/>
  <c r="D83" i="89"/>
  <c r="T99" i="9"/>
  <c r="X99" i="9" s="1"/>
  <c r="Z16" i="9"/>
  <c r="N18" i="53"/>
  <c r="H27" i="53"/>
  <c r="H27" i="47"/>
  <c r="N18" i="47"/>
  <c r="X18" i="37"/>
  <c r="P27" i="37"/>
  <c r="H27" i="29"/>
  <c r="N18" i="29"/>
  <c r="T27" i="19"/>
  <c r="Z18" i="19"/>
  <c r="P27" i="31"/>
  <c r="X18" i="31"/>
  <c r="H92" i="106"/>
  <c r="P63" i="103"/>
  <c r="X16" i="103"/>
  <c r="P83" i="89"/>
  <c r="X23" i="89"/>
  <c r="P95" i="88"/>
  <c r="X22" i="88"/>
  <c r="Z22" i="88" s="1"/>
  <c r="H74" i="79"/>
  <c r="H32" i="83"/>
  <c r="Z16" i="55"/>
  <c r="T31" i="55"/>
  <c r="X31" i="55" s="1"/>
  <c r="P35" i="55"/>
  <c r="H103" i="33"/>
  <c r="R100" i="45"/>
  <c r="R74" i="45"/>
  <c r="R55" i="45"/>
  <c r="R54" i="45"/>
  <c r="R39" i="45"/>
  <c r="R38" i="45"/>
  <c r="R34" i="45"/>
  <c r="R30" i="45"/>
  <c r="R97" i="45"/>
  <c r="R89" i="45"/>
  <c r="R85" i="45"/>
  <c r="R66" i="45"/>
  <c r="R65" i="45"/>
  <c r="R21" i="45"/>
  <c r="R80" i="45"/>
  <c r="R57" i="45"/>
  <c r="R56" i="45"/>
  <c r="R48" i="45"/>
  <c r="R44" i="45"/>
  <c r="R40" i="45"/>
  <c r="X12" i="45"/>
  <c r="Z12" i="45" s="1"/>
  <c r="R75" i="45"/>
  <c r="R68" i="45"/>
  <c r="R67" i="45"/>
  <c r="R35" i="45"/>
  <c r="R31" i="45"/>
  <c r="R104" i="45"/>
  <c r="R98" i="45"/>
  <c r="R90" i="45"/>
  <c r="R86" i="45"/>
  <c r="R58" i="45"/>
  <c r="R22" i="45"/>
  <c r="R82" i="45"/>
  <c r="R81" i="45"/>
  <c r="R70" i="45"/>
  <c r="R69" i="45"/>
  <c r="R50" i="45"/>
  <c r="R49" i="45"/>
  <c r="R45" i="45"/>
  <c r="R41" i="45"/>
  <c r="R77" i="45"/>
  <c r="R76" i="45"/>
  <c r="R36" i="45"/>
  <c r="R32" i="45"/>
  <c r="R92" i="45"/>
  <c r="R91" i="45"/>
  <c r="R87" i="45"/>
  <c r="R83" i="45"/>
  <c r="R72" i="45"/>
  <c r="R71" i="45"/>
  <c r="R60" i="45"/>
  <c r="R59" i="45"/>
  <c r="R52" i="45"/>
  <c r="R51" i="45"/>
  <c r="R28" i="45"/>
  <c r="R23" i="45"/>
  <c r="R78" i="45"/>
  <c r="R46" i="45"/>
  <c r="R42" i="45"/>
  <c r="R27" i="45"/>
  <c r="R88" i="45"/>
  <c r="R84" i="45"/>
  <c r="R33" i="45"/>
  <c r="R95" i="45"/>
  <c r="R37" i="45"/>
  <c r="R20" i="45"/>
  <c r="R93" i="45"/>
  <c r="R63" i="45"/>
  <c r="P25" i="45"/>
  <c r="R53" i="45"/>
  <c r="R61" i="45"/>
  <c r="R96" i="45"/>
  <c r="R79" i="45"/>
  <c r="R73" i="45"/>
  <c r="R64" i="45"/>
  <c r="R43" i="45"/>
  <c r="R47" i="45"/>
  <c r="R94" i="45"/>
  <c r="R62" i="45"/>
  <c r="R29" i="45"/>
  <c r="R134" i="36"/>
  <c r="R124" i="36"/>
  <c r="R116" i="36"/>
  <c r="R112" i="36"/>
  <c r="R108" i="36"/>
  <c r="R96" i="36"/>
  <c r="R64" i="36"/>
  <c r="R91" i="36"/>
  <c r="R102" i="36"/>
  <c r="R71" i="36"/>
  <c r="R70" i="36"/>
  <c r="R138" i="36"/>
  <c r="R131" i="36"/>
  <c r="R130" i="36"/>
  <c r="R115" i="36"/>
  <c r="R111" i="36"/>
  <c r="R113" i="36"/>
  <c r="R100" i="36"/>
  <c r="R93" i="36"/>
  <c r="R85" i="36"/>
  <c r="R80" i="36"/>
  <c r="R66" i="36"/>
  <c r="R58" i="36"/>
  <c r="R52" i="36"/>
  <c r="R48" i="36"/>
  <c r="R33" i="36"/>
  <c r="R123" i="36"/>
  <c r="R120" i="36"/>
  <c r="R118" i="36"/>
  <c r="R106" i="36"/>
  <c r="R103" i="36"/>
  <c r="R90" i="36"/>
  <c r="R86" i="36"/>
  <c r="R63" i="36"/>
  <c r="R43" i="36"/>
  <c r="R39" i="36"/>
  <c r="R35" i="36"/>
  <c r="P31" i="36"/>
  <c r="R126" i="36"/>
  <c r="R109" i="36"/>
  <c r="R97" i="36"/>
  <c r="R81" i="36"/>
  <c r="R76" i="36"/>
  <c r="R133" i="36"/>
  <c r="R121" i="36"/>
  <c r="R59" i="36"/>
  <c r="R53" i="36"/>
  <c r="R49" i="36"/>
  <c r="R26" i="36"/>
  <c r="R127" i="36"/>
  <c r="R82" i="36"/>
  <c r="R77" i="36"/>
  <c r="R67" i="36"/>
  <c r="R45" i="36"/>
  <c r="R44" i="36"/>
  <c r="R40" i="36"/>
  <c r="R36" i="36"/>
  <c r="R107" i="36"/>
  <c r="R101" i="36"/>
  <c r="R94" i="36"/>
  <c r="R87" i="36"/>
  <c r="R73" i="36"/>
  <c r="R72" i="36"/>
  <c r="R68" i="36"/>
  <c r="R27" i="36"/>
  <c r="R119" i="36"/>
  <c r="R114" i="36"/>
  <c r="R104" i="36"/>
  <c r="R54" i="36"/>
  <c r="R50" i="36"/>
  <c r="R46" i="36"/>
  <c r="R98" i="36"/>
  <c r="R88" i="36"/>
  <c r="R83" i="36"/>
  <c r="R78" i="36"/>
  <c r="R65" i="36"/>
  <c r="R60" i="36"/>
  <c r="R41" i="36"/>
  <c r="R37" i="36"/>
  <c r="R128" i="36"/>
  <c r="R117" i="36"/>
  <c r="R75" i="36"/>
  <c r="R42" i="36"/>
  <c r="R38" i="36"/>
  <c r="R125" i="36"/>
  <c r="R110" i="36"/>
  <c r="R105" i="36"/>
  <c r="R89" i="36"/>
  <c r="R79" i="36"/>
  <c r="R74" i="36"/>
  <c r="R95" i="36"/>
  <c r="R34" i="36"/>
  <c r="R28" i="36"/>
  <c r="R61" i="36"/>
  <c r="R122" i="36"/>
  <c r="R99" i="36"/>
  <c r="R57" i="36"/>
  <c r="R84" i="36"/>
  <c r="R47" i="36"/>
  <c r="R55" i="36"/>
  <c r="R51" i="36"/>
  <c r="R29" i="36"/>
  <c r="R132" i="36"/>
  <c r="R56" i="36"/>
  <c r="X12" i="36"/>
  <c r="Z12" i="36" s="1"/>
  <c r="R92" i="36"/>
  <c r="R62" i="36"/>
  <c r="R69" i="36"/>
  <c r="H156" i="30"/>
  <c r="H129" i="24"/>
  <c r="J125" i="24"/>
  <c r="Z16" i="6"/>
  <c r="T22" i="6"/>
  <c r="F94" i="21"/>
  <c r="F93" i="21"/>
  <c r="F82" i="21"/>
  <c r="F81" i="21"/>
  <c r="F70" i="21"/>
  <c r="F69" i="21"/>
  <c r="F105" i="21"/>
  <c r="F104" i="21"/>
  <c r="F89" i="21"/>
  <c r="F100" i="21"/>
  <c r="F96" i="21"/>
  <c r="F95" i="21"/>
  <c r="F90" i="21"/>
  <c r="F74" i="21"/>
  <c r="F73" i="21"/>
  <c r="F62" i="21"/>
  <c r="F54" i="21"/>
  <c r="F53" i="21"/>
  <c r="F109" i="21"/>
  <c r="F108" i="21"/>
  <c r="F101" i="21"/>
  <c r="F97" i="21"/>
  <c r="F85" i="21"/>
  <c r="F84" i="21"/>
  <c r="F76" i="21"/>
  <c r="F75" i="21"/>
  <c r="F64" i="21"/>
  <c r="F63" i="21"/>
  <c r="F56" i="21"/>
  <c r="F55" i="21"/>
  <c r="F115" i="21"/>
  <c r="F78" i="21"/>
  <c r="F59" i="21"/>
  <c r="F31" i="21"/>
  <c r="F91" i="21"/>
  <c r="F87" i="21"/>
  <c r="F51" i="21"/>
  <c r="F47" i="21"/>
  <c r="F43" i="21"/>
  <c r="F42" i="21"/>
  <c r="D29" i="21"/>
  <c r="F29" i="21" s="1"/>
  <c r="F107" i="21"/>
  <c r="F102" i="21"/>
  <c r="F66" i="21"/>
  <c r="F38" i="21"/>
  <c r="F34" i="21"/>
  <c r="F79" i="21"/>
  <c r="F60" i="21"/>
  <c r="F25" i="21"/>
  <c r="F24" i="21"/>
  <c r="F111" i="21"/>
  <c r="F98" i="21"/>
  <c r="F52" i="21"/>
  <c r="F48" i="21"/>
  <c r="F44" i="21"/>
  <c r="F88" i="21"/>
  <c r="F39" i="21"/>
  <c r="F35" i="21"/>
  <c r="F67" i="21"/>
  <c r="F57" i="21"/>
  <c r="F26" i="21"/>
  <c r="F103" i="21"/>
  <c r="F92" i="21"/>
  <c r="F80" i="21"/>
  <c r="F61" i="21"/>
  <c r="F49" i="21"/>
  <c r="F45" i="21"/>
  <c r="F83" i="21"/>
  <c r="F71" i="21"/>
  <c r="F40" i="21"/>
  <c r="F36" i="21"/>
  <c r="L12" i="21"/>
  <c r="N12" i="21" s="1"/>
  <c r="F106" i="21"/>
  <c r="F99" i="21"/>
  <c r="F86" i="21"/>
  <c r="F77" i="21"/>
  <c r="F58" i="21"/>
  <c r="F27" i="21"/>
  <c r="F68" i="21"/>
  <c r="F50" i="21"/>
  <c r="F46" i="21"/>
  <c r="F65" i="21"/>
  <c r="F37" i="21"/>
  <c r="F32" i="21"/>
  <c r="F41" i="21"/>
  <c r="F72" i="21"/>
  <c r="F33" i="21"/>
  <c r="T27" i="52"/>
  <c r="Z18" i="52"/>
  <c r="P27" i="47"/>
  <c r="X18" i="47"/>
  <c r="H27" i="44"/>
  <c r="N18" i="44"/>
  <c r="T27" i="38"/>
  <c r="Z18" i="38"/>
  <c r="L18" i="26"/>
  <c r="D27" i="26"/>
  <c r="H27" i="31"/>
  <c r="N18" i="31"/>
  <c r="L18" i="31"/>
  <c r="D27" i="31"/>
  <c r="T27" i="31"/>
  <c r="Z18" i="31"/>
  <c r="T27" i="26"/>
  <c r="Z18" i="26"/>
  <c r="L18" i="13"/>
  <c r="D27" i="13"/>
  <c r="T27" i="4"/>
  <c r="Z18" i="4"/>
  <c r="H27" i="14"/>
  <c r="N18" i="14"/>
  <c r="L16" i="60"/>
  <c r="D60" i="60"/>
  <c r="T103" i="33"/>
  <c r="V37" i="33"/>
  <c r="P70" i="110"/>
  <c r="X17" i="110"/>
  <c r="Z17" i="110" s="1"/>
  <c r="R17" i="110"/>
  <c r="F86" i="108"/>
  <c r="F85" i="108"/>
  <c r="F78" i="108"/>
  <c r="F66" i="108"/>
  <c r="F65" i="108"/>
  <c r="F69" i="108"/>
  <c r="F89" i="108"/>
  <c r="F80" i="108"/>
  <c r="F76" i="108"/>
  <c r="F60" i="108"/>
  <c r="F59" i="108"/>
  <c r="F82" i="108"/>
  <c r="F81" i="108"/>
  <c r="F62" i="108"/>
  <c r="F61" i="108"/>
  <c r="F83" i="108"/>
  <c r="F72" i="108"/>
  <c r="F47" i="108"/>
  <c r="F43" i="108"/>
  <c r="F39" i="108"/>
  <c r="F75" i="108"/>
  <c r="F57" i="108"/>
  <c r="F34" i="108"/>
  <c r="F30" i="108"/>
  <c r="F58" i="108"/>
  <c r="F49" i="108"/>
  <c r="F48" i="108"/>
  <c r="F21" i="108"/>
  <c r="F87" i="108"/>
  <c r="F84" i="108"/>
  <c r="F44" i="108"/>
  <c r="F40" i="108"/>
  <c r="F93" i="108"/>
  <c r="F51" i="108"/>
  <c r="F50" i="108"/>
  <c r="F35" i="108"/>
  <c r="F31" i="108"/>
  <c r="F27" i="108"/>
  <c r="F26" i="108"/>
  <c r="F73" i="108"/>
  <c r="F63" i="108"/>
  <c r="F25" i="108"/>
  <c r="F70" i="108"/>
  <c r="F45" i="108"/>
  <c r="F41" i="108"/>
  <c r="F71" i="108"/>
  <c r="F67" i="108"/>
  <c r="F52" i="108"/>
  <c r="F36" i="108"/>
  <c r="F32" i="108"/>
  <c r="F28" i="108"/>
  <c r="L12" i="108"/>
  <c r="N12" i="108" s="1"/>
  <c r="F64" i="108"/>
  <c r="F19" i="108"/>
  <c r="F18" i="108"/>
  <c r="F54" i="108"/>
  <c r="F53" i="108"/>
  <c r="F46" i="108"/>
  <c r="F42" i="108"/>
  <c r="F38" i="108"/>
  <c r="F37" i="108"/>
  <c r="F79" i="108"/>
  <c r="F74" i="108"/>
  <c r="F33" i="108"/>
  <c r="F29" i="108"/>
  <c r="F56" i="108"/>
  <c r="F68" i="108"/>
  <c r="F55" i="108"/>
  <c r="F77" i="108"/>
  <c r="D23" i="108"/>
  <c r="F23" i="108" s="1"/>
  <c r="F20" i="108"/>
  <c r="X27" i="99"/>
  <c r="P31" i="99"/>
  <c r="T101" i="96"/>
  <c r="D77" i="94"/>
  <c r="L23" i="94"/>
  <c r="N23" i="94" s="1"/>
  <c r="T92" i="95"/>
  <c r="F23" i="89"/>
  <c r="H96" i="92"/>
  <c r="F121" i="85"/>
  <c r="F112" i="85"/>
  <c r="F111" i="85"/>
  <c r="F100" i="85"/>
  <c r="F92" i="85"/>
  <c r="F91" i="85"/>
  <c r="F80" i="85"/>
  <c r="F79" i="85"/>
  <c r="F44" i="85"/>
  <c r="F40" i="85"/>
  <c r="F36" i="85"/>
  <c r="F125" i="85"/>
  <c r="F107" i="85"/>
  <c r="F71" i="85"/>
  <c r="F67" i="85"/>
  <c r="F63" i="85"/>
  <c r="F94" i="85"/>
  <c r="F93" i="85"/>
  <c r="F82" i="85"/>
  <c r="F81" i="85"/>
  <c r="F58" i="85"/>
  <c r="F54" i="85"/>
  <c r="F113" i="85"/>
  <c r="F101" i="85"/>
  <c r="F73" i="85"/>
  <c r="F72" i="85"/>
  <c r="F45" i="85"/>
  <c r="F41" i="85"/>
  <c r="F37" i="85"/>
  <c r="F33" i="85"/>
  <c r="F32" i="85"/>
  <c r="F108" i="85"/>
  <c r="F96" i="85"/>
  <c r="F95" i="85"/>
  <c r="F84" i="85"/>
  <c r="F83" i="85"/>
  <c r="F68" i="85"/>
  <c r="F64" i="85"/>
  <c r="F117" i="85"/>
  <c r="F116" i="85"/>
  <c r="F109" i="85"/>
  <c r="F97" i="85"/>
  <c r="F104" i="85"/>
  <c r="F88" i="85"/>
  <c r="F87" i="85"/>
  <c r="F76" i="85"/>
  <c r="F60" i="85"/>
  <c r="F56" i="85"/>
  <c r="F52" i="85"/>
  <c r="F51" i="85"/>
  <c r="F119" i="85"/>
  <c r="F118" i="85"/>
  <c r="F99" i="85"/>
  <c r="F98" i="85"/>
  <c r="F50" i="85"/>
  <c r="F43" i="85"/>
  <c r="F39" i="85"/>
  <c r="F35" i="85"/>
  <c r="F115" i="85"/>
  <c r="F38" i="85"/>
  <c r="F90" i="85"/>
  <c r="F57" i="85"/>
  <c r="F55" i="85"/>
  <c r="L12" i="85"/>
  <c r="N12" i="85" s="1"/>
  <c r="F105" i="85"/>
  <c r="F103" i="85"/>
  <c r="F66" i="85"/>
  <c r="F62" i="85"/>
  <c r="F70" i="85"/>
  <c r="F53" i="85"/>
  <c r="F42" i="85"/>
  <c r="F86" i="85"/>
  <c r="F77" i="85"/>
  <c r="F75" i="85"/>
  <c r="F46" i="85"/>
  <c r="F114" i="85"/>
  <c r="F89" i="85"/>
  <c r="F65" i="85"/>
  <c r="F106" i="85"/>
  <c r="F102" i="85"/>
  <c r="F69" i="85"/>
  <c r="F61" i="85"/>
  <c r="F34" i="85"/>
  <c r="F85" i="85"/>
  <c r="F74" i="85"/>
  <c r="F59" i="85"/>
  <c r="F78" i="85"/>
  <c r="D48" i="85"/>
  <c r="F110" i="85"/>
  <c r="T106" i="77"/>
  <c r="T74" i="79"/>
  <c r="T75" i="59"/>
  <c r="X16" i="55"/>
  <c r="H136" i="36"/>
  <c r="J31" i="36"/>
  <c r="H120" i="27"/>
  <c r="N16" i="6"/>
  <c r="H22" i="6"/>
  <c r="H309" i="3"/>
  <c r="J188" i="3"/>
  <c r="L151" i="15"/>
  <c r="D256" i="15"/>
  <c r="T27" i="53"/>
  <c r="Z18" i="53"/>
  <c r="P27" i="53"/>
  <c r="X18" i="53"/>
  <c r="H27" i="50"/>
  <c r="N18" i="50"/>
  <c r="H27" i="49"/>
  <c r="N18" i="49"/>
  <c r="X18" i="44"/>
  <c r="P27" i="44"/>
  <c r="H27" i="40"/>
  <c r="N18" i="40"/>
  <c r="D27" i="43"/>
  <c r="L18" i="43"/>
  <c r="P27" i="41"/>
  <c r="X18" i="41"/>
  <c r="H27" i="26"/>
  <c r="N18" i="26"/>
  <c r="X18" i="28"/>
  <c r="P27" i="28"/>
  <c r="N18" i="23"/>
  <c r="H27" i="23"/>
  <c r="T27" i="20"/>
  <c r="Z18" i="20"/>
  <c r="T27" i="14"/>
  <c r="Z18" i="14"/>
  <c r="X18" i="14"/>
  <c r="P27" i="14"/>
  <c r="H27" i="13"/>
  <c r="N18" i="13"/>
  <c r="L23" i="98"/>
  <c r="F97" i="88"/>
  <c r="F75" i="88"/>
  <c r="F74" i="88"/>
  <c r="F85" i="88"/>
  <c r="F81" i="88"/>
  <c r="F77" i="88"/>
  <c r="F76" i="88"/>
  <c r="F69" i="88"/>
  <c r="F68" i="88"/>
  <c r="F73" i="88"/>
  <c r="F88" i="88"/>
  <c r="F61" i="88"/>
  <c r="F60" i="88"/>
  <c r="F53" i="88"/>
  <c r="F52" i="88"/>
  <c r="F24" i="88"/>
  <c r="F70" i="88"/>
  <c r="F66" i="88"/>
  <c r="F44" i="88"/>
  <c r="F40" i="88"/>
  <c r="F36" i="88"/>
  <c r="F35" i="88"/>
  <c r="D22" i="88"/>
  <c r="F93" i="88"/>
  <c r="F80" i="88"/>
  <c r="F31" i="88"/>
  <c r="F27" i="88"/>
  <c r="F62" i="88"/>
  <c r="F54" i="88"/>
  <c r="F18" i="88"/>
  <c r="F17" i="88"/>
  <c r="F89" i="88"/>
  <c r="F71" i="88"/>
  <c r="F45" i="88"/>
  <c r="F41" i="88"/>
  <c r="F37" i="88"/>
  <c r="F86" i="88"/>
  <c r="F83" i="88"/>
  <c r="F67" i="88"/>
  <c r="F63" i="88"/>
  <c r="F32" i="88"/>
  <c r="F28" i="88"/>
  <c r="F78" i="88"/>
  <c r="F55" i="88"/>
  <c r="F47" i="88"/>
  <c r="F46" i="88"/>
  <c r="F19" i="88"/>
  <c r="F90" i="88"/>
  <c r="F64" i="88"/>
  <c r="F42" i="88"/>
  <c r="F38" i="88"/>
  <c r="L12" i="88"/>
  <c r="N12" i="88" s="1"/>
  <c r="F87" i="88"/>
  <c r="F72" i="88"/>
  <c r="F57" i="88"/>
  <c r="F56" i="88"/>
  <c r="F49" i="88"/>
  <c r="F48" i="88"/>
  <c r="F33" i="88"/>
  <c r="F29" i="88"/>
  <c r="F84" i="88"/>
  <c r="F65" i="88"/>
  <c r="F20" i="88"/>
  <c r="F82" i="88"/>
  <c r="F43" i="88"/>
  <c r="F39" i="88"/>
  <c r="F58" i="88"/>
  <c r="F26" i="88"/>
  <c r="F50" i="88"/>
  <c r="F30" i="88"/>
  <c r="F91" i="88"/>
  <c r="F79" i="88"/>
  <c r="F34" i="88"/>
  <c r="F25" i="88"/>
  <c r="F51" i="88"/>
  <c r="F59" i="88"/>
  <c r="H27" i="52"/>
  <c r="N18" i="52"/>
  <c r="J23" i="102"/>
  <c r="H88" i="102"/>
  <c r="T57" i="100"/>
  <c r="L17" i="110"/>
  <c r="N17" i="110" s="1"/>
  <c r="D70" i="110"/>
  <c r="H74" i="110"/>
  <c r="Z16" i="109"/>
  <c r="T46" i="109"/>
  <c r="H90" i="104"/>
  <c r="J23" i="104"/>
  <c r="R70" i="80"/>
  <c r="R55" i="80"/>
  <c r="R54" i="80"/>
  <c r="R30" i="80"/>
  <c r="R26" i="80"/>
  <c r="P22" i="80"/>
  <c r="R71" i="80"/>
  <c r="R31" i="80"/>
  <c r="R27" i="80"/>
  <c r="R67" i="80"/>
  <c r="R19" i="80"/>
  <c r="R75" i="80"/>
  <c r="R74" i="80"/>
  <c r="R51" i="80"/>
  <c r="R50" i="80"/>
  <c r="R42" i="80"/>
  <c r="R38" i="80"/>
  <c r="X12" i="80"/>
  <c r="Z12" i="80" s="1"/>
  <c r="R62" i="80"/>
  <c r="R61" i="80"/>
  <c r="R34" i="80"/>
  <c r="R33" i="80"/>
  <c r="R29" i="80"/>
  <c r="R59" i="80"/>
  <c r="R46" i="80"/>
  <c r="R64" i="80"/>
  <c r="R53" i="80"/>
  <c r="R25" i="80"/>
  <c r="R18" i="80"/>
  <c r="R82" i="80"/>
  <c r="R56" i="80"/>
  <c r="R43" i="80"/>
  <c r="R36" i="80"/>
  <c r="R65" i="80"/>
  <c r="R47" i="80"/>
  <c r="R41" i="80"/>
  <c r="R73" i="80"/>
  <c r="R57" i="80"/>
  <c r="R22" i="80"/>
  <c r="R76" i="80"/>
  <c r="R68" i="80"/>
  <c r="R60" i="80"/>
  <c r="R44" i="80"/>
  <c r="R39" i="80"/>
  <c r="R32" i="80"/>
  <c r="R28" i="80"/>
  <c r="R45" i="80"/>
  <c r="R69" i="80"/>
  <c r="R66" i="80"/>
  <c r="R48" i="80"/>
  <c r="R37" i="80"/>
  <c r="R63" i="80"/>
  <c r="R58" i="80"/>
  <c r="R40" i="80"/>
  <c r="R24" i="80"/>
  <c r="R20" i="80"/>
  <c r="R35" i="80"/>
  <c r="R49" i="80"/>
  <c r="R72" i="80"/>
  <c r="R78" i="80"/>
  <c r="R17" i="80"/>
  <c r="R52" i="80"/>
  <c r="R42" i="84"/>
  <c r="R38" i="84"/>
  <c r="X12" i="84"/>
  <c r="Z12" i="84" s="1"/>
  <c r="R86" i="84"/>
  <c r="R85" i="84"/>
  <c r="R74" i="84"/>
  <c r="R73" i="84"/>
  <c r="R58" i="84"/>
  <c r="R57" i="84"/>
  <c r="R50" i="84"/>
  <c r="R49" i="84"/>
  <c r="R33" i="84"/>
  <c r="R29" i="84"/>
  <c r="R88" i="84"/>
  <c r="R87" i="84"/>
  <c r="R76" i="84"/>
  <c r="R75" i="84"/>
  <c r="R60" i="84"/>
  <c r="R59" i="84"/>
  <c r="R52" i="84"/>
  <c r="R51" i="84"/>
  <c r="R43" i="84"/>
  <c r="R39" i="84"/>
  <c r="R24" i="84"/>
  <c r="R70" i="84"/>
  <c r="R35" i="84"/>
  <c r="R34" i="84"/>
  <c r="R30" i="84"/>
  <c r="R26" i="84"/>
  <c r="P22" i="84"/>
  <c r="R89" i="84"/>
  <c r="R81" i="84"/>
  <c r="R77" i="84"/>
  <c r="R62" i="84"/>
  <c r="R61" i="84"/>
  <c r="R53" i="84"/>
  <c r="R91" i="84"/>
  <c r="R44" i="84"/>
  <c r="R40" i="84"/>
  <c r="R36" i="84"/>
  <c r="R17" i="84"/>
  <c r="R71" i="84"/>
  <c r="R64" i="84"/>
  <c r="R63" i="84"/>
  <c r="R31" i="84"/>
  <c r="R27" i="84"/>
  <c r="R82" i="84"/>
  <c r="R78" i="84"/>
  <c r="R54" i="84"/>
  <c r="R18" i="84"/>
  <c r="R95" i="84"/>
  <c r="R66" i="84"/>
  <c r="R65" i="84"/>
  <c r="R46" i="84"/>
  <c r="R45" i="84"/>
  <c r="R41" i="84"/>
  <c r="R37" i="84"/>
  <c r="R69" i="84"/>
  <c r="R25" i="84"/>
  <c r="R67" i="84"/>
  <c r="R19" i="84"/>
  <c r="R83" i="84"/>
  <c r="R79" i="84"/>
  <c r="R47" i="84"/>
  <c r="R72" i="84"/>
  <c r="R55" i="84"/>
  <c r="R32" i="84"/>
  <c r="R28" i="84"/>
  <c r="R84" i="84"/>
  <c r="R48" i="84"/>
  <c r="R20" i="84"/>
  <c r="R68" i="84"/>
  <c r="R56" i="84"/>
  <c r="R80" i="84"/>
  <c r="T97" i="84"/>
  <c r="F91" i="84"/>
  <c r="F82" i="84"/>
  <c r="F78" i="84"/>
  <c r="F54" i="84"/>
  <c r="F18" i="84"/>
  <c r="F17" i="84"/>
  <c r="F95" i="84"/>
  <c r="F65" i="84"/>
  <c r="F64" i="84"/>
  <c r="F45" i="84"/>
  <c r="F41" i="84"/>
  <c r="F37" i="84"/>
  <c r="F83" i="84"/>
  <c r="F79" i="84"/>
  <c r="F67" i="84"/>
  <c r="F66" i="84"/>
  <c r="F55" i="84"/>
  <c r="F47" i="84"/>
  <c r="F46" i="84"/>
  <c r="F19" i="84"/>
  <c r="F42" i="84"/>
  <c r="F38" i="84"/>
  <c r="L12" i="84"/>
  <c r="N12" i="84" s="1"/>
  <c r="F85" i="84"/>
  <c r="F84" i="84"/>
  <c r="F73" i="84"/>
  <c r="F57" i="84"/>
  <c r="F56" i="84"/>
  <c r="F49" i="84"/>
  <c r="F48" i="84"/>
  <c r="F33" i="84"/>
  <c r="F29" i="84"/>
  <c r="F80" i="84"/>
  <c r="F68" i="84"/>
  <c r="F20" i="84"/>
  <c r="F87" i="84"/>
  <c r="F86" i="84"/>
  <c r="F75" i="84"/>
  <c r="F74" i="84"/>
  <c r="F59" i="84"/>
  <c r="F58" i="84"/>
  <c r="F51" i="84"/>
  <c r="F50" i="84"/>
  <c r="F43" i="84"/>
  <c r="F39" i="84"/>
  <c r="F70" i="84"/>
  <c r="F69" i="84"/>
  <c r="F34" i="84"/>
  <c r="F30" i="84"/>
  <c r="F26" i="84"/>
  <c r="F25" i="84"/>
  <c r="F89" i="84"/>
  <c r="F88" i="84"/>
  <c r="F81" i="84"/>
  <c r="F77" i="84"/>
  <c r="F76" i="84"/>
  <c r="F61" i="84"/>
  <c r="F60" i="84"/>
  <c r="F53" i="84"/>
  <c r="F52" i="84"/>
  <c r="F24" i="84"/>
  <c r="F44" i="84"/>
  <c r="F62" i="84"/>
  <c r="F71" i="84"/>
  <c r="F35" i="84"/>
  <c r="F31" i="84"/>
  <c r="F27" i="84"/>
  <c r="D22" i="84"/>
  <c r="F63" i="84"/>
  <c r="F72" i="84"/>
  <c r="F40" i="84"/>
  <c r="F32" i="84"/>
  <c r="F28" i="84"/>
  <c r="F36" i="84"/>
  <c r="H110" i="77"/>
  <c r="J106" i="77"/>
  <c r="T87" i="76"/>
  <c r="J98" i="74"/>
  <c r="F49" i="74"/>
  <c r="F45" i="74"/>
  <c r="F41" i="74"/>
  <c r="F37" i="74"/>
  <c r="F89" i="74"/>
  <c r="F72" i="74"/>
  <c r="F68" i="74"/>
  <c r="F93" i="74"/>
  <c r="F79" i="74"/>
  <c r="F63" i="74"/>
  <c r="F59" i="74"/>
  <c r="F50" i="74"/>
  <c r="F46" i="74"/>
  <c r="F42" i="74"/>
  <c r="F38" i="74"/>
  <c r="F81" i="74"/>
  <c r="F80" i="74"/>
  <c r="F73" i="74"/>
  <c r="F69" i="74"/>
  <c r="F65" i="74"/>
  <c r="F64" i="74"/>
  <c r="F60" i="74"/>
  <c r="F56" i="74"/>
  <c r="F55" i="74"/>
  <c r="F83" i="74"/>
  <c r="F82" i="74"/>
  <c r="F54" i="74"/>
  <c r="F52" i="74"/>
  <c r="F47" i="74"/>
  <c r="F43" i="74"/>
  <c r="F39" i="74"/>
  <c r="F74" i="74"/>
  <c r="F70" i="74"/>
  <c r="F66" i="74"/>
  <c r="D52" i="74"/>
  <c r="L12" i="74"/>
  <c r="N12" i="74" s="1"/>
  <c r="F85" i="74"/>
  <c r="F84" i="74"/>
  <c r="F61" i="74"/>
  <c r="F57" i="74"/>
  <c r="F78" i="74"/>
  <c r="F76" i="74"/>
  <c r="F67" i="74"/>
  <c r="F58" i="74"/>
  <c r="F48" i="74"/>
  <c r="F87" i="74"/>
  <c r="F62" i="74"/>
  <c r="F44" i="74"/>
  <c r="F35" i="74"/>
  <c r="F77" i="74"/>
  <c r="F75" i="74"/>
  <c r="F40" i="74"/>
  <c r="F86" i="74"/>
  <c r="F36" i="74"/>
  <c r="F71" i="74"/>
  <c r="T117" i="75"/>
  <c r="D74" i="70"/>
  <c r="L22" i="70"/>
  <c r="X16" i="61"/>
  <c r="P62" i="61"/>
  <c r="T80" i="58"/>
  <c r="L16" i="59"/>
  <c r="D71" i="59"/>
  <c r="H26" i="54"/>
  <c r="N22" i="54"/>
  <c r="P106" i="51"/>
  <c r="X55" i="51"/>
  <c r="F67" i="48"/>
  <c r="F108" i="42"/>
  <c r="F104" i="42"/>
  <c r="F80" i="42"/>
  <c r="F79" i="42"/>
  <c r="F40" i="42"/>
  <c r="F36" i="42"/>
  <c r="F124" i="42"/>
  <c r="F115" i="42"/>
  <c r="F114" i="42"/>
  <c r="F99" i="42"/>
  <c r="F98" i="42"/>
  <c r="F87" i="42"/>
  <c r="F71" i="42"/>
  <c r="F70" i="42"/>
  <c r="F63" i="42"/>
  <c r="F27" i="42"/>
  <c r="F125" i="42"/>
  <c r="F123" i="42"/>
  <c r="F94" i="42"/>
  <c r="F82" i="42"/>
  <c r="F81" i="42"/>
  <c r="F54" i="42"/>
  <c r="F50" i="42"/>
  <c r="F46" i="42"/>
  <c r="F126" i="42"/>
  <c r="F117" i="42"/>
  <c r="F116" i="42"/>
  <c r="F109" i="42"/>
  <c r="F105" i="42"/>
  <c r="F101" i="42"/>
  <c r="F100" i="42"/>
  <c r="F89" i="42"/>
  <c r="F88" i="42"/>
  <c r="F73" i="42"/>
  <c r="F72" i="42"/>
  <c r="F41" i="42"/>
  <c r="F37" i="42"/>
  <c r="F127" i="42"/>
  <c r="F95" i="42"/>
  <c r="F51" i="42"/>
  <c r="F47" i="42"/>
  <c r="F118" i="42"/>
  <c r="F110" i="42"/>
  <c r="F106" i="42"/>
  <c r="F102" i="42"/>
  <c r="F90" i="42"/>
  <c r="F74" i="42"/>
  <c r="F58" i="42"/>
  <c r="F57" i="42"/>
  <c r="F42" i="42"/>
  <c r="F38" i="42"/>
  <c r="F34" i="42"/>
  <c r="F33" i="42"/>
  <c r="F131" i="42"/>
  <c r="F85" i="42"/>
  <c r="F65" i="42"/>
  <c r="F112" i="42"/>
  <c r="F111" i="42"/>
  <c r="F96" i="42"/>
  <c r="F86" i="42"/>
  <c r="F78" i="42"/>
  <c r="F77" i="42"/>
  <c r="F62" i="42"/>
  <c r="F61" i="42"/>
  <c r="F26" i="42"/>
  <c r="F25" i="42"/>
  <c r="L12" i="42"/>
  <c r="N12" i="42" s="1"/>
  <c r="F93" i="42"/>
  <c r="F66" i="42"/>
  <c r="F60" i="42"/>
  <c r="F64" i="42"/>
  <c r="F43" i="42"/>
  <c r="F91" i="42"/>
  <c r="F75" i="42"/>
  <c r="F39" i="42"/>
  <c r="F35" i="42"/>
  <c r="F28" i="42"/>
  <c r="F97" i="42"/>
  <c r="F84" i="42"/>
  <c r="F69" i="42"/>
  <c r="F56" i="42"/>
  <c r="F121" i="42"/>
  <c r="F113" i="42"/>
  <c r="F52" i="42"/>
  <c r="F48" i="42"/>
  <c r="F44" i="42"/>
  <c r="F119" i="42"/>
  <c r="F67" i="42"/>
  <c r="F83" i="42"/>
  <c r="F68" i="42"/>
  <c r="F53" i="42"/>
  <c r="F49" i="42"/>
  <c r="F45" i="42"/>
  <c r="F32" i="42"/>
  <c r="F92" i="42"/>
  <c r="F107" i="42"/>
  <c r="F55" i="42"/>
  <c r="F103" i="42"/>
  <c r="D30" i="42"/>
  <c r="F59" i="42"/>
  <c r="F76" i="42"/>
  <c r="F120" i="42"/>
  <c r="R118" i="24"/>
  <c r="R117" i="24"/>
  <c r="R109" i="24"/>
  <c r="R108" i="24"/>
  <c r="R92" i="24"/>
  <c r="R88" i="24"/>
  <c r="R120" i="24"/>
  <c r="R119" i="24"/>
  <c r="R100" i="24"/>
  <c r="R99" i="24"/>
  <c r="R83" i="24"/>
  <c r="R79" i="24"/>
  <c r="R111" i="24"/>
  <c r="R110" i="24"/>
  <c r="R75" i="24"/>
  <c r="R70" i="24"/>
  <c r="R66" i="24"/>
  <c r="R62" i="24"/>
  <c r="R58" i="24"/>
  <c r="R54" i="24"/>
  <c r="R50" i="24"/>
  <c r="R123" i="24"/>
  <c r="R112" i="24"/>
  <c r="R85" i="24"/>
  <c r="R84" i="24"/>
  <c r="R80" i="24"/>
  <c r="R76" i="24"/>
  <c r="P72" i="24"/>
  <c r="X12" i="24"/>
  <c r="Z12" i="24" s="1"/>
  <c r="R67" i="24"/>
  <c r="R63" i="24"/>
  <c r="R59" i="24"/>
  <c r="R55" i="24"/>
  <c r="R51" i="24"/>
  <c r="R103" i="24"/>
  <c r="R102" i="24"/>
  <c r="R94" i="24"/>
  <c r="R90" i="24"/>
  <c r="R86" i="24"/>
  <c r="R116" i="24"/>
  <c r="R115" i="24"/>
  <c r="R96" i="24"/>
  <c r="R95" i="24"/>
  <c r="R91" i="24"/>
  <c r="R87" i="24"/>
  <c r="R48" i="24"/>
  <c r="R114" i="24"/>
  <c r="R107" i="24"/>
  <c r="R105" i="24"/>
  <c r="R93" i="24"/>
  <c r="R65" i="24"/>
  <c r="R53" i="24"/>
  <c r="R121" i="24"/>
  <c r="R98" i="24"/>
  <c r="R60" i="24"/>
  <c r="R74" i="24"/>
  <c r="R81" i="24"/>
  <c r="R77" i="24"/>
  <c r="R101" i="24"/>
  <c r="R61" i="24"/>
  <c r="R49" i="24"/>
  <c r="R68" i="24"/>
  <c r="R56" i="24"/>
  <c r="R106" i="24"/>
  <c r="R113" i="24"/>
  <c r="R72" i="24"/>
  <c r="R69" i="24"/>
  <c r="R57" i="24"/>
  <c r="R127" i="24"/>
  <c r="R104" i="24"/>
  <c r="R82" i="24"/>
  <c r="R64" i="24"/>
  <c r="R52" i="24"/>
  <c r="R78" i="24"/>
  <c r="R97" i="24"/>
  <c r="R89" i="24"/>
  <c r="R107" i="27"/>
  <c r="R100" i="27"/>
  <c r="R99" i="27"/>
  <c r="R91" i="27"/>
  <c r="R67" i="27"/>
  <c r="R63" i="27"/>
  <c r="R83" i="27"/>
  <c r="R82" i="27"/>
  <c r="R59" i="27"/>
  <c r="R54" i="27"/>
  <c r="R50" i="27"/>
  <c r="R46" i="27"/>
  <c r="R42" i="27"/>
  <c r="R102" i="27"/>
  <c r="R101" i="27"/>
  <c r="R77" i="27"/>
  <c r="R73" i="27"/>
  <c r="R58" i="27"/>
  <c r="R122" i="27"/>
  <c r="R109" i="27"/>
  <c r="R108" i="27"/>
  <c r="R93" i="27"/>
  <c r="R92" i="27"/>
  <c r="R84" i="27"/>
  <c r="R68" i="27"/>
  <c r="R64" i="27"/>
  <c r="R60" i="27"/>
  <c r="P56" i="27"/>
  <c r="R56" i="27" s="1"/>
  <c r="R103" i="27"/>
  <c r="R51" i="27"/>
  <c r="R47" i="27"/>
  <c r="R43" i="27"/>
  <c r="R111" i="27"/>
  <c r="R110" i="27"/>
  <c r="R95" i="27"/>
  <c r="R94" i="27"/>
  <c r="R78" i="27"/>
  <c r="R74" i="27"/>
  <c r="R86" i="27"/>
  <c r="R85" i="27"/>
  <c r="R70" i="27"/>
  <c r="R69" i="27"/>
  <c r="R65" i="27"/>
  <c r="R61" i="27"/>
  <c r="R112" i="27"/>
  <c r="R104" i="27"/>
  <c r="R97" i="27"/>
  <c r="R96" i="27"/>
  <c r="R52" i="27"/>
  <c r="R48" i="27"/>
  <c r="R44" i="27"/>
  <c r="X12" i="27"/>
  <c r="Z12" i="27" s="1"/>
  <c r="R117" i="27"/>
  <c r="R106" i="27"/>
  <c r="R105" i="27"/>
  <c r="R90" i="27"/>
  <c r="R89" i="27"/>
  <c r="R53" i="27"/>
  <c r="R49" i="27"/>
  <c r="R45" i="27"/>
  <c r="R41" i="27"/>
  <c r="R79" i="27"/>
  <c r="R62" i="27"/>
  <c r="R115" i="27"/>
  <c r="R98" i="27"/>
  <c r="R88" i="27"/>
  <c r="R66" i="27"/>
  <c r="R118" i="27"/>
  <c r="R40" i="27"/>
  <c r="R72" i="27"/>
  <c r="R80" i="27"/>
  <c r="R76" i="27"/>
  <c r="R116" i="27"/>
  <c r="R114" i="27"/>
  <c r="R71" i="27"/>
  <c r="R81" i="27"/>
  <c r="R87" i="27"/>
  <c r="R75" i="27"/>
  <c r="T256" i="15"/>
  <c r="F247" i="15"/>
  <c r="D27" i="47"/>
  <c r="L18" i="47"/>
  <c r="D27" i="52"/>
  <c r="L18" i="52"/>
  <c r="H27" i="35"/>
  <c r="N18" i="35"/>
  <c r="L18" i="35"/>
  <c r="D27" i="35"/>
  <c r="L18" i="25"/>
  <c r="D27" i="25"/>
  <c r="T27" i="16"/>
  <c r="Z18" i="16"/>
  <c r="X18" i="16"/>
  <c r="P27" i="16"/>
  <c r="H27" i="17"/>
  <c r="N18" i="17"/>
  <c r="H27" i="7"/>
  <c r="N18" i="7"/>
  <c r="L18" i="17"/>
  <c r="D27" i="17"/>
  <c r="X18" i="11"/>
  <c r="P27" i="11"/>
  <c r="X18" i="10"/>
  <c r="P27" i="10"/>
  <c r="T27" i="8"/>
  <c r="Z18" i="8"/>
  <c r="D27" i="99"/>
  <c r="L16" i="99"/>
  <c r="T106" i="51"/>
  <c r="Z55" i="51"/>
  <c r="H74" i="48"/>
  <c r="T282" i="18"/>
  <c r="N151" i="15"/>
  <c r="H256" i="15"/>
  <c r="D62" i="105"/>
  <c r="L23" i="105"/>
  <c r="H50" i="109"/>
  <c r="P22" i="107"/>
  <c r="X16" i="107"/>
  <c r="T92" i="106"/>
  <c r="V23" i="106"/>
  <c r="H63" i="103"/>
  <c r="N16" i="103"/>
  <c r="T31" i="99"/>
  <c r="Z27" i="99"/>
  <c r="H74" i="101"/>
  <c r="N22" i="101"/>
  <c r="H85" i="95"/>
  <c r="J23" i="95"/>
  <c r="R71" i="94"/>
  <c r="R70" i="94"/>
  <c r="R58" i="94"/>
  <c r="R47" i="94"/>
  <c r="R46" i="94"/>
  <c r="R42" i="94"/>
  <c r="R38" i="94"/>
  <c r="R65" i="94"/>
  <c r="R33" i="94"/>
  <c r="R29" i="94"/>
  <c r="R72" i="94"/>
  <c r="R49" i="94"/>
  <c r="R48" i="94"/>
  <c r="R20" i="94"/>
  <c r="R75" i="94"/>
  <c r="R74" i="94"/>
  <c r="R60" i="94"/>
  <c r="R59" i="94"/>
  <c r="R43" i="94"/>
  <c r="R39" i="94"/>
  <c r="R66" i="94"/>
  <c r="R51" i="94"/>
  <c r="R50" i="94"/>
  <c r="R34" i="94"/>
  <c r="R30" i="94"/>
  <c r="R62" i="94"/>
  <c r="R61" i="94"/>
  <c r="R26" i="94"/>
  <c r="R53" i="94"/>
  <c r="R52" i="94"/>
  <c r="R44" i="94"/>
  <c r="R79" i="94"/>
  <c r="R68" i="94"/>
  <c r="R67" i="94"/>
  <c r="R63" i="94"/>
  <c r="R36" i="94"/>
  <c r="R35" i="94"/>
  <c r="R31" i="94"/>
  <c r="R27" i="94"/>
  <c r="R55" i="94"/>
  <c r="R54" i="94"/>
  <c r="R64" i="94"/>
  <c r="R57" i="94"/>
  <c r="R56" i="94"/>
  <c r="R32" i="94"/>
  <c r="R28" i="94"/>
  <c r="X12" i="94"/>
  <c r="Z12" i="94" s="1"/>
  <c r="R18" i="94"/>
  <c r="R25" i="94"/>
  <c r="R21" i="94"/>
  <c r="R69" i="94"/>
  <c r="R37" i="94"/>
  <c r="R19" i="94"/>
  <c r="R41" i="94"/>
  <c r="R40" i="94"/>
  <c r="P23" i="94"/>
  <c r="R45" i="94"/>
  <c r="H28" i="86"/>
  <c r="H93" i="84"/>
  <c r="J52" i="75"/>
  <c r="H117" i="75"/>
  <c r="H91" i="76"/>
  <c r="R70" i="76"/>
  <c r="R59" i="76"/>
  <c r="R58" i="76"/>
  <c r="R50" i="76"/>
  <c r="R46" i="76"/>
  <c r="R31" i="76"/>
  <c r="R27" i="76"/>
  <c r="R42" i="76"/>
  <c r="R41" i="76"/>
  <c r="R37" i="76"/>
  <c r="R33" i="76"/>
  <c r="P29" i="76"/>
  <c r="R77" i="76"/>
  <c r="R76" i="76"/>
  <c r="R61" i="76"/>
  <c r="R60" i="76"/>
  <c r="R89" i="76"/>
  <c r="R72" i="76"/>
  <c r="R71" i="76"/>
  <c r="R51" i="76"/>
  <c r="R47" i="76"/>
  <c r="R43" i="76"/>
  <c r="R78" i="76"/>
  <c r="R63" i="76"/>
  <c r="R62" i="76"/>
  <c r="R38" i="76"/>
  <c r="R34" i="76"/>
  <c r="X12" i="76"/>
  <c r="Z12" i="76" s="1"/>
  <c r="R80" i="76"/>
  <c r="R79" i="76"/>
  <c r="R39" i="76"/>
  <c r="R35" i="76"/>
  <c r="R74" i="76"/>
  <c r="R67" i="76"/>
  <c r="R66" i="76"/>
  <c r="R55" i="76"/>
  <c r="R54" i="76"/>
  <c r="R81" i="76"/>
  <c r="R49" i="76"/>
  <c r="R45" i="76"/>
  <c r="R64" i="76"/>
  <c r="R53" i="76"/>
  <c r="R73" i="76"/>
  <c r="R32" i="76"/>
  <c r="R75" i="76"/>
  <c r="R69" i="76"/>
  <c r="R83" i="76"/>
  <c r="R65" i="76"/>
  <c r="R85" i="76"/>
  <c r="R56" i="76"/>
  <c r="R44" i="76"/>
  <c r="R48" i="76"/>
  <c r="R52" i="76"/>
  <c r="R84" i="76"/>
  <c r="R68" i="76"/>
  <c r="R40" i="76"/>
  <c r="R36" i="76"/>
  <c r="R57" i="76"/>
  <c r="T95" i="74"/>
  <c r="F97" i="69"/>
  <c r="F96" i="69"/>
  <c r="F108" i="69"/>
  <c r="F107" i="69"/>
  <c r="F88" i="69"/>
  <c r="F87" i="69"/>
  <c r="F99" i="69"/>
  <c r="F98" i="69"/>
  <c r="F83" i="69"/>
  <c r="F79" i="69"/>
  <c r="F110" i="69"/>
  <c r="F109" i="69"/>
  <c r="F90" i="69"/>
  <c r="F89" i="69"/>
  <c r="F74" i="69"/>
  <c r="F70" i="69"/>
  <c r="F101" i="69"/>
  <c r="F100" i="69"/>
  <c r="F61" i="69"/>
  <c r="F57" i="69"/>
  <c r="F53" i="69"/>
  <c r="F49" i="69"/>
  <c r="F45" i="69"/>
  <c r="F92" i="69"/>
  <c r="F91" i="69"/>
  <c r="F104" i="69"/>
  <c r="F72" i="69"/>
  <c r="F68" i="69"/>
  <c r="F76" i="69"/>
  <c r="F65" i="69"/>
  <c r="F60" i="69"/>
  <c r="F95" i="69"/>
  <c r="F71" i="69"/>
  <c r="F46" i="69"/>
  <c r="F43" i="69"/>
  <c r="F55" i="69"/>
  <c r="F105" i="69"/>
  <c r="F103" i="69"/>
  <c r="F85" i="69"/>
  <c r="F80" i="69"/>
  <c r="F69" i="69"/>
  <c r="F58" i="69"/>
  <c r="F44" i="69"/>
  <c r="F93" i="69"/>
  <c r="F47" i="69"/>
  <c r="F67" i="69"/>
  <c r="F50" i="69"/>
  <c r="L12" i="69"/>
  <c r="N12" i="69" s="1"/>
  <c r="F112" i="69"/>
  <c r="F78" i="69"/>
  <c r="F56" i="69"/>
  <c r="F116" i="69"/>
  <c r="F75" i="69"/>
  <c r="F59" i="69"/>
  <c r="F106" i="69"/>
  <c r="F94" i="69"/>
  <c r="F86" i="69"/>
  <c r="F81" i="69"/>
  <c r="F48" i="69"/>
  <c r="D63" i="69"/>
  <c r="F51" i="69"/>
  <c r="F66" i="69"/>
  <c r="F82" i="69"/>
  <c r="F84" i="69"/>
  <c r="F52" i="69"/>
  <c r="F102" i="69"/>
  <c r="F54" i="69"/>
  <c r="F77" i="69"/>
  <c r="F73" i="69"/>
  <c r="R102" i="71"/>
  <c r="R101" i="71"/>
  <c r="R77" i="71"/>
  <c r="R73" i="71"/>
  <c r="R122" i="71"/>
  <c r="R109" i="71"/>
  <c r="R108" i="71"/>
  <c r="R93" i="71"/>
  <c r="R92" i="71"/>
  <c r="R112" i="71"/>
  <c r="R104" i="71"/>
  <c r="R97" i="71"/>
  <c r="R96" i="71"/>
  <c r="R115" i="71"/>
  <c r="R114" i="71"/>
  <c r="R88" i="71"/>
  <c r="R87" i="71"/>
  <c r="R79" i="71"/>
  <c r="R75" i="71"/>
  <c r="R71" i="71"/>
  <c r="R116" i="71"/>
  <c r="R98" i="71"/>
  <c r="R66" i="71"/>
  <c r="R62" i="71"/>
  <c r="R117" i="71"/>
  <c r="R110" i="71"/>
  <c r="R64" i="71"/>
  <c r="R40" i="71"/>
  <c r="R70" i="71"/>
  <c r="R67" i="71"/>
  <c r="R105" i="71"/>
  <c r="R99" i="71"/>
  <c r="R84" i="71"/>
  <c r="R80" i="71"/>
  <c r="R53" i="71"/>
  <c r="R49" i="71"/>
  <c r="R45" i="71"/>
  <c r="R41" i="71"/>
  <c r="R81" i="71"/>
  <c r="R111" i="71"/>
  <c r="R91" i="71"/>
  <c r="R78" i="71"/>
  <c r="R118" i="71"/>
  <c r="R106" i="71"/>
  <c r="R103" i="71"/>
  <c r="R100" i="71"/>
  <c r="R65" i="71"/>
  <c r="R59" i="71"/>
  <c r="R54" i="71"/>
  <c r="R50" i="71"/>
  <c r="R46" i="71"/>
  <c r="R42" i="71"/>
  <c r="R94" i="71"/>
  <c r="R68" i="71"/>
  <c r="R58" i="71"/>
  <c r="R85" i="71"/>
  <c r="R76" i="71"/>
  <c r="R63" i="71"/>
  <c r="R60" i="71"/>
  <c r="P56" i="71"/>
  <c r="R89" i="71"/>
  <c r="R74" i="71"/>
  <c r="R51" i="71"/>
  <c r="R47" i="71"/>
  <c r="R43" i="71"/>
  <c r="R95" i="71"/>
  <c r="R86" i="71"/>
  <c r="R82" i="71"/>
  <c r="R107" i="71"/>
  <c r="R83" i="71"/>
  <c r="R72" i="71"/>
  <c r="R69" i="71"/>
  <c r="X12" i="71"/>
  <c r="Z12" i="71" s="1"/>
  <c r="R61" i="71"/>
  <c r="R48" i="71"/>
  <c r="R90" i="71"/>
  <c r="R52" i="71"/>
  <c r="R44" i="71"/>
  <c r="T114" i="69"/>
  <c r="L16" i="68"/>
  <c r="D60" i="68"/>
  <c r="D117" i="75"/>
  <c r="L52" i="75"/>
  <c r="N52" i="75" s="1"/>
  <c r="F52" i="75"/>
  <c r="P76" i="57"/>
  <c r="X16" i="57"/>
  <c r="Z16" i="54"/>
  <c r="T22" i="54"/>
  <c r="T106" i="45"/>
  <c r="V102" i="45"/>
  <c r="R140" i="39"/>
  <c r="R130" i="39"/>
  <c r="R122" i="39"/>
  <c r="R118" i="39"/>
  <c r="R114" i="39"/>
  <c r="R102" i="39"/>
  <c r="R87" i="39"/>
  <c r="R86" i="39"/>
  <c r="R100" i="39"/>
  <c r="R99" i="39"/>
  <c r="R125" i="39"/>
  <c r="R108" i="39"/>
  <c r="R105" i="39"/>
  <c r="R134" i="39"/>
  <c r="R113" i="39"/>
  <c r="R78" i="39"/>
  <c r="R77" i="39"/>
  <c r="R69" i="39"/>
  <c r="R33" i="39"/>
  <c r="R119" i="39"/>
  <c r="R116" i="39"/>
  <c r="R94" i="39"/>
  <c r="R61" i="39"/>
  <c r="R60" i="39"/>
  <c r="R56" i="39"/>
  <c r="R52" i="39"/>
  <c r="R109" i="39"/>
  <c r="R98" i="39"/>
  <c r="R80" i="39"/>
  <c r="R79" i="39"/>
  <c r="R47" i="39"/>
  <c r="R43" i="39"/>
  <c r="R136" i="39"/>
  <c r="R126" i="39"/>
  <c r="R106" i="39"/>
  <c r="R95" i="39"/>
  <c r="R89" i="39"/>
  <c r="R88" i="39"/>
  <c r="R70" i="39"/>
  <c r="R63" i="39"/>
  <c r="R62" i="39"/>
  <c r="R82" i="39"/>
  <c r="R81" i="39"/>
  <c r="R57" i="39"/>
  <c r="R53" i="39"/>
  <c r="R38" i="39"/>
  <c r="R137" i="39"/>
  <c r="R131" i="39"/>
  <c r="R127" i="39"/>
  <c r="R117" i="39"/>
  <c r="R96" i="39"/>
  <c r="R65" i="39"/>
  <c r="R64" i="39"/>
  <c r="R48" i="39"/>
  <c r="R44" i="39"/>
  <c r="R40" i="39"/>
  <c r="P36" i="39"/>
  <c r="R36" i="39" s="1"/>
  <c r="R133" i="39"/>
  <c r="R129" i="39"/>
  <c r="R97" i="39"/>
  <c r="R92" i="39"/>
  <c r="R85" i="39"/>
  <c r="R84" i="39"/>
  <c r="R68" i="39"/>
  <c r="R32" i="39"/>
  <c r="R144" i="39"/>
  <c r="R121" i="39"/>
  <c r="R75" i="39"/>
  <c r="R66" i="39"/>
  <c r="R42" i="39"/>
  <c r="R110" i="39"/>
  <c r="R51" i="39"/>
  <c r="R31" i="39"/>
  <c r="R123" i="39"/>
  <c r="R90" i="39"/>
  <c r="R139" i="39"/>
  <c r="R132" i="39"/>
  <c r="R58" i="39"/>
  <c r="X12" i="39"/>
  <c r="Z12" i="39" s="1"/>
  <c r="R128" i="39"/>
  <c r="R73" i="39"/>
  <c r="R67" i="39"/>
  <c r="R49" i="39"/>
  <c r="R34" i="39"/>
  <c r="R111" i="39"/>
  <c r="R93" i="39"/>
  <c r="R91" i="39"/>
  <c r="R76" i="39"/>
  <c r="R54" i="39"/>
  <c r="R45" i="39"/>
  <c r="R39" i="39"/>
  <c r="R124" i="39"/>
  <c r="R120" i="39"/>
  <c r="R115" i="39"/>
  <c r="R107" i="39"/>
  <c r="R101" i="39"/>
  <c r="R74" i="39"/>
  <c r="R71" i="39"/>
  <c r="R41" i="39"/>
  <c r="R103" i="39"/>
  <c r="R50" i="39"/>
  <c r="R138" i="39"/>
  <c r="R112" i="39"/>
  <c r="R46" i="39"/>
  <c r="R83" i="39"/>
  <c r="R104" i="39"/>
  <c r="R55" i="39"/>
  <c r="R59" i="39"/>
  <c r="R72" i="39"/>
  <c r="R105" i="33"/>
  <c r="R92" i="33"/>
  <c r="R91" i="33"/>
  <c r="R80" i="33"/>
  <c r="R79" i="33"/>
  <c r="R59" i="33"/>
  <c r="R55" i="33"/>
  <c r="R51" i="33"/>
  <c r="R86" i="33"/>
  <c r="R71" i="33"/>
  <c r="R70" i="33"/>
  <c r="R46" i="33"/>
  <c r="R42" i="33"/>
  <c r="R93" i="33"/>
  <c r="R81" i="33"/>
  <c r="R33" i="33"/>
  <c r="R97" i="33"/>
  <c r="R87" i="33"/>
  <c r="R47" i="33"/>
  <c r="R43" i="33"/>
  <c r="R98" i="33"/>
  <c r="R83" i="33"/>
  <c r="R82" i="33"/>
  <c r="R63" i="33"/>
  <c r="R62" i="33"/>
  <c r="R34" i="33"/>
  <c r="R99" i="33"/>
  <c r="R74" i="33"/>
  <c r="R73" i="33"/>
  <c r="R57" i="33"/>
  <c r="R53" i="33"/>
  <c r="R30" i="33"/>
  <c r="R90" i="33"/>
  <c r="R67" i="33"/>
  <c r="R66" i="33"/>
  <c r="R58" i="33"/>
  <c r="R54" i="33"/>
  <c r="R39" i="33"/>
  <c r="R96" i="33"/>
  <c r="R64" i="33"/>
  <c r="R32" i="33"/>
  <c r="R49" i="33"/>
  <c r="R45" i="33"/>
  <c r="R41" i="33"/>
  <c r="R88" i="33"/>
  <c r="R72" i="33"/>
  <c r="R65" i="33"/>
  <c r="X12" i="33"/>
  <c r="Z12" i="33" s="1"/>
  <c r="R100" i="33"/>
  <c r="R84" i="33"/>
  <c r="R60" i="33"/>
  <c r="R35" i="33"/>
  <c r="R89" i="33"/>
  <c r="R77" i="33"/>
  <c r="R56" i="33"/>
  <c r="R52" i="33"/>
  <c r="R50" i="33"/>
  <c r="R48" i="33"/>
  <c r="R44" i="33"/>
  <c r="R40" i="33"/>
  <c r="R75" i="33"/>
  <c r="R68" i="33"/>
  <c r="R101" i="33"/>
  <c r="R95" i="33"/>
  <c r="R61" i="33"/>
  <c r="R76" i="33"/>
  <c r="R69" i="33"/>
  <c r="R78" i="33"/>
  <c r="P37" i="33"/>
  <c r="R37" i="33" s="1"/>
  <c r="R31" i="33"/>
  <c r="R85" i="33"/>
  <c r="F87" i="27"/>
  <c r="F86" i="27"/>
  <c r="F79" i="27"/>
  <c r="F75" i="27"/>
  <c r="F71" i="27"/>
  <c r="F70" i="27"/>
  <c r="F115" i="27"/>
  <c r="F98" i="27"/>
  <c r="F97" i="27"/>
  <c r="F66" i="27"/>
  <c r="F62" i="27"/>
  <c r="F116" i="27"/>
  <c r="F114" i="27"/>
  <c r="F105" i="27"/>
  <c r="F89" i="27"/>
  <c r="F88" i="27"/>
  <c r="F53" i="27"/>
  <c r="F49" i="27"/>
  <c r="F45" i="27"/>
  <c r="F41" i="27"/>
  <c r="F40" i="27"/>
  <c r="F117" i="27"/>
  <c r="F80" i="27"/>
  <c r="F76" i="27"/>
  <c r="F72" i="27"/>
  <c r="F118" i="27"/>
  <c r="F107" i="27"/>
  <c r="F106" i="27"/>
  <c r="F99" i="27"/>
  <c r="F91" i="27"/>
  <c r="F90" i="27"/>
  <c r="F67" i="27"/>
  <c r="F63" i="27"/>
  <c r="F82" i="27"/>
  <c r="F81" i="27"/>
  <c r="F54" i="27"/>
  <c r="F50" i="27"/>
  <c r="F46" i="27"/>
  <c r="F42" i="27"/>
  <c r="F101" i="27"/>
  <c r="F100" i="27"/>
  <c r="F77" i="27"/>
  <c r="F73" i="27"/>
  <c r="F122" i="27"/>
  <c r="F108" i="27"/>
  <c r="F92" i="27"/>
  <c r="F84" i="27"/>
  <c r="F83" i="27"/>
  <c r="F68" i="27"/>
  <c r="F64" i="27"/>
  <c r="F60" i="27"/>
  <c r="F59" i="27"/>
  <c r="F85" i="27"/>
  <c r="F69" i="27"/>
  <c r="F65" i="27"/>
  <c r="F61" i="27"/>
  <c r="F95" i="27"/>
  <c r="F111" i="27"/>
  <c r="F109" i="27"/>
  <c r="F93" i="27"/>
  <c r="F56" i="27"/>
  <c r="F51" i="27"/>
  <c r="F47" i="27"/>
  <c r="F43" i="27"/>
  <c r="D56" i="27"/>
  <c r="F102" i="27"/>
  <c r="F112" i="27"/>
  <c r="F96" i="27"/>
  <c r="F104" i="27"/>
  <c r="F110" i="27"/>
  <c r="F94" i="27"/>
  <c r="F74" i="27"/>
  <c r="F52" i="27"/>
  <c r="F48" i="27"/>
  <c r="F44" i="27"/>
  <c r="L12" i="27"/>
  <c r="N12" i="27" s="1"/>
  <c r="F78" i="27"/>
  <c r="F103" i="27"/>
  <c r="F58" i="27"/>
  <c r="T120" i="27"/>
  <c r="R252" i="15"/>
  <c r="R212" i="15"/>
  <c r="R193" i="15"/>
  <c r="R192" i="15"/>
  <c r="R172" i="15"/>
  <c r="R168" i="15"/>
  <c r="R153" i="15"/>
  <c r="R101" i="15"/>
  <c r="R253" i="15"/>
  <c r="R224" i="15"/>
  <c r="R223" i="15"/>
  <c r="R204" i="15"/>
  <c r="R203" i="15"/>
  <c r="R179" i="15"/>
  <c r="R163" i="15"/>
  <c r="R159" i="15"/>
  <c r="R155" i="15"/>
  <c r="P151" i="15"/>
  <c r="R151" i="15" s="1"/>
  <c r="R254" i="15"/>
  <c r="R242" i="15"/>
  <c r="R235" i="15"/>
  <c r="R234" i="15"/>
  <c r="R230" i="15"/>
  <c r="R219" i="15"/>
  <c r="R218" i="15"/>
  <c r="R195" i="15"/>
  <c r="R194" i="15"/>
  <c r="R187" i="15"/>
  <c r="R186" i="15"/>
  <c r="R146" i="15"/>
  <c r="R142" i="15"/>
  <c r="R138" i="15"/>
  <c r="R134" i="15"/>
  <c r="R130" i="15"/>
  <c r="R126" i="15"/>
  <c r="R122" i="15"/>
  <c r="R118" i="15"/>
  <c r="R114" i="15"/>
  <c r="R110" i="15"/>
  <c r="R106" i="15"/>
  <c r="R102" i="15"/>
  <c r="R225" i="15"/>
  <c r="R214" i="15"/>
  <c r="R213" i="15"/>
  <c r="R206" i="15"/>
  <c r="R205" i="15"/>
  <c r="R173" i="15"/>
  <c r="R169" i="15"/>
  <c r="R236" i="15"/>
  <c r="R220" i="15"/>
  <c r="R197" i="15"/>
  <c r="R196" i="15"/>
  <c r="R188" i="15"/>
  <c r="R181" i="15"/>
  <c r="R180" i="15"/>
  <c r="R165" i="15"/>
  <c r="R164" i="15"/>
  <c r="R160" i="15"/>
  <c r="R156" i="15"/>
  <c r="R244" i="15"/>
  <c r="R243" i="15"/>
  <c r="R231" i="15"/>
  <c r="R215" i="15"/>
  <c r="R208" i="15"/>
  <c r="R207" i="15"/>
  <c r="R147" i="15"/>
  <c r="R143" i="15"/>
  <c r="R139" i="15"/>
  <c r="R135" i="15"/>
  <c r="R131" i="15"/>
  <c r="R127" i="15"/>
  <c r="R123" i="15"/>
  <c r="R119" i="15"/>
  <c r="R115" i="15"/>
  <c r="R111" i="15"/>
  <c r="R107" i="15"/>
  <c r="R103" i="15"/>
  <c r="R258" i="15"/>
  <c r="R227" i="15"/>
  <c r="R226" i="15"/>
  <c r="R198" i="15"/>
  <c r="R183" i="15"/>
  <c r="R182" i="15"/>
  <c r="R174" i="15"/>
  <c r="R170" i="15"/>
  <c r="R166" i="15"/>
  <c r="R245" i="15"/>
  <c r="R238" i="15"/>
  <c r="R237" i="15"/>
  <c r="R221" i="15"/>
  <c r="R210" i="15"/>
  <c r="R209" i="15"/>
  <c r="R190" i="15"/>
  <c r="R189" i="15"/>
  <c r="R161" i="15"/>
  <c r="R157" i="15"/>
  <c r="R248" i="15"/>
  <c r="R247" i="15"/>
  <c r="R232" i="15"/>
  <c r="R228" i="15"/>
  <c r="R216" i="15"/>
  <c r="R184" i="15"/>
  <c r="R148" i="15"/>
  <c r="R144" i="15"/>
  <c r="R140" i="15"/>
  <c r="R136" i="15"/>
  <c r="R132" i="15"/>
  <c r="R128" i="15"/>
  <c r="R124" i="15"/>
  <c r="R120" i="15"/>
  <c r="R116" i="15"/>
  <c r="R112" i="15"/>
  <c r="R108" i="15"/>
  <c r="R104" i="15"/>
  <c r="R249" i="15"/>
  <c r="R240" i="15"/>
  <c r="R239" i="15"/>
  <c r="R211" i="15"/>
  <c r="R200" i="15"/>
  <c r="R199" i="15"/>
  <c r="R191" i="15"/>
  <c r="R176" i="15"/>
  <c r="R175" i="15"/>
  <c r="R171" i="15"/>
  <c r="R167" i="15"/>
  <c r="R250" i="15"/>
  <c r="R222" i="15"/>
  <c r="R162" i="15"/>
  <c r="R158" i="15"/>
  <c r="R217" i="15"/>
  <c r="R201" i="15"/>
  <c r="R145" i="15"/>
  <c r="R121" i="15"/>
  <c r="R178" i="15"/>
  <c r="R154" i="15"/>
  <c r="R149" i="15"/>
  <c r="R125" i="15"/>
  <c r="R229" i="15"/>
  <c r="R129" i="15"/>
  <c r="R105" i="15"/>
  <c r="R241" i="15"/>
  <c r="R202" i="15"/>
  <c r="X12" i="15"/>
  <c r="Z12" i="15" s="1"/>
  <c r="R251" i="15"/>
  <c r="R133" i="15"/>
  <c r="R109" i="15"/>
  <c r="R185" i="15"/>
  <c r="R177" i="15"/>
  <c r="R137" i="15"/>
  <c r="R113" i="15"/>
  <c r="R233" i="15"/>
  <c r="R141" i="15"/>
  <c r="R117" i="15"/>
  <c r="F297" i="3"/>
  <c r="T27" i="113"/>
  <c r="Z18" i="113"/>
  <c r="H27" i="111"/>
  <c r="N18" i="111"/>
  <c r="D27" i="111"/>
  <c r="L18" i="111"/>
  <c r="D27" i="50"/>
  <c r="L18" i="50"/>
  <c r="X18" i="43"/>
  <c r="P27" i="43"/>
  <c r="L18" i="44"/>
  <c r="D27" i="44"/>
  <c r="H27" i="34"/>
  <c r="N18" i="34"/>
  <c r="D27" i="34"/>
  <c r="L18" i="34"/>
  <c r="L18" i="23"/>
  <c r="D27" i="23"/>
  <c r="L18" i="7"/>
  <c r="D27" i="7"/>
  <c r="X18" i="5"/>
  <c r="P27" i="5"/>
  <c r="T91" i="98"/>
  <c r="Z23" i="89"/>
  <c r="T83" i="89"/>
  <c r="D87" i="80"/>
  <c r="H129" i="42"/>
  <c r="X29" i="21"/>
  <c r="Z29" i="21" s="1"/>
  <c r="P113" i="21"/>
  <c r="N16" i="107"/>
  <c r="H22" i="107"/>
  <c r="T26" i="107"/>
  <c r="Z22" i="107"/>
  <c r="F90" i="106"/>
  <c r="F81" i="106"/>
  <c r="F77" i="106"/>
  <c r="F65" i="106"/>
  <c r="F64" i="106"/>
  <c r="F53" i="106"/>
  <c r="F52" i="106"/>
  <c r="F45" i="106"/>
  <c r="F94" i="106"/>
  <c r="F72" i="106"/>
  <c r="F67" i="106"/>
  <c r="F66" i="106"/>
  <c r="F55" i="106"/>
  <c r="F54" i="106"/>
  <c r="F82" i="106"/>
  <c r="F78" i="106"/>
  <c r="F84" i="106"/>
  <c r="F83" i="106"/>
  <c r="F68" i="106"/>
  <c r="F86" i="106"/>
  <c r="F85" i="106"/>
  <c r="F74" i="106"/>
  <c r="F69" i="106"/>
  <c r="F61" i="106"/>
  <c r="F60" i="106"/>
  <c r="F88" i="106"/>
  <c r="F87" i="106"/>
  <c r="F80" i="106"/>
  <c r="F76" i="106"/>
  <c r="F75" i="106"/>
  <c r="F57" i="106"/>
  <c r="F47" i="106"/>
  <c r="F34" i="106"/>
  <c r="F30" i="106"/>
  <c r="F62" i="106"/>
  <c r="F21" i="106"/>
  <c r="F71" i="106"/>
  <c r="F48" i="106"/>
  <c r="F44" i="106"/>
  <c r="F40" i="106"/>
  <c r="F49" i="106"/>
  <c r="F35" i="106"/>
  <c r="F31" i="106"/>
  <c r="F27" i="106"/>
  <c r="F26" i="106"/>
  <c r="F73" i="106"/>
  <c r="F25" i="106"/>
  <c r="F63" i="106"/>
  <c r="F58" i="106"/>
  <c r="F50" i="106"/>
  <c r="F41" i="106"/>
  <c r="D23" i="106"/>
  <c r="F79" i="106"/>
  <c r="F51" i="106"/>
  <c r="F36" i="106"/>
  <c r="F32" i="106"/>
  <c r="F28" i="106"/>
  <c r="L12" i="106"/>
  <c r="N12" i="106" s="1"/>
  <c r="F19" i="106"/>
  <c r="F18" i="106"/>
  <c r="F56" i="106"/>
  <c r="F42" i="106"/>
  <c r="F38" i="106"/>
  <c r="F37" i="106"/>
  <c r="F46" i="106"/>
  <c r="F33" i="106"/>
  <c r="F29" i="106"/>
  <c r="F70" i="106"/>
  <c r="F59" i="106"/>
  <c r="F20" i="106"/>
  <c r="F39" i="106"/>
  <c r="F43" i="106"/>
  <c r="T28" i="83"/>
  <c r="R30" i="83"/>
  <c r="R17" i="83"/>
  <c r="R19" i="83"/>
  <c r="X12" i="83"/>
  <c r="Z12" i="83" s="1"/>
  <c r="R20" i="83"/>
  <c r="R26" i="83"/>
  <c r="R24" i="83"/>
  <c r="R18" i="83"/>
  <c r="P22" i="83"/>
  <c r="T123" i="85"/>
  <c r="H81" i="73"/>
  <c r="F60" i="73"/>
  <c r="F59" i="73"/>
  <c r="F48" i="73"/>
  <c r="F75" i="73"/>
  <c r="F74" i="73"/>
  <c r="F35" i="73"/>
  <c r="F31" i="73"/>
  <c r="F70" i="73"/>
  <c r="F62" i="73"/>
  <c r="F61" i="73"/>
  <c r="F50" i="73"/>
  <c r="F49" i="73"/>
  <c r="F22" i="73"/>
  <c r="F79" i="73"/>
  <c r="F54" i="73"/>
  <c r="F53" i="73"/>
  <c r="F46" i="73"/>
  <c r="F42" i="73"/>
  <c r="F83" i="73"/>
  <c r="F65" i="73"/>
  <c r="F37" i="73"/>
  <c r="F33" i="73"/>
  <c r="F29" i="73"/>
  <c r="F28" i="73"/>
  <c r="F72" i="73"/>
  <c r="F56" i="73"/>
  <c r="F55" i="73"/>
  <c r="F27" i="73"/>
  <c r="F43" i="73"/>
  <c r="F76" i="73"/>
  <c r="F73" i="73"/>
  <c r="F68" i="73"/>
  <c r="F57" i="73"/>
  <c r="F38" i="73"/>
  <c r="F23" i="73"/>
  <c r="F71" i="73"/>
  <c r="F63" i="73"/>
  <c r="F41" i="73"/>
  <c r="F21" i="73"/>
  <c r="F44" i="73"/>
  <c r="F39" i="73"/>
  <c r="F36" i="73"/>
  <c r="F77" i="73"/>
  <c r="F69" i="73"/>
  <c r="F52" i="73"/>
  <c r="L12" i="73"/>
  <c r="N12" i="73" s="1"/>
  <c r="F66" i="73"/>
  <c r="F34" i="73"/>
  <c r="F58" i="73"/>
  <c r="F47" i="73"/>
  <c r="D25" i="73"/>
  <c r="F32" i="73"/>
  <c r="F64" i="73"/>
  <c r="F45" i="73"/>
  <c r="F30" i="73"/>
  <c r="F67" i="73"/>
  <c r="F40" i="73"/>
  <c r="F51" i="73"/>
  <c r="F20" i="73"/>
  <c r="R82" i="74"/>
  <c r="R81" i="74"/>
  <c r="R73" i="74"/>
  <c r="R69" i="74"/>
  <c r="R65" i="74"/>
  <c r="R54" i="74"/>
  <c r="R60" i="74"/>
  <c r="R56" i="74"/>
  <c r="P52" i="74"/>
  <c r="R84" i="74"/>
  <c r="R83" i="74"/>
  <c r="R47" i="74"/>
  <c r="R43" i="74"/>
  <c r="R39" i="74"/>
  <c r="R75" i="74"/>
  <c r="R74" i="74"/>
  <c r="R70" i="74"/>
  <c r="R66" i="74"/>
  <c r="R86" i="74"/>
  <c r="R85" i="74"/>
  <c r="R61" i="74"/>
  <c r="R57" i="74"/>
  <c r="R77" i="74"/>
  <c r="R76" i="74"/>
  <c r="R87" i="74"/>
  <c r="R71" i="74"/>
  <c r="R67" i="74"/>
  <c r="R89" i="74"/>
  <c r="R78" i="74"/>
  <c r="R62" i="74"/>
  <c r="R58" i="74"/>
  <c r="R49" i="74"/>
  <c r="R45" i="74"/>
  <c r="R41" i="74"/>
  <c r="R37" i="74"/>
  <c r="R72" i="74"/>
  <c r="R46" i="74"/>
  <c r="R35" i="74"/>
  <c r="R44" i="74"/>
  <c r="R68" i="74"/>
  <c r="R64" i="74"/>
  <c r="R55" i="74"/>
  <c r="X12" i="74"/>
  <c r="Z12" i="74" s="1"/>
  <c r="R42" i="74"/>
  <c r="R40" i="74"/>
  <c r="R79" i="74"/>
  <c r="R59" i="74"/>
  <c r="R38" i="74"/>
  <c r="R36" i="74"/>
  <c r="R93" i="74"/>
  <c r="R80" i="74"/>
  <c r="R63" i="74"/>
  <c r="R50" i="74"/>
  <c r="R48" i="74"/>
  <c r="Z16" i="61"/>
  <c r="T62" i="61"/>
  <c r="N16" i="58"/>
  <c r="H76" i="58"/>
  <c r="D76" i="58"/>
  <c r="L16" i="58"/>
  <c r="H110" i="51"/>
  <c r="J106" i="51"/>
  <c r="H142" i="39"/>
  <c r="J36" i="39"/>
  <c r="D149" i="30"/>
  <c r="L64" i="30"/>
  <c r="N64" i="30" s="1"/>
  <c r="R279" i="18"/>
  <c r="R249" i="18"/>
  <c r="R238" i="18"/>
  <c r="R237" i="18"/>
  <c r="R230" i="18"/>
  <c r="R229" i="18"/>
  <c r="R197" i="18"/>
  <c r="R193" i="18"/>
  <c r="R118" i="18"/>
  <c r="R280" i="18"/>
  <c r="R260" i="18"/>
  <c r="R244" i="18"/>
  <c r="R221" i="18"/>
  <c r="R220" i="18"/>
  <c r="R212" i="18"/>
  <c r="R205" i="18"/>
  <c r="R204" i="18"/>
  <c r="R189" i="18"/>
  <c r="R188" i="18"/>
  <c r="R184" i="18"/>
  <c r="R180" i="18"/>
  <c r="R268" i="18"/>
  <c r="R267" i="18"/>
  <c r="R255" i="18"/>
  <c r="R239" i="18"/>
  <c r="R232" i="18"/>
  <c r="R231" i="18"/>
  <c r="R171" i="18"/>
  <c r="R167" i="18"/>
  <c r="R163" i="18"/>
  <c r="R159" i="18"/>
  <c r="R155" i="18"/>
  <c r="R151" i="18"/>
  <c r="R147" i="18"/>
  <c r="R143" i="18"/>
  <c r="R139" i="18"/>
  <c r="R135" i="18"/>
  <c r="R131" i="18"/>
  <c r="R127" i="18"/>
  <c r="R123" i="18"/>
  <c r="R119" i="18"/>
  <c r="R251" i="18"/>
  <c r="R250" i="18"/>
  <c r="R222" i="18"/>
  <c r="R207" i="18"/>
  <c r="R206" i="18"/>
  <c r="R198" i="18"/>
  <c r="R194" i="18"/>
  <c r="R190" i="18"/>
  <c r="R269" i="18"/>
  <c r="R262" i="18"/>
  <c r="R261" i="18"/>
  <c r="R245" i="18"/>
  <c r="R234" i="18"/>
  <c r="R233" i="18"/>
  <c r="R214" i="18"/>
  <c r="R213" i="18"/>
  <c r="R185" i="18"/>
  <c r="R181" i="18"/>
  <c r="R284" i="18"/>
  <c r="R272" i="18"/>
  <c r="R271" i="18"/>
  <c r="R256" i="18"/>
  <c r="R252" i="18"/>
  <c r="R240" i="18"/>
  <c r="R208" i="18"/>
  <c r="R172" i="18"/>
  <c r="R168" i="18"/>
  <c r="R164" i="18"/>
  <c r="R160" i="18"/>
  <c r="R156" i="18"/>
  <c r="R152" i="18"/>
  <c r="R148" i="18"/>
  <c r="R144" i="18"/>
  <c r="R140" i="18"/>
  <c r="R136" i="18"/>
  <c r="R132" i="18"/>
  <c r="R128" i="18"/>
  <c r="R124" i="18"/>
  <c r="R120" i="18"/>
  <c r="X12" i="18"/>
  <c r="Z12" i="18" s="1"/>
  <c r="R273" i="18"/>
  <c r="R264" i="18"/>
  <c r="R263" i="18"/>
  <c r="R235" i="18"/>
  <c r="R224" i="18"/>
  <c r="R223" i="18"/>
  <c r="R215" i="18"/>
  <c r="R200" i="18"/>
  <c r="R199" i="18"/>
  <c r="R195" i="18"/>
  <c r="R191" i="18"/>
  <c r="R274" i="18"/>
  <c r="R246" i="18"/>
  <c r="R186" i="18"/>
  <c r="R182" i="18"/>
  <c r="R275" i="18"/>
  <c r="R265" i="18"/>
  <c r="R257" i="18"/>
  <c r="R253" i="18"/>
  <c r="R241" i="18"/>
  <c r="R226" i="18"/>
  <c r="R225" i="18"/>
  <c r="R209" i="18"/>
  <c r="R202" i="18"/>
  <c r="R201" i="18"/>
  <c r="R178" i="18"/>
  <c r="R173" i="18"/>
  <c r="R169" i="18"/>
  <c r="R165" i="18"/>
  <c r="R161" i="18"/>
  <c r="R157" i="18"/>
  <c r="R153" i="18"/>
  <c r="R149" i="18"/>
  <c r="R145" i="18"/>
  <c r="R141" i="18"/>
  <c r="R137" i="18"/>
  <c r="R133" i="18"/>
  <c r="R129" i="18"/>
  <c r="R125" i="18"/>
  <c r="R121" i="18"/>
  <c r="R276" i="18"/>
  <c r="R236" i="18"/>
  <c r="R217" i="18"/>
  <c r="R216" i="18"/>
  <c r="R196" i="18"/>
  <c r="R192" i="18"/>
  <c r="R177" i="18"/>
  <c r="R175" i="18"/>
  <c r="R277" i="18"/>
  <c r="R248" i="18"/>
  <c r="R247" i="18"/>
  <c r="R228" i="18"/>
  <c r="R227" i="18"/>
  <c r="R203" i="18"/>
  <c r="R187" i="18"/>
  <c r="R183" i="18"/>
  <c r="R179" i="18"/>
  <c r="P175" i="18"/>
  <c r="R254" i="18"/>
  <c r="R259" i="18"/>
  <c r="R219" i="18"/>
  <c r="R154" i="18"/>
  <c r="R130" i="18"/>
  <c r="R158" i="18"/>
  <c r="R134" i="18"/>
  <c r="R266" i="18"/>
  <c r="R243" i="18"/>
  <c r="R211" i="18"/>
  <c r="R278" i="18"/>
  <c r="R162" i="18"/>
  <c r="R138" i="18"/>
  <c r="R258" i="18"/>
  <c r="R166" i="18"/>
  <c r="R142" i="18"/>
  <c r="R218" i="18"/>
  <c r="R170" i="18"/>
  <c r="R146" i="18"/>
  <c r="R122" i="18"/>
  <c r="R210" i="18"/>
  <c r="R126" i="18"/>
  <c r="R150" i="18"/>
  <c r="R242" i="18"/>
  <c r="H269" i="12"/>
  <c r="L125" i="24"/>
  <c r="N125" i="24" s="1"/>
  <c r="D129" i="24"/>
  <c r="H27" i="112"/>
  <c r="N18" i="112"/>
  <c r="T27" i="47"/>
  <c r="Z18" i="47"/>
  <c r="T27" i="49"/>
  <c r="Z18" i="49"/>
  <c r="X18" i="46"/>
  <c r="P27" i="46"/>
  <c r="T27" i="44"/>
  <c r="Z18" i="44"/>
  <c r="T27" i="46"/>
  <c r="Z18" i="46"/>
  <c r="L18" i="53"/>
  <c r="D27" i="53"/>
  <c r="D27" i="46"/>
  <c r="L18" i="46"/>
  <c r="T27" i="17"/>
  <c r="Z18" i="17"/>
  <c r="X18" i="17"/>
  <c r="P27" i="17"/>
  <c r="T27" i="25"/>
  <c r="Z18" i="25"/>
  <c r="T27" i="32"/>
  <c r="Z18" i="32"/>
  <c r="H27" i="28"/>
  <c r="N18" i="28"/>
  <c r="H27" i="8"/>
  <c r="N18" i="8"/>
  <c r="T27" i="5"/>
  <c r="Z18" i="5"/>
  <c r="H27" i="4"/>
  <c r="N18" i="4"/>
  <c r="N18" i="10"/>
  <c r="H27" i="10"/>
  <c r="D27" i="4"/>
  <c r="L18" i="4"/>
  <c r="P91" i="108"/>
  <c r="X23" i="108"/>
  <c r="X22" i="101"/>
  <c r="P74" i="101"/>
  <c r="R22" i="101"/>
  <c r="R93" i="96"/>
  <c r="R74" i="96"/>
  <c r="R73" i="96"/>
  <c r="R69" i="96"/>
  <c r="R76" i="96"/>
  <c r="R75" i="96"/>
  <c r="R87" i="96"/>
  <c r="R99" i="96"/>
  <c r="R81" i="96"/>
  <c r="R77" i="96"/>
  <c r="R53" i="96"/>
  <c r="R71" i="96"/>
  <c r="R90" i="96"/>
  <c r="R82" i="96"/>
  <c r="R78" i="96"/>
  <c r="R66" i="96"/>
  <c r="R55" i="96"/>
  <c r="R54" i="96"/>
  <c r="R72" i="96"/>
  <c r="R57" i="96"/>
  <c r="R56" i="96"/>
  <c r="R32" i="96"/>
  <c r="R28" i="96"/>
  <c r="R92" i="96"/>
  <c r="R91" i="96"/>
  <c r="R83" i="96"/>
  <c r="R79" i="96"/>
  <c r="R68" i="96"/>
  <c r="R67" i="96"/>
  <c r="R48" i="96"/>
  <c r="R47" i="96"/>
  <c r="R64" i="96"/>
  <c r="R50" i="96"/>
  <c r="R43" i="96"/>
  <c r="R40" i="96"/>
  <c r="R37" i="96"/>
  <c r="R31" i="96"/>
  <c r="R61" i="96"/>
  <c r="R26" i="96"/>
  <c r="R19" i="96"/>
  <c r="R88" i="96"/>
  <c r="R34" i="96"/>
  <c r="R29" i="96"/>
  <c r="X12" i="96"/>
  <c r="Z12" i="96" s="1"/>
  <c r="R65" i="96"/>
  <c r="R86" i="96"/>
  <c r="R80" i="96"/>
  <c r="R58" i="96"/>
  <c r="R51" i="96"/>
  <c r="R44" i="96"/>
  <c r="R41" i="96"/>
  <c r="R38" i="96"/>
  <c r="R35" i="96"/>
  <c r="R20" i="96"/>
  <c r="R89" i="96"/>
  <c r="R84" i="96"/>
  <c r="R59" i="96"/>
  <c r="R52" i="96"/>
  <c r="R70" i="96"/>
  <c r="R27" i="96"/>
  <c r="R62" i="96"/>
  <c r="R36" i="96"/>
  <c r="R24" i="96"/>
  <c r="P22" i="96"/>
  <c r="R22" i="96" s="1"/>
  <c r="R45" i="96"/>
  <c r="R42" i="96"/>
  <c r="R39" i="96"/>
  <c r="R33" i="96"/>
  <c r="R30" i="96"/>
  <c r="R25" i="96"/>
  <c r="R17" i="96"/>
  <c r="R60" i="96"/>
  <c r="R49" i="96"/>
  <c r="R46" i="96"/>
  <c r="R18" i="96"/>
  <c r="R95" i="96"/>
  <c r="R85" i="96"/>
  <c r="R63" i="96"/>
  <c r="H87" i="89"/>
  <c r="J83" i="89"/>
  <c r="T28" i="86"/>
  <c r="F84" i="80"/>
  <c r="T120" i="71"/>
  <c r="L29" i="76"/>
  <c r="N29" i="76" s="1"/>
  <c r="D87" i="76"/>
  <c r="P60" i="68"/>
  <c r="X16" i="68"/>
  <c r="H124" i="71"/>
  <c r="P60" i="60"/>
  <c r="X16" i="60"/>
  <c r="H64" i="68"/>
  <c r="J70" i="48"/>
  <c r="X16" i="6"/>
  <c r="P22" i="6"/>
  <c r="T269" i="12"/>
  <c r="P309" i="3"/>
  <c r="X188" i="3"/>
  <c r="Z188" i="3" s="1"/>
  <c r="T27" i="112"/>
  <c r="Z18" i="112"/>
  <c r="T27" i="111"/>
  <c r="Z18" i="111"/>
  <c r="D27" i="41"/>
  <c r="L18" i="41"/>
  <c r="T27" i="23"/>
  <c r="Z18" i="23"/>
  <c r="X18" i="32"/>
  <c r="P27" i="32"/>
  <c r="L18" i="20"/>
  <c r="D27" i="20"/>
  <c r="H27" i="16"/>
  <c r="N18" i="16"/>
  <c r="X18" i="7"/>
  <c r="P27" i="7"/>
  <c r="L18" i="14"/>
  <c r="D27" i="14"/>
  <c r="T67" i="103"/>
  <c r="D120" i="71"/>
  <c r="L56" i="71"/>
  <c r="N56" i="71" s="1"/>
  <c r="L16" i="55"/>
  <c r="D31" i="55"/>
  <c r="L16" i="56"/>
  <c r="D80" i="56"/>
  <c r="X16" i="56"/>
  <c r="P80" i="56"/>
  <c r="X18" i="23"/>
  <c r="P27" i="23"/>
  <c r="H62" i="105"/>
  <c r="N23" i="105"/>
  <c r="H53" i="100"/>
  <c r="N17" i="100"/>
  <c r="H97" i="96"/>
  <c r="J22" i="96"/>
  <c r="T74" i="110"/>
  <c r="P91" i="98"/>
  <c r="X23" i="98"/>
  <c r="Z23" i="98" s="1"/>
  <c r="T84" i="81"/>
  <c r="R115" i="75"/>
  <c r="R103" i="75"/>
  <c r="R105" i="75"/>
  <c r="R104" i="75"/>
  <c r="R93" i="75"/>
  <c r="R92" i="75"/>
  <c r="R119" i="75"/>
  <c r="R100" i="75"/>
  <c r="R99" i="75"/>
  <c r="R95" i="75"/>
  <c r="R110" i="75"/>
  <c r="R102" i="75"/>
  <c r="R87" i="75"/>
  <c r="R86" i="75"/>
  <c r="R113" i="75"/>
  <c r="R89" i="75"/>
  <c r="R48" i="75"/>
  <c r="R44" i="75"/>
  <c r="R40" i="75"/>
  <c r="R36" i="75"/>
  <c r="R106" i="75"/>
  <c r="R84" i="75"/>
  <c r="R76" i="75"/>
  <c r="R75" i="75"/>
  <c r="R71" i="75"/>
  <c r="R67" i="75"/>
  <c r="R85" i="75"/>
  <c r="R62" i="75"/>
  <c r="R58" i="75"/>
  <c r="R96" i="75"/>
  <c r="R90" i="75"/>
  <c r="R78" i="75"/>
  <c r="R77" i="75"/>
  <c r="R49" i="75"/>
  <c r="R45" i="75"/>
  <c r="R41" i="75"/>
  <c r="R37" i="75"/>
  <c r="R107" i="75"/>
  <c r="R97" i="75"/>
  <c r="R94" i="75"/>
  <c r="R91" i="75"/>
  <c r="R72" i="75"/>
  <c r="R68" i="75"/>
  <c r="R79" i="75"/>
  <c r="R63" i="75"/>
  <c r="R59" i="75"/>
  <c r="R114" i="75"/>
  <c r="R55" i="75"/>
  <c r="R50" i="75"/>
  <c r="R46" i="75"/>
  <c r="R42" i="75"/>
  <c r="R38" i="75"/>
  <c r="R108" i="75"/>
  <c r="R73" i="75"/>
  <c r="R69" i="75"/>
  <c r="R54" i="75"/>
  <c r="R112" i="75"/>
  <c r="R81" i="75"/>
  <c r="R80" i="75"/>
  <c r="R65" i="75"/>
  <c r="R64" i="75"/>
  <c r="R60" i="75"/>
  <c r="R56" i="75"/>
  <c r="P52" i="75"/>
  <c r="R88" i="75"/>
  <c r="R109" i="75"/>
  <c r="R98" i="75"/>
  <c r="R66" i="75"/>
  <c r="R82" i="75"/>
  <c r="R70" i="75"/>
  <c r="R57" i="75"/>
  <c r="R35" i="75"/>
  <c r="R101" i="75"/>
  <c r="X12" i="75"/>
  <c r="Z12" i="75" s="1"/>
  <c r="R83" i="75"/>
  <c r="R74" i="75"/>
  <c r="R61" i="75"/>
  <c r="R47" i="75"/>
  <c r="R43" i="75"/>
  <c r="R39" i="75"/>
  <c r="R79" i="73"/>
  <c r="R64" i="73"/>
  <c r="R53" i="73"/>
  <c r="R52" i="73"/>
  <c r="R71" i="73"/>
  <c r="R28" i="73"/>
  <c r="R23" i="73"/>
  <c r="R55" i="73"/>
  <c r="R54" i="73"/>
  <c r="R46" i="73"/>
  <c r="R42" i="73"/>
  <c r="R27" i="73"/>
  <c r="R59" i="73"/>
  <c r="R58" i="73"/>
  <c r="R34" i="73"/>
  <c r="R30" i="73"/>
  <c r="R74" i="73"/>
  <c r="R73" i="73"/>
  <c r="R69" i="73"/>
  <c r="R21" i="73"/>
  <c r="R61" i="73"/>
  <c r="R60" i="73"/>
  <c r="R49" i="73"/>
  <c r="R48" i="73"/>
  <c r="R44" i="73"/>
  <c r="R40" i="73"/>
  <c r="X12" i="73"/>
  <c r="Z12" i="73" s="1"/>
  <c r="R63" i="73"/>
  <c r="R36" i="73"/>
  <c r="R29" i="73"/>
  <c r="R77" i="73"/>
  <c r="R66" i="73"/>
  <c r="R39" i="73"/>
  <c r="R47" i="73"/>
  <c r="P25" i="73"/>
  <c r="R75" i="73"/>
  <c r="R50" i="73"/>
  <c r="R45" i="73"/>
  <c r="R32" i="73"/>
  <c r="R72" i="73"/>
  <c r="R37" i="73"/>
  <c r="R67" i="73"/>
  <c r="R56" i="73"/>
  <c r="R35" i="73"/>
  <c r="R22" i="73"/>
  <c r="R20" i="73"/>
  <c r="R70" i="73"/>
  <c r="R62" i="73"/>
  <c r="R51" i="73"/>
  <c r="R76" i="73"/>
  <c r="R68" i="73"/>
  <c r="R43" i="73"/>
  <c r="R38" i="73"/>
  <c r="R83" i="73"/>
  <c r="R57" i="73"/>
  <c r="R33" i="73"/>
  <c r="R65" i="73"/>
  <c r="R41" i="73"/>
  <c r="R31" i="73"/>
  <c r="T107" i="64"/>
  <c r="N16" i="55"/>
  <c r="H31" i="55"/>
  <c r="T80" i="57"/>
  <c r="P76" i="58"/>
  <c r="X16" i="58"/>
  <c r="H102" i="45"/>
  <c r="F104" i="45"/>
  <c r="F78" i="45"/>
  <c r="F77" i="45"/>
  <c r="F46" i="45"/>
  <c r="F42" i="45"/>
  <c r="F93" i="45"/>
  <c r="F92" i="45"/>
  <c r="F73" i="45"/>
  <c r="F72" i="45"/>
  <c r="F61" i="45"/>
  <c r="F60" i="45"/>
  <c r="F53" i="45"/>
  <c r="F52" i="45"/>
  <c r="F37" i="45"/>
  <c r="F33" i="45"/>
  <c r="F29" i="45"/>
  <c r="F28" i="45"/>
  <c r="F88" i="45"/>
  <c r="F84" i="45"/>
  <c r="F27" i="45"/>
  <c r="F95" i="45"/>
  <c r="F94" i="45"/>
  <c r="F79" i="45"/>
  <c r="F63" i="45"/>
  <c r="F62" i="45"/>
  <c r="F47" i="45"/>
  <c r="F43" i="45"/>
  <c r="D25" i="45"/>
  <c r="F74" i="45"/>
  <c r="F54" i="45"/>
  <c r="F38" i="45"/>
  <c r="F34" i="45"/>
  <c r="F30" i="45"/>
  <c r="F97" i="45"/>
  <c r="F96" i="45"/>
  <c r="F89" i="45"/>
  <c r="F85" i="45"/>
  <c r="F65" i="45"/>
  <c r="F64" i="45"/>
  <c r="F21" i="45"/>
  <c r="F20" i="45"/>
  <c r="F80" i="45"/>
  <c r="F56" i="45"/>
  <c r="F55" i="45"/>
  <c r="F48" i="45"/>
  <c r="F44" i="45"/>
  <c r="F40" i="45"/>
  <c r="F39" i="45"/>
  <c r="L12" i="45"/>
  <c r="N12" i="45" s="1"/>
  <c r="F75" i="45"/>
  <c r="F67" i="45"/>
  <c r="F66" i="45"/>
  <c r="F35" i="45"/>
  <c r="F31" i="45"/>
  <c r="F98" i="45"/>
  <c r="F90" i="45"/>
  <c r="F86" i="45"/>
  <c r="F58" i="45"/>
  <c r="F57" i="45"/>
  <c r="F22" i="45"/>
  <c r="F76" i="45"/>
  <c r="F36" i="45"/>
  <c r="F32" i="45"/>
  <c r="F49" i="45"/>
  <c r="F71" i="45"/>
  <c r="F81" i="45"/>
  <c r="F45" i="45"/>
  <c r="F87" i="45"/>
  <c r="F50" i="45"/>
  <c r="F41" i="45"/>
  <c r="F69" i="45"/>
  <c r="F100" i="45"/>
  <c r="F82" i="45"/>
  <c r="F70" i="45"/>
  <c r="F51" i="45"/>
  <c r="F68" i="45"/>
  <c r="F91" i="45"/>
  <c r="F59" i="45"/>
  <c r="F23" i="45"/>
  <c r="F83" i="45"/>
  <c r="T146" i="39"/>
  <c r="J56" i="27"/>
  <c r="H282" i="18"/>
  <c r="H117" i="21"/>
  <c r="J151" i="15"/>
  <c r="R265" i="12"/>
  <c r="R237" i="12"/>
  <c r="R221" i="12"/>
  <c r="R210" i="12"/>
  <c r="R209" i="12"/>
  <c r="R185" i="12"/>
  <c r="R169" i="12"/>
  <c r="R165" i="12"/>
  <c r="R161" i="12"/>
  <c r="P157" i="12"/>
  <c r="R266" i="12"/>
  <c r="R232" i="12"/>
  <c r="R201" i="12"/>
  <c r="R200" i="12"/>
  <c r="R193" i="12"/>
  <c r="R192" i="12"/>
  <c r="R152" i="12"/>
  <c r="R148" i="12"/>
  <c r="R144" i="12"/>
  <c r="R140" i="12"/>
  <c r="R136" i="12"/>
  <c r="R132" i="12"/>
  <c r="R128" i="12"/>
  <c r="R124" i="12"/>
  <c r="R120" i="12"/>
  <c r="R116" i="12"/>
  <c r="R112" i="12"/>
  <c r="R108" i="12"/>
  <c r="R267" i="12"/>
  <c r="R255" i="12"/>
  <c r="R248" i="12"/>
  <c r="R247" i="12"/>
  <c r="R243" i="12"/>
  <c r="R227" i="12"/>
  <c r="R212" i="12"/>
  <c r="R211" i="12"/>
  <c r="R179" i="12"/>
  <c r="R175" i="12"/>
  <c r="R239" i="12"/>
  <c r="R238" i="12"/>
  <c r="R222" i="12"/>
  <c r="R203" i="12"/>
  <c r="R202" i="12"/>
  <c r="R194" i="12"/>
  <c r="R187" i="12"/>
  <c r="R186" i="12"/>
  <c r="R171" i="12"/>
  <c r="R170" i="12"/>
  <c r="R166" i="12"/>
  <c r="R162" i="12"/>
  <c r="X12" i="12"/>
  <c r="Z12" i="12" s="1"/>
  <c r="R249" i="12"/>
  <c r="R233" i="12"/>
  <c r="R214" i="12"/>
  <c r="R213" i="12"/>
  <c r="R153" i="12"/>
  <c r="R149" i="12"/>
  <c r="R145" i="12"/>
  <c r="R141" i="12"/>
  <c r="R137" i="12"/>
  <c r="R133" i="12"/>
  <c r="R129" i="12"/>
  <c r="R125" i="12"/>
  <c r="R121" i="12"/>
  <c r="R117" i="12"/>
  <c r="R113" i="12"/>
  <c r="R109" i="12"/>
  <c r="R257" i="12"/>
  <c r="R256" i="12"/>
  <c r="R244" i="12"/>
  <c r="R240" i="12"/>
  <c r="R229" i="12"/>
  <c r="R228" i="12"/>
  <c r="R204" i="12"/>
  <c r="R189" i="12"/>
  <c r="R188" i="12"/>
  <c r="R180" i="12"/>
  <c r="R176" i="12"/>
  <c r="R172" i="12"/>
  <c r="R105" i="12"/>
  <c r="R271" i="12"/>
  <c r="R224" i="12"/>
  <c r="R223" i="12"/>
  <c r="R216" i="12"/>
  <c r="R215" i="12"/>
  <c r="R196" i="12"/>
  <c r="R195" i="12"/>
  <c r="R167" i="12"/>
  <c r="R163" i="12"/>
  <c r="R258" i="12"/>
  <c r="R251" i="12"/>
  <c r="R250" i="12"/>
  <c r="R234" i="12"/>
  <c r="R230" i="12"/>
  <c r="R190" i="12"/>
  <c r="R154" i="12"/>
  <c r="R150" i="12"/>
  <c r="R146" i="12"/>
  <c r="R142" i="12"/>
  <c r="R138" i="12"/>
  <c r="R134" i="12"/>
  <c r="R130" i="12"/>
  <c r="R126" i="12"/>
  <c r="R122" i="12"/>
  <c r="R118" i="12"/>
  <c r="R114" i="12"/>
  <c r="R110" i="12"/>
  <c r="R106" i="12"/>
  <c r="R261" i="12"/>
  <c r="R260" i="12"/>
  <c r="R245" i="12"/>
  <c r="R241" i="12"/>
  <c r="R225" i="12"/>
  <c r="R218" i="12"/>
  <c r="R217" i="12"/>
  <c r="R206" i="12"/>
  <c r="R205" i="12"/>
  <c r="R197" i="12"/>
  <c r="R182" i="12"/>
  <c r="R181" i="12"/>
  <c r="R177" i="12"/>
  <c r="R173" i="12"/>
  <c r="R262" i="12"/>
  <c r="R253" i="12"/>
  <c r="R252" i="12"/>
  <c r="R168" i="12"/>
  <c r="R164" i="12"/>
  <c r="R263" i="12"/>
  <c r="R236" i="12"/>
  <c r="R235" i="12"/>
  <c r="R231" i="12"/>
  <c r="R220" i="12"/>
  <c r="R219" i="12"/>
  <c r="R208" i="12"/>
  <c r="R207" i="12"/>
  <c r="R191" i="12"/>
  <c r="R184" i="12"/>
  <c r="R183" i="12"/>
  <c r="R160" i="12"/>
  <c r="R155" i="12"/>
  <c r="R151" i="12"/>
  <c r="R147" i="12"/>
  <c r="R143" i="12"/>
  <c r="R139" i="12"/>
  <c r="R135" i="12"/>
  <c r="R131" i="12"/>
  <c r="R127" i="12"/>
  <c r="R123" i="12"/>
  <c r="R119" i="12"/>
  <c r="R115" i="12"/>
  <c r="R111" i="12"/>
  <c r="R107" i="12"/>
  <c r="R174" i="12"/>
  <c r="R198" i="12"/>
  <c r="R159" i="12"/>
  <c r="R254" i="12"/>
  <c r="R242" i="12"/>
  <c r="R226" i="12"/>
  <c r="R178" i="12"/>
  <c r="R246" i="12"/>
  <c r="R264" i="12"/>
  <c r="R199" i="12"/>
  <c r="R157" i="12"/>
  <c r="X18" i="112"/>
  <c r="P27" i="112"/>
  <c r="H27" i="113"/>
  <c r="N18" i="113"/>
  <c r="L18" i="113"/>
  <c r="D27" i="113"/>
  <c r="H27" i="46"/>
  <c r="N18" i="46"/>
  <c r="T27" i="34"/>
  <c r="Z18" i="34"/>
  <c r="D27" i="32"/>
  <c r="L18" i="32"/>
  <c r="L18" i="37"/>
  <c r="D27" i="37"/>
  <c r="X18" i="25"/>
  <c r="P27" i="25"/>
  <c r="H27" i="22"/>
  <c r="N18" i="22"/>
  <c r="F91" i="96"/>
  <c r="F83" i="96"/>
  <c r="F79" i="96"/>
  <c r="F93" i="96"/>
  <c r="F92" i="96"/>
  <c r="F73" i="96"/>
  <c r="F69" i="96"/>
  <c r="F68" i="96"/>
  <c r="F49" i="96"/>
  <c r="F48" i="96"/>
  <c r="F33" i="96"/>
  <c r="F29" i="96"/>
  <c r="F75" i="96"/>
  <c r="F74" i="96"/>
  <c r="F95" i="96"/>
  <c r="F86" i="96"/>
  <c r="F85" i="96"/>
  <c r="F70" i="96"/>
  <c r="F62" i="96"/>
  <c r="F61" i="96"/>
  <c r="F34" i="96"/>
  <c r="F30" i="96"/>
  <c r="F26" i="96"/>
  <c r="F25" i="96"/>
  <c r="F88" i="96"/>
  <c r="F87" i="96"/>
  <c r="F64" i="96"/>
  <c r="F63" i="96"/>
  <c r="F44" i="96"/>
  <c r="F40" i="96"/>
  <c r="F36" i="96"/>
  <c r="F35" i="96"/>
  <c r="F71" i="96"/>
  <c r="F90" i="96"/>
  <c r="F53" i="96"/>
  <c r="F45" i="96"/>
  <c r="F42" i="96"/>
  <c r="F39" i="96"/>
  <c r="F24" i="96"/>
  <c r="D22" i="96"/>
  <c r="F81" i="96"/>
  <c r="F60" i="96"/>
  <c r="F28" i="96"/>
  <c r="F99" i="96"/>
  <c r="F56" i="96"/>
  <c r="F18" i="96"/>
  <c r="F17" i="96"/>
  <c r="F67" i="96"/>
  <c r="F46" i="96"/>
  <c r="F37" i="96"/>
  <c r="F31" i="96"/>
  <c r="F78" i="96"/>
  <c r="F43" i="96"/>
  <c r="F54" i="96"/>
  <c r="F50" i="96"/>
  <c r="F47" i="96"/>
  <c r="F19" i="96"/>
  <c r="F82" i="96"/>
  <c r="F80" i="96"/>
  <c r="F76" i="96"/>
  <c r="F57" i="96"/>
  <c r="L12" i="96"/>
  <c r="N12" i="96" s="1"/>
  <c r="F65" i="96"/>
  <c r="F32" i="96"/>
  <c r="F84" i="96"/>
  <c r="F58" i="96"/>
  <c r="F51" i="96"/>
  <c r="F41" i="96"/>
  <c r="F38" i="96"/>
  <c r="F27" i="96"/>
  <c r="F20" i="96"/>
  <c r="F55" i="96"/>
  <c r="F52" i="96"/>
  <c r="F66" i="96"/>
  <c r="F22" i="96"/>
  <c r="F89" i="96"/>
  <c r="F59" i="96"/>
  <c r="F77" i="96"/>
  <c r="F72" i="96"/>
  <c r="T96" i="92"/>
  <c r="L22" i="83"/>
  <c r="N22" i="83" s="1"/>
  <c r="D28" i="83"/>
  <c r="H27" i="25"/>
  <c r="N18" i="25"/>
  <c r="F17" i="110"/>
  <c r="L46" i="109"/>
  <c r="N46" i="109" s="1"/>
  <c r="D50" i="109"/>
  <c r="T62" i="105"/>
  <c r="R67" i="104"/>
  <c r="R66" i="104"/>
  <c r="R85" i="104"/>
  <c r="R77" i="104"/>
  <c r="R73" i="104"/>
  <c r="R58" i="104"/>
  <c r="R57" i="104"/>
  <c r="R68" i="104"/>
  <c r="R60" i="104"/>
  <c r="R59" i="104"/>
  <c r="R48" i="104"/>
  <c r="R47" i="104"/>
  <c r="R88" i="104"/>
  <c r="R69" i="104"/>
  <c r="R62" i="104"/>
  <c r="R61" i="104"/>
  <c r="R50" i="104"/>
  <c r="R49" i="104"/>
  <c r="R80" i="104"/>
  <c r="R79" i="104"/>
  <c r="R75" i="104"/>
  <c r="R64" i="104"/>
  <c r="R63" i="104"/>
  <c r="R52" i="104"/>
  <c r="R51" i="104"/>
  <c r="R92" i="104"/>
  <c r="R70" i="104"/>
  <c r="R82" i="104"/>
  <c r="R81" i="104"/>
  <c r="R65" i="104"/>
  <c r="R76" i="104"/>
  <c r="R54" i="104"/>
  <c r="R26" i="104"/>
  <c r="R21" i="104"/>
  <c r="R44" i="104"/>
  <c r="R40" i="104"/>
  <c r="R25" i="104"/>
  <c r="R35" i="104"/>
  <c r="R31" i="104"/>
  <c r="R27" i="104"/>
  <c r="P23" i="104"/>
  <c r="R72" i="104"/>
  <c r="R83" i="104"/>
  <c r="R45" i="104"/>
  <c r="R41" i="104"/>
  <c r="R18" i="104"/>
  <c r="R74" i="104"/>
  <c r="R55" i="104"/>
  <c r="R37" i="104"/>
  <c r="R36" i="104"/>
  <c r="R32" i="104"/>
  <c r="R28" i="104"/>
  <c r="X12" i="104"/>
  <c r="Z12" i="104" s="1"/>
  <c r="R19" i="104"/>
  <c r="R42" i="104"/>
  <c r="R38" i="104"/>
  <c r="R46" i="104"/>
  <c r="R33" i="104"/>
  <c r="R29" i="104"/>
  <c r="R86" i="104"/>
  <c r="R71" i="104"/>
  <c r="R43" i="104"/>
  <c r="R39" i="104"/>
  <c r="R78" i="104"/>
  <c r="R56" i="104"/>
  <c r="R34" i="104"/>
  <c r="R84" i="104"/>
  <c r="R30" i="104"/>
  <c r="R20" i="104"/>
  <c r="R53" i="104"/>
  <c r="L23" i="102"/>
  <c r="N23" i="102" s="1"/>
  <c r="D88" i="102"/>
  <c r="D95" i="98"/>
  <c r="F79" i="95"/>
  <c r="F78" i="95"/>
  <c r="F67" i="95"/>
  <c r="F66" i="95"/>
  <c r="F55" i="95"/>
  <c r="F19" i="95"/>
  <c r="F18" i="95"/>
  <c r="F74" i="95"/>
  <c r="F46" i="95"/>
  <c r="F42" i="95"/>
  <c r="F38" i="95"/>
  <c r="F81" i="95"/>
  <c r="F80" i="95"/>
  <c r="F69" i="95"/>
  <c r="F68" i="95"/>
  <c r="F57" i="95"/>
  <c r="F56" i="95"/>
  <c r="F33" i="95"/>
  <c r="F29" i="95"/>
  <c r="F48" i="95"/>
  <c r="F47" i="95"/>
  <c r="F20" i="95"/>
  <c r="F75" i="95"/>
  <c r="F71" i="95"/>
  <c r="F70" i="95"/>
  <c r="F59" i="95"/>
  <c r="F58" i="95"/>
  <c r="F43" i="95"/>
  <c r="F39" i="95"/>
  <c r="F83" i="95"/>
  <c r="F50" i="95"/>
  <c r="F49" i="95"/>
  <c r="F34" i="95"/>
  <c r="F30" i="95"/>
  <c r="F87" i="95"/>
  <c r="F61" i="95"/>
  <c r="F60" i="95"/>
  <c r="F21" i="95"/>
  <c r="F76" i="95"/>
  <c r="F72" i="95"/>
  <c r="F52" i="95"/>
  <c r="F51" i="95"/>
  <c r="F44" i="95"/>
  <c r="F40" i="95"/>
  <c r="F63" i="95"/>
  <c r="F62" i="95"/>
  <c r="F35" i="95"/>
  <c r="F31" i="95"/>
  <c r="F27" i="95"/>
  <c r="F26" i="95"/>
  <c r="F77" i="95"/>
  <c r="F73" i="95"/>
  <c r="F65" i="95"/>
  <c r="F64" i="95"/>
  <c r="F45" i="95"/>
  <c r="F41" i="95"/>
  <c r="F37" i="95"/>
  <c r="F36" i="95"/>
  <c r="D23" i="95"/>
  <c r="F25" i="95"/>
  <c r="F53" i="95"/>
  <c r="L12" i="95"/>
  <c r="N12" i="95" s="1"/>
  <c r="F23" i="95"/>
  <c r="F28" i="95"/>
  <c r="F54" i="95"/>
  <c r="F32" i="95"/>
  <c r="F23" i="94"/>
  <c r="P92" i="92"/>
  <c r="D92" i="92"/>
  <c r="L16" i="92"/>
  <c r="R108" i="85"/>
  <c r="R96" i="85"/>
  <c r="R85" i="85"/>
  <c r="R84" i="85"/>
  <c r="R68" i="85"/>
  <c r="R64" i="85"/>
  <c r="R116" i="85"/>
  <c r="R115" i="85"/>
  <c r="R103" i="85"/>
  <c r="R75" i="85"/>
  <c r="R59" i="85"/>
  <c r="R55" i="85"/>
  <c r="R87" i="85"/>
  <c r="R86" i="85"/>
  <c r="R51" i="85"/>
  <c r="R118" i="85"/>
  <c r="R117" i="85"/>
  <c r="R109" i="85"/>
  <c r="R98" i="85"/>
  <c r="R97" i="85"/>
  <c r="R69" i="85"/>
  <c r="R65" i="85"/>
  <c r="R50" i="85"/>
  <c r="R105" i="85"/>
  <c r="R104" i="85"/>
  <c r="R89" i="85"/>
  <c r="R88" i="85"/>
  <c r="R77" i="85"/>
  <c r="R76" i="85"/>
  <c r="R61" i="85"/>
  <c r="R60" i="85"/>
  <c r="R56" i="85"/>
  <c r="R52" i="85"/>
  <c r="R112" i="85"/>
  <c r="R100" i="85"/>
  <c r="R93" i="85"/>
  <c r="R92" i="85"/>
  <c r="R81" i="85"/>
  <c r="R80" i="85"/>
  <c r="R125" i="85"/>
  <c r="R107" i="85"/>
  <c r="R72" i="85"/>
  <c r="R71" i="85"/>
  <c r="R67" i="85"/>
  <c r="R63" i="85"/>
  <c r="R32" i="85"/>
  <c r="R99" i="85"/>
  <c r="R70" i="85"/>
  <c r="R39" i="85"/>
  <c r="R121" i="85"/>
  <c r="R113" i="85"/>
  <c r="R36" i="85"/>
  <c r="R101" i="85"/>
  <c r="R91" i="85"/>
  <c r="R58" i="85"/>
  <c r="R46" i="85"/>
  <c r="R33" i="85"/>
  <c r="R114" i="85"/>
  <c r="R82" i="85"/>
  <c r="R43" i="85"/>
  <c r="R73" i="85"/>
  <c r="R40" i="85"/>
  <c r="R106" i="85"/>
  <c r="R102" i="85"/>
  <c r="R54" i="85"/>
  <c r="R37" i="85"/>
  <c r="R34" i="85"/>
  <c r="R94" i="85"/>
  <c r="P48" i="85"/>
  <c r="R48" i="85" s="1"/>
  <c r="R78" i="85"/>
  <c r="R44" i="85"/>
  <c r="R119" i="85"/>
  <c r="R110" i="85"/>
  <c r="R83" i="85"/>
  <c r="R74" i="85"/>
  <c r="R41" i="85"/>
  <c r="R38" i="85"/>
  <c r="R57" i="85"/>
  <c r="R35" i="85"/>
  <c r="X12" i="85"/>
  <c r="Z12" i="85" s="1"/>
  <c r="R111" i="85"/>
  <c r="R95" i="85"/>
  <c r="R45" i="85"/>
  <c r="R66" i="85"/>
  <c r="R53" i="85"/>
  <c r="R79" i="85"/>
  <c r="R42" i="85"/>
  <c r="R90" i="85"/>
  <c r="R62" i="85"/>
  <c r="R98" i="77"/>
  <c r="R97" i="77"/>
  <c r="R90" i="77"/>
  <c r="R89" i="77"/>
  <c r="R65" i="77"/>
  <c r="R61" i="77"/>
  <c r="R52" i="77"/>
  <c r="R48" i="77"/>
  <c r="R44" i="77"/>
  <c r="R40" i="77"/>
  <c r="R99" i="77"/>
  <c r="R92" i="77"/>
  <c r="R91" i="77"/>
  <c r="R80" i="77"/>
  <c r="R79" i="77"/>
  <c r="R75" i="77"/>
  <c r="R71" i="77"/>
  <c r="R102" i="77"/>
  <c r="R101" i="77"/>
  <c r="R66" i="77"/>
  <c r="R62" i="77"/>
  <c r="X12" i="77"/>
  <c r="Z12" i="77" s="1"/>
  <c r="R103" i="77"/>
  <c r="R93" i="77"/>
  <c r="R82" i="77"/>
  <c r="R81" i="77"/>
  <c r="R58" i="77"/>
  <c r="R53" i="77"/>
  <c r="R49" i="77"/>
  <c r="R45" i="77"/>
  <c r="R41" i="77"/>
  <c r="R104" i="77"/>
  <c r="R76" i="77"/>
  <c r="R72" i="77"/>
  <c r="R57" i="77"/>
  <c r="R55" i="77"/>
  <c r="R84" i="77"/>
  <c r="R83" i="77"/>
  <c r="R67" i="77"/>
  <c r="R63" i="77"/>
  <c r="R59" i="77"/>
  <c r="P55" i="77"/>
  <c r="R95" i="77"/>
  <c r="R94" i="77"/>
  <c r="R50" i="77"/>
  <c r="R46" i="77"/>
  <c r="R42" i="77"/>
  <c r="R86" i="77"/>
  <c r="R85" i="77"/>
  <c r="R77" i="77"/>
  <c r="R73" i="77"/>
  <c r="R108" i="77"/>
  <c r="R96" i="77"/>
  <c r="R69" i="77"/>
  <c r="R68" i="77"/>
  <c r="R64" i="77"/>
  <c r="R60" i="77"/>
  <c r="R88" i="77"/>
  <c r="R43" i="77"/>
  <c r="R39" i="77"/>
  <c r="R70" i="77"/>
  <c r="R74" i="77"/>
  <c r="R78" i="77"/>
  <c r="R51" i="77"/>
  <c r="R87" i="77"/>
  <c r="R47" i="77"/>
  <c r="R22" i="70"/>
  <c r="H107" i="64"/>
  <c r="X16" i="54"/>
  <c r="P22" i="54"/>
  <c r="H76" i="57"/>
  <c r="N16" i="57"/>
  <c r="L16" i="54"/>
  <c r="D22" i="54"/>
  <c r="T70" i="48"/>
  <c r="Z17" i="48"/>
  <c r="F108" i="51"/>
  <c r="F87" i="51"/>
  <c r="F86" i="51"/>
  <c r="F51" i="51"/>
  <c r="F47" i="51"/>
  <c r="F43" i="51"/>
  <c r="F78" i="51"/>
  <c r="F74" i="51"/>
  <c r="F70" i="51"/>
  <c r="F69" i="51"/>
  <c r="F97" i="51"/>
  <c r="F89" i="51"/>
  <c r="F88" i="51"/>
  <c r="F65" i="51"/>
  <c r="F61" i="51"/>
  <c r="F52" i="51"/>
  <c r="F48" i="51"/>
  <c r="F44" i="51"/>
  <c r="F40" i="51"/>
  <c r="F39" i="51"/>
  <c r="F99" i="51"/>
  <c r="F98" i="51"/>
  <c r="F91" i="51"/>
  <c r="F90" i="51"/>
  <c r="F79" i="51"/>
  <c r="F75" i="51"/>
  <c r="F71" i="51"/>
  <c r="F66" i="51"/>
  <c r="F62" i="51"/>
  <c r="L12" i="51"/>
  <c r="N12" i="51" s="1"/>
  <c r="F102" i="51"/>
  <c r="F93" i="51"/>
  <c r="F92" i="51"/>
  <c r="F81" i="51"/>
  <c r="F80" i="51"/>
  <c r="F53" i="51"/>
  <c r="F49" i="51"/>
  <c r="F45" i="51"/>
  <c r="F41" i="51"/>
  <c r="F103" i="51"/>
  <c r="F101" i="51"/>
  <c r="F76" i="51"/>
  <c r="F72" i="51"/>
  <c r="F85" i="51"/>
  <c r="F84" i="51"/>
  <c r="F77" i="51"/>
  <c r="F73" i="51"/>
  <c r="D55" i="51"/>
  <c r="F63" i="51"/>
  <c r="F82" i="51"/>
  <c r="F58" i="51"/>
  <c r="F50" i="51"/>
  <c r="F95" i="51"/>
  <c r="F67" i="51"/>
  <c r="F60" i="51"/>
  <c r="F46" i="51"/>
  <c r="F42" i="51"/>
  <c r="F83" i="51"/>
  <c r="F96" i="51"/>
  <c r="F64" i="51"/>
  <c r="F59" i="51"/>
  <c r="F94" i="51"/>
  <c r="F104" i="51"/>
  <c r="F68" i="51"/>
  <c r="F57" i="51"/>
  <c r="L16" i="57"/>
  <c r="T140" i="36"/>
  <c r="V136" i="36"/>
  <c r="T149" i="30"/>
  <c r="V64" i="30"/>
  <c r="F64" i="30"/>
  <c r="R297" i="3"/>
  <c r="T27" i="50"/>
  <c r="Z18" i="50"/>
  <c r="X18" i="50"/>
  <c r="P27" i="50"/>
  <c r="D27" i="38"/>
  <c r="L18" i="38"/>
  <c r="L18" i="16"/>
  <c r="D27" i="16"/>
  <c r="X18" i="4"/>
  <c r="P27" i="4"/>
  <c r="D27" i="28"/>
  <c r="L18" i="28"/>
  <c r="L18" i="5"/>
  <c r="D27" i="5"/>
  <c r="H84" i="81"/>
  <c r="N16" i="59"/>
  <c r="H71" i="59"/>
  <c r="Z18" i="37"/>
  <c r="T27" i="37"/>
  <c r="H27" i="19"/>
  <c r="N18" i="19"/>
  <c r="D27" i="11"/>
  <c r="L18" i="11"/>
  <c r="L16" i="107"/>
  <c r="D22" i="107"/>
  <c r="T91" i="108"/>
  <c r="Z23" i="108"/>
  <c r="L63" i="103"/>
  <c r="D67" i="103"/>
  <c r="T88" i="102"/>
  <c r="V23" i="102"/>
  <c r="R53" i="102"/>
  <c r="R52" i="102"/>
  <c r="R44" i="102"/>
  <c r="R40" i="102"/>
  <c r="R55" i="102"/>
  <c r="R49" i="102"/>
  <c r="R34" i="102"/>
  <c r="X12" i="102"/>
  <c r="Z12" i="102" s="1"/>
  <c r="R86" i="102"/>
  <c r="R73" i="102"/>
  <c r="R69" i="102"/>
  <c r="R45" i="102"/>
  <c r="R42" i="102"/>
  <c r="R31" i="102"/>
  <c r="R81" i="102"/>
  <c r="R57" i="102"/>
  <c r="R56" i="102"/>
  <c r="R50" i="102"/>
  <c r="R82" i="102"/>
  <c r="R66" i="102"/>
  <c r="R62" i="102"/>
  <c r="R51" i="102"/>
  <c r="R39" i="102"/>
  <c r="R35" i="102"/>
  <c r="R78" i="102"/>
  <c r="R74" i="102"/>
  <c r="R46" i="102"/>
  <c r="R70" i="102"/>
  <c r="R58" i="102"/>
  <c r="R71" i="102"/>
  <c r="R47" i="102"/>
  <c r="R43" i="102"/>
  <c r="R29" i="102"/>
  <c r="R21" i="102"/>
  <c r="R83" i="102"/>
  <c r="R63" i="102"/>
  <c r="R59" i="102"/>
  <c r="R37" i="102"/>
  <c r="R26" i="102"/>
  <c r="R25" i="102"/>
  <c r="R75" i="102"/>
  <c r="R67" i="102"/>
  <c r="R33" i="102"/>
  <c r="P23" i="102"/>
  <c r="R23" i="102" s="1"/>
  <c r="R80" i="102"/>
  <c r="R19" i="102"/>
  <c r="R68" i="102"/>
  <c r="R28" i="102"/>
  <c r="R90" i="102"/>
  <c r="R85" i="102"/>
  <c r="R64" i="102"/>
  <c r="R76" i="102"/>
  <c r="R60" i="102"/>
  <c r="R72" i="102"/>
  <c r="R20" i="102"/>
  <c r="R54" i="102"/>
  <c r="R48" i="102"/>
  <c r="R27" i="102"/>
  <c r="R18" i="102"/>
  <c r="R65" i="102"/>
  <c r="R61" i="102"/>
  <c r="R41" i="102"/>
  <c r="R79" i="102"/>
  <c r="R77" i="102"/>
  <c r="R30" i="102"/>
  <c r="R38" i="102"/>
  <c r="R32" i="102"/>
  <c r="R36" i="102"/>
  <c r="T74" i="101"/>
  <c r="Z22" i="101"/>
  <c r="P53" i="100"/>
  <c r="X17" i="100"/>
  <c r="P85" i="95"/>
  <c r="X23" i="95"/>
  <c r="Z23" i="95" s="1"/>
  <c r="T77" i="94"/>
  <c r="T82" i="93"/>
  <c r="F26" i="86"/>
  <c r="F30" i="86"/>
  <c r="L12" i="86"/>
  <c r="N12" i="86" s="1"/>
  <c r="F17" i="86"/>
  <c r="F16" i="86"/>
  <c r="F18" i="86"/>
  <c r="F24" i="86"/>
  <c r="F23" i="86"/>
  <c r="F22" i="86"/>
  <c r="D20" i="86"/>
  <c r="J80" i="81"/>
  <c r="H99" i="88"/>
  <c r="F22" i="83"/>
  <c r="P70" i="79"/>
  <c r="X24" i="79"/>
  <c r="R82" i="81"/>
  <c r="R32" i="81"/>
  <c r="R28" i="81"/>
  <c r="R71" i="81"/>
  <c r="R60" i="81"/>
  <c r="R59" i="81"/>
  <c r="R48" i="81"/>
  <c r="R47" i="81"/>
  <c r="R19" i="81"/>
  <c r="R61" i="81"/>
  <c r="R50" i="81"/>
  <c r="R49" i="81"/>
  <c r="R33" i="81"/>
  <c r="R29" i="81"/>
  <c r="R73" i="81"/>
  <c r="R72" i="81"/>
  <c r="R68" i="81"/>
  <c r="R25" i="81"/>
  <c r="R20" i="81"/>
  <c r="R52" i="81"/>
  <c r="R51" i="81"/>
  <c r="R43" i="81"/>
  <c r="R39" i="81"/>
  <c r="R24" i="81"/>
  <c r="R75" i="81"/>
  <c r="R74" i="81"/>
  <c r="R63" i="81"/>
  <c r="R62" i="81"/>
  <c r="R35" i="81"/>
  <c r="R34" i="81"/>
  <c r="R69" i="81"/>
  <c r="R54" i="81"/>
  <c r="R53" i="81"/>
  <c r="R76" i="81"/>
  <c r="R64" i="81"/>
  <c r="R44" i="81"/>
  <c r="R40" i="81"/>
  <c r="R36" i="81"/>
  <c r="R17" i="81"/>
  <c r="R78" i="81"/>
  <c r="R56" i="81"/>
  <c r="R55" i="81"/>
  <c r="R31" i="81"/>
  <c r="R27" i="81"/>
  <c r="R65" i="81"/>
  <c r="R26" i="81"/>
  <c r="R30" i="81"/>
  <c r="R18" i="81"/>
  <c r="R45" i="81"/>
  <c r="R41" i="81"/>
  <c r="R66" i="81"/>
  <c r="R57" i="81"/>
  <c r="R46" i="81"/>
  <c r="R37" i="81"/>
  <c r="R67" i="81"/>
  <c r="R58" i="81"/>
  <c r="R42" i="81"/>
  <c r="P22" i="81"/>
  <c r="R38" i="81"/>
  <c r="X12" i="81"/>
  <c r="Z12" i="81" s="1"/>
  <c r="R70" i="81"/>
  <c r="D80" i="81"/>
  <c r="L22" i="81"/>
  <c r="N22" i="81" s="1"/>
  <c r="F22" i="81"/>
  <c r="V29" i="76"/>
  <c r="D70" i="79"/>
  <c r="L24" i="79"/>
  <c r="T102" i="88"/>
  <c r="F85" i="77"/>
  <c r="F84" i="77"/>
  <c r="F77" i="77"/>
  <c r="F73" i="77"/>
  <c r="D55" i="77"/>
  <c r="F108" i="77"/>
  <c r="F96" i="77"/>
  <c r="F95" i="77"/>
  <c r="F68" i="77"/>
  <c r="F64" i="77"/>
  <c r="F60" i="77"/>
  <c r="F87" i="77"/>
  <c r="F86" i="77"/>
  <c r="F51" i="77"/>
  <c r="F47" i="77"/>
  <c r="F43" i="77"/>
  <c r="F78" i="77"/>
  <c r="F74" i="77"/>
  <c r="F70" i="77"/>
  <c r="F69" i="77"/>
  <c r="F97" i="77"/>
  <c r="F89" i="77"/>
  <c r="F88" i="77"/>
  <c r="F65" i="77"/>
  <c r="F61" i="77"/>
  <c r="F52" i="77"/>
  <c r="F48" i="77"/>
  <c r="F44" i="77"/>
  <c r="F40" i="77"/>
  <c r="F99" i="77"/>
  <c r="F98" i="77"/>
  <c r="F91" i="77"/>
  <c r="F90" i="77"/>
  <c r="F79" i="77"/>
  <c r="F75" i="77"/>
  <c r="F71" i="77"/>
  <c r="F66" i="77"/>
  <c r="F62" i="77"/>
  <c r="L12" i="77"/>
  <c r="N12" i="77" s="1"/>
  <c r="F102" i="77"/>
  <c r="F93" i="77"/>
  <c r="F92" i="77"/>
  <c r="F81" i="77"/>
  <c r="F80" i="77"/>
  <c r="F53" i="77"/>
  <c r="F49" i="77"/>
  <c r="F45" i="77"/>
  <c r="F41" i="77"/>
  <c r="F103" i="77"/>
  <c r="F101" i="77"/>
  <c r="F76" i="77"/>
  <c r="F72" i="77"/>
  <c r="F67" i="77"/>
  <c r="F83" i="77"/>
  <c r="F42" i="77"/>
  <c r="F57" i="77"/>
  <c r="F104" i="77"/>
  <c r="F59" i="77"/>
  <c r="F55" i="77"/>
  <c r="F94" i="77"/>
  <c r="F50" i="77"/>
  <c r="F39" i="77"/>
  <c r="F82" i="77"/>
  <c r="F63" i="77"/>
  <c r="F58" i="77"/>
  <c r="F46" i="77"/>
  <c r="F22" i="70"/>
  <c r="T84" i="56"/>
  <c r="R55" i="51"/>
  <c r="D70" i="48"/>
  <c r="L17" i="48"/>
  <c r="N17" i="48" s="1"/>
  <c r="V30" i="42"/>
  <c r="D80" i="57"/>
  <c r="L76" i="57"/>
  <c r="F134" i="39"/>
  <c r="F133" i="39"/>
  <c r="F126" i="39"/>
  <c r="F110" i="39"/>
  <c r="F106" i="39"/>
  <c r="F94" i="39"/>
  <c r="F93" i="39"/>
  <c r="F131" i="39"/>
  <c r="F123" i="39"/>
  <c r="F119" i="39"/>
  <c r="F115" i="39"/>
  <c r="F103" i="39"/>
  <c r="F128" i="39"/>
  <c r="F107" i="39"/>
  <c r="F66" i="39"/>
  <c r="F65" i="39"/>
  <c r="F138" i="39"/>
  <c r="F132" i="39"/>
  <c r="F118" i="39"/>
  <c r="F100" i="39"/>
  <c r="F91" i="39"/>
  <c r="F73" i="39"/>
  <c r="F72" i="39"/>
  <c r="F49" i="39"/>
  <c r="F45" i="39"/>
  <c r="F41" i="39"/>
  <c r="F124" i="39"/>
  <c r="F121" i="39"/>
  <c r="F111" i="39"/>
  <c r="F104" i="39"/>
  <c r="F101" i="39"/>
  <c r="F97" i="39"/>
  <c r="F92" i="39"/>
  <c r="F84" i="39"/>
  <c r="F68" i="39"/>
  <c r="F67" i="39"/>
  <c r="F32" i="39"/>
  <c r="F31" i="39"/>
  <c r="F129" i="39"/>
  <c r="F112" i="39"/>
  <c r="F75" i="39"/>
  <c r="F74" i="39"/>
  <c r="F59" i="39"/>
  <c r="F55" i="39"/>
  <c r="F51" i="39"/>
  <c r="F50" i="39"/>
  <c r="F139" i="39"/>
  <c r="F125" i="39"/>
  <c r="F108" i="39"/>
  <c r="F105" i="39"/>
  <c r="F86" i="39"/>
  <c r="F85" i="39"/>
  <c r="F140" i="39"/>
  <c r="F130" i="39"/>
  <c r="F116" i="39"/>
  <c r="F77" i="39"/>
  <c r="F76" i="39"/>
  <c r="F69" i="39"/>
  <c r="F33" i="39"/>
  <c r="F122" i="39"/>
  <c r="F113" i="39"/>
  <c r="F102" i="39"/>
  <c r="F98" i="39"/>
  <c r="F60" i="39"/>
  <c r="F56" i="39"/>
  <c r="F52" i="39"/>
  <c r="F137" i="39"/>
  <c r="F120" i="39"/>
  <c r="F99" i="39"/>
  <c r="F96" i="39"/>
  <c r="F89" i="39"/>
  <c r="F64" i="39"/>
  <c r="F63" i="39"/>
  <c r="F48" i="39"/>
  <c r="F44" i="39"/>
  <c r="F40" i="39"/>
  <c r="F39" i="39"/>
  <c r="F114" i="39"/>
  <c r="F87" i="39"/>
  <c r="F46" i="39"/>
  <c r="D36" i="39"/>
  <c r="F36" i="39" s="1"/>
  <c r="F127" i="39"/>
  <c r="F83" i="39"/>
  <c r="F70" i="39"/>
  <c r="F57" i="39"/>
  <c r="F42" i="39"/>
  <c r="F144" i="39"/>
  <c r="F80" i="39"/>
  <c r="F62" i="39"/>
  <c r="F90" i="39"/>
  <c r="F78" i="39"/>
  <c r="F53" i="39"/>
  <c r="F47" i="39"/>
  <c r="F95" i="39"/>
  <c r="F88" i="39"/>
  <c r="F38" i="39"/>
  <c r="L12" i="39"/>
  <c r="N12" i="39" s="1"/>
  <c r="F81" i="39"/>
  <c r="F58" i="39"/>
  <c r="F43" i="39"/>
  <c r="F117" i="39"/>
  <c r="F82" i="39"/>
  <c r="F79" i="39"/>
  <c r="F61" i="39"/>
  <c r="F136" i="39"/>
  <c r="F34" i="39"/>
  <c r="F54" i="39"/>
  <c r="F109" i="39"/>
  <c r="F71" i="39"/>
  <c r="T113" i="21"/>
  <c r="V29" i="21"/>
  <c r="D22" i="6"/>
  <c r="L16" i="6"/>
  <c r="X16" i="9"/>
  <c r="T309" i="3"/>
  <c r="D309" i="3"/>
  <c r="L188" i="3"/>
  <c r="N188" i="3" s="1"/>
  <c r="L18" i="49"/>
  <c r="D27" i="49"/>
  <c r="Z18" i="40"/>
  <c r="T27" i="40"/>
  <c r="P27" i="40"/>
  <c r="X18" i="40"/>
  <c r="T27" i="35"/>
  <c r="Z18" i="35"/>
  <c r="L18" i="40"/>
  <c r="D27" i="40"/>
  <c r="X18" i="35"/>
  <c r="P27" i="35"/>
  <c r="N18" i="32"/>
  <c r="H27" i="32"/>
  <c r="T27" i="29"/>
  <c r="Z18" i="29"/>
  <c r="T27" i="28"/>
  <c r="Z18" i="28"/>
  <c r="T27" i="22"/>
  <c r="Z18" i="22"/>
  <c r="P27" i="26"/>
  <c r="X18" i="26"/>
  <c r="L18" i="10"/>
  <c r="D27" i="10"/>
  <c r="R73" i="106"/>
  <c r="R58" i="106"/>
  <c r="R57" i="106"/>
  <c r="R85" i="106"/>
  <c r="R84" i="106"/>
  <c r="R68" i="106"/>
  <c r="R79" i="106"/>
  <c r="R60" i="106"/>
  <c r="R59" i="106"/>
  <c r="R87" i="106"/>
  <c r="R86" i="106"/>
  <c r="R75" i="106"/>
  <c r="R74" i="106"/>
  <c r="R88" i="106"/>
  <c r="R80" i="106"/>
  <c r="R76" i="106"/>
  <c r="R81" i="106"/>
  <c r="R77" i="106"/>
  <c r="R66" i="106"/>
  <c r="R65" i="106"/>
  <c r="R94" i="106"/>
  <c r="R72" i="106"/>
  <c r="R82" i="106"/>
  <c r="R71" i="106"/>
  <c r="R67" i="106"/>
  <c r="R55" i="106"/>
  <c r="R41" i="106"/>
  <c r="R18" i="106"/>
  <c r="R90" i="106"/>
  <c r="R51" i="106"/>
  <c r="R45" i="106"/>
  <c r="R37" i="106"/>
  <c r="R36" i="106"/>
  <c r="R32" i="106"/>
  <c r="R28" i="106"/>
  <c r="X12" i="106"/>
  <c r="Z12" i="106" s="1"/>
  <c r="R69" i="106"/>
  <c r="R63" i="106"/>
  <c r="R52" i="106"/>
  <c r="R19" i="106"/>
  <c r="R83" i="106"/>
  <c r="R56" i="106"/>
  <c r="R42" i="106"/>
  <c r="R38" i="106"/>
  <c r="R46" i="106"/>
  <c r="R33" i="106"/>
  <c r="R29" i="106"/>
  <c r="R70" i="106"/>
  <c r="R61" i="106"/>
  <c r="R20" i="106"/>
  <c r="R53" i="106"/>
  <c r="R43" i="106"/>
  <c r="R39" i="106"/>
  <c r="R64" i="106"/>
  <c r="R48" i="106"/>
  <c r="R47" i="106"/>
  <c r="R34" i="106"/>
  <c r="R30" i="106"/>
  <c r="R62" i="106"/>
  <c r="R54" i="106"/>
  <c r="R26" i="106"/>
  <c r="R21" i="106"/>
  <c r="R44" i="106"/>
  <c r="R40" i="106"/>
  <c r="R25" i="106"/>
  <c r="R49" i="106"/>
  <c r="R27" i="106"/>
  <c r="R50" i="106"/>
  <c r="R31" i="106"/>
  <c r="P23" i="106"/>
  <c r="R23" i="106" s="1"/>
  <c r="R35" i="106"/>
  <c r="R78" i="106"/>
  <c r="H91" i="98"/>
  <c r="N23" i="98"/>
  <c r="V23" i="98"/>
  <c r="L18" i="8"/>
  <c r="D27" i="8"/>
  <c r="L18" i="19"/>
  <c r="D27" i="19"/>
  <c r="X18" i="13"/>
  <c r="P27" i="13"/>
  <c r="P46" i="109"/>
  <c r="T97" i="104"/>
  <c r="D90" i="104"/>
  <c r="L23" i="104"/>
  <c r="N23" i="104" s="1"/>
  <c r="P82" i="93"/>
  <c r="X22" i="93"/>
  <c r="Z22" i="93" s="1"/>
  <c r="J127" i="85"/>
  <c r="H81" i="94"/>
  <c r="J77" i="94"/>
  <c r="X20" i="86"/>
  <c r="Z20" i="86" s="1"/>
  <c r="P28" i="86"/>
  <c r="R64" i="79"/>
  <c r="N80" i="80"/>
  <c r="H84" i="80"/>
  <c r="L84" i="80" s="1"/>
  <c r="T81" i="73"/>
  <c r="H74" i="70"/>
  <c r="N22" i="70"/>
  <c r="J22" i="70"/>
  <c r="H114" i="69"/>
  <c r="T60" i="68"/>
  <c r="Z16" i="68"/>
  <c r="X16" i="64"/>
  <c r="P103" i="64"/>
  <c r="Z22" i="70"/>
  <c r="T74" i="70"/>
  <c r="D62" i="61"/>
  <c r="L16" i="61"/>
  <c r="H62" i="61"/>
  <c r="N16" i="61"/>
  <c r="X71" i="59"/>
  <c r="Z71" i="59" s="1"/>
  <c r="P75" i="59"/>
  <c r="F100" i="33"/>
  <c r="F75" i="33"/>
  <c r="F74" i="33"/>
  <c r="F35" i="33"/>
  <c r="F31" i="33"/>
  <c r="F30" i="33"/>
  <c r="F101" i="33"/>
  <c r="F90" i="33"/>
  <c r="F89" i="33"/>
  <c r="F66" i="33"/>
  <c r="F65" i="33"/>
  <c r="F58" i="33"/>
  <c r="F54" i="33"/>
  <c r="F85" i="33"/>
  <c r="F77" i="33"/>
  <c r="F76" i="33"/>
  <c r="F49" i="33"/>
  <c r="F45" i="33"/>
  <c r="F41" i="33"/>
  <c r="F40" i="33"/>
  <c r="F105" i="33"/>
  <c r="F91" i="33"/>
  <c r="F79" i="33"/>
  <c r="F78" i="33"/>
  <c r="F59" i="33"/>
  <c r="F55" i="33"/>
  <c r="F51" i="33"/>
  <c r="F50" i="33"/>
  <c r="D37" i="33"/>
  <c r="F86" i="33"/>
  <c r="F70" i="33"/>
  <c r="F69" i="33"/>
  <c r="F46" i="33"/>
  <c r="F42" i="33"/>
  <c r="F93" i="33"/>
  <c r="F92" i="33"/>
  <c r="F81" i="33"/>
  <c r="F80" i="33"/>
  <c r="F33" i="33"/>
  <c r="F97" i="33"/>
  <c r="F95" i="33"/>
  <c r="F82" i="33"/>
  <c r="F62" i="33"/>
  <c r="F61" i="33"/>
  <c r="F34" i="33"/>
  <c r="F73" i="33"/>
  <c r="F63" i="33"/>
  <c r="F71" i="33"/>
  <c r="F37" i="33"/>
  <c r="F57" i="33"/>
  <c r="F99" i="33"/>
  <c r="F87" i="33"/>
  <c r="F53" i="33"/>
  <c r="F64" i="33"/>
  <c r="F32" i="33"/>
  <c r="F96" i="33"/>
  <c r="F83" i="33"/>
  <c r="F72" i="33"/>
  <c r="F67" i="33"/>
  <c r="F47" i="33"/>
  <c r="F43" i="33"/>
  <c r="L12" i="33"/>
  <c r="N12" i="33" s="1"/>
  <c r="F88" i="33"/>
  <c r="F39" i="33"/>
  <c r="F60" i="33"/>
  <c r="F52" i="33"/>
  <c r="F68" i="33"/>
  <c r="F48" i="33"/>
  <c r="F44" i="33"/>
  <c r="F98" i="33"/>
  <c r="F56" i="33"/>
  <c r="F84" i="33"/>
  <c r="T125" i="24"/>
  <c r="F128" i="36"/>
  <c r="F127" i="36"/>
  <c r="F120" i="36"/>
  <c r="F104" i="36"/>
  <c r="F100" i="36"/>
  <c r="F99" i="36"/>
  <c r="F76" i="36"/>
  <c r="F75" i="36"/>
  <c r="F60" i="36"/>
  <c r="F115" i="36"/>
  <c r="F111" i="36"/>
  <c r="F87" i="36"/>
  <c r="F86" i="36"/>
  <c r="F131" i="36"/>
  <c r="F122" i="36"/>
  <c r="F121" i="36"/>
  <c r="F106" i="36"/>
  <c r="F105" i="36"/>
  <c r="F94" i="36"/>
  <c r="F78" i="36"/>
  <c r="F77" i="36"/>
  <c r="F62" i="36"/>
  <c r="F133" i="36"/>
  <c r="F124" i="36"/>
  <c r="F123" i="36"/>
  <c r="F116" i="36"/>
  <c r="F112" i="36"/>
  <c r="F108" i="36"/>
  <c r="F107" i="36"/>
  <c r="F119" i="36"/>
  <c r="F118" i="36"/>
  <c r="F102" i="36"/>
  <c r="F28" i="36"/>
  <c r="F132" i="36"/>
  <c r="F125" i="36"/>
  <c r="F117" i="36"/>
  <c r="F92" i="36"/>
  <c r="F89" i="36"/>
  <c r="F74" i="36"/>
  <c r="F61" i="36"/>
  <c r="F55" i="36"/>
  <c r="F51" i="36"/>
  <c r="F47" i="36"/>
  <c r="F96" i="36"/>
  <c r="F84" i="36"/>
  <c r="F79" i="36"/>
  <c r="F42" i="36"/>
  <c r="F38" i="36"/>
  <c r="F113" i="36"/>
  <c r="F57" i="36"/>
  <c r="F56" i="36"/>
  <c r="F29" i="36"/>
  <c r="F93" i="36"/>
  <c r="F85" i="36"/>
  <c r="F70" i="36"/>
  <c r="F66" i="36"/>
  <c r="F52" i="36"/>
  <c r="F48" i="36"/>
  <c r="L12" i="36"/>
  <c r="N12" i="36" s="1"/>
  <c r="F126" i="36"/>
  <c r="F109" i="36"/>
  <c r="F103" i="36"/>
  <c r="F90" i="36"/>
  <c r="F63" i="36"/>
  <c r="F43" i="36"/>
  <c r="F39" i="36"/>
  <c r="F35" i="36"/>
  <c r="F34" i="36"/>
  <c r="F130" i="36"/>
  <c r="F97" i="36"/>
  <c r="F81" i="36"/>
  <c r="F80" i="36"/>
  <c r="F58" i="36"/>
  <c r="F33" i="36"/>
  <c r="F138" i="36"/>
  <c r="F101" i="36"/>
  <c r="F91" i="36"/>
  <c r="F71" i="36"/>
  <c r="F67" i="36"/>
  <c r="F64" i="36"/>
  <c r="F59" i="36"/>
  <c r="F53" i="36"/>
  <c r="F49" i="36"/>
  <c r="D31" i="36"/>
  <c r="F31" i="36" s="1"/>
  <c r="F82" i="36"/>
  <c r="F68" i="36"/>
  <c r="F54" i="36"/>
  <c r="F50" i="36"/>
  <c r="F46" i="36"/>
  <c r="F45" i="36"/>
  <c r="F134" i="36"/>
  <c r="F37" i="36"/>
  <c r="F27" i="36"/>
  <c r="F69" i="36"/>
  <c r="F98" i="36"/>
  <c r="F41" i="36"/>
  <c r="F110" i="36"/>
  <c r="F83" i="36"/>
  <c r="F36" i="36"/>
  <c r="F95" i="36"/>
  <c r="F72" i="36"/>
  <c r="F26" i="36"/>
  <c r="F88" i="36"/>
  <c r="F65" i="36"/>
  <c r="F40" i="36"/>
  <c r="F44" i="36"/>
  <c r="F73" i="36"/>
  <c r="F114" i="36"/>
  <c r="N16" i="9"/>
  <c r="H99" i="9"/>
  <c r="L16" i="9"/>
  <c r="D99" i="9"/>
  <c r="F245" i="12"/>
  <c r="F241" i="12"/>
  <c r="F225" i="12"/>
  <c r="F224" i="12"/>
  <c r="F217" i="12"/>
  <c r="F216" i="12"/>
  <c r="F205" i="12"/>
  <c r="F197" i="12"/>
  <c r="F196" i="12"/>
  <c r="F181" i="12"/>
  <c r="F177" i="12"/>
  <c r="F173" i="12"/>
  <c r="F261" i="12"/>
  <c r="F252" i="12"/>
  <c r="F251" i="12"/>
  <c r="F168" i="12"/>
  <c r="F164" i="12"/>
  <c r="F262" i="12"/>
  <c r="F260" i="12"/>
  <c r="F235" i="12"/>
  <c r="F231" i="12"/>
  <c r="F219" i="12"/>
  <c r="F218" i="12"/>
  <c r="F207" i="12"/>
  <c r="F206" i="12"/>
  <c r="F191" i="12"/>
  <c r="F183" i="12"/>
  <c r="F182" i="12"/>
  <c r="F155" i="12"/>
  <c r="F151" i="12"/>
  <c r="F147" i="12"/>
  <c r="F143" i="12"/>
  <c r="F139" i="12"/>
  <c r="F135" i="12"/>
  <c r="F131" i="12"/>
  <c r="F127" i="12"/>
  <c r="F123" i="12"/>
  <c r="F119" i="12"/>
  <c r="F115" i="12"/>
  <c r="F111" i="12"/>
  <c r="F107" i="12"/>
  <c r="F263" i="12"/>
  <c r="F254" i="12"/>
  <c r="F253" i="12"/>
  <c r="F246" i="12"/>
  <c r="F242" i="12"/>
  <c r="F226" i="12"/>
  <c r="F198" i="12"/>
  <c r="F178" i="12"/>
  <c r="F174" i="12"/>
  <c r="F264" i="12"/>
  <c r="F237" i="12"/>
  <c r="F236" i="12"/>
  <c r="F221" i="12"/>
  <c r="F220" i="12"/>
  <c r="F209" i="12"/>
  <c r="F208" i="12"/>
  <c r="F185" i="12"/>
  <c r="F184" i="12"/>
  <c r="F169" i="12"/>
  <c r="F165" i="12"/>
  <c r="F161" i="12"/>
  <c r="F160" i="12"/>
  <c r="F265" i="12"/>
  <c r="F232" i="12"/>
  <c r="F200" i="12"/>
  <c r="F199" i="12"/>
  <c r="F192" i="12"/>
  <c r="F159" i="12"/>
  <c r="F152" i="12"/>
  <c r="F148" i="12"/>
  <c r="F144" i="12"/>
  <c r="F140" i="12"/>
  <c r="F136" i="12"/>
  <c r="F132" i="12"/>
  <c r="F128" i="12"/>
  <c r="F124" i="12"/>
  <c r="F120" i="12"/>
  <c r="F116" i="12"/>
  <c r="F112" i="12"/>
  <c r="F108" i="12"/>
  <c r="F266" i="12"/>
  <c r="F255" i="12"/>
  <c r="F247" i="12"/>
  <c r="F243" i="12"/>
  <c r="F227" i="12"/>
  <c r="F211" i="12"/>
  <c r="F210" i="12"/>
  <c r="F179" i="12"/>
  <c r="F175" i="12"/>
  <c r="D157" i="12"/>
  <c r="F157" i="12" s="1"/>
  <c r="F267" i="12"/>
  <c r="F238" i="12"/>
  <c r="F222" i="12"/>
  <c r="F202" i="12"/>
  <c r="F201" i="12"/>
  <c r="F194" i="12"/>
  <c r="F193" i="12"/>
  <c r="F186" i="12"/>
  <c r="F170" i="12"/>
  <c r="F166" i="12"/>
  <c r="F162" i="12"/>
  <c r="L12" i="12"/>
  <c r="N12" i="12" s="1"/>
  <c r="F249" i="12"/>
  <c r="F248" i="12"/>
  <c r="F233" i="12"/>
  <c r="F213" i="12"/>
  <c r="F212" i="12"/>
  <c r="F153" i="12"/>
  <c r="F149" i="12"/>
  <c r="F145" i="12"/>
  <c r="F141" i="12"/>
  <c r="F137" i="12"/>
  <c r="F133" i="12"/>
  <c r="F129" i="12"/>
  <c r="F125" i="12"/>
  <c r="F121" i="12"/>
  <c r="F117" i="12"/>
  <c r="F113" i="12"/>
  <c r="F109" i="12"/>
  <c r="F256" i="12"/>
  <c r="F244" i="12"/>
  <c r="F240" i="12"/>
  <c r="F239" i="12"/>
  <c r="F228" i="12"/>
  <c r="F204" i="12"/>
  <c r="F203" i="12"/>
  <c r="F188" i="12"/>
  <c r="F187" i="12"/>
  <c r="F180" i="12"/>
  <c r="F176" i="12"/>
  <c r="F172" i="12"/>
  <c r="F171" i="12"/>
  <c r="F271" i="12"/>
  <c r="F223" i="12"/>
  <c r="F215" i="12"/>
  <c r="F214" i="12"/>
  <c r="F195" i="12"/>
  <c r="F167" i="12"/>
  <c r="F163" i="12"/>
  <c r="F146" i="12"/>
  <c r="F130" i="12"/>
  <c r="F114" i="12"/>
  <c r="F230" i="12"/>
  <c r="F189" i="12"/>
  <c r="F257" i="12"/>
  <c r="F150" i="12"/>
  <c r="F134" i="12"/>
  <c r="F118" i="12"/>
  <c r="F258" i="12"/>
  <c r="F250" i="12"/>
  <c r="F106" i="12"/>
  <c r="F234" i="12"/>
  <c r="F229" i="12"/>
  <c r="F154" i="12"/>
  <c r="F138" i="12"/>
  <c r="F122" i="12"/>
  <c r="F190" i="12"/>
  <c r="F142" i="12"/>
  <c r="F126" i="12"/>
  <c r="F110" i="12"/>
  <c r="F105" i="12"/>
  <c r="P103" i="9"/>
  <c r="X18" i="113"/>
  <c r="P27" i="113"/>
  <c r="X18" i="111"/>
  <c r="P27" i="111"/>
  <c r="D27" i="112"/>
  <c r="L18" i="112"/>
  <c r="X18" i="52"/>
  <c r="P27" i="52"/>
  <c r="T27" i="43"/>
  <c r="Z18" i="43"/>
  <c r="H27" i="41"/>
  <c r="N18" i="41"/>
  <c r="X18" i="38"/>
  <c r="P27" i="38"/>
  <c r="T27" i="41"/>
  <c r="Z18" i="41"/>
  <c r="H27" i="37"/>
  <c r="N18" i="37"/>
  <c r="X18" i="34"/>
  <c r="P27" i="34"/>
  <c r="X18" i="20"/>
  <c r="P27" i="20"/>
  <c r="N18" i="20"/>
  <c r="H27" i="20"/>
  <c r="T27" i="11"/>
  <c r="Z18" i="11"/>
  <c r="H27" i="5"/>
  <c r="N18" i="5"/>
  <c r="H98" i="108" l="1"/>
  <c r="J98" i="108" s="1"/>
  <c r="J95" i="108"/>
  <c r="D31" i="112"/>
  <c r="L27" i="112"/>
  <c r="V102" i="88"/>
  <c r="N27" i="113"/>
  <c r="H31" i="113"/>
  <c r="D31" i="43"/>
  <c r="L27" i="43"/>
  <c r="T133" i="42"/>
  <c r="V129" i="42"/>
  <c r="X27" i="111"/>
  <c r="P31" i="111"/>
  <c r="L37" i="33"/>
  <c r="N37" i="33" s="1"/>
  <c r="D103" i="33"/>
  <c r="L62" i="61"/>
  <c r="D66" i="61"/>
  <c r="T64" i="68"/>
  <c r="X27" i="26"/>
  <c r="P31" i="26"/>
  <c r="Z27" i="37"/>
  <c r="T31" i="37"/>
  <c r="D31" i="16"/>
  <c r="L27" i="16"/>
  <c r="T153" i="30"/>
  <c r="V149" i="30"/>
  <c r="X55" i="77"/>
  <c r="Z55" i="77" s="1"/>
  <c r="P106" i="77"/>
  <c r="D31" i="37"/>
  <c r="L27" i="37"/>
  <c r="X27" i="112"/>
  <c r="P31" i="112"/>
  <c r="T87" i="81"/>
  <c r="V84" i="81"/>
  <c r="X27" i="23"/>
  <c r="P31" i="23"/>
  <c r="X22" i="6"/>
  <c r="P26" i="6"/>
  <c r="X60" i="68"/>
  <c r="Z60" i="68" s="1"/>
  <c r="P64" i="68"/>
  <c r="Z28" i="86"/>
  <c r="T32" i="86"/>
  <c r="V28" i="86"/>
  <c r="X27" i="17"/>
  <c r="P31" i="17"/>
  <c r="X27" i="46"/>
  <c r="P31" i="46"/>
  <c r="P282" i="18"/>
  <c r="X175" i="18"/>
  <c r="Z175" i="18" s="1"/>
  <c r="T66" i="61"/>
  <c r="H133" i="42"/>
  <c r="J129" i="42"/>
  <c r="D31" i="23"/>
  <c r="L27" i="23"/>
  <c r="L56" i="27"/>
  <c r="N56" i="27" s="1"/>
  <c r="D120" i="27"/>
  <c r="H32" i="86"/>
  <c r="J28" i="86"/>
  <c r="H260" i="15"/>
  <c r="J256" i="15"/>
  <c r="X27" i="10"/>
  <c r="P31" i="10"/>
  <c r="D93" i="84"/>
  <c r="L22" i="84"/>
  <c r="N22" i="84" s="1"/>
  <c r="T100" i="84"/>
  <c r="V97" i="84"/>
  <c r="D74" i="110"/>
  <c r="L70" i="110"/>
  <c r="N70" i="110" s="1"/>
  <c r="F70" i="110"/>
  <c r="D260" i="15"/>
  <c r="L256" i="15"/>
  <c r="N256" i="15" s="1"/>
  <c r="F256" i="15"/>
  <c r="D123" i="85"/>
  <c r="L48" i="85"/>
  <c r="N48" i="85" s="1"/>
  <c r="V92" i="95"/>
  <c r="X70" i="110"/>
  <c r="Z70" i="110" s="1"/>
  <c r="P74" i="110"/>
  <c r="R70" i="110"/>
  <c r="H35" i="83"/>
  <c r="J32" i="83"/>
  <c r="N27" i="29"/>
  <c r="H31" i="29"/>
  <c r="Z27" i="7"/>
  <c r="T31" i="7"/>
  <c r="X27" i="49"/>
  <c r="P31" i="49"/>
  <c r="P129" i="42"/>
  <c r="X30" i="42"/>
  <c r="Z30" i="42" s="1"/>
  <c r="R30" i="42"/>
  <c r="L53" i="100"/>
  <c r="N53" i="100" s="1"/>
  <c r="D57" i="100"/>
  <c r="L27" i="50"/>
  <c r="D31" i="50"/>
  <c r="L27" i="47"/>
  <c r="D31" i="47"/>
  <c r="Z27" i="53"/>
  <c r="T31" i="53"/>
  <c r="X25" i="45"/>
  <c r="Z25" i="45" s="1"/>
  <c r="P102" i="45"/>
  <c r="P62" i="105"/>
  <c r="X23" i="105"/>
  <c r="Z23" i="105" s="1"/>
  <c r="N27" i="5"/>
  <c r="H31" i="5"/>
  <c r="Z27" i="41"/>
  <c r="T31" i="41"/>
  <c r="T129" i="24"/>
  <c r="V125" i="24"/>
  <c r="H118" i="69"/>
  <c r="J114" i="69"/>
  <c r="D83" i="57"/>
  <c r="L70" i="79"/>
  <c r="N70" i="79" s="1"/>
  <c r="D74" i="79"/>
  <c r="F70" i="79"/>
  <c r="T92" i="102"/>
  <c r="V88" i="102"/>
  <c r="H110" i="64"/>
  <c r="D53" i="109"/>
  <c r="L50" i="109"/>
  <c r="H120" i="21"/>
  <c r="J117" i="21"/>
  <c r="D102" i="45"/>
  <c r="L25" i="45"/>
  <c r="N25" i="45" s="1"/>
  <c r="T83" i="57"/>
  <c r="P117" i="75"/>
  <c r="X52" i="75"/>
  <c r="Z52" i="75" s="1"/>
  <c r="T70" i="103"/>
  <c r="Z27" i="23"/>
  <c r="T31" i="23"/>
  <c r="L87" i="76"/>
  <c r="N87" i="76" s="1"/>
  <c r="D91" i="76"/>
  <c r="F87" i="76"/>
  <c r="N27" i="4"/>
  <c r="H31" i="4"/>
  <c r="D31" i="111"/>
  <c r="L27" i="111"/>
  <c r="P256" i="15"/>
  <c r="X151" i="15"/>
  <c r="Z151" i="15" s="1"/>
  <c r="D121" i="75"/>
  <c r="L117" i="75"/>
  <c r="F117" i="75"/>
  <c r="P87" i="76"/>
  <c r="X29" i="76"/>
  <c r="Z29" i="76" s="1"/>
  <c r="N63" i="103"/>
  <c r="H67" i="103"/>
  <c r="Z27" i="16"/>
  <c r="T31" i="16"/>
  <c r="X22" i="84"/>
  <c r="Z22" i="84" s="1"/>
  <c r="P93" i="84"/>
  <c r="Z27" i="20"/>
  <c r="T31" i="20"/>
  <c r="N27" i="40"/>
  <c r="H31" i="40"/>
  <c r="T78" i="59"/>
  <c r="Z27" i="26"/>
  <c r="T31" i="26"/>
  <c r="N27" i="44"/>
  <c r="H31" i="44"/>
  <c r="Z22" i="6"/>
  <c r="T26" i="6"/>
  <c r="H107" i="33"/>
  <c r="J103" i="33"/>
  <c r="X27" i="37"/>
  <c r="P31" i="37"/>
  <c r="X27" i="8"/>
  <c r="P31" i="8"/>
  <c r="D31" i="22"/>
  <c r="L27" i="22"/>
  <c r="P149" i="30"/>
  <c r="X64" i="30"/>
  <c r="Z64" i="30" s="1"/>
  <c r="H87" i="56"/>
  <c r="L22" i="93"/>
  <c r="N22" i="93" s="1"/>
  <c r="D82" i="93"/>
  <c r="D75" i="59"/>
  <c r="L71" i="59"/>
  <c r="N71" i="59" s="1"/>
  <c r="P74" i="79"/>
  <c r="X70" i="79"/>
  <c r="Z70" i="79" s="1"/>
  <c r="R70" i="79"/>
  <c r="D70" i="103"/>
  <c r="L67" i="103"/>
  <c r="H75" i="59"/>
  <c r="P90" i="104"/>
  <c r="X23" i="104"/>
  <c r="Z23" i="104" s="1"/>
  <c r="P269" i="12"/>
  <c r="X157" i="12"/>
  <c r="Z157" i="12" s="1"/>
  <c r="H35" i="55"/>
  <c r="P95" i="98"/>
  <c r="X91" i="98"/>
  <c r="R91" i="98"/>
  <c r="X80" i="56"/>
  <c r="Z80" i="56" s="1"/>
  <c r="P84" i="56"/>
  <c r="D31" i="14"/>
  <c r="L27" i="14"/>
  <c r="H146" i="39"/>
  <c r="J142" i="39"/>
  <c r="P91" i="74"/>
  <c r="X52" i="74"/>
  <c r="Z52" i="74" s="1"/>
  <c r="X27" i="11"/>
  <c r="P31" i="11"/>
  <c r="L27" i="25"/>
  <c r="D31" i="25"/>
  <c r="T260" i="15"/>
  <c r="V256" i="15"/>
  <c r="N27" i="23"/>
  <c r="H31" i="23"/>
  <c r="X27" i="44"/>
  <c r="P31" i="44"/>
  <c r="D81" i="94"/>
  <c r="L77" i="94"/>
  <c r="N77" i="94" s="1"/>
  <c r="F77" i="94"/>
  <c r="T107" i="33"/>
  <c r="V103" i="33"/>
  <c r="X83" i="89"/>
  <c r="P87" i="89"/>
  <c r="R83" i="89"/>
  <c r="T313" i="3"/>
  <c r="V309" i="3"/>
  <c r="T86" i="93"/>
  <c r="V82" i="93"/>
  <c r="D106" i="51"/>
  <c r="L55" i="51"/>
  <c r="N55" i="51" s="1"/>
  <c r="L62" i="105"/>
  <c r="D66" i="105"/>
  <c r="F62" i="105"/>
  <c r="T91" i="76"/>
  <c r="V87" i="76"/>
  <c r="T31" i="22"/>
  <c r="Z27" i="22"/>
  <c r="Z27" i="11"/>
  <c r="T31" i="11"/>
  <c r="V74" i="70"/>
  <c r="T78" i="70"/>
  <c r="H84" i="94"/>
  <c r="J81" i="94"/>
  <c r="V97" i="104"/>
  <c r="D26" i="6"/>
  <c r="L22" i="6"/>
  <c r="T81" i="94"/>
  <c r="V77" i="94"/>
  <c r="D31" i="38"/>
  <c r="L27" i="38"/>
  <c r="T143" i="36"/>
  <c r="V140" i="36"/>
  <c r="T74" i="48"/>
  <c r="V70" i="48"/>
  <c r="D97" i="96"/>
  <c r="L22" i="96"/>
  <c r="N22" i="96" s="1"/>
  <c r="L27" i="32"/>
  <c r="D31" i="32"/>
  <c r="D31" i="41"/>
  <c r="L27" i="41"/>
  <c r="T124" i="71"/>
  <c r="V120" i="71"/>
  <c r="H90" i="89"/>
  <c r="J87" i="89"/>
  <c r="Z27" i="5"/>
  <c r="T31" i="5"/>
  <c r="Z27" i="17"/>
  <c r="T31" i="17"/>
  <c r="Z27" i="49"/>
  <c r="T31" i="49"/>
  <c r="F87" i="80"/>
  <c r="L27" i="34"/>
  <c r="D31" i="34"/>
  <c r="H31" i="111"/>
  <c r="N27" i="111"/>
  <c r="L63" i="69"/>
  <c r="N63" i="69" s="1"/>
  <c r="D114" i="69"/>
  <c r="H94" i="76"/>
  <c r="J91" i="76"/>
  <c r="T286" i="18"/>
  <c r="V282" i="18"/>
  <c r="X72" i="24"/>
  <c r="Z72" i="24" s="1"/>
  <c r="P125" i="24"/>
  <c r="H113" i="77"/>
  <c r="J110" i="77"/>
  <c r="T60" i="100"/>
  <c r="D95" i="88"/>
  <c r="L22" i="88"/>
  <c r="N22" i="88" s="1"/>
  <c r="Z27" i="31"/>
  <c r="T31" i="31"/>
  <c r="P31" i="47"/>
  <c r="X27" i="47"/>
  <c r="P38" i="55"/>
  <c r="H64" i="60"/>
  <c r="R23" i="105"/>
  <c r="D92" i="106"/>
  <c r="L23" i="106"/>
  <c r="N23" i="106" s="1"/>
  <c r="D129" i="42"/>
  <c r="L30" i="42"/>
  <c r="N30" i="42" s="1"/>
  <c r="N27" i="20"/>
  <c r="H31" i="20"/>
  <c r="D103" i="9"/>
  <c r="L99" i="9"/>
  <c r="H95" i="98"/>
  <c r="J91" i="98"/>
  <c r="Z27" i="28"/>
  <c r="T31" i="28"/>
  <c r="P31" i="40"/>
  <c r="X27" i="40"/>
  <c r="L70" i="48"/>
  <c r="N70" i="48" s="1"/>
  <c r="D74" i="48"/>
  <c r="F70" i="48"/>
  <c r="D106" i="77"/>
  <c r="L55" i="77"/>
  <c r="N55" i="77" s="1"/>
  <c r="X27" i="50"/>
  <c r="P31" i="50"/>
  <c r="D26" i="54"/>
  <c r="L22" i="54"/>
  <c r="H286" i="18"/>
  <c r="J282" i="18"/>
  <c r="T110" i="64"/>
  <c r="T77" i="110"/>
  <c r="V74" i="110"/>
  <c r="D84" i="56"/>
  <c r="L80" i="56"/>
  <c r="N80" i="56" s="1"/>
  <c r="X27" i="7"/>
  <c r="P31" i="7"/>
  <c r="H67" i="68"/>
  <c r="P78" i="101"/>
  <c r="X74" i="101"/>
  <c r="R74" i="101"/>
  <c r="J81" i="73"/>
  <c r="H85" i="73"/>
  <c r="F23" i="106"/>
  <c r="T87" i="89"/>
  <c r="Z83" i="89"/>
  <c r="V83" i="89"/>
  <c r="X36" i="39"/>
  <c r="Z36" i="39" s="1"/>
  <c r="P142" i="39"/>
  <c r="L60" i="68"/>
  <c r="N60" i="68" s="1"/>
  <c r="D64" i="68"/>
  <c r="P120" i="71"/>
  <c r="X56" i="71"/>
  <c r="Z56" i="71" s="1"/>
  <c r="T96" i="106"/>
  <c r="V92" i="106"/>
  <c r="H77" i="48"/>
  <c r="J74" i="48"/>
  <c r="D31" i="17"/>
  <c r="L27" i="17"/>
  <c r="L27" i="35"/>
  <c r="D31" i="35"/>
  <c r="T83" i="58"/>
  <c r="X27" i="28"/>
  <c r="P31" i="28"/>
  <c r="H313" i="3"/>
  <c r="J309" i="3"/>
  <c r="T104" i="96"/>
  <c r="V101" i="96"/>
  <c r="L60" i="60"/>
  <c r="N60" i="60" s="1"/>
  <c r="D64" i="60"/>
  <c r="L27" i="31"/>
  <c r="D31" i="31"/>
  <c r="T35" i="55"/>
  <c r="Z31" i="55"/>
  <c r="P67" i="103"/>
  <c r="X63" i="103"/>
  <c r="Z63" i="103" s="1"/>
  <c r="H31" i="47"/>
  <c r="N27" i="47"/>
  <c r="N27" i="11"/>
  <c r="H31" i="11"/>
  <c r="X27" i="22"/>
  <c r="P31" i="22"/>
  <c r="P114" i="69"/>
  <c r="X63" i="69"/>
  <c r="Z63" i="69" s="1"/>
  <c r="D142" i="39"/>
  <c r="L36" i="39"/>
  <c r="N36" i="39" s="1"/>
  <c r="T66" i="105"/>
  <c r="V62" i="105"/>
  <c r="Z27" i="44"/>
  <c r="T31" i="44"/>
  <c r="Z27" i="8"/>
  <c r="T31" i="8"/>
  <c r="X27" i="38"/>
  <c r="P31" i="38"/>
  <c r="N27" i="41"/>
  <c r="H31" i="41"/>
  <c r="P106" i="9"/>
  <c r="X75" i="59"/>
  <c r="Z75" i="59" s="1"/>
  <c r="P78" i="59"/>
  <c r="X78" i="59" s="1"/>
  <c r="H78" i="70"/>
  <c r="J74" i="70"/>
  <c r="P50" i="109"/>
  <c r="X46" i="109"/>
  <c r="T31" i="40"/>
  <c r="Z27" i="40"/>
  <c r="T95" i="108"/>
  <c r="V91" i="108"/>
  <c r="H87" i="81"/>
  <c r="J84" i="81"/>
  <c r="X48" i="85"/>
  <c r="Z48" i="85" s="1"/>
  <c r="P123" i="85"/>
  <c r="D96" i="92"/>
  <c r="L92" i="92"/>
  <c r="N92" i="92" s="1"/>
  <c r="D85" i="95"/>
  <c r="L23" i="95"/>
  <c r="N23" i="95" s="1"/>
  <c r="L95" i="98"/>
  <c r="D98" i="98"/>
  <c r="F95" i="98"/>
  <c r="N27" i="25"/>
  <c r="H31" i="25"/>
  <c r="T31" i="34"/>
  <c r="Z27" i="34"/>
  <c r="Z27" i="111"/>
  <c r="T31" i="111"/>
  <c r="H31" i="8"/>
  <c r="N27" i="8"/>
  <c r="L27" i="46"/>
  <c r="D31" i="46"/>
  <c r="T31" i="47"/>
  <c r="Z27" i="47"/>
  <c r="H113" i="51"/>
  <c r="J110" i="51"/>
  <c r="R52" i="74"/>
  <c r="T127" i="85"/>
  <c r="V123" i="85"/>
  <c r="N27" i="34"/>
  <c r="H31" i="34"/>
  <c r="T31" i="113"/>
  <c r="Z27" i="113"/>
  <c r="T109" i="45"/>
  <c r="V106" i="45"/>
  <c r="F63" i="69"/>
  <c r="X23" i="94"/>
  <c r="Z23" i="94" s="1"/>
  <c r="P77" i="94"/>
  <c r="P66" i="61"/>
  <c r="X62" i="61"/>
  <c r="Z62" i="61" s="1"/>
  <c r="H92" i="102"/>
  <c r="J88" i="102"/>
  <c r="N27" i="49"/>
  <c r="H31" i="49"/>
  <c r="H26" i="6"/>
  <c r="N22" i="6"/>
  <c r="T77" i="79"/>
  <c r="X31" i="99"/>
  <c r="P34" i="99"/>
  <c r="Z27" i="52"/>
  <c r="T31" i="52"/>
  <c r="D113" i="21"/>
  <c r="L29" i="21"/>
  <c r="N29" i="21" s="1"/>
  <c r="H132" i="24"/>
  <c r="J129" i="24"/>
  <c r="H96" i="106"/>
  <c r="J92" i="106"/>
  <c r="N27" i="53"/>
  <c r="H31" i="53"/>
  <c r="X27" i="29"/>
  <c r="P31" i="29"/>
  <c r="X70" i="48"/>
  <c r="Z70" i="48" s="1"/>
  <c r="R70" i="48"/>
  <c r="P74" i="48"/>
  <c r="F22" i="93"/>
  <c r="H31" i="99"/>
  <c r="N27" i="99"/>
  <c r="H31" i="37"/>
  <c r="N27" i="37"/>
  <c r="X28" i="86"/>
  <c r="P32" i="86"/>
  <c r="R28" i="86"/>
  <c r="L27" i="40"/>
  <c r="D31" i="40"/>
  <c r="H31" i="19"/>
  <c r="N27" i="19"/>
  <c r="P80" i="58"/>
  <c r="X76" i="58"/>
  <c r="Z76" i="58" s="1"/>
  <c r="T273" i="12"/>
  <c r="V269" i="12"/>
  <c r="Z27" i="25"/>
  <c r="T31" i="25"/>
  <c r="D153" i="30"/>
  <c r="L149" i="30"/>
  <c r="N149" i="30" s="1"/>
  <c r="F149" i="30"/>
  <c r="T98" i="74"/>
  <c r="V95" i="74"/>
  <c r="Z31" i="99"/>
  <c r="T34" i="99"/>
  <c r="Z34" i="99" s="1"/>
  <c r="J136" i="36"/>
  <c r="H140" i="36"/>
  <c r="Z27" i="38"/>
  <c r="T31" i="38"/>
  <c r="X27" i="19"/>
  <c r="P31" i="19"/>
  <c r="X27" i="113"/>
  <c r="P31" i="113"/>
  <c r="L90" i="104"/>
  <c r="D94" i="104"/>
  <c r="F90" i="104"/>
  <c r="X27" i="20"/>
  <c r="P31" i="20"/>
  <c r="L157" i="12"/>
  <c r="N157" i="12" s="1"/>
  <c r="D269" i="12"/>
  <c r="N99" i="9"/>
  <c r="H103" i="9"/>
  <c r="T85" i="73"/>
  <c r="V81" i="73"/>
  <c r="X27" i="13"/>
  <c r="P31" i="13"/>
  <c r="Z27" i="29"/>
  <c r="T31" i="29"/>
  <c r="T117" i="21"/>
  <c r="V113" i="21"/>
  <c r="P89" i="95"/>
  <c r="X85" i="95"/>
  <c r="Z85" i="95" s="1"/>
  <c r="R85" i="95"/>
  <c r="L22" i="107"/>
  <c r="D26" i="107"/>
  <c r="L27" i="5"/>
  <c r="D31" i="5"/>
  <c r="X92" i="92"/>
  <c r="Z92" i="92" s="1"/>
  <c r="P96" i="92"/>
  <c r="L91" i="98"/>
  <c r="N91" i="98" s="1"/>
  <c r="R23" i="104"/>
  <c r="L28" i="83"/>
  <c r="N28" i="83" s="1"/>
  <c r="D32" i="83"/>
  <c r="F28" i="83"/>
  <c r="T149" i="39"/>
  <c r="V146" i="39"/>
  <c r="P81" i="73"/>
  <c r="X25" i="73"/>
  <c r="Z25" i="73" s="1"/>
  <c r="H101" i="96"/>
  <c r="J97" i="96"/>
  <c r="L31" i="55"/>
  <c r="N31" i="55" s="1"/>
  <c r="D35" i="55"/>
  <c r="P64" i="60"/>
  <c r="X60" i="60"/>
  <c r="L27" i="53"/>
  <c r="D31" i="53"/>
  <c r="T95" i="98"/>
  <c r="Z91" i="98"/>
  <c r="V91" i="98"/>
  <c r="L27" i="44"/>
  <c r="D31" i="44"/>
  <c r="T118" i="69"/>
  <c r="V114" i="69"/>
  <c r="N117" i="75"/>
  <c r="H121" i="75"/>
  <c r="J117" i="75"/>
  <c r="R23" i="94"/>
  <c r="J156" i="30"/>
  <c r="Z27" i="13"/>
  <c r="T31" i="13"/>
  <c r="D107" i="64"/>
  <c r="L103" i="64"/>
  <c r="N103" i="64" s="1"/>
  <c r="P80" i="81"/>
  <c r="X22" i="81"/>
  <c r="Z22" i="81" s="1"/>
  <c r="X23" i="102"/>
  <c r="Z23" i="102" s="1"/>
  <c r="P88" i="102"/>
  <c r="N62" i="105"/>
  <c r="H66" i="105"/>
  <c r="J62" i="105"/>
  <c r="Z27" i="14"/>
  <c r="T31" i="14"/>
  <c r="T31" i="35"/>
  <c r="Z27" i="35"/>
  <c r="Z27" i="43"/>
  <c r="T31" i="43"/>
  <c r="P107" i="64"/>
  <c r="X103" i="64"/>
  <c r="Z103" i="64" s="1"/>
  <c r="P92" i="106"/>
  <c r="X23" i="106"/>
  <c r="Z23" i="106" s="1"/>
  <c r="H31" i="32"/>
  <c r="N27" i="32"/>
  <c r="L27" i="49"/>
  <c r="D31" i="49"/>
  <c r="T87" i="56"/>
  <c r="L80" i="81"/>
  <c r="N80" i="81" s="1"/>
  <c r="D84" i="81"/>
  <c r="F80" i="81"/>
  <c r="H102" i="88"/>
  <c r="J99" i="88"/>
  <c r="T31" i="50"/>
  <c r="Z27" i="50"/>
  <c r="N76" i="57"/>
  <c r="H80" i="57"/>
  <c r="D92" i="102"/>
  <c r="L88" i="102"/>
  <c r="N88" i="102" s="1"/>
  <c r="F88" i="102"/>
  <c r="N27" i="46"/>
  <c r="H31" i="46"/>
  <c r="R25" i="73"/>
  <c r="H31" i="16"/>
  <c r="N27" i="16"/>
  <c r="T31" i="112"/>
  <c r="Z27" i="112"/>
  <c r="P97" i="96"/>
  <c r="X22" i="96"/>
  <c r="Z22" i="96" s="1"/>
  <c r="P95" i="108"/>
  <c r="X91" i="108"/>
  <c r="Z91" i="108" s="1"/>
  <c r="R91" i="108"/>
  <c r="N27" i="28"/>
  <c r="H31" i="28"/>
  <c r="N27" i="112"/>
  <c r="H31" i="112"/>
  <c r="L76" i="58"/>
  <c r="D80" i="58"/>
  <c r="X22" i="83"/>
  <c r="Z22" i="83" s="1"/>
  <c r="P28" i="83"/>
  <c r="Z26" i="107"/>
  <c r="T29" i="107"/>
  <c r="Z29" i="107" s="1"/>
  <c r="Z22" i="54"/>
  <c r="T26" i="54"/>
  <c r="R29" i="76"/>
  <c r="H89" i="95"/>
  <c r="J85" i="95"/>
  <c r="P26" i="107"/>
  <c r="X22" i="107"/>
  <c r="T110" i="51"/>
  <c r="V106" i="51"/>
  <c r="N27" i="7"/>
  <c r="H31" i="7"/>
  <c r="N27" i="35"/>
  <c r="H31" i="35"/>
  <c r="P120" i="27"/>
  <c r="X56" i="27"/>
  <c r="Z56" i="27" s="1"/>
  <c r="D91" i="74"/>
  <c r="L52" i="74"/>
  <c r="N52" i="74" s="1"/>
  <c r="F22" i="84"/>
  <c r="R22" i="84"/>
  <c r="P80" i="80"/>
  <c r="X22" i="80"/>
  <c r="Z22" i="80" s="1"/>
  <c r="H94" i="104"/>
  <c r="N90" i="104"/>
  <c r="J90" i="104"/>
  <c r="H31" i="13"/>
  <c r="N27" i="13"/>
  <c r="H31" i="26"/>
  <c r="N27" i="26"/>
  <c r="N27" i="50"/>
  <c r="H31" i="50"/>
  <c r="H124" i="27"/>
  <c r="J120" i="27"/>
  <c r="H31" i="14"/>
  <c r="N27" i="14"/>
  <c r="N27" i="31"/>
  <c r="H31" i="31"/>
  <c r="P136" i="36"/>
  <c r="X31" i="36"/>
  <c r="Z31" i="36" s="1"/>
  <c r="R31" i="36"/>
  <c r="H77" i="79"/>
  <c r="P78" i="70"/>
  <c r="X74" i="70"/>
  <c r="Z74" i="70" s="1"/>
  <c r="R74" i="70"/>
  <c r="X27" i="52"/>
  <c r="P31" i="52"/>
  <c r="N84" i="80"/>
  <c r="H87" i="80"/>
  <c r="J84" i="80"/>
  <c r="X22" i="54"/>
  <c r="P26" i="54"/>
  <c r="L27" i="113"/>
  <c r="D31" i="113"/>
  <c r="D31" i="20"/>
  <c r="L27" i="20"/>
  <c r="L129" i="24"/>
  <c r="N129" i="24" s="1"/>
  <c r="D132" i="24"/>
  <c r="F129" i="24"/>
  <c r="N76" i="58"/>
  <c r="H80" i="58"/>
  <c r="D81" i="73"/>
  <c r="L25" i="73"/>
  <c r="N25" i="73" s="1"/>
  <c r="T32" i="83"/>
  <c r="V28" i="83"/>
  <c r="N22" i="107"/>
  <c r="H26" i="107"/>
  <c r="X27" i="5"/>
  <c r="P31" i="5"/>
  <c r="X27" i="43"/>
  <c r="P31" i="43"/>
  <c r="T124" i="27"/>
  <c r="V120" i="27"/>
  <c r="N50" i="109"/>
  <c r="H53" i="109"/>
  <c r="P110" i="51"/>
  <c r="X106" i="51"/>
  <c r="Z106" i="51" s="1"/>
  <c r="R106" i="51"/>
  <c r="D78" i="70"/>
  <c r="L74" i="70"/>
  <c r="N74" i="70" s="1"/>
  <c r="F74" i="70"/>
  <c r="Z46" i="109"/>
  <c r="T50" i="109"/>
  <c r="N27" i="52"/>
  <c r="H31" i="52"/>
  <c r="X27" i="14"/>
  <c r="P31" i="14"/>
  <c r="H99" i="92"/>
  <c r="D91" i="108"/>
  <c r="L23" i="108"/>
  <c r="N23" i="108" s="1"/>
  <c r="L27" i="26"/>
  <c r="D31" i="26"/>
  <c r="P31" i="31"/>
  <c r="X27" i="31"/>
  <c r="T103" i="9"/>
  <c r="Z99" i="9"/>
  <c r="Z27" i="10"/>
  <c r="T31" i="10"/>
  <c r="N27" i="38"/>
  <c r="H31" i="38"/>
  <c r="P31" i="34"/>
  <c r="X27" i="34"/>
  <c r="N62" i="61"/>
  <c r="H66" i="61"/>
  <c r="D31" i="19"/>
  <c r="L27" i="19"/>
  <c r="P57" i="100"/>
  <c r="X53" i="100"/>
  <c r="Z53" i="100" s="1"/>
  <c r="D31" i="10"/>
  <c r="L27" i="10"/>
  <c r="P31" i="35"/>
  <c r="X27" i="35"/>
  <c r="D28" i="86"/>
  <c r="L20" i="86"/>
  <c r="N20" i="86" s="1"/>
  <c r="D31" i="11"/>
  <c r="L27" i="11"/>
  <c r="D31" i="28"/>
  <c r="L27" i="28"/>
  <c r="F55" i="51"/>
  <c r="T99" i="92"/>
  <c r="H31" i="22"/>
  <c r="N27" i="22"/>
  <c r="H106" i="45"/>
  <c r="J102" i="45"/>
  <c r="R52" i="75"/>
  <c r="H57" i="100"/>
  <c r="L120" i="71"/>
  <c r="N120" i="71" s="1"/>
  <c r="D124" i="71"/>
  <c r="F120" i="71"/>
  <c r="P313" i="3"/>
  <c r="X309" i="3"/>
  <c r="Z309" i="3" s="1"/>
  <c r="R309" i="3"/>
  <c r="H127" i="71"/>
  <c r="J124" i="71"/>
  <c r="D31" i="4"/>
  <c r="L27" i="4"/>
  <c r="T31" i="32"/>
  <c r="Z27" i="32"/>
  <c r="T31" i="46"/>
  <c r="Z27" i="46"/>
  <c r="F25" i="73"/>
  <c r="R22" i="83"/>
  <c r="R56" i="71"/>
  <c r="H78" i="101"/>
  <c r="D31" i="99"/>
  <c r="L27" i="99"/>
  <c r="H31" i="17"/>
  <c r="N27" i="17"/>
  <c r="D31" i="52"/>
  <c r="L27" i="52"/>
  <c r="P31" i="41"/>
  <c r="X27" i="41"/>
  <c r="X27" i="53"/>
  <c r="P31" i="53"/>
  <c r="T110" i="77"/>
  <c r="V106" i="77"/>
  <c r="F48" i="85"/>
  <c r="Z27" i="4"/>
  <c r="T31" i="4"/>
  <c r="R25" i="45"/>
  <c r="D87" i="89"/>
  <c r="L83" i="89"/>
  <c r="N83" i="89" s="1"/>
  <c r="F83" i="89"/>
  <c r="L27" i="29"/>
  <c r="D31" i="29"/>
  <c r="L175" i="18"/>
  <c r="N175" i="18" s="1"/>
  <c r="D282" i="18"/>
  <c r="T64" i="60"/>
  <c r="Z60" i="60"/>
  <c r="J130" i="85"/>
  <c r="D81" i="101"/>
  <c r="D136" i="36"/>
  <c r="L31" i="36"/>
  <c r="N31" i="36" s="1"/>
  <c r="P86" i="93"/>
  <c r="X82" i="93"/>
  <c r="Z82" i="93" s="1"/>
  <c r="R82" i="93"/>
  <c r="L27" i="8"/>
  <c r="D31" i="8"/>
  <c r="L309" i="3"/>
  <c r="N309" i="3" s="1"/>
  <c r="D313" i="3"/>
  <c r="F309" i="3"/>
  <c r="R22" i="81"/>
  <c r="F20" i="86"/>
  <c r="T78" i="101"/>
  <c r="Z74" i="101"/>
  <c r="V74" i="101"/>
  <c r="X27" i="4"/>
  <c r="P31" i="4"/>
  <c r="X27" i="25"/>
  <c r="P31" i="25"/>
  <c r="F25" i="45"/>
  <c r="P31" i="32"/>
  <c r="X27" i="32"/>
  <c r="N27" i="10"/>
  <c r="H31" i="10"/>
  <c r="H273" i="12"/>
  <c r="J269" i="12"/>
  <c r="X113" i="21"/>
  <c r="Z113" i="21" s="1"/>
  <c r="P117" i="21"/>
  <c r="R113" i="21"/>
  <c r="L27" i="7"/>
  <c r="D31" i="7"/>
  <c r="X37" i="33"/>
  <c r="Z37" i="33" s="1"/>
  <c r="P103" i="33"/>
  <c r="P80" i="57"/>
  <c r="X76" i="57"/>
  <c r="Z76" i="57" s="1"/>
  <c r="H97" i="84"/>
  <c r="J93" i="84"/>
  <c r="X27" i="16"/>
  <c r="P31" i="16"/>
  <c r="F30" i="42"/>
  <c r="H31" i="54"/>
  <c r="N26" i="54"/>
  <c r="T121" i="75"/>
  <c r="V117" i="75"/>
  <c r="H77" i="110"/>
  <c r="J74" i="110"/>
  <c r="F22" i="88"/>
  <c r="D31" i="13"/>
  <c r="L27" i="13"/>
  <c r="X95" i="88"/>
  <c r="Z95" i="88" s="1"/>
  <c r="P99" i="88"/>
  <c r="R95" i="88"/>
  <c r="Z27" i="19"/>
  <c r="T31" i="19"/>
  <c r="N27" i="43"/>
  <c r="H31" i="43"/>
  <c r="L74" i="101"/>
  <c r="N74" i="101" s="1"/>
  <c r="X34" i="99" l="1"/>
  <c r="L132" i="24"/>
  <c r="F132" i="24"/>
  <c r="T38" i="55"/>
  <c r="X38" i="55" s="1"/>
  <c r="D36" i="41"/>
  <c r="L31" i="41"/>
  <c r="L31" i="7"/>
  <c r="D36" i="7"/>
  <c r="T81" i="101"/>
  <c r="Z78" i="101"/>
  <c r="V78" i="101"/>
  <c r="D34" i="99"/>
  <c r="L31" i="99"/>
  <c r="H36" i="38"/>
  <c r="N36" i="38" s="1"/>
  <c r="N31" i="38"/>
  <c r="J87" i="80"/>
  <c r="N31" i="31"/>
  <c r="H36" i="31"/>
  <c r="N36" i="31" s="1"/>
  <c r="H36" i="26"/>
  <c r="N36" i="26" s="1"/>
  <c r="N31" i="26"/>
  <c r="H92" i="95"/>
  <c r="J89" i="95"/>
  <c r="L31" i="5"/>
  <c r="D36" i="5"/>
  <c r="X31" i="13"/>
  <c r="P36" i="13"/>
  <c r="D117" i="21"/>
  <c r="L113" i="21"/>
  <c r="N113" i="21" s="1"/>
  <c r="F113" i="21"/>
  <c r="H95" i="102"/>
  <c r="J92" i="102"/>
  <c r="T36" i="47"/>
  <c r="Z36" i="47" s="1"/>
  <c r="Z31" i="47"/>
  <c r="H81" i="70"/>
  <c r="J78" i="70"/>
  <c r="X31" i="22"/>
  <c r="P36" i="22"/>
  <c r="L31" i="31"/>
  <c r="D36" i="31"/>
  <c r="X31" i="28"/>
  <c r="P36" i="28"/>
  <c r="T99" i="106"/>
  <c r="V96" i="106"/>
  <c r="H88" i="73"/>
  <c r="J85" i="73"/>
  <c r="X31" i="50"/>
  <c r="P36" i="50"/>
  <c r="N95" i="98"/>
  <c r="H98" i="98"/>
  <c r="J95" i="98"/>
  <c r="J94" i="76"/>
  <c r="Z31" i="17"/>
  <c r="T36" i="17"/>
  <c r="Z36" i="17" s="1"/>
  <c r="L31" i="32"/>
  <c r="D36" i="32"/>
  <c r="V78" i="70"/>
  <c r="T81" i="70"/>
  <c r="X87" i="89"/>
  <c r="P90" i="89"/>
  <c r="R87" i="89"/>
  <c r="P95" i="74"/>
  <c r="X91" i="74"/>
  <c r="Z91" i="74" s="1"/>
  <c r="R91" i="74"/>
  <c r="H38" i="55"/>
  <c r="X31" i="8"/>
  <c r="P36" i="8"/>
  <c r="X64" i="68"/>
  <c r="P67" i="68"/>
  <c r="D36" i="37"/>
  <c r="L31" i="37"/>
  <c r="X32" i="86"/>
  <c r="P35" i="86"/>
  <c r="R32" i="86"/>
  <c r="J87" i="81"/>
  <c r="D87" i="56"/>
  <c r="L87" i="56" s="1"/>
  <c r="L84" i="56"/>
  <c r="N84" i="56" s="1"/>
  <c r="L66" i="105"/>
  <c r="N66" i="105" s="1"/>
  <c r="D69" i="105"/>
  <c r="F66" i="105"/>
  <c r="N31" i="44"/>
  <c r="H36" i="44"/>
  <c r="N36" i="44" s="1"/>
  <c r="X31" i="16"/>
  <c r="P36" i="16"/>
  <c r="L31" i="29"/>
  <c r="D36" i="29"/>
  <c r="T113" i="77"/>
  <c r="V110" i="77"/>
  <c r="N78" i="101"/>
  <c r="H81" i="101"/>
  <c r="D36" i="11"/>
  <c r="L31" i="11"/>
  <c r="X57" i="100"/>
  <c r="Z57" i="100" s="1"/>
  <c r="P60" i="100"/>
  <c r="X60" i="100" s="1"/>
  <c r="Z60" i="100" s="1"/>
  <c r="X110" i="51"/>
  <c r="P113" i="51"/>
  <c r="R110" i="51"/>
  <c r="H29" i="107"/>
  <c r="N29" i="107" s="1"/>
  <c r="N26" i="107"/>
  <c r="P124" i="27"/>
  <c r="X120" i="27"/>
  <c r="Z120" i="27" s="1"/>
  <c r="R120" i="27"/>
  <c r="N31" i="112"/>
  <c r="H36" i="112"/>
  <c r="N36" i="112" s="1"/>
  <c r="H36" i="16"/>
  <c r="N36" i="16" s="1"/>
  <c r="N31" i="16"/>
  <c r="T36" i="50"/>
  <c r="Z36" i="50" s="1"/>
  <c r="Z31" i="50"/>
  <c r="N31" i="32"/>
  <c r="H36" i="32"/>
  <c r="N36" i="32" s="1"/>
  <c r="H69" i="105"/>
  <c r="J66" i="105"/>
  <c r="X81" i="73"/>
  <c r="Z81" i="73" s="1"/>
  <c r="P85" i="73"/>
  <c r="R81" i="73"/>
  <c r="H36" i="53"/>
  <c r="N36" i="53" s="1"/>
  <c r="N31" i="53"/>
  <c r="Z31" i="52"/>
  <c r="T36" i="52"/>
  <c r="Z36" i="52" s="1"/>
  <c r="T36" i="113"/>
  <c r="Z36" i="113" s="1"/>
  <c r="Z31" i="113"/>
  <c r="L31" i="46"/>
  <c r="D36" i="46"/>
  <c r="Z31" i="44"/>
  <c r="T36" i="44"/>
  <c r="Z36" i="44" s="1"/>
  <c r="V77" i="110"/>
  <c r="H67" i="60"/>
  <c r="D36" i="38"/>
  <c r="L31" i="38"/>
  <c r="X74" i="79"/>
  <c r="Z74" i="79" s="1"/>
  <c r="P77" i="79"/>
  <c r="R74" i="79"/>
  <c r="Z31" i="26"/>
  <c r="T36" i="26"/>
  <c r="Z36" i="26" s="1"/>
  <c r="X256" i="15"/>
  <c r="Z256" i="15" s="1"/>
  <c r="P260" i="15"/>
  <c r="R256" i="15"/>
  <c r="L53" i="109"/>
  <c r="H121" i="69"/>
  <c r="J118" i="69"/>
  <c r="P66" i="105"/>
  <c r="X62" i="105"/>
  <c r="Z62" i="105" s="1"/>
  <c r="R62" i="105"/>
  <c r="D263" i="15"/>
  <c r="L260" i="15"/>
  <c r="N260" i="15" s="1"/>
  <c r="F260" i="15"/>
  <c r="X106" i="77"/>
  <c r="Z106" i="77" s="1"/>
  <c r="P110" i="77"/>
  <c r="R106" i="77"/>
  <c r="P102" i="88"/>
  <c r="X99" i="88"/>
  <c r="Z99" i="88" s="1"/>
  <c r="R99" i="88"/>
  <c r="D95" i="108"/>
  <c r="L91" i="108"/>
  <c r="N91" i="108" s="1"/>
  <c r="F91" i="108"/>
  <c r="Z31" i="25"/>
  <c r="T36" i="25"/>
  <c r="Z36" i="25" s="1"/>
  <c r="J84" i="94"/>
  <c r="X93" i="84"/>
  <c r="Z93" i="84" s="1"/>
  <c r="P97" i="84"/>
  <c r="R93" i="84"/>
  <c r="H136" i="42"/>
  <c r="J133" i="42"/>
  <c r="D36" i="13"/>
  <c r="L31" i="13"/>
  <c r="X31" i="32"/>
  <c r="P36" i="32"/>
  <c r="P89" i="93"/>
  <c r="X86" i="93"/>
  <c r="Z86" i="93" s="1"/>
  <c r="R86" i="93"/>
  <c r="J127" i="71"/>
  <c r="Z31" i="10"/>
  <c r="T36" i="10"/>
  <c r="Z36" i="10" s="1"/>
  <c r="X31" i="14"/>
  <c r="P36" i="14"/>
  <c r="N53" i="109"/>
  <c r="P36" i="52"/>
  <c r="X31" i="52"/>
  <c r="H36" i="13"/>
  <c r="N36" i="13" s="1"/>
  <c r="N31" i="13"/>
  <c r="N31" i="35"/>
  <c r="H36" i="35"/>
  <c r="N36" i="35" s="1"/>
  <c r="T98" i="98"/>
  <c r="V95" i="98"/>
  <c r="L26" i="107"/>
  <c r="D29" i="107"/>
  <c r="L29" i="107" s="1"/>
  <c r="L94" i="104"/>
  <c r="N94" i="104" s="1"/>
  <c r="D97" i="104"/>
  <c r="F94" i="104"/>
  <c r="H36" i="37"/>
  <c r="N36" i="37" s="1"/>
  <c r="N31" i="37"/>
  <c r="N31" i="34"/>
  <c r="H36" i="34"/>
  <c r="N36" i="34" s="1"/>
  <c r="L98" i="98"/>
  <c r="F98" i="98"/>
  <c r="T98" i="108"/>
  <c r="V95" i="108"/>
  <c r="N31" i="11"/>
  <c r="H36" i="11"/>
  <c r="N36" i="11" s="1"/>
  <c r="L64" i="60"/>
  <c r="N64" i="60" s="1"/>
  <c r="D67" i="60"/>
  <c r="L67" i="60" s="1"/>
  <c r="L114" i="69"/>
  <c r="N114" i="69" s="1"/>
  <c r="D118" i="69"/>
  <c r="F114" i="69"/>
  <c r="Z31" i="5"/>
  <c r="T36" i="5"/>
  <c r="Z36" i="5" s="1"/>
  <c r="L106" i="51"/>
  <c r="N106" i="51" s="1"/>
  <c r="D110" i="51"/>
  <c r="F106" i="51"/>
  <c r="T263" i="15"/>
  <c r="V260" i="15"/>
  <c r="X269" i="12"/>
  <c r="Z269" i="12" s="1"/>
  <c r="P273" i="12"/>
  <c r="R269" i="12"/>
  <c r="P36" i="37"/>
  <c r="X31" i="37"/>
  <c r="P106" i="45"/>
  <c r="X102" i="45"/>
  <c r="Z102" i="45" s="1"/>
  <c r="R102" i="45"/>
  <c r="J35" i="83"/>
  <c r="H263" i="15"/>
  <c r="J260" i="15"/>
  <c r="T69" i="61"/>
  <c r="X26" i="6"/>
  <c r="P31" i="6"/>
  <c r="T136" i="42"/>
  <c r="V133" i="42"/>
  <c r="D286" i="18"/>
  <c r="L282" i="18"/>
  <c r="N282" i="18" s="1"/>
  <c r="F282" i="18"/>
  <c r="P118" i="69"/>
  <c r="X114" i="69"/>
  <c r="Z114" i="69" s="1"/>
  <c r="R114" i="69"/>
  <c r="Z31" i="23"/>
  <c r="T36" i="23"/>
  <c r="Z36" i="23" s="1"/>
  <c r="X31" i="53"/>
  <c r="P36" i="53"/>
  <c r="H109" i="45"/>
  <c r="J106" i="45"/>
  <c r="L28" i="86"/>
  <c r="N28" i="86" s="1"/>
  <c r="D32" i="86"/>
  <c r="F28" i="86"/>
  <c r="H36" i="14"/>
  <c r="N36" i="14" s="1"/>
  <c r="N31" i="14"/>
  <c r="N31" i="28"/>
  <c r="H36" i="28"/>
  <c r="N36" i="28" s="1"/>
  <c r="N31" i="46"/>
  <c r="H36" i="46"/>
  <c r="N36" i="46" s="1"/>
  <c r="X92" i="106"/>
  <c r="Z92" i="106" s="1"/>
  <c r="P96" i="106"/>
  <c r="R92" i="106"/>
  <c r="X88" i="102"/>
  <c r="Z88" i="102" s="1"/>
  <c r="P92" i="102"/>
  <c r="R88" i="102"/>
  <c r="L31" i="53"/>
  <c r="D36" i="53"/>
  <c r="T276" i="12"/>
  <c r="V273" i="12"/>
  <c r="X120" i="71"/>
  <c r="Z120" i="71" s="1"/>
  <c r="P124" i="71"/>
  <c r="R120" i="71"/>
  <c r="D110" i="77"/>
  <c r="L106" i="77"/>
  <c r="N106" i="77" s="1"/>
  <c r="F106" i="77"/>
  <c r="D106" i="9"/>
  <c r="L103" i="9"/>
  <c r="D101" i="96"/>
  <c r="L97" i="96"/>
  <c r="N97" i="96" s="1"/>
  <c r="F97" i="96"/>
  <c r="T84" i="94"/>
  <c r="V81" i="94"/>
  <c r="Z31" i="11"/>
  <c r="T36" i="11"/>
  <c r="Z36" i="11" s="1"/>
  <c r="L31" i="25"/>
  <c r="D36" i="25"/>
  <c r="H149" i="39"/>
  <c r="J146" i="39"/>
  <c r="D78" i="59"/>
  <c r="L75" i="59"/>
  <c r="N75" i="59" s="1"/>
  <c r="Z78" i="59"/>
  <c r="Z31" i="16"/>
  <c r="T36" i="16"/>
  <c r="Z36" i="16" s="1"/>
  <c r="D36" i="111"/>
  <c r="L31" i="111"/>
  <c r="D36" i="4"/>
  <c r="L31" i="4"/>
  <c r="X136" i="36"/>
  <c r="Z136" i="36" s="1"/>
  <c r="P140" i="36"/>
  <c r="R136" i="36"/>
  <c r="D124" i="75"/>
  <c r="L121" i="75"/>
  <c r="N121" i="75" s="1"/>
  <c r="F121" i="75"/>
  <c r="D140" i="36"/>
  <c r="L136" i="36"/>
  <c r="N136" i="36" s="1"/>
  <c r="F136" i="36"/>
  <c r="N31" i="52"/>
  <c r="H36" i="52"/>
  <c r="N36" i="52" s="1"/>
  <c r="N31" i="7"/>
  <c r="H36" i="7"/>
  <c r="N36" i="7" s="1"/>
  <c r="J102" i="88"/>
  <c r="V149" i="39"/>
  <c r="X31" i="113"/>
  <c r="P36" i="113"/>
  <c r="V98" i="74"/>
  <c r="H34" i="99"/>
  <c r="N34" i="99" s="1"/>
  <c r="N31" i="99"/>
  <c r="H36" i="8"/>
  <c r="N36" i="8" s="1"/>
  <c r="N31" i="8"/>
  <c r="L31" i="35"/>
  <c r="D36" i="35"/>
  <c r="D67" i="68"/>
  <c r="L67" i="68" s="1"/>
  <c r="L64" i="68"/>
  <c r="N64" i="68" s="1"/>
  <c r="N31" i="20"/>
  <c r="H36" i="20"/>
  <c r="N36" i="20" s="1"/>
  <c r="X35" i="55"/>
  <c r="Z35" i="55" s="1"/>
  <c r="J113" i="77"/>
  <c r="T89" i="93"/>
  <c r="V86" i="93"/>
  <c r="T110" i="33"/>
  <c r="V107" i="33"/>
  <c r="X90" i="104"/>
  <c r="Z90" i="104" s="1"/>
  <c r="P94" i="104"/>
  <c r="R90" i="104"/>
  <c r="L82" i="93"/>
  <c r="N82" i="93" s="1"/>
  <c r="D86" i="93"/>
  <c r="F82" i="93"/>
  <c r="X117" i="75"/>
  <c r="Z117" i="75" s="1"/>
  <c r="P121" i="75"/>
  <c r="R117" i="75"/>
  <c r="Z31" i="53"/>
  <c r="T36" i="53"/>
  <c r="Z36" i="53" s="1"/>
  <c r="P133" i="42"/>
  <c r="X129" i="42"/>
  <c r="Z129" i="42" s="1"/>
  <c r="R129" i="42"/>
  <c r="D77" i="110"/>
  <c r="L74" i="110"/>
  <c r="N74" i="110" s="1"/>
  <c r="F74" i="110"/>
  <c r="P286" i="18"/>
  <c r="X282" i="18"/>
  <c r="Z282" i="18" s="1"/>
  <c r="R282" i="18"/>
  <c r="P36" i="23"/>
  <c r="X31" i="23"/>
  <c r="T156" i="30"/>
  <c r="V153" i="30"/>
  <c r="D36" i="43"/>
  <c r="L31" i="43"/>
  <c r="D36" i="28"/>
  <c r="L31" i="28"/>
  <c r="N31" i="25"/>
  <c r="H36" i="25"/>
  <c r="N36" i="25" s="1"/>
  <c r="D31" i="54"/>
  <c r="L31" i="54" s="1"/>
  <c r="N31" i="54" s="1"/>
  <c r="L26" i="54"/>
  <c r="P120" i="21"/>
  <c r="X117" i="21"/>
  <c r="R117" i="21"/>
  <c r="H100" i="84"/>
  <c r="J97" i="84"/>
  <c r="L78" i="101"/>
  <c r="D90" i="89"/>
  <c r="L87" i="89"/>
  <c r="N87" i="89" s="1"/>
  <c r="F87" i="89"/>
  <c r="X313" i="3"/>
  <c r="P318" i="3"/>
  <c r="R313" i="3"/>
  <c r="P36" i="35"/>
  <c r="X31" i="35"/>
  <c r="D36" i="19"/>
  <c r="L31" i="19"/>
  <c r="T106" i="9"/>
  <c r="T35" i="83"/>
  <c r="V32" i="83"/>
  <c r="H97" i="104"/>
  <c r="J94" i="104"/>
  <c r="T31" i="54"/>
  <c r="Z26" i="54"/>
  <c r="P110" i="64"/>
  <c r="X110" i="64" s="1"/>
  <c r="Z110" i="64" s="1"/>
  <c r="X107" i="64"/>
  <c r="Z107" i="64" s="1"/>
  <c r="H124" i="75"/>
  <c r="J121" i="75"/>
  <c r="T88" i="73"/>
  <c r="V85" i="73"/>
  <c r="X80" i="58"/>
  <c r="Z80" i="58" s="1"/>
  <c r="P83" i="58"/>
  <c r="X83" i="58" s="1"/>
  <c r="Z83" i="58" s="1"/>
  <c r="H99" i="106"/>
  <c r="J96" i="106"/>
  <c r="P69" i="61"/>
  <c r="X66" i="61"/>
  <c r="Z66" i="61" s="1"/>
  <c r="T130" i="85"/>
  <c r="V127" i="85"/>
  <c r="L85" i="95"/>
  <c r="N85" i="95" s="1"/>
  <c r="D89" i="95"/>
  <c r="F85" i="95"/>
  <c r="X106" i="9"/>
  <c r="T69" i="105"/>
  <c r="V66" i="105"/>
  <c r="H36" i="47"/>
  <c r="N36" i="47" s="1"/>
  <c r="N31" i="47"/>
  <c r="P81" i="101"/>
  <c r="X78" i="101"/>
  <c r="R78" i="101"/>
  <c r="L74" i="48"/>
  <c r="N74" i="48" s="1"/>
  <c r="D77" i="48"/>
  <c r="F74" i="48"/>
  <c r="H36" i="111"/>
  <c r="N36" i="111" s="1"/>
  <c r="N31" i="111"/>
  <c r="X31" i="11"/>
  <c r="P36" i="11"/>
  <c r="D36" i="14"/>
  <c r="L31" i="14"/>
  <c r="H36" i="40"/>
  <c r="N36" i="40" s="1"/>
  <c r="N31" i="40"/>
  <c r="H70" i="103"/>
  <c r="L70" i="103" s="1"/>
  <c r="N67" i="103"/>
  <c r="Z83" i="57"/>
  <c r="X31" i="49"/>
  <c r="P36" i="49"/>
  <c r="X74" i="110"/>
  <c r="Z74" i="110" s="1"/>
  <c r="P77" i="110"/>
  <c r="R74" i="110"/>
  <c r="H35" i="86"/>
  <c r="J32" i="86"/>
  <c r="X31" i="46"/>
  <c r="P36" i="46"/>
  <c r="T67" i="68"/>
  <c r="Z64" i="68"/>
  <c r="N31" i="113"/>
  <c r="H36" i="113"/>
  <c r="N36" i="113" s="1"/>
  <c r="X31" i="20"/>
  <c r="P36" i="20"/>
  <c r="N31" i="43"/>
  <c r="H36" i="43"/>
  <c r="N36" i="43" s="1"/>
  <c r="J77" i="110"/>
  <c r="X31" i="25"/>
  <c r="P36" i="25"/>
  <c r="L313" i="3"/>
  <c r="D318" i="3"/>
  <c r="F313" i="3"/>
  <c r="L81" i="101"/>
  <c r="P36" i="41"/>
  <c r="X31" i="41"/>
  <c r="H36" i="22"/>
  <c r="N36" i="22" s="1"/>
  <c r="N31" i="22"/>
  <c r="N66" i="61"/>
  <c r="H69" i="61"/>
  <c r="T53" i="109"/>
  <c r="D36" i="20"/>
  <c r="L31" i="20"/>
  <c r="P81" i="70"/>
  <c r="X78" i="70"/>
  <c r="Z78" i="70" s="1"/>
  <c r="R78" i="70"/>
  <c r="L84" i="81"/>
  <c r="N84" i="81" s="1"/>
  <c r="D87" i="81"/>
  <c r="F84" i="81"/>
  <c r="Z31" i="43"/>
  <c r="T36" i="43"/>
  <c r="Z36" i="43" s="1"/>
  <c r="X80" i="81"/>
  <c r="Z80" i="81" s="1"/>
  <c r="P84" i="81"/>
  <c r="R80" i="81"/>
  <c r="X64" i="60"/>
  <c r="P67" i="60"/>
  <c r="L32" i="83"/>
  <c r="N32" i="83" s="1"/>
  <c r="D35" i="83"/>
  <c r="F32" i="83"/>
  <c r="X89" i="95"/>
  <c r="Z89" i="95" s="1"/>
  <c r="P92" i="95"/>
  <c r="R89" i="95"/>
  <c r="X31" i="19"/>
  <c r="P36" i="19"/>
  <c r="X77" i="94"/>
  <c r="Z77" i="94" s="1"/>
  <c r="P81" i="94"/>
  <c r="R77" i="94"/>
  <c r="X103" i="9"/>
  <c r="Z103" i="9" s="1"/>
  <c r="V104" i="96"/>
  <c r="P146" i="39"/>
  <c r="X142" i="39"/>
  <c r="Z142" i="39" s="1"/>
  <c r="R142" i="39"/>
  <c r="H289" i="18"/>
  <c r="J286" i="18"/>
  <c r="P36" i="47"/>
  <c r="X31" i="47"/>
  <c r="X125" i="24"/>
  <c r="Z125" i="24" s="1"/>
  <c r="P129" i="24"/>
  <c r="R125" i="24"/>
  <c r="L31" i="34"/>
  <c r="D36" i="34"/>
  <c r="J90" i="89"/>
  <c r="L26" i="6"/>
  <c r="D31" i="6"/>
  <c r="T36" i="22"/>
  <c r="Z36" i="22" s="1"/>
  <c r="Z31" i="22"/>
  <c r="X84" i="56"/>
  <c r="Z84" i="56" s="1"/>
  <c r="P87" i="56"/>
  <c r="X87" i="56" s="1"/>
  <c r="H78" i="59"/>
  <c r="N87" i="56"/>
  <c r="N31" i="4"/>
  <c r="H36" i="4"/>
  <c r="N36" i="4" s="1"/>
  <c r="T95" i="102"/>
  <c r="V92" i="102"/>
  <c r="T132" i="24"/>
  <c r="V129" i="24"/>
  <c r="L31" i="47"/>
  <c r="D36" i="47"/>
  <c r="V100" i="84"/>
  <c r="L120" i="27"/>
  <c r="N120" i="27" s="1"/>
  <c r="D124" i="27"/>
  <c r="F120" i="27"/>
  <c r="L66" i="61"/>
  <c r="D69" i="61"/>
  <c r="L124" i="71"/>
  <c r="N124" i="71" s="1"/>
  <c r="D127" i="71"/>
  <c r="F124" i="71"/>
  <c r="L81" i="73"/>
  <c r="N81" i="73" s="1"/>
  <c r="D85" i="73"/>
  <c r="F81" i="73"/>
  <c r="H127" i="27"/>
  <c r="J124" i="27"/>
  <c r="P98" i="108"/>
  <c r="X95" i="108"/>
  <c r="Z95" i="108" s="1"/>
  <c r="R95" i="108"/>
  <c r="L92" i="102"/>
  <c r="N92" i="102" s="1"/>
  <c r="D95" i="102"/>
  <c r="F92" i="102"/>
  <c r="D38" i="55"/>
  <c r="L35" i="55"/>
  <c r="N35" i="55" s="1"/>
  <c r="N103" i="9"/>
  <c r="H106" i="9"/>
  <c r="H36" i="19"/>
  <c r="N36" i="19" s="1"/>
  <c r="N31" i="19"/>
  <c r="Z31" i="111"/>
  <c r="T36" i="111"/>
  <c r="Z36" i="111" s="1"/>
  <c r="D99" i="92"/>
  <c r="L99" i="92" s="1"/>
  <c r="N99" i="92" s="1"/>
  <c r="L96" i="92"/>
  <c r="N96" i="92" s="1"/>
  <c r="Z31" i="40"/>
  <c r="T36" i="40"/>
  <c r="Z36" i="40" s="1"/>
  <c r="N31" i="41"/>
  <c r="H36" i="41"/>
  <c r="N36" i="41" s="1"/>
  <c r="X67" i="103"/>
  <c r="Z67" i="103" s="1"/>
  <c r="P70" i="103"/>
  <c r="X70" i="103" s="1"/>
  <c r="Z70" i="103" s="1"/>
  <c r="D36" i="17"/>
  <c r="L31" i="17"/>
  <c r="N67" i="68"/>
  <c r="L129" i="42"/>
  <c r="N129" i="42" s="1"/>
  <c r="D133" i="42"/>
  <c r="F129" i="42"/>
  <c r="Z31" i="31"/>
  <c r="T36" i="31"/>
  <c r="Z36" i="31" s="1"/>
  <c r="D84" i="94"/>
  <c r="L81" i="94"/>
  <c r="N81" i="94" s="1"/>
  <c r="F81" i="94"/>
  <c r="Z31" i="20"/>
  <c r="T36" i="20"/>
  <c r="Z36" i="20" s="1"/>
  <c r="Z31" i="7"/>
  <c r="T36" i="7"/>
  <c r="Z36" i="7" s="1"/>
  <c r="X31" i="17"/>
  <c r="P36" i="17"/>
  <c r="D36" i="16"/>
  <c r="L31" i="16"/>
  <c r="D83" i="58"/>
  <c r="L80" i="58"/>
  <c r="Z31" i="8"/>
  <c r="T36" i="8"/>
  <c r="Z36" i="8" s="1"/>
  <c r="Z31" i="46"/>
  <c r="T36" i="46"/>
  <c r="Z36" i="46" s="1"/>
  <c r="D36" i="10"/>
  <c r="L31" i="10"/>
  <c r="P36" i="31"/>
  <c r="X31" i="31"/>
  <c r="L31" i="113"/>
  <c r="D36" i="113"/>
  <c r="P84" i="80"/>
  <c r="X80" i="80"/>
  <c r="Z80" i="80" s="1"/>
  <c r="R80" i="80"/>
  <c r="Z31" i="19"/>
  <c r="T36" i="19"/>
  <c r="Z36" i="19" s="1"/>
  <c r="H276" i="12"/>
  <c r="J273" i="12"/>
  <c r="X31" i="4"/>
  <c r="P36" i="4"/>
  <c r="L31" i="8"/>
  <c r="D36" i="8"/>
  <c r="D36" i="52"/>
  <c r="L31" i="52"/>
  <c r="L31" i="26"/>
  <c r="D36" i="26"/>
  <c r="T127" i="27"/>
  <c r="V124" i="27"/>
  <c r="H83" i="58"/>
  <c r="N80" i="58"/>
  <c r="T113" i="51"/>
  <c r="Z110" i="51"/>
  <c r="V110" i="51"/>
  <c r="Z87" i="56"/>
  <c r="D110" i="64"/>
  <c r="L110" i="64" s="1"/>
  <c r="N110" i="64" s="1"/>
  <c r="L107" i="64"/>
  <c r="N107" i="64" s="1"/>
  <c r="Z31" i="38"/>
  <c r="T36" i="38"/>
  <c r="Z36" i="38" s="1"/>
  <c r="D36" i="40"/>
  <c r="L31" i="40"/>
  <c r="X74" i="48"/>
  <c r="Z74" i="48" s="1"/>
  <c r="P77" i="48"/>
  <c r="R74" i="48"/>
  <c r="H31" i="6"/>
  <c r="N26" i="6"/>
  <c r="X123" i="85"/>
  <c r="Z123" i="85" s="1"/>
  <c r="P127" i="85"/>
  <c r="R123" i="85"/>
  <c r="X31" i="7"/>
  <c r="P36" i="7"/>
  <c r="P36" i="40"/>
  <c r="X31" i="40"/>
  <c r="T77" i="48"/>
  <c r="V74" i="48"/>
  <c r="Z313" i="3"/>
  <c r="T318" i="3"/>
  <c r="V313" i="3"/>
  <c r="X31" i="44"/>
  <c r="P36" i="44"/>
  <c r="H110" i="33"/>
  <c r="J107" i="33"/>
  <c r="X87" i="76"/>
  <c r="Z87" i="76" s="1"/>
  <c r="P91" i="76"/>
  <c r="R87" i="76"/>
  <c r="L102" i="45"/>
  <c r="N102" i="45" s="1"/>
  <c r="D106" i="45"/>
  <c r="F102" i="45"/>
  <c r="L74" i="79"/>
  <c r="N74" i="79" s="1"/>
  <c r="D77" i="79"/>
  <c r="F74" i="79"/>
  <c r="T36" i="41"/>
  <c r="Z36" i="41" s="1"/>
  <c r="Z31" i="41"/>
  <c r="L31" i="50"/>
  <c r="D36" i="50"/>
  <c r="V87" i="81"/>
  <c r="Z31" i="37"/>
  <c r="T36" i="37"/>
  <c r="Z36" i="37" s="1"/>
  <c r="L103" i="33"/>
  <c r="N103" i="33" s="1"/>
  <c r="D107" i="33"/>
  <c r="F103" i="33"/>
  <c r="D95" i="74"/>
  <c r="L91" i="74"/>
  <c r="N91" i="74" s="1"/>
  <c r="F91" i="74"/>
  <c r="X31" i="29"/>
  <c r="P36" i="29"/>
  <c r="P83" i="57"/>
  <c r="X83" i="57" s="1"/>
  <c r="X80" i="57"/>
  <c r="Z80" i="57" s="1"/>
  <c r="N31" i="10"/>
  <c r="H36" i="10"/>
  <c r="N36" i="10" s="1"/>
  <c r="Z31" i="4"/>
  <c r="T36" i="4"/>
  <c r="Z36" i="4" s="1"/>
  <c r="T36" i="32"/>
  <c r="Z36" i="32" s="1"/>
  <c r="Z31" i="32"/>
  <c r="H60" i="100"/>
  <c r="P36" i="34"/>
  <c r="X31" i="34"/>
  <c r="X31" i="43"/>
  <c r="P36" i="43"/>
  <c r="X26" i="54"/>
  <c r="P31" i="54"/>
  <c r="X31" i="54" s="1"/>
  <c r="N31" i="50"/>
  <c r="H36" i="50"/>
  <c r="N36" i="50" s="1"/>
  <c r="X28" i="83"/>
  <c r="Z28" i="83" s="1"/>
  <c r="P32" i="83"/>
  <c r="R28" i="83"/>
  <c r="P101" i="96"/>
  <c r="X97" i="96"/>
  <c r="Z97" i="96" s="1"/>
  <c r="R97" i="96"/>
  <c r="T36" i="35"/>
  <c r="Z36" i="35" s="1"/>
  <c r="Z31" i="35"/>
  <c r="Z31" i="13"/>
  <c r="T36" i="13"/>
  <c r="Z36" i="13" s="1"/>
  <c r="T121" i="69"/>
  <c r="V118" i="69"/>
  <c r="Z117" i="21"/>
  <c r="T120" i="21"/>
  <c r="V117" i="21"/>
  <c r="D273" i="12"/>
  <c r="L269" i="12"/>
  <c r="N269" i="12" s="1"/>
  <c r="F269" i="12"/>
  <c r="N31" i="49"/>
  <c r="H36" i="49"/>
  <c r="N36" i="49" s="1"/>
  <c r="P53" i="109"/>
  <c r="X53" i="109" s="1"/>
  <c r="X50" i="109"/>
  <c r="Z50" i="109" s="1"/>
  <c r="X31" i="38"/>
  <c r="P36" i="38"/>
  <c r="D146" i="39"/>
  <c r="L142" i="39"/>
  <c r="N142" i="39" s="1"/>
  <c r="F142" i="39"/>
  <c r="J77" i="48"/>
  <c r="Z31" i="28"/>
  <c r="T36" i="28"/>
  <c r="Z36" i="28" s="1"/>
  <c r="D96" i="106"/>
  <c r="L92" i="106"/>
  <c r="N92" i="106" s="1"/>
  <c r="F92" i="106"/>
  <c r="L87" i="80"/>
  <c r="N87" i="80" s="1"/>
  <c r="T127" i="71"/>
  <c r="V124" i="71"/>
  <c r="T94" i="76"/>
  <c r="V91" i="76"/>
  <c r="X149" i="30"/>
  <c r="Z149" i="30" s="1"/>
  <c r="P153" i="30"/>
  <c r="R149" i="30"/>
  <c r="Z26" i="6"/>
  <c r="T31" i="6"/>
  <c r="L91" i="76"/>
  <c r="N91" i="76" s="1"/>
  <c r="D94" i="76"/>
  <c r="F91" i="76"/>
  <c r="N31" i="29"/>
  <c r="H36" i="29"/>
  <c r="N36" i="29" s="1"/>
  <c r="D97" i="84"/>
  <c r="L93" i="84"/>
  <c r="N93" i="84" s="1"/>
  <c r="F93" i="84"/>
  <c r="D36" i="23"/>
  <c r="L31" i="23"/>
  <c r="X31" i="112"/>
  <c r="P36" i="112"/>
  <c r="X31" i="5"/>
  <c r="P36" i="5"/>
  <c r="T36" i="112"/>
  <c r="Z36" i="112" s="1"/>
  <c r="Z31" i="112"/>
  <c r="D36" i="22"/>
  <c r="L31" i="22"/>
  <c r="T124" i="75"/>
  <c r="V121" i="75"/>
  <c r="P107" i="33"/>
  <c r="X103" i="33"/>
  <c r="Z103" i="33" s="1"/>
  <c r="R103" i="33"/>
  <c r="Z64" i="60"/>
  <c r="T67" i="60"/>
  <c r="H36" i="17"/>
  <c r="N36" i="17" s="1"/>
  <c r="N31" i="17"/>
  <c r="L78" i="70"/>
  <c r="N78" i="70" s="1"/>
  <c r="D81" i="70"/>
  <c r="F78" i="70"/>
  <c r="X26" i="107"/>
  <c r="P29" i="107"/>
  <c r="X29" i="107" s="1"/>
  <c r="H83" i="57"/>
  <c r="L83" i="57" s="1"/>
  <c r="L31" i="49"/>
  <c r="D36" i="49"/>
  <c r="Z31" i="14"/>
  <c r="T36" i="14"/>
  <c r="Z36" i="14" s="1"/>
  <c r="L31" i="44"/>
  <c r="D36" i="44"/>
  <c r="H104" i="96"/>
  <c r="J101" i="96"/>
  <c r="X96" i="92"/>
  <c r="Z96" i="92" s="1"/>
  <c r="P99" i="92"/>
  <c r="X99" i="92" s="1"/>
  <c r="Z99" i="92" s="1"/>
  <c r="Z31" i="29"/>
  <c r="T36" i="29"/>
  <c r="Z36" i="29" s="1"/>
  <c r="H143" i="36"/>
  <c r="J140" i="36"/>
  <c r="L153" i="30"/>
  <c r="N153" i="30" s="1"/>
  <c r="D156" i="30"/>
  <c r="F153" i="30"/>
  <c r="N132" i="24"/>
  <c r="J132" i="24"/>
  <c r="V109" i="45"/>
  <c r="J113" i="51"/>
  <c r="T36" i="34"/>
  <c r="Z36" i="34" s="1"/>
  <c r="Z31" i="34"/>
  <c r="N313" i="3"/>
  <c r="H318" i="3"/>
  <c r="J313" i="3"/>
  <c r="Z87" i="89"/>
  <c r="T90" i="89"/>
  <c r="V87" i="89"/>
  <c r="D99" i="88"/>
  <c r="L95" i="88"/>
  <c r="N95" i="88" s="1"/>
  <c r="F95" i="88"/>
  <c r="T289" i="18"/>
  <c r="V286" i="18"/>
  <c r="Z31" i="49"/>
  <c r="T36" i="49"/>
  <c r="Z36" i="49" s="1"/>
  <c r="V143" i="36"/>
  <c r="H36" i="23"/>
  <c r="N36" i="23" s="1"/>
  <c r="N31" i="23"/>
  <c r="X95" i="98"/>
  <c r="Z95" i="98" s="1"/>
  <c r="P98" i="98"/>
  <c r="R95" i="98"/>
  <c r="J120" i="21"/>
  <c r="L80" i="57"/>
  <c r="N80" i="57" s="1"/>
  <c r="N31" i="5"/>
  <c r="H36" i="5"/>
  <c r="N36" i="5" s="1"/>
  <c r="D60" i="100"/>
  <c r="L57" i="100"/>
  <c r="N57" i="100" s="1"/>
  <c r="L123" i="85"/>
  <c r="N123" i="85" s="1"/>
  <c r="D127" i="85"/>
  <c r="F123" i="85"/>
  <c r="X31" i="10"/>
  <c r="P36" i="10"/>
  <c r="Z32" i="86"/>
  <c r="T35" i="86"/>
  <c r="V32" i="86"/>
  <c r="X31" i="26"/>
  <c r="P36" i="26"/>
  <c r="X31" i="111"/>
  <c r="P36" i="111"/>
  <c r="D36" i="112"/>
  <c r="L31" i="112"/>
  <c r="L38" i="55" l="1"/>
  <c r="L69" i="61"/>
  <c r="L36" i="34"/>
  <c r="X36" i="11"/>
  <c r="X36" i="5"/>
  <c r="X36" i="47"/>
  <c r="X36" i="44"/>
  <c r="L36" i="14"/>
  <c r="L36" i="47"/>
  <c r="X36" i="26"/>
  <c r="L36" i="26"/>
  <c r="X36" i="23"/>
  <c r="L36" i="52"/>
  <c r="L36" i="16"/>
  <c r="L36" i="112"/>
  <c r="X36" i="10"/>
  <c r="X36" i="112"/>
  <c r="X36" i="43"/>
  <c r="X36" i="53"/>
  <c r="X36" i="50"/>
  <c r="L36" i="113"/>
  <c r="X36" i="41"/>
  <c r="X36" i="111"/>
  <c r="X36" i="40"/>
  <c r="L36" i="44"/>
  <c r="X36" i="7"/>
  <c r="L36" i="35"/>
  <c r="X36" i="49"/>
  <c r="L36" i="23"/>
  <c r="X36" i="31"/>
  <c r="X36" i="17"/>
  <c r="L36" i="46"/>
  <c r="L36" i="22"/>
  <c r="L36" i="43"/>
  <c r="L36" i="38"/>
  <c r="L36" i="7"/>
  <c r="L36" i="50"/>
  <c r="X36" i="34"/>
  <c r="X36" i="29"/>
  <c r="L36" i="40"/>
  <c r="L36" i="49"/>
  <c r="X36" i="38"/>
  <c r="P35" i="83"/>
  <c r="X32" i="83"/>
  <c r="Z32" i="83" s="1"/>
  <c r="R32" i="83"/>
  <c r="L318" i="3"/>
  <c r="N318" i="3" s="1"/>
  <c r="F318" i="3"/>
  <c r="V156" i="30"/>
  <c r="D289" i="18"/>
  <c r="L286" i="18"/>
  <c r="N286" i="18" s="1"/>
  <c r="F286" i="18"/>
  <c r="V263" i="15"/>
  <c r="J69" i="105"/>
  <c r="J95" i="102"/>
  <c r="L156" i="30"/>
  <c r="N156" i="30" s="1"/>
  <c r="F156" i="30"/>
  <c r="J110" i="33"/>
  <c r="L85" i="73"/>
  <c r="N85" i="73" s="1"/>
  <c r="D88" i="73"/>
  <c r="F85" i="73"/>
  <c r="X36" i="19"/>
  <c r="Z53" i="109"/>
  <c r="X318" i="3"/>
  <c r="R318" i="3"/>
  <c r="X94" i="104"/>
  <c r="Z94" i="104" s="1"/>
  <c r="P97" i="104"/>
  <c r="R94" i="104"/>
  <c r="L124" i="75"/>
  <c r="N124" i="75" s="1"/>
  <c r="F124" i="75"/>
  <c r="L78" i="59"/>
  <c r="N78" i="59" s="1"/>
  <c r="N98" i="98"/>
  <c r="J98" i="98"/>
  <c r="L36" i="31"/>
  <c r="V81" i="101"/>
  <c r="X133" i="42"/>
  <c r="Z133" i="42" s="1"/>
  <c r="P136" i="42"/>
  <c r="R133" i="42"/>
  <c r="J121" i="69"/>
  <c r="X124" i="27"/>
  <c r="Z124" i="27" s="1"/>
  <c r="P127" i="27"/>
  <c r="R124" i="27"/>
  <c r="X90" i="89"/>
  <c r="Z90" i="89" s="1"/>
  <c r="R90" i="89"/>
  <c r="J318" i="3"/>
  <c r="L95" i="74"/>
  <c r="N95" i="74" s="1"/>
  <c r="D98" i="74"/>
  <c r="F95" i="74"/>
  <c r="V127" i="27"/>
  <c r="J276" i="12"/>
  <c r="L36" i="10"/>
  <c r="L133" i="42"/>
  <c r="N133" i="42" s="1"/>
  <c r="D136" i="42"/>
  <c r="F133" i="42"/>
  <c r="X129" i="24"/>
  <c r="Z129" i="24" s="1"/>
  <c r="P132" i="24"/>
  <c r="R129" i="24"/>
  <c r="N69" i="61"/>
  <c r="X36" i="25"/>
  <c r="X36" i="46"/>
  <c r="L77" i="48"/>
  <c r="N77" i="48" s="1"/>
  <c r="F77" i="48"/>
  <c r="L89" i="95"/>
  <c r="N89" i="95" s="1"/>
  <c r="D92" i="95"/>
  <c r="F89" i="95"/>
  <c r="J97" i="104"/>
  <c r="X120" i="21"/>
  <c r="Z120" i="21" s="1"/>
  <c r="R120" i="21"/>
  <c r="X36" i="113"/>
  <c r="D104" i="96"/>
  <c r="L101" i="96"/>
  <c r="N101" i="96" s="1"/>
  <c r="F101" i="96"/>
  <c r="J109" i="45"/>
  <c r="V136" i="42"/>
  <c r="L97" i="104"/>
  <c r="N97" i="104" s="1"/>
  <c r="F97" i="104"/>
  <c r="X36" i="52"/>
  <c r="X89" i="93"/>
  <c r="R89" i="93"/>
  <c r="X110" i="77"/>
  <c r="Z110" i="77" s="1"/>
  <c r="P113" i="77"/>
  <c r="R110" i="77"/>
  <c r="V113" i="77"/>
  <c r="V81" i="70"/>
  <c r="L127" i="85"/>
  <c r="N127" i="85" s="1"/>
  <c r="D130" i="85"/>
  <c r="F127" i="85"/>
  <c r="X98" i="98"/>
  <c r="R98" i="98"/>
  <c r="L97" i="84"/>
  <c r="N97" i="84" s="1"/>
  <c r="D100" i="84"/>
  <c r="F97" i="84"/>
  <c r="V94" i="76"/>
  <c r="L77" i="79"/>
  <c r="N77" i="79" s="1"/>
  <c r="F77" i="79"/>
  <c r="V88" i="73"/>
  <c r="X140" i="36"/>
  <c r="Z140" i="36" s="1"/>
  <c r="P143" i="36"/>
  <c r="R140" i="36"/>
  <c r="J149" i="39"/>
  <c r="V276" i="12"/>
  <c r="P109" i="45"/>
  <c r="X106" i="45"/>
  <c r="Z106" i="45" s="1"/>
  <c r="R106" i="45"/>
  <c r="L110" i="51"/>
  <c r="N110" i="51" s="1"/>
  <c r="D113" i="51"/>
  <c r="F110" i="51"/>
  <c r="V98" i="108"/>
  <c r="X36" i="32"/>
  <c r="X36" i="22"/>
  <c r="D120" i="21"/>
  <c r="L117" i="21"/>
  <c r="N117" i="21" s="1"/>
  <c r="F117" i="21"/>
  <c r="L95" i="102"/>
  <c r="N95" i="102" s="1"/>
  <c r="F95" i="102"/>
  <c r="L127" i="71"/>
  <c r="N127" i="71" s="1"/>
  <c r="F127" i="71"/>
  <c r="X92" i="95"/>
  <c r="Z92" i="95" s="1"/>
  <c r="R92" i="95"/>
  <c r="N70" i="103"/>
  <c r="X31" i="6"/>
  <c r="X260" i="15"/>
  <c r="Z260" i="15" s="1"/>
  <c r="P263" i="15"/>
  <c r="R260" i="15"/>
  <c r="X113" i="51"/>
  <c r="R113" i="51"/>
  <c r="L36" i="29"/>
  <c r="X36" i="8"/>
  <c r="X36" i="13"/>
  <c r="L107" i="33"/>
  <c r="N107" i="33" s="1"/>
  <c r="D110" i="33"/>
  <c r="F107" i="33"/>
  <c r="J143" i="36"/>
  <c r="V132" i="24"/>
  <c r="L87" i="81"/>
  <c r="N87" i="81" s="1"/>
  <c r="F87" i="81"/>
  <c r="J35" i="86"/>
  <c r="V35" i="83"/>
  <c r="L90" i="89"/>
  <c r="N90" i="89" s="1"/>
  <c r="F90" i="89"/>
  <c r="X121" i="75"/>
  <c r="Z121" i="75" s="1"/>
  <c r="P124" i="75"/>
  <c r="R121" i="75"/>
  <c r="V110" i="33"/>
  <c r="L36" i="25"/>
  <c r="L106" i="9"/>
  <c r="N106" i="9" s="1"/>
  <c r="L36" i="53"/>
  <c r="N67" i="60"/>
  <c r="L36" i="32"/>
  <c r="L60" i="100"/>
  <c r="N60" i="100" s="1"/>
  <c r="L106" i="45"/>
  <c r="N106" i="45" s="1"/>
  <c r="D109" i="45"/>
  <c r="F106" i="45"/>
  <c r="Z318" i="3"/>
  <c r="V318" i="3"/>
  <c r="X127" i="85"/>
  <c r="Z127" i="85" s="1"/>
  <c r="P130" i="85"/>
  <c r="R127" i="85"/>
  <c r="L36" i="17"/>
  <c r="X81" i="94"/>
  <c r="Z81" i="94" s="1"/>
  <c r="P84" i="94"/>
  <c r="R81" i="94"/>
  <c r="X81" i="101"/>
  <c r="Z81" i="101" s="1"/>
  <c r="R81" i="101"/>
  <c r="V130" i="85"/>
  <c r="Z106" i="9"/>
  <c r="X286" i="18"/>
  <c r="Z286" i="18" s="1"/>
  <c r="P289" i="18"/>
  <c r="R286" i="18"/>
  <c r="L36" i="4"/>
  <c r="X36" i="14"/>
  <c r="L36" i="13"/>
  <c r="L263" i="15"/>
  <c r="N263" i="15" s="1"/>
  <c r="F263" i="15"/>
  <c r="X36" i="16"/>
  <c r="X35" i="86"/>
  <c r="R35" i="86"/>
  <c r="N38" i="55"/>
  <c r="J88" i="73"/>
  <c r="J81" i="70"/>
  <c r="L36" i="5"/>
  <c r="X153" i="30"/>
  <c r="Z153" i="30" s="1"/>
  <c r="P156" i="30"/>
  <c r="R153" i="30"/>
  <c r="V289" i="18"/>
  <c r="N83" i="57"/>
  <c r="L94" i="76"/>
  <c r="N94" i="76" s="1"/>
  <c r="F94" i="76"/>
  <c r="D276" i="12"/>
  <c r="L273" i="12"/>
  <c r="N273" i="12" s="1"/>
  <c r="F273" i="12"/>
  <c r="X84" i="80"/>
  <c r="Z84" i="80" s="1"/>
  <c r="P87" i="80"/>
  <c r="R84" i="80"/>
  <c r="J289" i="18"/>
  <c r="J124" i="75"/>
  <c r="X36" i="37"/>
  <c r="Z98" i="98"/>
  <c r="V98" i="98"/>
  <c r="L36" i="41"/>
  <c r="V121" i="69"/>
  <c r="V127" i="71"/>
  <c r="L31" i="6"/>
  <c r="L35" i="83"/>
  <c r="N35" i="83" s="1"/>
  <c r="F35" i="83"/>
  <c r="L99" i="88"/>
  <c r="N99" i="88" s="1"/>
  <c r="D102" i="88"/>
  <c r="F99" i="88"/>
  <c r="P110" i="33"/>
  <c r="X107" i="33"/>
  <c r="Z107" i="33" s="1"/>
  <c r="R107" i="33"/>
  <c r="L36" i="8"/>
  <c r="X98" i="108"/>
  <c r="Z98" i="108" s="1"/>
  <c r="R98" i="108"/>
  <c r="V95" i="102"/>
  <c r="X36" i="20"/>
  <c r="X77" i="110"/>
  <c r="Z77" i="110" s="1"/>
  <c r="R77" i="110"/>
  <c r="X69" i="61"/>
  <c r="Z69" i="61" s="1"/>
  <c r="J100" i="84"/>
  <c r="L36" i="28"/>
  <c r="Z89" i="93"/>
  <c r="V89" i="93"/>
  <c r="D143" i="36"/>
  <c r="L140" i="36"/>
  <c r="N140" i="36" s="1"/>
  <c r="F140" i="36"/>
  <c r="L36" i="111"/>
  <c r="L110" i="77"/>
  <c r="N110" i="77" s="1"/>
  <c r="D113" i="77"/>
  <c r="F110" i="77"/>
  <c r="P95" i="102"/>
  <c r="X92" i="102"/>
  <c r="Z92" i="102" s="1"/>
  <c r="R92" i="102"/>
  <c r="L118" i="69"/>
  <c r="N118" i="69" s="1"/>
  <c r="D121" i="69"/>
  <c r="F118" i="69"/>
  <c r="J136" i="42"/>
  <c r="D98" i="108"/>
  <c r="L95" i="108"/>
  <c r="N95" i="108" s="1"/>
  <c r="F95" i="108"/>
  <c r="P87" i="81"/>
  <c r="X84" i="81"/>
  <c r="Z84" i="81" s="1"/>
  <c r="R84" i="81"/>
  <c r="Z31" i="6"/>
  <c r="V120" i="21"/>
  <c r="X91" i="76"/>
  <c r="Z91" i="76" s="1"/>
  <c r="P94" i="76"/>
  <c r="R91" i="76"/>
  <c r="N31" i="6"/>
  <c r="L83" i="58"/>
  <c r="N83" i="58" s="1"/>
  <c r="X67" i="60"/>
  <c r="Z67" i="60" s="1"/>
  <c r="X81" i="70"/>
  <c r="Z81" i="70" s="1"/>
  <c r="R81" i="70"/>
  <c r="L36" i="19"/>
  <c r="L77" i="110"/>
  <c r="N77" i="110" s="1"/>
  <c r="F77" i="110"/>
  <c r="X118" i="69"/>
  <c r="Z118" i="69" s="1"/>
  <c r="P121" i="69"/>
  <c r="R118" i="69"/>
  <c r="X273" i="12"/>
  <c r="Z273" i="12" s="1"/>
  <c r="P276" i="12"/>
  <c r="R273" i="12"/>
  <c r="X66" i="105"/>
  <c r="Z66" i="105" s="1"/>
  <c r="P69" i="105"/>
  <c r="R66" i="105"/>
  <c r="X85" i="73"/>
  <c r="Z85" i="73" s="1"/>
  <c r="P88" i="73"/>
  <c r="R85" i="73"/>
  <c r="Z38" i="55"/>
  <c r="L81" i="70"/>
  <c r="N81" i="70" s="1"/>
  <c r="F81" i="70"/>
  <c r="X101" i="96"/>
  <c r="Z101" i="96" s="1"/>
  <c r="P104" i="96"/>
  <c r="R101" i="96"/>
  <c r="V77" i="48"/>
  <c r="Z113" i="51"/>
  <c r="V113" i="51"/>
  <c r="X36" i="4"/>
  <c r="L84" i="94"/>
  <c r="N84" i="94" s="1"/>
  <c r="F84" i="94"/>
  <c r="J127" i="27"/>
  <c r="L124" i="27"/>
  <c r="N124" i="27" s="1"/>
  <c r="D127" i="27"/>
  <c r="F124" i="27"/>
  <c r="J99" i="106"/>
  <c r="D89" i="93"/>
  <c r="L86" i="93"/>
  <c r="N86" i="93" s="1"/>
  <c r="F86" i="93"/>
  <c r="V84" i="94"/>
  <c r="L32" i="86"/>
  <c r="N32" i="86" s="1"/>
  <c r="D35" i="86"/>
  <c r="F32" i="86"/>
  <c r="J263" i="15"/>
  <c r="X77" i="79"/>
  <c r="Z77" i="79" s="1"/>
  <c r="R77" i="79"/>
  <c r="L36" i="11"/>
  <c r="L36" i="37"/>
  <c r="P98" i="74"/>
  <c r="X95" i="74"/>
  <c r="Z95" i="74" s="1"/>
  <c r="R95" i="74"/>
  <c r="V99" i="106"/>
  <c r="L34" i="99"/>
  <c r="Z35" i="86"/>
  <c r="V35" i="86"/>
  <c r="D149" i="39"/>
  <c r="L146" i="39"/>
  <c r="N146" i="39" s="1"/>
  <c r="F146" i="39"/>
  <c r="V90" i="89"/>
  <c r="J104" i="96"/>
  <c r="V124" i="75"/>
  <c r="L96" i="106"/>
  <c r="N96" i="106" s="1"/>
  <c r="D99" i="106"/>
  <c r="F96" i="106"/>
  <c r="X77" i="48"/>
  <c r="Z77" i="48" s="1"/>
  <c r="R77" i="48"/>
  <c r="P149" i="39"/>
  <c r="X146" i="39"/>
  <c r="Z146" i="39" s="1"/>
  <c r="R146" i="39"/>
  <c r="L36" i="20"/>
  <c r="V69" i="105"/>
  <c r="Z31" i="54"/>
  <c r="X36" i="35"/>
  <c r="P127" i="71"/>
  <c r="X124" i="71"/>
  <c r="Z124" i="71" s="1"/>
  <c r="R124" i="71"/>
  <c r="X96" i="106"/>
  <c r="Z96" i="106" s="1"/>
  <c r="P99" i="106"/>
  <c r="R96" i="106"/>
  <c r="X97" i="84"/>
  <c r="Z97" i="84" s="1"/>
  <c r="P100" i="84"/>
  <c r="R97" i="84"/>
  <c r="X102" i="88"/>
  <c r="Z102" i="88" s="1"/>
  <c r="R102" i="88"/>
  <c r="N81" i="101"/>
  <c r="L69" i="105"/>
  <c r="N69" i="105" s="1"/>
  <c r="F69" i="105"/>
  <c r="X67" i="68"/>
  <c r="Z67" i="68" s="1"/>
  <c r="X36" i="28"/>
  <c r="J92" i="95"/>
  <c r="X113" i="77" l="1"/>
  <c r="Z113" i="77" s="1"/>
  <c r="R113" i="77"/>
  <c r="L88" i="73"/>
  <c r="N88" i="73" s="1"/>
  <c r="F88" i="73"/>
  <c r="X95" i="102"/>
  <c r="Z95" i="102" s="1"/>
  <c r="R95" i="102"/>
  <c r="X110" i="33"/>
  <c r="Z110" i="33" s="1"/>
  <c r="R110" i="33"/>
  <c r="X143" i="36"/>
  <c r="Z143" i="36" s="1"/>
  <c r="R143" i="36"/>
  <c r="L104" i="96"/>
  <c r="N104" i="96" s="1"/>
  <c r="F104" i="96"/>
  <c r="L100" i="84"/>
  <c r="N100" i="84" s="1"/>
  <c r="F100" i="84"/>
  <c r="X127" i="27"/>
  <c r="Z127" i="27" s="1"/>
  <c r="R127" i="27"/>
  <c r="L35" i="86"/>
  <c r="N35" i="86" s="1"/>
  <c r="F35" i="86"/>
  <c r="L127" i="27"/>
  <c r="N127" i="27" s="1"/>
  <c r="F127" i="27"/>
  <c r="X104" i="96"/>
  <c r="Z104" i="96" s="1"/>
  <c r="R104" i="96"/>
  <c r="L113" i="77"/>
  <c r="N113" i="77" s="1"/>
  <c r="F113" i="77"/>
  <c r="L102" i="88"/>
  <c r="N102" i="88" s="1"/>
  <c r="F102" i="88"/>
  <c r="X289" i="18"/>
  <c r="Z289" i="18" s="1"/>
  <c r="R289" i="18"/>
  <c r="X130" i="85"/>
  <c r="Z130" i="85" s="1"/>
  <c r="R130" i="85"/>
  <c r="L113" i="51"/>
  <c r="N113" i="51" s="1"/>
  <c r="F113" i="51"/>
  <c r="L289" i="18"/>
  <c r="N289" i="18" s="1"/>
  <c r="F289" i="18"/>
  <c r="L130" i="85"/>
  <c r="N130" i="85" s="1"/>
  <c r="F130" i="85"/>
  <c r="X132" i="24"/>
  <c r="Z132" i="24" s="1"/>
  <c r="R132" i="24"/>
  <c r="L98" i="74"/>
  <c r="N98" i="74" s="1"/>
  <c r="F98" i="74"/>
  <c r="X136" i="42"/>
  <c r="Z136" i="42" s="1"/>
  <c r="R136" i="42"/>
  <c r="X97" i="104"/>
  <c r="Z97" i="104" s="1"/>
  <c r="R97" i="104"/>
  <c r="L149" i="39"/>
  <c r="N149" i="39" s="1"/>
  <c r="F149" i="39"/>
  <c r="X127" i="71"/>
  <c r="Z127" i="71" s="1"/>
  <c r="R127" i="71"/>
  <c r="L276" i="12"/>
  <c r="N276" i="12" s="1"/>
  <c r="F276" i="12"/>
  <c r="X100" i="84"/>
  <c r="Z100" i="84" s="1"/>
  <c r="R100" i="84"/>
  <c r="X276" i="12"/>
  <c r="Z276" i="12" s="1"/>
  <c r="R276" i="12"/>
  <c r="L98" i="108"/>
  <c r="N98" i="108" s="1"/>
  <c r="F98" i="108"/>
  <c r="L99" i="106"/>
  <c r="N99" i="106" s="1"/>
  <c r="F99" i="106"/>
  <c r="L110" i="33"/>
  <c r="N110" i="33" s="1"/>
  <c r="F110" i="33"/>
  <c r="X69" i="105"/>
  <c r="Z69" i="105" s="1"/>
  <c r="R69" i="105"/>
  <c r="X87" i="81"/>
  <c r="Z87" i="81" s="1"/>
  <c r="R87" i="81"/>
  <c r="X98" i="74"/>
  <c r="Z98" i="74" s="1"/>
  <c r="R98" i="74"/>
  <c r="X149" i="39"/>
  <c r="Z149" i="39" s="1"/>
  <c r="R149" i="39"/>
  <c r="X121" i="69"/>
  <c r="Z121" i="69" s="1"/>
  <c r="R121" i="69"/>
  <c r="X94" i="76"/>
  <c r="Z94" i="76" s="1"/>
  <c r="R94" i="76"/>
  <c r="X109" i="45"/>
  <c r="Z109" i="45" s="1"/>
  <c r="R109" i="45"/>
  <c r="X84" i="94"/>
  <c r="Z84" i="94" s="1"/>
  <c r="R84" i="94"/>
  <c r="X99" i="106"/>
  <c r="Z99" i="106" s="1"/>
  <c r="R99" i="106"/>
  <c r="L143" i="36"/>
  <c r="N143" i="36" s="1"/>
  <c r="F143" i="36"/>
  <c r="L109" i="45"/>
  <c r="N109" i="45" s="1"/>
  <c r="F109" i="45"/>
  <c r="X124" i="75"/>
  <c r="Z124" i="75" s="1"/>
  <c r="R124" i="75"/>
  <c r="X263" i="15"/>
  <c r="Z263" i="15" s="1"/>
  <c r="R263" i="15"/>
  <c r="L120" i="21"/>
  <c r="N120" i="21" s="1"/>
  <c r="F120" i="21"/>
  <c r="L92" i="95"/>
  <c r="N92" i="95" s="1"/>
  <c r="F92" i="95"/>
  <c r="L136" i="42"/>
  <c r="N136" i="42" s="1"/>
  <c r="F136" i="42"/>
  <c r="X88" i="73"/>
  <c r="Z88" i="73" s="1"/>
  <c r="R88" i="73"/>
  <c r="L121" i="69"/>
  <c r="N121" i="69" s="1"/>
  <c r="F121" i="69"/>
  <c r="X156" i="30"/>
  <c r="Z156" i="30" s="1"/>
  <c r="R156" i="30"/>
  <c r="L89" i="93"/>
  <c r="N89" i="93" s="1"/>
  <c r="F89" i="93"/>
  <c r="X87" i="80"/>
  <c r="Z87" i="80" s="1"/>
  <c r="R87" i="80"/>
  <c r="X35" i="83"/>
  <c r="Z35" i="83" s="1"/>
  <c r="R35" i="83"/>
</calcChain>
</file>

<file path=xl/sharedStrings.xml><?xml version="1.0" encoding="utf-8"?>
<sst xmlns="http://schemas.openxmlformats.org/spreadsheetml/2006/main" count="2948" uniqueCount="315">
  <si>
    <t>Credits &amp; Revenues</t>
  </si>
  <si>
    <t>Interest Income/Other</t>
  </si>
  <si>
    <t>Gain/(Loss) on FMV of Investments</t>
  </si>
  <si>
    <t>OPERATING INCOME</t>
  </si>
  <si>
    <t>OPERATING CONTRIBUTION</t>
  </si>
  <si>
    <t>NET CONTRIBUTION</t>
  </si>
  <si>
    <t>GROSS MARGIN</t>
  </si>
  <si>
    <t>Sales</t>
  </si>
  <si>
    <t>Cost of Goods Sold</t>
  </si>
  <si>
    <t>Operating Expenses</t>
  </si>
  <si>
    <t>Actual</t>
  </si>
  <si>
    <t>Budget</t>
  </si>
  <si>
    <t>Variance</t>
  </si>
  <si>
    <t xml:space="preserve">Forty Niner Shops, Inc. </t>
  </si>
  <si>
    <t>G &amp; A Allocation</t>
  </si>
  <si>
    <t>% of Sales</t>
  </si>
  <si>
    <t>% Budget Sales</t>
  </si>
  <si>
    <t>% Variance</t>
  </si>
  <si>
    <t>Sheet Name</t>
  </si>
  <si>
    <t>InfoManager Number</t>
  </si>
  <si>
    <t>Grid Title</t>
  </si>
  <si>
    <t>Grid Cell Range</t>
  </si>
  <si>
    <t>Grid Special Rules</t>
  </si>
  <si>
    <t>Module Name</t>
  </si>
  <si>
    <t>Entity</t>
  </si>
  <si>
    <t>Entity Relate to data</t>
  </si>
  <si>
    <t>Entity Special Rules</t>
  </si>
  <si>
    <t>Entity Text</t>
  </si>
  <si>
    <t>Time</t>
  </si>
  <si>
    <t>Time  Relate to data</t>
  </si>
  <si>
    <t>Time  Special Rules</t>
  </si>
  <si>
    <t>Time Text</t>
  </si>
  <si>
    <t>Scenario</t>
  </si>
  <si>
    <t>Scenario  Relate to data</t>
  </si>
  <si>
    <t>Scenario  Special Rules</t>
  </si>
  <si>
    <t>Scenario Text</t>
  </si>
  <si>
    <t>Category</t>
  </si>
  <si>
    <t>Category  Relate to data</t>
  </si>
  <si>
    <t>Category  Special Rules</t>
  </si>
  <si>
    <t>Category Text</t>
  </si>
  <si>
    <t xml:space="preserve">FxCode </t>
  </si>
  <si>
    <t>FxCode  Relate to data</t>
  </si>
  <si>
    <t>FxCode  Special Rules</t>
  </si>
  <si>
    <t>FxCode Text</t>
  </si>
  <si>
    <t>Storage Type</t>
  </si>
  <si>
    <t>Created Date</t>
  </si>
  <si>
    <t>Updated Date</t>
  </si>
  <si>
    <t>Retain Zero Value</t>
  </si>
  <si>
    <t>Dim0</t>
  </si>
  <si>
    <t>Dim Label0</t>
  </si>
  <si>
    <t>Dim0Relate to data</t>
  </si>
  <si>
    <t>Dim0Special Rules</t>
  </si>
  <si>
    <t>Dim0Text</t>
  </si>
  <si>
    <t>Dim1</t>
  </si>
  <si>
    <t>Dim Label1</t>
  </si>
  <si>
    <t>Dim1Relate to data</t>
  </si>
  <si>
    <t>Dim1Special Rules</t>
  </si>
  <si>
    <t>Dim1Text</t>
  </si>
  <si>
    <t>Dim2</t>
  </si>
  <si>
    <t>Dim Label2</t>
  </si>
  <si>
    <t>Dim2Relate to data</t>
  </si>
  <si>
    <t>Dim2Special Rules</t>
  </si>
  <si>
    <t>Dim2Text</t>
  </si>
  <si>
    <t>Dim3</t>
  </si>
  <si>
    <t>Dim Label3</t>
  </si>
  <si>
    <t>Dim3Relate to data</t>
  </si>
  <si>
    <t>Dim3Special Rules</t>
  </si>
  <si>
    <t>Dim3Text</t>
  </si>
  <si>
    <t>Dim4</t>
  </si>
  <si>
    <t>Dim Label4</t>
  </si>
  <si>
    <t>Dim4Relate to data</t>
  </si>
  <si>
    <t>Dim4Special Rules</t>
  </si>
  <si>
    <t>Dim4Text</t>
  </si>
  <si>
    <t>Dim5</t>
  </si>
  <si>
    <t>Dim Label5</t>
  </si>
  <si>
    <t>Dim5Relate to data</t>
  </si>
  <si>
    <t>Dim5Special Rules</t>
  </si>
  <si>
    <t>Dim5Text</t>
  </si>
  <si>
    <t>Dim6</t>
  </si>
  <si>
    <t>Dim Label6</t>
  </si>
  <si>
    <t>Dim6Relate to data</t>
  </si>
  <si>
    <t>Dim6Special Rules</t>
  </si>
  <si>
    <t>Dim6Text</t>
  </si>
  <si>
    <t>Dim7</t>
  </si>
  <si>
    <t>Dim Label7</t>
  </si>
  <si>
    <t>Dim7Relate to data</t>
  </si>
  <si>
    <t>Dim7Special Rules</t>
  </si>
  <si>
    <t>Dim7Text</t>
  </si>
  <si>
    <t>Dim8</t>
  </si>
  <si>
    <t>Dim Label8</t>
  </si>
  <si>
    <t>Dim8Relate to data</t>
  </si>
  <si>
    <t>Dim8Special Rules</t>
  </si>
  <si>
    <t>Dim8Text</t>
  </si>
  <si>
    <t>Dim9</t>
  </si>
  <si>
    <t>Dim Label9</t>
  </si>
  <si>
    <t>Dim9Relate to data</t>
  </si>
  <si>
    <t>Dim9Special Rules</t>
  </si>
  <si>
    <t>Dim9Text</t>
  </si>
  <si>
    <t>Variable Dim Name0</t>
  </si>
  <si>
    <t>Variable Dim0</t>
  </si>
  <si>
    <t>Variable Dim0Relate to data</t>
  </si>
  <si>
    <t>Variable Dim0Special Rules</t>
  </si>
  <si>
    <t>Variable Dim0Text</t>
  </si>
  <si>
    <t>Variable Dim Name1</t>
  </si>
  <si>
    <t>Variable Dim1</t>
  </si>
  <si>
    <t>Variable Dim1Relate to data</t>
  </si>
  <si>
    <t>Variable Dim1Special Rules</t>
  </si>
  <si>
    <t>Variable Dim1Text</t>
  </si>
  <si>
    <t>Variable Dim Name2</t>
  </si>
  <si>
    <t>Variable Dim2</t>
  </si>
  <si>
    <t>Variable Dim2Relate to data</t>
  </si>
  <si>
    <t>Variable Dim2Special Rules</t>
  </si>
  <si>
    <t>Variable Dim2Text</t>
  </si>
  <si>
    <t>Variable Dim Name3</t>
  </si>
  <si>
    <t>Variable Dim3</t>
  </si>
  <si>
    <t>Variable Dim3Relate to data</t>
  </si>
  <si>
    <t>Variable Dim3Special Rules</t>
  </si>
  <si>
    <t>Variable Dim3Text</t>
  </si>
  <si>
    <t>Variable Dim Name4</t>
  </si>
  <si>
    <t>Variable Dim4</t>
  </si>
  <si>
    <t>Variable Dim4Relate to data</t>
  </si>
  <si>
    <t>Variable Dim4Special Rules</t>
  </si>
  <si>
    <t>Variable Dim4Text</t>
  </si>
  <si>
    <t>Variable Dim Name5</t>
  </si>
  <si>
    <t>Variable Dim5</t>
  </si>
  <si>
    <t>Variable Dim5Relate to data</t>
  </si>
  <si>
    <t>Variable Dim5Special Rules</t>
  </si>
  <si>
    <t>Variable Dim5Text</t>
  </si>
  <si>
    <t>Variable Dim Name6</t>
  </si>
  <si>
    <t>Variable Dim6</t>
  </si>
  <si>
    <t>Variable Dim6Relate to data</t>
  </si>
  <si>
    <t>Variable Dim6Special Rules</t>
  </si>
  <si>
    <t>Variable Dim6Text</t>
  </si>
  <si>
    <t>Variable Dim Name7</t>
  </si>
  <si>
    <t>Variable Dim7</t>
  </si>
  <si>
    <t>Variable Dim7Relate to data</t>
  </si>
  <si>
    <t>Variable Dim7Special Rules</t>
  </si>
  <si>
    <t>Variable Dim7Text</t>
  </si>
  <si>
    <t>Variable Dim Name8</t>
  </si>
  <si>
    <t>Variable Dim8</t>
  </si>
  <si>
    <t>Variable Dim8Relate to data</t>
  </si>
  <si>
    <t>Variable Dim8Special Rules</t>
  </si>
  <si>
    <t>Variable Dim8Text</t>
  </si>
  <si>
    <t>Variable Dim Name9</t>
  </si>
  <si>
    <t>Variable Dim9</t>
  </si>
  <si>
    <t>Variable Dim9Relate to data</t>
  </si>
  <si>
    <t>Variable Dim9Special Rules</t>
  </si>
  <si>
    <t>Variable Dim9Text</t>
  </si>
  <si>
    <t>Variable Dim Name10</t>
  </si>
  <si>
    <t>Variable Dim10</t>
  </si>
  <si>
    <t>Variable Dim10Relate to data</t>
  </si>
  <si>
    <t>Variable Dim10Special Rules</t>
  </si>
  <si>
    <t>Variable Dim10Text</t>
  </si>
  <si>
    <t>Variable Dim Name11</t>
  </si>
  <si>
    <t>Variable Dim11</t>
  </si>
  <si>
    <t>Variable Dim11Relate to data</t>
  </si>
  <si>
    <t>Variable Dim11Special Rules</t>
  </si>
  <si>
    <t>Variable Dim11Text</t>
  </si>
  <si>
    <t>Variable Dim Name12</t>
  </si>
  <si>
    <t>Variable Dim12</t>
  </si>
  <si>
    <t>Variable Dim12Relate to data</t>
  </si>
  <si>
    <t>Variable Dim12Special Rules</t>
  </si>
  <si>
    <t>Variable Dim12Text</t>
  </si>
  <si>
    <t>Variable Dim Name13</t>
  </si>
  <si>
    <t>Variable Dim13</t>
  </si>
  <si>
    <t>Variable Dim13Relate to data</t>
  </si>
  <si>
    <t>Variable Dim13Special Rules</t>
  </si>
  <si>
    <t>Variable Dim13Text</t>
  </si>
  <si>
    <t>Variable Dim Name14</t>
  </si>
  <si>
    <t>Variable Dim14</t>
  </si>
  <si>
    <t>Variable Dim14Relate to data</t>
  </si>
  <si>
    <t>Variable Dim14Special Rules</t>
  </si>
  <si>
    <t>Variable Dim14Text</t>
  </si>
  <si>
    <t>Variable Dim Name15</t>
  </si>
  <si>
    <t>Variable Dim15</t>
  </si>
  <si>
    <t>Variable Dim15Relate to data</t>
  </si>
  <si>
    <t>Variable Dim15Special Rules</t>
  </si>
  <si>
    <t>Variable Dim15Text</t>
  </si>
  <si>
    <t>Variable Dim Name16</t>
  </si>
  <si>
    <t>Variable Dim16</t>
  </si>
  <si>
    <t>Variable Dim16Relate to data</t>
  </si>
  <si>
    <t>Variable Dim16Special Rules</t>
  </si>
  <si>
    <t>Variable Dim16Text</t>
  </si>
  <si>
    <t>Variable Dim Name17</t>
  </si>
  <si>
    <t>Variable Dim17</t>
  </si>
  <si>
    <t>Variable Dim17Relate to data</t>
  </si>
  <si>
    <t>Variable Dim17Special Rules</t>
  </si>
  <si>
    <t>Variable Dim17Text</t>
  </si>
  <si>
    <t>Variable Dim Name18</t>
  </si>
  <si>
    <t>Variable Dim18</t>
  </si>
  <si>
    <t>Variable Dim18Relate to data</t>
  </si>
  <si>
    <t>Variable Dim18Special Rules</t>
  </si>
  <si>
    <t>Variable Dim18Text</t>
  </si>
  <si>
    <t>Variable Dim Name19</t>
  </si>
  <si>
    <t>Variable Dim19</t>
  </si>
  <si>
    <t>Variable Dim19Relate to data</t>
  </si>
  <si>
    <t>Variable Dim19Special Rules</t>
  </si>
  <si>
    <t>Variable Dim19Text</t>
  </si>
  <si>
    <t>Storage Field0</t>
  </si>
  <si>
    <t>Storage Field0 Name</t>
  </si>
  <si>
    <t>Storage Field1</t>
  </si>
  <si>
    <t>Storage Field1 Name</t>
  </si>
  <si>
    <t>Storage Field2</t>
  </si>
  <si>
    <t>Storage Field2 Name</t>
  </si>
  <si>
    <t>Storage Field3</t>
  </si>
  <si>
    <t>Storage Field3 Name</t>
  </si>
  <si>
    <t>Storage Field4</t>
  </si>
  <si>
    <t>Storage Field4 Name</t>
  </si>
  <si>
    <t>Storage Field5</t>
  </si>
  <si>
    <t>Storage Field5 Name</t>
  </si>
  <si>
    <t>Storage Field6</t>
  </si>
  <si>
    <t>Storage Field6 Name</t>
  </si>
  <si>
    <t>Storage Field7</t>
  </si>
  <si>
    <t>Storage Field7 Name</t>
  </si>
  <si>
    <t>Storage Field8</t>
  </si>
  <si>
    <t>Storage Field8 Name</t>
  </si>
  <si>
    <t>Storage Field9</t>
  </si>
  <si>
    <t>Storage Field9 Name</t>
  </si>
  <si>
    <t>Storage Field10</t>
  </si>
  <si>
    <t>Storage Field10 Name</t>
  </si>
  <si>
    <t>Storage Field11</t>
  </si>
  <si>
    <t>Storage Field11 Name</t>
  </si>
  <si>
    <t>Storage Field12</t>
  </si>
  <si>
    <t>Storage Field12 Name</t>
  </si>
  <si>
    <t>Storage Field13</t>
  </si>
  <si>
    <t>Storage Field13 Name</t>
  </si>
  <si>
    <t>Storage Field14</t>
  </si>
  <si>
    <t>Storage Field14 Name</t>
  </si>
  <si>
    <t>Storage Field15</t>
  </si>
  <si>
    <t>Storage Field15 Name</t>
  </si>
  <si>
    <t>Storage Field16</t>
  </si>
  <si>
    <t>Storage Field16 Name</t>
  </si>
  <si>
    <t>Storage Field17</t>
  </si>
  <si>
    <t>Storage Field17 Name</t>
  </si>
  <si>
    <t>Storage Field18</t>
  </si>
  <si>
    <t>Storage Field18 Name</t>
  </si>
  <si>
    <t>Storage Field19</t>
  </si>
  <si>
    <t>Storage Field19 Name</t>
  </si>
  <si>
    <t>DimGridName</t>
  </si>
  <si>
    <t>DimSheetName</t>
  </si>
  <si>
    <t>StorageGridName</t>
  </si>
  <si>
    <t>StorageSheetName</t>
  </si>
  <si>
    <t>Enable SIMWindow</t>
  </si>
  <si>
    <t>Period Type</t>
  </si>
  <si>
    <t>Interface Setting Grid Number</t>
  </si>
  <si>
    <t>Active Grid Number</t>
  </si>
  <si>
    <t>Running Actual Sheet row Number</t>
  </si>
  <si>
    <t>Running Actual Grid Number</t>
  </si>
  <si>
    <t>Chart Legend Location</t>
  </si>
  <si>
    <t>ChartType</t>
  </si>
  <si>
    <t>ChartDisplayLabel</t>
  </si>
  <si>
    <t>ChartXAxiesLabel</t>
  </si>
  <si>
    <t>Chart 1stData Series</t>
  </si>
  <si>
    <t>Chart 1st DataSeries Name</t>
  </si>
  <si>
    <t>Chart 2nd Data Series</t>
  </si>
  <si>
    <t>Chart 2nd Data Series Name</t>
  </si>
  <si>
    <t>Chart 3rd Data Series</t>
  </si>
  <si>
    <t>Chart 3rd Data SeriesName</t>
  </si>
  <si>
    <t>Chart 4th Data Series</t>
  </si>
  <si>
    <t>Chart 4th Data Series Name</t>
  </si>
  <si>
    <t>Chart 5th Data Series</t>
  </si>
  <si>
    <t>Chart 5th Data Series Name</t>
  </si>
  <si>
    <t>Chart 6th Data Series</t>
  </si>
  <si>
    <t>Chart 6th Data Series Name</t>
  </si>
  <si>
    <t>ChartHide</t>
  </si>
  <si>
    <t>DGCol Label</t>
  </si>
  <si>
    <t>DGRow Label</t>
  </si>
  <si>
    <t>DGData</t>
  </si>
  <si>
    <t>DG Display Label</t>
  </si>
  <si>
    <t>DG Decimal Digits</t>
  </si>
  <si>
    <t>DGHide</t>
  </si>
  <si>
    <t>IGColLabelRange</t>
  </si>
  <si>
    <t>IGRowLabelRange</t>
  </si>
  <si>
    <t>IGDataRange</t>
  </si>
  <si>
    <t>IGDisplayLabel</t>
  </si>
  <si>
    <t>IGDecimalDigits</t>
  </si>
  <si>
    <t>IGHide</t>
  </si>
  <si>
    <t>LIDColLabelRange</t>
  </si>
  <si>
    <t>LIDActualDataRange</t>
  </si>
  <si>
    <t>LIDDisplayLabel</t>
  </si>
  <si>
    <t>LIDRowsNumber</t>
  </si>
  <si>
    <t>LIDHide</t>
  </si>
  <si>
    <t>SliderMaxpercentage</t>
  </si>
  <si>
    <t>SliderMinMovePer</t>
  </si>
  <si>
    <t>SaveType</t>
  </si>
  <si>
    <t>FormatType</t>
  </si>
  <si>
    <t>BudgetTotal</t>
  </si>
  <si>
    <t>ActualTotal</t>
  </si>
  <si>
    <t>TotalHide</t>
  </si>
  <si>
    <t>TotalGridHeadings</t>
  </si>
  <si>
    <t>EnableLID</t>
  </si>
  <si>
    <t>MinChart</t>
  </si>
  <si>
    <t>MinDG</t>
  </si>
  <si>
    <t>EnableCustomSpreading</t>
  </si>
  <si>
    <t>CURRENT PERIOD</t>
  </si>
  <si>
    <t>YEAR TO DATE</t>
  </si>
  <si>
    <t>Combined Operating Statement by Department</t>
  </si>
  <si>
    <t>All Departments</t>
  </si>
  <si>
    <t>Division 5 - ID Card Services</t>
  </si>
  <si>
    <t>Division 1 - Corporate</t>
  </si>
  <si>
    <t>Division 2 - Administration</t>
  </si>
  <si>
    <t>Division 491 - Cash Food Operations</t>
  </si>
  <si>
    <t>Division 492 - Residential Dining</t>
  </si>
  <si>
    <t>Division 308 - Combined Textbooks</t>
  </si>
  <si>
    <t>Division 331 - Combined 315 &amp; 326</t>
  </si>
  <si>
    <t>Division 332 - Combined 316, 320, &amp; 323</t>
  </si>
  <si>
    <t>Division 330 - Combined 307 &amp; 314</t>
  </si>
  <si>
    <t>Division 310 - C-Stores</t>
  </si>
  <si>
    <t>Division 3 - Bookstore &amp; C-Stores</t>
  </si>
  <si>
    <t>Division 300 - Bookstore</t>
  </si>
  <si>
    <t>Division 4 - Food Services</t>
  </si>
  <si>
    <t>Division 6 - Computer Store</t>
  </si>
  <si>
    <t>Division 300 &amp; 317 - Bookstore &amp; Computer Store</t>
  </si>
  <si>
    <t>Division 310 &amp; 491 - C-Stores &amp; Cash Food Operations</t>
  </si>
  <si>
    <t>49er.local\tsantos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</si>
</sst>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 d\,\ yyyy;@"/>
    <numFmt numFmtId="166" formatCode="[$-409]m/d/yy\ h:mm\ AM/PM;@"/>
    <numFmt numFmtId="167" formatCode="#,##0.0%;\(#,##0.0%\)"/>
    <numFmt numFmtId="168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8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64" fontId="2" fillId="0" borderId="0" xfId="1" applyNumberFormat="1" applyFont="1" applyFill="1"/>
    <xf numFmtId="167" fontId="0" fillId="0" borderId="0" xfId="3" applyNumberFormat="1" applyFont="1" applyFill="1" applyBorder="1"/>
    <xf numFmtId="167" fontId="1" fillId="0" borderId="0" xfId="3" applyNumberFormat="1" applyFont="1" applyFill="1" applyBorder="1"/>
    <xf numFmtId="164" fontId="1" fillId="0" borderId="0" xfId="1" applyNumberFormat="1" applyFont="1" applyFill="1" applyBorder="1"/>
    <xf numFmtId="167" fontId="0" fillId="0" borderId="0" xfId="3" applyNumberFormat="1" applyFont="1" applyFill="1"/>
    <xf numFmtId="0" fontId="0" fillId="0" borderId="0" xfId="0" applyFill="1"/>
    <xf numFmtId="0" fontId="2" fillId="0" borderId="0" xfId="0" applyFont="1" applyFill="1"/>
    <xf numFmtId="0" fontId="1" fillId="0" borderId="0" xfId="0" applyFont="1" applyFill="1"/>
    <xf numFmtId="167" fontId="2" fillId="0" borderId="0" xfId="3" applyNumberFormat="1" applyFont="1" applyFill="1"/>
    <xf numFmtId="0" fontId="0" fillId="0" borderId="0" xfId="0" applyFont="1" applyFill="1" applyBorder="1"/>
    <xf numFmtId="164" fontId="2" fillId="2" borderId="0" xfId="1" applyNumberFormat="1" applyFont="1" applyFill="1" applyBorder="1"/>
    <xf numFmtId="164" fontId="2" fillId="2" borderId="0" xfId="1" applyNumberFormat="1" applyFont="1" applyFill="1"/>
    <xf numFmtId="0" fontId="2" fillId="2" borderId="1" xfId="0" applyFont="1" applyFill="1" applyBorder="1" applyAlignment="1">
      <alignment horizontal="centerContinuous"/>
    </xf>
    <xf numFmtId="0" fontId="0" fillId="0" borderId="0" xfId="0" applyAlignment="1">
      <alignment horizontal="centerContinuous"/>
    </xf>
    <xf numFmtId="164" fontId="0" fillId="0" borderId="0" xfId="1" applyNumberFormat="1" applyFont="1"/>
    <xf numFmtId="167" fontId="1" fillId="0" borderId="0" xfId="3" applyNumberFormat="1" applyFont="1" applyFill="1"/>
    <xf numFmtId="167" fontId="2" fillId="2" borderId="2" xfId="3" applyNumberFormat="1" applyFont="1" applyFill="1" applyBorder="1"/>
    <xf numFmtId="164" fontId="2" fillId="0" borderId="0" xfId="1" applyNumberFormat="1" applyFont="1" applyFill="1" applyBorder="1"/>
    <xf numFmtId="168" fontId="2" fillId="2" borderId="2" xfId="2" applyNumberFormat="1" applyFont="1" applyFill="1" applyBorder="1"/>
    <xf numFmtId="0" fontId="2" fillId="0" borderId="0" xfId="0" applyFont="1"/>
    <xf numFmtId="0" fontId="1" fillId="0" borderId="0" xfId="0" applyFont="1"/>
    <xf numFmtId="49" fontId="1" fillId="0" borderId="0" xfId="0" applyNumberFormat="1" applyFont="1" applyFill="1" applyAlignment="1">
      <alignment horizontal="right"/>
    </xf>
    <xf numFmtId="0" fontId="0" fillId="0" borderId="0" xfId="0" applyFont="1" applyBorder="1"/>
    <xf numFmtId="49" fontId="0" fillId="0" borderId="0" xfId="0" applyNumberFormat="1" applyFont="1" applyFill="1" applyBorder="1" applyAlignment="1">
      <alignment horizontal="right"/>
    </xf>
    <xf numFmtId="0" fontId="2" fillId="0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168" fontId="2" fillId="2" borderId="3" xfId="2" applyNumberFormat="1" applyFont="1" applyFill="1" applyBorder="1"/>
    <xf numFmtId="167" fontId="2" fillId="2" borderId="3" xfId="3" applyNumberFormat="1" applyFont="1" applyFill="1" applyBorder="1"/>
    <xf numFmtId="167" fontId="2" fillId="2" borderId="4" xfId="3" applyNumberFormat="1" applyFont="1" applyFill="1" applyBorder="1"/>
    <xf numFmtId="167" fontId="2" fillId="0" borderId="0" xfId="3" applyNumberFormat="1" applyFont="1" applyFill="1" applyBorder="1"/>
    <xf numFmtId="49" fontId="2" fillId="0" borderId="0" xfId="0" applyNumberFormat="1" applyFont="1" applyFill="1" applyBorder="1" applyAlignment="1">
      <alignment horizontal="center"/>
    </xf>
    <xf numFmtId="168" fontId="2" fillId="2" borderId="4" xfId="2" applyNumberFormat="1" applyFont="1" applyFill="1" applyBorder="1"/>
    <xf numFmtId="0" fontId="0" fillId="0" borderId="0" xfId="0" applyFill="1" applyBorder="1"/>
    <xf numFmtId="167" fontId="0" fillId="0" borderId="0" xfId="0" applyNumberFormat="1" applyAlignment="1">
      <alignment horizontal="centerContinuous"/>
    </xf>
    <xf numFmtId="167" fontId="2" fillId="2" borderId="1" xfId="3" applyNumberFormat="1" applyFont="1" applyFill="1" applyBorder="1" applyAlignment="1">
      <alignment horizontal="centerContinuous"/>
    </xf>
    <xf numFmtId="167" fontId="0" fillId="0" borderId="0" xfId="0" applyNumberFormat="1"/>
    <xf numFmtId="167" fontId="2" fillId="2" borderId="1" xfId="3" applyNumberFormat="1" applyFont="1" applyFill="1" applyBorder="1" applyAlignment="1">
      <alignment horizontal="center"/>
    </xf>
    <xf numFmtId="0" fontId="0" fillId="3" borderId="5" xfId="0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167" fontId="0" fillId="0" borderId="0" xfId="1" applyNumberFormat="1" applyFont="1"/>
    <xf numFmtId="164" fontId="2" fillId="0" borderId="0" xfId="1" applyNumberFormat="1" applyFont="1" applyAlignment="1">
      <alignment horizontal="left"/>
    </xf>
    <xf numFmtId="167" fontId="2" fillId="2" borderId="1" xfId="0" applyNumberFormat="1" applyFont="1" applyFill="1" applyBorder="1" applyAlignment="1">
      <alignment horizontal="center"/>
    </xf>
    <xf numFmtId="49" fontId="1" fillId="0" borderId="0" xfId="0" applyNumberFormat="1" applyFont="1" applyFill="1"/>
    <xf numFmtId="0" fontId="2" fillId="2" borderId="1" xfId="0" applyNumberFormat="1" applyFont="1" applyFill="1" applyBorder="1" applyAlignment="1">
      <alignment horizontal="center"/>
    </xf>
    <xf numFmtId="167" fontId="0" fillId="0" borderId="0" xfId="3" applyNumberFormat="1" applyFont="1" applyAlignment="1">
      <alignment horizontal="centerContinuous"/>
    </xf>
    <xf numFmtId="167" fontId="2" fillId="2" borderId="1" xfId="0" applyNumberFormat="1" applyFont="1" applyFill="1" applyBorder="1" applyAlignment="1">
      <alignment horizontal="centerContinuous"/>
    </xf>
    <xf numFmtId="167" fontId="0" fillId="0" borderId="0" xfId="0" applyNumberFormat="1" applyFill="1"/>
    <xf numFmtId="167" fontId="0" fillId="0" borderId="0" xfId="3" applyNumberFormat="1" applyFont="1"/>
    <xf numFmtId="49" fontId="2" fillId="0" borderId="0" xfId="0" applyNumberFormat="1" applyFont="1" applyFill="1"/>
    <xf numFmtId="166" fontId="3" fillId="0" borderId="0" xfId="0" applyNumberFormat="1" applyFont="1" applyAlignment="1">
      <alignment horizontal="left"/>
    </xf>
    <xf numFmtId="0" fontId="0" fillId="0" borderId="0" xfId="0" applyFill="1" applyAlignment="1">
      <alignment horizontal="centerContinuous"/>
    </xf>
    <xf numFmtId="0" fontId="3" fillId="0" borderId="0" xfId="0" applyFont="1" applyAlignment="1">
      <alignment horizontal="left"/>
    </xf>
    <xf numFmtId="0" fontId="4" fillId="0" borderId="0" xfId="0" applyFont="1"/>
    <xf numFmtId="0" fontId="2" fillId="0" borderId="0" xfId="0" applyFont="1" applyAlignment="1">
      <alignment horizontal="left"/>
    </xf>
    <xf numFmtId="0" fontId="5" fillId="0" borderId="0" xfId="0" applyFont="1" applyFill="1"/>
    <xf numFmtId="49" fontId="2" fillId="2" borderId="1" xfId="0" applyNumberFormat="1" applyFont="1" applyFill="1" applyBorder="1" applyAlignment="1">
      <alignment horizontal="center"/>
    </xf>
    <xf numFmtId="164" fontId="2" fillId="0" borderId="0" xfId="1" applyNumberFormat="1" applyFont="1" applyFill="1" applyAlignment="1">
      <alignment horizontal="centerContinuous"/>
    </xf>
    <xf numFmtId="0" fontId="2" fillId="0" borderId="0" xfId="0" applyFont="1" applyFill="1" applyBorder="1"/>
    <xf numFmtId="165" fontId="0" fillId="0" borderId="0" xfId="0" applyNumberFormat="1"/>
    <xf numFmtId="0" fontId="0" fillId="0" borderId="0" xfId="0" applyBorder="1"/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0" borderId="0" xfId="0" applyNumberFormat="1"/>
    <xf numFmtId="49" fontId="0" fillId="3" borderId="5" xfId="0" applyNumberFormat="1" applyFill="1" applyBorder="1" applyAlignment="1">
      <alignment horizontal="center" vertical="center" wrapText="1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"/>
  <sheetViews>
    <sheetView workbookViewId="0"/>
  </sheetViews>
  <sheetFormatPr defaultRowHeight="15" x14ac:dyDescent="0.25"/>
  <cols>
    <col min="1" max="130" width="20.7109375" customWidth="1"/>
  </cols>
  <sheetData>
    <row r="1" spans="1:130" x14ac:dyDescent="0.25">
      <c r="B1">
        <v>4</v>
      </c>
    </row>
    <row r="3" spans="1:130" ht="30" x14ac:dyDescent="0.25">
      <c r="A3" s="41" t="s">
        <v>244</v>
      </c>
      <c r="B3" s="41" t="s">
        <v>245</v>
      </c>
      <c r="C3" s="41" t="s">
        <v>18</v>
      </c>
      <c r="D3" s="41" t="s">
        <v>246</v>
      </c>
      <c r="E3" s="41" t="s">
        <v>247</v>
      </c>
      <c r="F3" s="41" t="s">
        <v>20</v>
      </c>
      <c r="G3" s="41" t="s">
        <v>248</v>
      </c>
      <c r="H3" s="41" t="s">
        <v>249</v>
      </c>
      <c r="I3" s="41" t="s">
        <v>250</v>
      </c>
      <c r="J3" s="41" t="s">
        <v>251</v>
      </c>
      <c r="K3" s="41" t="s">
        <v>252</v>
      </c>
      <c r="L3" s="41" t="s">
        <v>253</v>
      </c>
      <c r="M3" s="41" t="s">
        <v>254</v>
      </c>
      <c r="N3" s="41" t="s">
        <v>255</v>
      </c>
      <c r="O3" s="41" t="s">
        <v>256</v>
      </c>
      <c r="P3" s="41" t="s">
        <v>257</v>
      </c>
      <c r="Q3" s="41" t="s">
        <v>258</v>
      </c>
      <c r="R3" s="41" t="s">
        <v>259</v>
      </c>
      <c r="S3" s="41" t="s">
        <v>260</v>
      </c>
      <c r="T3" s="41" t="s">
        <v>261</v>
      </c>
      <c r="U3" s="41" t="s">
        <v>264</v>
      </c>
      <c r="V3" s="41" t="s">
        <v>265</v>
      </c>
      <c r="W3" s="41" t="s">
        <v>266</v>
      </c>
      <c r="X3" s="41" t="s">
        <v>267</v>
      </c>
      <c r="Y3" s="41" t="s">
        <v>268</v>
      </c>
      <c r="Z3" s="41" t="s">
        <v>269</v>
      </c>
      <c r="AA3" s="41" t="s">
        <v>270</v>
      </c>
      <c r="AB3" s="41" t="s">
        <v>271</v>
      </c>
      <c r="AC3" s="41" t="s">
        <v>272</v>
      </c>
      <c r="AD3" s="41" t="s">
        <v>273</v>
      </c>
      <c r="AE3" s="41" t="s">
        <v>274</v>
      </c>
      <c r="AF3" s="41" t="s">
        <v>275</v>
      </c>
      <c r="AG3" s="41" t="s">
        <v>276</v>
      </c>
      <c r="AH3" s="41" t="s">
        <v>277</v>
      </c>
      <c r="AI3" s="41" t="s">
        <v>278</v>
      </c>
      <c r="AJ3" s="41" t="s">
        <v>279</v>
      </c>
      <c r="AK3" s="41" t="s">
        <v>280</v>
      </c>
      <c r="AL3" s="41" t="s">
        <v>281</v>
      </c>
      <c r="AM3" s="41" t="s">
        <v>282</v>
      </c>
      <c r="AN3" s="41" t="s">
        <v>283</v>
      </c>
      <c r="AO3" s="41" t="s">
        <v>284</v>
      </c>
      <c r="AP3" s="41" t="s">
        <v>285</v>
      </c>
      <c r="AQ3" s="41" t="s">
        <v>286</v>
      </c>
      <c r="AR3" s="41" t="s">
        <v>287</v>
      </c>
      <c r="AS3" s="41" t="s">
        <v>288</v>
      </c>
      <c r="AT3" s="41" t="s">
        <v>289</v>
      </c>
      <c r="AU3" s="41" t="s">
        <v>290</v>
      </c>
      <c r="AV3" s="41" t="s">
        <v>262</v>
      </c>
      <c r="AW3" s="41" t="s">
        <v>263</v>
      </c>
      <c r="AX3" s="41" t="s">
        <v>291</v>
      </c>
      <c r="AY3" s="41" t="s">
        <v>292</v>
      </c>
      <c r="AZ3" s="41" t="s">
        <v>293</v>
      </c>
      <c r="BA3" s="41" t="s">
        <v>45</v>
      </c>
      <c r="BB3" s="41" t="s">
        <v>46</v>
      </c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">
        <v>308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5"/>
      <c r="L31" s="35" t="e">
        <f ca="1">D31-H31</f>
        <v>#NAME?</v>
      </c>
      <c r="M31" s="15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5"/>
      <c r="X31" s="35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8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5"/>
      <c r="L31" s="35" t="e">
        <f ca="1">D31-H31</f>
        <v>#NAME?</v>
      </c>
      <c r="M31" s="15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5"/>
      <c r="X31" s="35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8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5"/>
      <c r="L31" s="35" t="e">
        <f ca="1">D31-H31</f>
        <v>#NAME?</v>
      </c>
      <c r="M31" s="15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5"/>
      <c r="X31" s="35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8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">
        <v>308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5"/>
      <c r="L31" s="35" t="e">
        <f ca="1">D31-H31</f>
        <v>#NAME?</v>
      </c>
      <c r="M31" s="15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5"/>
      <c r="X31" s="35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8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">
        <v>309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5"/>
      <c r="L31" s="35" t="e">
        <f ca="1">D31-H31</f>
        <v>#NAME?</v>
      </c>
      <c r="M31" s="15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5"/>
      <c r="X31" s="35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8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">
        <v>309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5"/>
      <c r="L31" s="35" t="e">
        <f ca="1">D31-H31</f>
        <v>#NAME?</v>
      </c>
      <c r="M31" s="15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5"/>
      <c r="X31" s="35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8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">
        <v>312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5"/>
      <c r="L31" s="35" t="e">
        <f ca="1">D31-H31</f>
        <v>#NAME?</v>
      </c>
      <c r="M31" s="15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5"/>
      <c r="X31" s="35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8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">
        <v>312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5"/>
      <c r="L31" s="35" t="e">
        <f ca="1">D31-H31</f>
        <v>#NAME?</v>
      </c>
      <c r="M31" s="15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5"/>
      <c r="X31" s="35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8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">
        <v>307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5"/>
      <c r="L31" s="35" t="e">
        <f ca="1">D31-H31</f>
        <v>#NAME?</v>
      </c>
      <c r="M31" s="15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5"/>
      <c r="X31" s="35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8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">
        <v>307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5"/>
      <c r="L31" s="35" t="e">
        <f ca="1">D31-H31</f>
        <v>#NAME?</v>
      </c>
      <c r="M31" s="15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5"/>
      <c r="X31" s="35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8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">
        <v>306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5"/>
      <c r="L31" s="35" t="e">
        <f ca="1">D31-H31</f>
        <v>#NAME?</v>
      </c>
      <c r="M31" s="15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5"/>
      <c r="X31" s="35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8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">
        <v>306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5"/>
      <c r="L31" s="35" t="e">
        <f ca="1">D31-H31</f>
        <v>#NAME?</v>
      </c>
      <c r="M31" s="15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5"/>
      <c r="X31" s="35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8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L10002"/>
  <sheetViews>
    <sheetView workbookViewId="0"/>
  </sheetViews>
  <sheetFormatPr defaultRowHeight="15" x14ac:dyDescent="0.25"/>
  <cols>
    <col min="1" max="220" width="20.7109375" customWidth="1"/>
    <col min="221" max="221" width="20.7109375" style="66" customWidth="1"/>
    <col min="222" max="223" width="20.7109375" customWidth="1"/>
  </cols>
  <sheetData>
    <row r="1" spans="1:272" x14ac:dyDescent="0.25">
      <c r="D1">
        <v>4</v>
      </c>
    </row>
    <row r="2" spans="1:272" x14ac:dyDescent="0.25">
      <c r="JK2">
        <v>271</v>
      </c>
      <c r="JL2">
        <v>4</v>
      </c>
    </row>
    <row r="3" spans="1:272" ht="30" x14ac:dyDescent="0.25">
      <c r="A3" s="41" t="s">
        <v>18</v>
      </c>
      <c r="B3" s="41" t="s">
        <v>19</v>
      </c>
      <c r="C3" s="41" t="s">
        <v>20</v>
      </c>
      <c r="D3" s="41" t="s">
        <v>21</v>
      </c>
      <c r="E3" s="41" t="s">
        <v>22</v>
      </c>
      <c r="F3" s="41" t="s">
        <v>23</v>
      </c>
      <c r="G3" s="41" t="s">
        <v>24</v>
      </c>
      <c r="H3" s="41" t="s">
        <v>25</v>
      </c>
      <c r="I3" s="41" t="s">
        <v>26</v>
      </c>
      <c r="J3" s="41" t="s">
        <v>27</v>
      </c>
      <c r="K3" s="41" t="s">
        <v>28</v>
      </c>
      <c r="L3" s="41" t="s">
        <v>29</v>
      </c>
      <c r="M3" s="41" t="s">
        <v>30</v>
      </c>
      <c r="N3" s="41" t="s">
        <v>31</v>
      </c>
      <c r="O3" s="41" t="s">
        <v>32</v>
      </c>
      <c r="P3" s="41" t="s">
        <v>33</v>
      </c>
      <c r="Q3" s="41" t="s">
        <v>34</v>
      </c>
      <c r="R3" s="41" t="s">
        <v>35</v>
      </c>
      <c r="S3" s="41" t="s">
        <v>36</v>
      </c>
      <c r="T3" s="41" t="s">
        <v>37</v>
      </c>
      <c r="U3" s="41" t="s">
        <v>38</v>
      </c>
      <c r="V3" s="41" t="s">
        <v>39</v>
      </c>
      <c r="W3" s="41" t="s">
        <v>40</v>
      </c>
      <c r="X3" s="41" t="s">
        <v>41</v>
      </c>
      <c r="Y3" s="41" t="s">
        <v>42</v>
      </c>
      <c r="Z3" s="41" t="s">
        <v>43</v>
      </c>
      <c r="AA3" s="41" t="s">
        <v>48</v>
      </c>
      <c r="AB3" s="41" t="s">
        <v>49</v>
      </c>
      <c r="AC3" s="41" t="s">
        <v>50</v>
      </c>
      <c r="AD3" s="41" t="s">
        <v>51</v>
      </c>
      <c r="AE3" s="41" t="s">
        <v>52</v>
      </c>
      <c r="AF3" s="41" t="s">
        <v>53</v>
      </c>
      <c r="AG3" s="41" t="s">
        <v>54</v>
      </c>
      <c r="AH3" s="41" t="s">
        <v>55</v>
      </c>
      <c r="AI3" s="41" t="s">
        <v>56</v>
      </c>
      <c r="AJ3" s="41" t="s">
        <v>57</v>
      </c>
      <c r="AK3" s="41" t="s">
        <v>58</v>
      </c>
      <c r="AL3" s="41" t="s">
        <v>59</v>
      </c>
      <c r="AM3" s="41" t="s">
        <v>60</v>
      </c>
      <c r="AN3" s="41" t="s">
        <v>61</v>
      </c>
      <c r="AO3" s="41" t="s">
        <v>62</v>
      </c>
      <c r="AP3" s="41" t="s">
        <v>63</v>
      </c>
      <c r="AQ3" s="41" t="s">
        <v>64</v>
      </c>
      <c r="AR3" s="41" t="s">
        <v>65</v>
      </c>
      <c r="AS3" s="41" t="s">
        <v>66</v>
      </c>
      <c r="AT3" s="41" t="s">
        <v>67</v>
      </c>
      <c r="AU3" s="41" t="s">
        <v>68</v>
      </c>
      <c r="AV3" s="41" t="s">
        <v>69</v>
      </c>
      <c r="AW3" s="41" t="s">
        <v>70</v>
      </c>
      <c r="AX3" s="41" t="s">
        <v>71</v>
      </c>
      <c r="AY3" s="41" t="s">
        <v>72</v>
      </c>
      <c r="AZ3" s="41" t="s">
        <v>73</v>
      </c>
      <c r="BA3" s="41" t="s">
        <v>74</v>
      </c>
      <c r="BB3" s="41" t="s">
        <v>75</v>
      </c>
      <c r="BC3" s="41" t="s">
        <v>76</v>
      </c>
      <c r="BD3" s="41" t="s">
        <v>77</v>
      </c>
      <c r="BE3" s="41" t="s">
        <v>78</v>
      </c>
      <c r="BF3" s="41" t="s">
        <v>79</v>
      </c>
      <c r="BG3" s="41" t="s">
        <v>80</v>
      </c>
      <c r="BH3" s="41" t="s">
        <v>81</v>
      </c>
      <c r="BI3" s="41" t="s">
        <v>82</v>
      </c>
      <c r="BJ3" s="41" t="s">
        <v>83</v>
      </c>
      <c r="BK3" s="41" t="s">
        <v>84</v>
      </c>
      <c r="BL3" s="41" t="s">
        <v>85</v>
      </c>
      <c r="BM3" s="41" t="s">
        <v>86</v>
      </c>
      <c r="BN3" s="41" t="s">
        <v>87</v>
      </c>
      <c r="BO3" s="41" t="s">
        <v>88</v>
      </c>
      <c r="BP3" s="41" t="s">
        <v>89</v>
      </c>
      <c r="BQ3" s="41" t="s">
        <v>90</v>
      </c>
      <c r="BR3" s="41" t="s">
        <v>91</v>
      </c>
      <c r="BS3" s="41" t="s">
        <v>92</v>
      </c>
      <c r="BT3" s="41" t="s">
        <v>93</v>
      </c>
      <c r="BU3" s="41" t="s">
        <v>94</v>
      </c>
      <c r="BV3" s="41" t="s">
        <v>95</v>
      </c>
      <c r="BW3" s="41" t="s">
        <v>96</v>
      </c>
      <c r="BX3" s="41" t="s">
        <v>97</v>
      </c>
      <c r="BY3" s="41" t="s">
        <v>98</v>
      </c>
      <c r="BZ3" s="41" t="s">
        <v>99</v>
      </c>
      <c r="CA3" s="41" t="s">
        <v>100</v>
      </c>
      <c r="CB3" s="41" t="s">
        <v>101</v>
      </c>
      <c r="CC3" s="41" t="s">
        <v>102</v>
      </c>
      <c r="CD3" s="41" t="s">
        <v>103</v>
      </c>
      <c r="CE3" s="41" t="s">
        <v>104</v>
      </c>
      <c r="CF3" s="41" t="s">
        <v>105</v>
      </c>
      <c r="CG3" s="41" t="s">
        <v>106</v>
      </c>
      <c r="CH3" s="41" t="s">
        <v>107</v>
      </c>
      <c r="CI3" s="41" t="s">
        <v>108</v>
      </c>
      <c r="CJ3" s="41" t="s">
        <v>109</v>
      </c>
      <c r="CK3" s="41" t="s">
        <v>110</v>
      </c>
      <c r="CL3" s="41" t="s">
        <v>111</v>
      </c>
      <c r="CM3" s="41" t="s">
        <v>112</v>
      </c>
      <c r="CN3" s="41" t="s">
        <v>113</v>
      </c>
      <c r="CO3" s="41" t="s">
        <v>114</v>
      </c>
      <c r="CP3" s="41" t="s">
        <v>115</v>
      </c>
      <c r="CQ3" s="41" t="s">
        <v>116</v>
      </c>
      <c r="CR3" s="41" t="s">
        <v>117</v>
      </c>
      <c r="CS3" s="41" t="s">
        <v>118</v>
      </c>
      <c r="CT3" s="41" t="s">
        <v>119</v>
      </c>
      <c r="CU3" s="41" t="s">
        <v>120</v>
      </c>
      <c r="CV3" s="41" t="s">
        <v>121</v>
      </c>
      <c r="CW3" s="41" t="s">
        <v>122</v>
      </c>
      <c r="CX3" s="41" t="s">
        <v>123</v>
      </c>
      <c r="CY3" s="41" t="s">
        <v>124</v>
      </c>
      <c r="CZ3" s="41" t="s">
        <v>125</v>
      </c>
      <c r="DA3" s="41" t="s">
        <v>126</v>
      </c>
      <c r="DB3" s="41" t="s">
        <v>127</v>
      </c>
      <c r="DC3" s="41" t="s">
        <v>128</v>
      </c>
      <c r="DD3" s="41" t="s">
        <v>129</v>
      </c>
      <c r="DE3" s="41" t="s">
        <v>130</v>
      </c>
      <c r="DF3" s="41" t="s">
        <v>131</v>
      </c>
      <c r="DG3" s="41" t="s">
        <v>132</v>
      </c>
      <c r="DH3" s="41" t="s">
        <v>133</v>
      </c>
      <c r="DI3" s="41" t="s">
        <v>134</v>
      </c>
      <c r="DJ3" s="41" t="s">
        <v>135</v>
      </c>
      <c r="DK3" s="41" t="s">
        <v>136</v>
      </c>
      <c r="DL3" s="41" t="s">
        <v>137</v>
      </c>
      <c r="DM3" s="41" t="s">
        <v>138</v>
      </c>
      <c r="DN3" s="41" t="s">
        <v>139</v>
      </c>
      <c r="DO3" s="41" t="s">
        <v>140</v>
      </c>
      <c r="DP3" s="41" t="s">
        <v>141</v>
      </c>
      <c r="DQ3" s="41" t="s">
        <v>142</v>
      </c>
      <c r="DR3" s="41" t="s">
        <v>143</v>
      </c>
      <c r="DS3" s="41" t="s">
        <v>144</v>
      </c>
      <c r="DT3" s="41" t="s">
        <v>145</v>
      </c>
      <c r="DU3" s="41" t="s">
        <v>146</v>
      </c>
      <c r="DV3" s="41" t="s">
        <v>147</v>
      </c>
      <c r="DW3" s="41" t="s">
        <v>148</v>
      </c>
      <c r="DX3" s="41" t="s">
        <v>149</v>
      </c>
      <c r="DY3" s="41" t="s">
        <v>150</v>
      </c>
      <c r="DZ3" s="41" t="s">
        <v>151</v>
      </c>
      <c r="EA3" s="41" t="s">
        <v>152</v>
      </c>
      <c r="EB3" s="41" t="s">
        <v>153</v>
      </c>
      <c r="EC3" s="41" t="s">
        <v>154</v>
      </c>
      <c r="ED3" s="41" t="s">
        <v>155</v>
      </c>
      <c r="EE3" s="41" t="s">
        <v>156</v>
      </c>
      <c r="EF3" s="41" t="s">
        <v>157</v>
      </c>
      <c r="EG3" s="41" t="s">
        <v>158</v>
      </c>
      <c r="EH3" s="41" t="s">
        <v>159</v>
      </c>
      <c r="EI3" s="41" t="s">
        <v>160</v>
      </c>
      <c r="EJ3" s="41" t="s">
        <v>161</v>
      </c>
      <c r="EK3" s="41" t="s">
        <v>162</v>
      </c>
      <c r="EL3" s="41" t="s">
        <v>163</v>
      </c>
      <c r="EM3" s="41" t="s">
        <v>164</v>
      </c>
      <c r="EN3" s="41" t="s">
        <v>165</v>
      </c>
      <c r="EO3" s="41" t="s">
        <v>166</v>
      </c>
      <c r="EP3" s="41" t="s">
        <v>167</v>
      </c>
      <c r="EQ3" s="41" t="s">
        <v>168</v>
      </c>
      <c r="ER3" s="41" t="s">
        <v>169</v>
      </c>
      <c r="ES3" s="41" t="s">
        <v>170</v>
      </c>
      <c r="ET3" s="41" t="s">
        <v>171</v>
      </c>
      <c r="EU3" s="41" t="s">
        <v>172</v>
      </c>
      <c r="EV3" s="41" t="s">
        <v>173</v>
      </c>
      <c r="EW3" s="41" t="s">
        <v>174</v>
      </c>
      <c r="EX3" s="41" t="s">
        <v>175</v>
      </c>
      <c r="EY3" s="41" t="s">
        <v>176</v>
      </c>
      <c r="EZ3" s="41" t="s">
        <v>177</v>
      </c>
      <c r="FA3" s="41" t="s">
        <v>178</v>
      </c>
      <c r="FB3" s="41" t="s">
        <v>179</v>
      </c>
      <c r="FC3" s="41" t="s">
        <v>180</v>
      </c>
      <c r="FD3" s="41" t="s">
        <v>181</v>
      </c>
      <c r="FE3" s="41" t="s">
        <v>182</v>
      </c>
      <c r="FF3" s="41" t="s">
        <v>183</v>
      </c>
      <c r="FG3" s="41" t="s">
        <v>184</v>
      </c>
      <c r="FH3" s="41" t="s">
        <v>185</v>
      </c>
      <c r="FI3" s="41" t="s">
        <v>186</v>
      </c>
      <c r="FJ3" s="41" t="s">
        <v>187</v>
      </c>
      <c r="FK3" s="41" t="s">
        <v>188</v>
      </c>
      <c r="FL3" s="41" t="s">
        <v>189</v>
      </c>
      <c r="FM3" s="41" t="s">
        <v>190</v>
      </c>
      <c r="FN3" s="41" t="s">
        <v>191</v>
      </c>
      <c r="FO3" s="41" t="s">
        <v>192</v>
      </c>
      <c r="FP3" s="41" t="s">
        <v>193</v>
      </c>
      <c r="FQ3" s="41" t="s">
        <v>194</v>
      </c>
      <c r="FR3" s="41" t="s">
        <v>195</v>
      </c>
      <c r="FS3" s="41" t="s">
        <v>196</v>
      </c>
      <c r="FT3" s="41" t="s">
        <v>197</v>
      </c>
      <c r="FU3" s="41" t="s">
        <v>198</v>
      </c>
      <c r="FV3" s="41" t="s">
        <v>199</v>
      </c>
      <c r="FW3" s="41" t="s">
        <v>200</v>
      </c>
      <c r="FX3" s="41" t="s">
        <v>201</v>
      </c>
      <c r="FY3" s="41" t="s">
        <v>202</v>
      </c>
      <c r="FZ3" s="41" t="s">
        <v>203</v>
      </c>
      <c r="GA3" s="41" t="s">
        <v>204</v>
      </c>
      <c r="GB3" s="41" t="s">
        <v>205</v>
      </c>
      <c r="GC3" s="41" t="s">
        <v>206</v>
      </c>
      <c r="GD3" s="41" t="s">
        <v>207</v>
      </c>
      <c r="GE3" s="41" t="s">
        <v>208</v>
      </c>
      <c r="GF3" s="41" t="s">
        <v>209</v>
      </c>
      <c r="GG3" s="41" t="s">
        <v>210</v>
      </c>
      <c r="GH3" s="41" t="s">
        <v>211</v>
      </c>
      <c r="GI3" s="41" t="s">
        <v>212</v>
      </c>
      <c r="GJ3" s="41" t="s">
        <v>213</v>
      </c>
      <c r="GK3" s="41" t="s">
        <v>214</v>
      </c>
      <c r="GL3" s="41" t="s">
        <v>215</v>
      </c>
      <c r="GM3" s="41" t="s">
        <v>216</v>
      </c>
      <c r="GN3" s="41" t="s">
        <v>217</v>
      </c>
      <c r="GO3" s="41" t="s">
        <v>218</v>
      </c>
      <c r="GP3" s="41" t="s">
        <v>219</v>
      </c>
      <c r="GQ3" s="41" t="s">
        <v>220</v>
      </c>
      <c r="GR3" s="41" t="s">
        <v>221</v>
      </c>
      <c r="GS3" s="41" t="s">
        <v>222</v>
      </c>
      <c r="GT3" s="41" t="s">
        <v>223</v>
      </c>
      <c r="GU3" s="41" t="s">
        <v>224</v>
      </c>
      <c r="GV3" s="41" t="s">
        <v>225</v>
      </c>
      <c r="GW3" s="41" t="s">
        <v>226</v>
      </c>
      <c r="GX3" s="41" t="s">
        <v>227</v>
      </c>
      <c r="GY3" s="41" t="s">
        <v>228</v>
      </c>
      <c r="GZ3" s="41" t="s">
        <v>229</v>
      </c>
      <c r="HA3" s="41" t="s">
        <v>230</v>
      </c>
      <c r="HB3" s="41" t="s">
        <v>231</v>
      </c>
      <c r="HC3" s="41" t="s">
        <v>232</v>
      </c>
      <c r="HD3" s="41" t="s">
        <v>233</v>
      </c>
      <c r="HE3" s="41" t="s">
        <v>234</v>
      </c>
      <c r="HF3" s="41" t="s">
        <v>235</v>
      </c>
      <c r="HG3" s="41" t="s">
        <v>236</v>
      </c>
      <c r="HH3" s="41" t="s">
        <v>237</v>
      </c>
      <c r="HI3" s="41" t="s">
        <v>242</v>
      </c>
      <c r="HJ3" s="41" t="s">
        <v>243</v>
      </c>
      <c r="HK3" s="41"/>
      <c r="HL3" s="41" t="s">
        <v>44</v>
      </c>
      <c r="HM3" s="67"/>
      <c r="HN3" s="41" t="s">
        <v>45</v>
      </c>
      <c r="HO3" s="41" t="s">
        <v>46</v>
      </c>
      <c r="HP3" t="s">
        <v>47</v>
      </c>
      <c r="JK3" s="41" t="s">
        <v>238</v>
      </c>
      <c r="JL3" s="41" t="s">
        <v>239</v>
      </c>
    </row>
    <row r="10001" spans="271:272" x14ac:dyDescent="0.25">
      <c r="JK10001">
        <v>271</v>
      </c>
      <c r="JL10001">
        <v>10003</v>
      </c>
    </row>
    <row r="10002" spans="271:272" ht="45" x14ac:dyDescent="0.25">
      <c r="JK10002" s="41" t="s">
        <v>240</v>
      </c>
      <c r="JL10002" s="41" t="s">
        <v>241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">
        <v>303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5"/>
      <c r="L31" s="35" t="e">
        <f ca="1">D31-H31</f>
        <v>#NAME?</v>
      </c>
      <c r="M31" s="15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5"/>
      <c r="X31" s="35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8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">
        <v>303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5"/>
      <c r="L31" s="35" t="e">
        <f ca="1">D31-H31</f>
        <v>#NAME?</v>
      </c>
      <c r="M31" s="15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5"/>
      <c r="X31" s="35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8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">
        <v>304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5"/>
      <c r="L31" s="35" t="e">
        <f ca="1">D31-H31</f>
        <v>#NAME?</v>
      </c>
      <c r="M31" s="15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5"/>
      <c r="X31" s="35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8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">
        <v>304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5"/>
      <c r="L31" s="35" t="e">
        <f ca="1">D31-H31</f>
        <v>#NAME?</v>
      </c>
      <c r="M31" s="15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5"/>
      <c r="X31" s="35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8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">
        <v>305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5"/>
      <c r="L31" s="35" t="e">
        <f ca="1">D31-H31</f>
        <v>#NAME?</v>
      </c>
      <c r="M31" s="15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5"/>
      <c r="X31" s="35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8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">
        <v>305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5"/>
      <c r="L31" s="35" t="e">
        <f ca="1">D31-H31</f>
        <v>#NAME?</v>
      </c>
      <c r="M31" s="15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5"/>
      <c r="X31" s="35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8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">
        <v>310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5"/>
      <c r="L31" s="35" t="e">
        <f ca="1">D31-H31</f>
        <v>#NAME?</v>
      </c>
      <c r="M31" s="15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5"/>
      <c r="X31" s="35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8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">
        <v>310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5"/>
      <c r="L31" s="35" t="e">
        <f ca="1">D31-H31</f>
        <v>#NAME?</v>
      </c>
      <c r="M31" s="15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5"/>
      <c r="X31" s="35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8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">
        <v>313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5"/>
      <c r="L31" s="35" t="e">
        <f ca="1">D31-H31</f>
        <v>#NAME?</v>
      </c>
      <c r="M31" s="15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5"/>
      <c r="X31" s="35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8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">
        <v>313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5"/>
      <c r="L31" s="35" t="e">
        <f ca="1">D31-H31</f>
        <v>#NAME?</v>
      </c>
      <c r="M31" s="15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5"/>
      <c r="X31" s="35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8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323"/>
  <sheetViews>
    <sheetView tabSelected="1" zoomScale="80" workbookViewId="0">
      <pane xSplit="3" ySplit="10" topLeftCell="D218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str">
        <f>CONCATENATE("Period ",RIGHT(202003,2),", ",2020)</f>
        <v>Period 03, 2020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43736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">
        <v>297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4008767.4699999993</v>
      </c>
      <c r="E12" s="4"/>
      <c r="F12" s="12"/>
      <c r="G12" s="4"/>
      <c r="H12" s="4">
        <f>SUM(OSRRefH13x_0)</f>
        <v>4095268.3387500001</v>
      </c>
      <c r="I12" s="4"/>
      <c r="J12" s="12"/>
      <c r="K12" s="4"/>
      <c r="L12" s="4">
        <f t="shared" ref="L12:L127" si="0">+D12-H12</f>
        <v>-86500.868750000838</v>
      </c>
      <c r="M12" s="4"/>
      <c r="N12" s="12">
        <f t="shared" ref="N12:N127" si="1">IF(H12=0,0,L12/H12)</f>
        <v>-2.1122149171891268E-2</v>
      </c>
      <c r="O12" s="10"/>
      <c r="P12" s="4">
        <f>SUM(OSRRefP13x_0)</f>
        <v>9733974.3999999966</v>
      </c>
      <c r="Q12" s="4"/>
      <c r="R12" s="12"/>
      <c r="S12" s="4"/>
      <c r="T12" s="4">
        <f>SUM(OSRRefT13x_0)</f>
        <v>10175526.975200001</v>
      </c>
      <c r="U12" s="4"/>
      <c r="V12" s="12"/>
      <c r="W12" s="4"/>
      <c r="X12" s="4">
        <f t="shared" ref="X12:X127" si="2">+P12-T12</f>
        <v>-441552.5752000045</v>
      </c>
      <c r="Y12" s="4"/>
      <c r="Z12" s="12">
        <f t="shared" ref="Z12:Z127" si="3">IF(T12=0,0,X12/T12)</f>
        <v>-4.3393583081855647E-2</v>
      </c>
    </row>
    <row r="13" spans="1:26" s="24" customFormat="1" hidden="1" outlineLevel="1" x14ac:dyDescent="0.25">
      <c r="A13" s="46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1160758.3387499999</v>
      </c>
      <c r="I13" s="2"/>
      <c r="J13" s="19"/>
      <c r="K13" s="2"/>
      <c r="L13" s="2">
        <f t="shared" si="0"/>
        <v>-1160758.3387499999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3053131.9752000002</v>
      </c>
      <c r="U13" s="2"/>
      <c r="V13" s="19"/>
      <c r="W13" s="2"/>
      <c r="X13" s="2">
        <f t="shared" si="2"/>
        <v>-3053131.9752000002</v>
      </c>
      <c r="Y13" s="2"/>
      <c r="Z13" s="19">
        <f t="shared" si="3"/>
        <v>-1</v>
      </c>
    </row>
    <row r="14" spans="1:26" s="24" customFormat="1" hidden="1" outlineLevel="1" x14ac:dyDescent="0.25">
      <c r="A14" s="46"/>
      <c r="B14" s="11" t="str">
        <f>CONCATENATE("          ", "4001", " - ", "TAXABLE SALES-NEW TEXT")</f>
        <v xml:space="preserve">          4001 - TAXABLE SALES-NEW TEXT</v>
      </c>
      <c r="C14" s="11"/>
      <c r="D14" s="2">
        <f>--336733.45</f>
        <v>336733.45</v>
      </c>
      <c r="E14" s="2"/>
      <c r="F14" s="19"/>
      <c r="G14" s="2"/>
      <c r="H14" s="2"/>
      <c r="I14" s="2"/>
      <c r="J14" s="19"/>
      <c r="K14" s="2"/>
      <c r="L14" s="2">
        <f t="shared" si="0"/>
        <v>336733.45</v>
      </c>
      <c r="M14" s="2"/>
      <c r="N14" s="19">
        <f t="shared" si="1"/>
        <v>0</v>
      </c>
      <c r="O14" s="11"/>
      <c r="P14" s="2">
        <f>--1463955.42</f>
        <v>1463955.42</v>
      </c>
      <c r="Q14" s="2"/>
      <c r="R14" s="19"/>
      <c r="S14" s="2"/>
      <c r="T14" s="2"/>
      <c r="U14" s="2"/>
      <c r="V14" s="19"/>
      <c r="W14" s="2"/>
      <c r="X14" s="2">
        <f t="shared" si="2"/>
        <v>1463955.42</v>
      </c>
      <c r="Y14" s="2"/>
      <c r="Z14" s="19">
        <f t="shared" si="3"/>
        <v>0</v>
      </c>
    </row>
    <row r="15" spans="1:26" s="24" customFormat="1" hidden="1" outlineLevel="1" x14ac:dyDescent="0.25">
      <c r="A15" s="46"/>
      <c r="B15" s="11" t="str">
        <f>CONCATENATE("          ", "4002", " - ", "TAXABLE SALES-USED TEXT")</f>
        <v xml:space="preserve">          4002 - TAXABLE SALES-USED TEXT</v>
      </c>
      <c r="C15" s="11"/>
      <c r="D15" s="2">
        <f>--101849.66</f>
        <v>101849.66</v>
      </c>
      <c r="E15" s="2"/>
      <c r="F15" s="19"/>
      <c r="G15" s="2"/>
      <c r="H15" s="2"/>
      <c r="I15" s="2"/>
      <c r="J15" s="19"/>
      <c r="K15" s="2"/>
      <c r="L15" s="2">
        <f t="shared" si="0"/>
        <v>101849.66</v>
      </c>
      <c r="M15" s="2"/>
      <c r="N15" s="19">
        <f t="shared" si="1"/>
        <v>0</v>
      </c>
      <c r="O15" s="11"/>
      <c r="P15" s="2">
        <f>--657310.58</f>
        <v>657310.57999999996</v>
      </c>
      <c r="Q15" s="2"/>
      <c r="R15" s="19"/>
      <c r="S15" s="2"/>
      <c r="T15" s="2"/>
      <c r="U15" s="2"/>
      <c r="V15" s="19"/>
      <c r="W15" s="2"/>
      <c r="X15" s="2">
        <f t="shared" si="2"/>
        <v>657310.57999999996</v>
      </c>
      <c r="Y15" s="2"/>
      <c r="Z15" s="19">
        <f t="shared" si="3"/>
        <v>0</v>
      </c>
    </row>
    <row r="16" spans="1:26" s="24" customFormat="1" hidden="1" outlineLevel="1" x14ac:dyDescent="0.25">
      <c r="A16" s="46"/>
      <c r="B16" s="11" t="str">
        <f>CONCATENATE("          ", "4003", " - ", "TAXABLE SALES-RENTAL TEXT")</f>
        <v xml:space="preserve">          4003 - TAXABLE SALES-RENTAL TEXT</v>
      </c>
      <c r="C16" s="11"/>
      <c r="D16" s="2">
        <f>--2800.64</f>
        <v>2800.64</v>
      </c>
      <c r="E16" s="2"/>
      <c r="F16" s="19"/>
      <c r="G16" s="2"/>
      <c r="H16" s="2"/>
      <c r="I16" s="2"/>
      <c r="J16" s="19"/>
      <c r="K16" s="2"/>
      <c r="L16" s="2">
        <f t="shared" si="0"/>
        <v>2800.64</v>
      </c>
      <c r="M16" s="2"/>
      <c r="N16" s="19">
        <f t="shared" si="1"/>
        <v>0</v>
      </c>
      <c r="O16" s="11"/>
      <c r="P16" s="2">
        <f>--15536.69</f>
        <v>15536.69</v>
      </c>
      <c r="Q16" s="2"/>
      <c r="R16" s="19"/>
      <c r="S16" s="2"/>
      <c r="T16" s="2"/>
      <c r="U16" s="2"/>
      <c r="V16" s="19"/>
      <c r="W16" s="2"/>
      <c r="X16" s="2">
        <f t="shared" si="2"/>
        <v>15536.69</v>
      </c>
      <c r="Y16" s="2"/>
      <c r="Z16" s="19">
        <f t="shared" si="3"/>
        <v>0</v>
      </c>
    </row>
    <row r="17" spans="1:26" s="24" customFormat="1" hidden="1" outlineLevel="1" x14ac:dyDescent="0.25">
      <c r="A17" s="46"/>
      <c r="B17" s="11" t="str">
        <f>CONCATENATE("          ", "4004", " - ", "TAXABLE SALES-DIGITAL TEXT")</f>
        <v xml:space="preserve">          4004 - TAXABLE SALES-DIGITAL TEXT</v>
      </c>
      <c r="C17" s="11"/>
      <c r="D17" s="2">
        <f>--7290.37</f>
        <v>7290.37</v>
      </c>
      <c r="E17" s="2"/>
      <c r="F17" s="19"/>
      <c r="G17" s="2"/>
      <c r="H17" s="2"/>
      <c r="I17" s="2"/>
      <c r="J17" s="19"/>
      <c r="K17" s="2"/>
      <c r="L17" s="2">
        <f t="shared" si="0"/>
        <v>7290.37</v>
      </c>
      <c r="M17" s="2"/>
      <c r="N17" s="19">
        <f t="shared" si="1"/>
        <v>0</v>
      </c>
      <c r="O17" s="11"/>
      <c r="P17" s="2">
        <f>--29700.44</f>
        <v>29700.44</v>
      </c>
      <c r="Q17" s="2"/>
      <c r="R17" s="19"/>
      <c r="S17" s="2"/>
      <c r="T17" s="2"/>
      <c r="U17" s="2"/>
      <c r="V17" s="19"/>
      <c r="W17" s="2"/>
      <c r="X17" s="2">
        <f t="shared" si="2"/>
        <v>29700.44</v>
      </c>
      <c r="Y17" s="2"/>
      <c r="Z17" s="19">
        <f t="shared" si="3"/>
        <v>0</v>
      </c>
    </row>
    <row r="18" spans="1:26" s="24" customFormat="1" hidden="1" outlineLevel="1" x14ac:dyDescent="0.25">
      <c r="A18" s="46"/>
      <c r="B18" s="11" t="str">
        <f>CONCATENATE("          ", "4011", " - ", "TAXABLE SALES-NO VALUE TEXT")</f>
        <v xml:space="preserve">          4011 - TAXABLE SALES-NO VALUE TEXT</v>
      </c>
      <c r="C18" s="11"/>
      <c r="D18" s="2">
        <f>--9.6</f>
        <v>9.6</v>
      </c>
      <c r="E18" s="2"/>
      <c r="F18" s="19"/>
      <c r="G18" s="2"/>
      <c r="H18" s="2"/>
      <c r="I18" s="2"/>
      <c r="J18" s="19"/>
      <c r="K18" s="2"/>
      <c r="L18" s="2">
        <f t="shared" si="0"/>
        <v>9.6</v>
      </c>
      <c r="M18" s="2"/>
      <c r="N18" s="19">
        <f t="shared" si="1"/>
        <v>0</v>
      </c>
      <c r="O18" s="11"/>
      <c r="P18" s="2">
        <f>--9.6</f>
        <v>9.6</v>
      </c>
      <c r="Q18" s="2"/>
      <c r="R18" s="19"/>
      <c r="S18" s="2"/>
      <c r="T18" s="2"/>
      <c r="U18" s="2"/>
      <c r="V18" s="19"/>
      <c r="W18" s="2"/>
      <c r="X18" s="2">
        <f t="shared" si="2"/>
        <v>9.6</v>
      </c>
      <c r="Y18" s="2"/>
      <c r="Z18" s="19">
        <f t="shared" si="3"/>
        <v>0</v>
      </c>
    </row>
    <row r="19" spans="1:26" s="24" customFormat="1" hidden="1" outlineLevel="1" x14ac:dyDescent="0.25">
      <c r="A19" s="46"/>
      <c r="B19" s="11" t="str">
        <f>CONCATENATE("          ", "4013", " - ", "TAXABLE SALES-TRADE BOOKS")</f>
        <v xml:space="preserve">          4013 - TAXABLE SALES-TRADE BOOKS</v>
      </c>
      <c r="C19" s="11"/>
      <c r="D19" s="2">
        <f>--29.95</f>
        <v>29.95</v>
      </c>
      <c r="E19" s="2"/>
      <c r="F19" s="19"/>
      <c r="G19" s="2"/>
      <c r="H19" s="2"/>
      <c r="I19" s="2"/>
      <c r="J19" s="19"/>
      <c r="K19" s="2"/>
      <c r="L19" s="2">
        <f t="shared" si="0"/>
        <v>29.95</v>
      </c>
      <c r="M19" s="2"/>
      <c r="N19" s="19">
        <f t="shared" si="1"/>
        <v>0</v>
      </c>
      <c r="O19" s="11"/>
      <c r="P19" s="2">
        <f>--140.76</f>
        <v>140.76</v>
      </c>
      <c r="Q19" s="2"/>
      <c r="R19" s="19"/>
      <c r="S19" s="2"/>
      <c r="T19" s="2"/>
      <c r="U19" s="2"/>
      <c r="V19" s="19"/>
      <c r="W19" s="2"/>
      <c r="X19" s="2">
        <f t="shared" si="2"/>
        <v>140.76</v>
      </c>
      <c r="Y19" s="2"/>
      <c r="Z19" s="19">
        <f t="shared" si="3"/>
        <v>0</v>
      </c>
    </row>
    <row r="20" spans="1:26" s="24" customFormat="1" hidden="1" outlineLevel="1" x14ac:dyDescent="0.25">
      <c r="A20" s="46"/>
      <c r="B20" s="11" t="str">
        <f>CONCATENATE("          ", "4014", " - ", "TAXABLE SALES-REMAINDERS")</f>
        <v xml:space="preserve">          4014 - TAXABLE SALES-REMAINDERS</v>
      </c>
      <c r="C20" s="11"/>
      <c r="D20" s="2">
        <f>--97.44</f>
        <v>97.44</v>
      </c>
      <c r="E20" s="2"/>
      <c r="F20" s="19"/>
      <c r="G20" s="2"/>
      <c r="H20" s="2"/>
      <c r="I20" s="2"/>
      <c r="J20" s="19"/>
      <c r="K20" s="2"/>
      <c r="L20" s="2">
        <f t="shared" si="0"/>
        <v>97.44</v>
      </c>
      <c r="M20" s="2"/>
      <c r="N20" s="19">
        <f t="shared" si="1"/>
        <v>0</v>
      </c>
      <c r="O20" s="11"/>
      <c r="P20" s="2">
        <f>--523.09</f>
        <v>523.09</v>
      </c>
      <c r="Q20" s="2"/>
      <c r="R20" s="19"/>
      <c r="S20" s="2"/>
      <c r="T20" s="2"/>
      <c r="U20" s="2"/>
      <c r="V20" s="19"/>
      <c r="W20" s="2"/>
      <c r="X20" s="2">
        <f t="shared" si="2"/>
        <v>523.09</v>
      </c>
      <c r="Y20" s="2"/>
      <c r="Z20" s="19">
        <f t="shared" si="3"/>
        <v>0</v>
      </c>
    </row>
    <row r="21" spans="1:26" s="24" customFormat="1" hidden="1" outlineLevel="1" x14ac:dyDescent="0.25">
      <c r="A21" s="46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--65.39</f>
        <v>65.39</v>
      </c>
      <c r="E21" s="2"/>
      <c r="F21" s="19"/>
      <c r="G21" s="2"/>
      <c r="H21" s="2"/>
      <c r="I21" s="2"/>
      <c r="J21" s="19"/>
      <c r="K21" s="2"/>
      <c r="L21" s="2">
        <f t="shared" si="0"/>
        <v>65.39</v>
      </c>
      <c r="M21" s="2"/>
      <c r="N21" s="19">
        <f t="shared" si="1"/>
        <v>0</v>
      </c>
      <c r="O21" s="11"/>
      <c r="P21" s="2">
        <f>--222.69</f>
        <v>222.69</v>
      </c>
      <c r="Q21" s="2"/>
      <c r="R21" s="19"/>
      <c r="S21" s="2"/>
      <c r="T21" s="2"/>
      <c r="U21" s="2"/>
      <c r="V21" s="19"/>
      <c r="W21" s="2"/>
      <c r="X21" s="2">
        <f t="shared" si="2"/>
        <v>222.69</v>
      </c>
      <c r="Y21" s="2"/>
      <c r="Z21" s="19">
        <f t="shared" si="3"/>
        <v>0</v>
      </c>
    </row>
    <row r="22" spans="1:26" s="24" customFormat="1" hidden="1" outlineLevel="1" x14ac:dyDescent="0.25">
      <c r="A22" s="46"/>
      <c r="B22" s="11" t="str">
        <f>CONCATENATE("          ", "4018", " - ", "TAXABLE SALES-STUDY GUIDES")</f>
        <v xml:space="preserve">          4018 - TAXABLE SALES-STUDY GUIDES</v>
      </c>
      <c r="C22" s="11"/>
      <c r="D22" s="2">
        <f>--696.02</f>
        <v>696.02</v>
      </c>
      <c r="E22" s="2"/>
      <c r="F22" s="19"/>
      <c r="G22" s="2"/>
      <c r="H22" s="2"/>
      <c r="I22" s="2"/>
      <c r="J22" s="19"/>
      <c r="K22" s="2"/>
      <c r="L22" s="2">
        <f t="shared" si="0"/>
        <v>696.02</v>
      </c>
      <c r="M22" s="2"/>
      <c r="N22" s="19">
        <f t="shared" si="1"/>
        <v>0</v>
      </c>
      <c r="O22" s="11"/>
      <c r="P22" s="2">
        <f>--2060.15</f>
        <v>2060.15</v>
      </c>
      <c r="Q22" s="2"/>
      <c r="R22" s="19"/>
      <c r="S22" s="2"/>
      <c r="T22" s="2"/>
      <c r="U22" s="2"/>
      <c r="V22" s="19"/>
      <c r="W22" s="2"/>
      <c r="X22" s="2">
        <f t="shared" si="2"/>
        <v>2060.15</v>
      </c>
      <c r="Y22" s="2"/>
      <c r="Z22" s="19">
        <f t="shared" si="3"/>
        <v>0</v>
      </c>
    </row>
    <row r="23" spans="1:26" s="24" customFormat="1" hidden="1" outlineLevel="1" x14ac:dyDescent="0.25">
      <c r="A23" s="46"/>
      <c r="B23" s="11" t="str">
        <f>CONCATENATE("          ", "4019", " - ", "TAXABLE SALES-BOOK RELATED")</f>
        <v xml:space="preserve">          4019 - TAXABLE SALES-BOOK RELATED</v>
      </c>
      <c r="C23" s="11"/>
      <c r="D23" s="2">
        <f>0</f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--14.95</f>
        <v>14.95</v>
      </c>
      <c r="Q23" s="2"/>
      <c r="R23" s="19"/>
      <c r="S23" s="2"/>
      <c r="T23" s="2"/>
      <c r="U23" s="2"/>
      <c r="V23" s="19"/>
      <c r="W23" s="2"/>
      <c r="X23" s="2">
        <f t="shared" si="2"/>
        <v>14.95</v>
      </c>
      <c r="Y23" s="2"/>
      <c r="Z23" s="19">
        <f t="shared" si="3"/>
        <v>0</v>
      </c>
    </row>
    <row r="24" spans="1:26" s="24" customFormat="1" hidden="1" outlineLevel="1" x14ac:dyDescent="0.25">
      <c r="A24" s="46"/>
      <c r="B24" s="11" t="str">
        <f>CONCATENATE("          ", "4025", " - ", "TAXABLE SALES-TEST FORMS")</f>
        <v xml:space="preserve">          4025 - TAXABLE SALES-TEST FORMS</v>
      </c>
      <c r="C24" s="11"/>
      <c r="D24" s="2">
        <f>--11837.54</f>
        <v>11837.54</v>
      </c>
      <c r="E24" s="2"/>
      <c r="F24" s="19"/>
      <c r="G24" s="2"/>
      <c r="H24" s="2"/>
      <c r="I24" s="2"/>
      <c r="J24" s="19"/>
      <c r="K24" s="2"/>
      <c r="L24" s="2">
        <f t="shared" si="0"/>
        <v>11837.54</v>
      </c>
      <c r="M24" s="2"/>
      <c r="N24" s="19">
        <f t="shared" si="1"/>
        <v>0</v>
      </c>
      <c r="O24" s="11"/>
      <c r="P24" s="2">
        <f>--16296.07</f>
        <v>16296.07</v>
      </c>
      <c r="Q24" s="2"/>
      <c r="R24" s="19"/>
      <c r="S24" s="2"/>
      <c r="T24" s="2"/>
      <c r="U24" s="2"/>
      <c r="V24" s="19"/>
      <c r="W24" s="2"/>
      <c r="X24" s="2">
        <f t="shared" si="2"/>
        <v>16296.07</v>
      </c>
      <c r="Y24" s="2"/>
      <c r="Z24" s="19">
        <f t="shared" si="3"/>
        <v>0</v>
      </c>
    </row>
    <row r="25" spans="1:26" s="24" customFormat="1" hidden="1" outlineLevel="1" x14ac:dyDescent="0.25">
      <c r="A25" s="46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--11722.76</f>
        <v>11722.76</v>
      </c>
      <c r="E25" s="2"/>
      <c r="F25" s="19"/>
      <c r="G25" s="2"/>
      <c r="H25" s="2"/>
      <c r="I25" s="2"/>
      <c r="J25" s="19"/>
      <c r="K25" s="2"/>
      <c r="L25" s="2">
        <f t="shared" si="0"/>
        <v>11722.76</v>
      </c>
      <c r="M25" s="2"/>
      <c r="N25" s="19">
        <f t="shared" si="1"/>
        <v>0</v>
      </c>
      <c r="O25" s="11"/>
      <c r="P25" s="2">
        <f>--24499.3</f>
        <v>24499.3</v>
      </c>
      <c r="Q25" s="2"/>
      <c r="R25" s="19"/>
      <c r="S25" s="2"/>
      <c r="T25" s="2"/>
      <c r="U25" s="2"/>
      <c r="V25" s="19"/>
      <c r="W25" s="2"/>
      <c r="X25" s="2">
        <f t="shared" si="2"/>
        <v>24499.3</v>
      </c>
      <c r="Y25" s="2"/>
      <c r="Z25" s="19">
        <f t="shared" si="3"/>
        <v>0</v>
      </c>
    </row>
    <row r="26" spans="1:26" s="24" customFormat="1" hidden="1" outlineLevel="1" x14ac:dyDescent="0.25">
      <c r="A26" s="46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--44221.34</f>
        <v>44221.34</v>
      </c>
      <c r="E26" s="2"/>
      <c r="F26" s="19"/>
      <c r="G26" s="2"/>
      <c r="H26" s="2"/>
      <c r="I26" s="2"/>
      <c r="J26" s="19"/>
      <c r="K26" s="2"/>
      <c r="L26" s="2">
        <f t="shared" si="0"/>
        <v>44221.34</v>
      </c>
      <c r="M26" s="2"/>
      <c r="N26" s="19">
        <f t="shared" si="1"/>
        <v>0</v>
      </c>
      <c r="O26" s="11"/>
      <c r="P26" s="2">
        <f>--123320.59</f>
        <v>123320.59</v>
      </c>
      <c r="Q26" s="2"/>
      <c r="R26" s="19"/>
      <c r="S26" s="2"/>
      <c r="T26" s="2"/>
      <c r="U26" s="2"/>
      <c r="V26" s="19"/>
      <c r="W26" s="2"/>
      <c r="X26" s="2">
        <f t="shared" si="2"/>
        <v>123320.59</v>
      </c>
      <c r="Y26" s="2"/>
      <c r="Z26" s="19">
        <f t="shared" si="3"/>
        <v>0</v>
      </c>
    </row>
    <row r="27" spans="1:26" s="24" customFormat="1" hidden="1" outlineLevel="1" x14ac:dyDescent="0.25">
      <c r="A27" s="46"/>
      <c r="B27" s="11" t="str">
        <f>CONCATENATE("          ", "4028", " - ", "TAXABLE SALES-ART/TECH")</f>
        <v xml:space="preserve">          4028 - TAXABLE SALES-ART/TECH</v>
      </c>
      <c r="C27" s="11"/>
      <c r="D27" s="2">
        <f>--51812.13</f>
        <v>51812.13</v>
      </c>
      <c r="E27" s="2"/>
      <c r="F27" s="19"/>
      <c r="G27" s="2"/>
      <c r="H27" s="2"/>
      <c r="I27" s="2"/>
      <c r="J27" s="19"/>
      <c r="K27" s="2"/>
      <c r="L27" s="2">
        <f t="shared" si="0"/>
        <v>51812.13</v>
      </c>
      <c r="M27" s="2"/>
      <c r="N27" s="19">
        <f t="shared" si="1"/>
        <v>0</v>
      </c>
      <c r="O27" s="11"/>
      <c r="P27" s="2">
        <f>--100727.68</f>
        <v>100727.67999999999</v>
      </c>
      <c r="Q27" s="2"/>
      <c r="R27" s="19"/>
      <c r="S27" s="2"/>
      <c r="T27" s="2"/>
      <c r="U27" s="2"/>
      <c r="V27" s="19"/>
      <c r="W27" s="2"/>
      <c r="X27" s="2">
        <f t="shared" si="2"/>
        <v>100727.67999999999</v>
      </c>
      <c r="Y27" s="2"/>
      <c r="Z27" s="19">
        <f t="shared" si="3"/>
        <v>0</v>
      </c>
    </row>
    <row r="28" spans="1:26" s="24" customFormat="1" hidden="1" outlineLevel="1" x14ac:dyDescent="0.25">
      <c r="A28" s="46"/>
      <c r="B28" s="11" t="str">
        <f>CONCATENATE("          ", "4031", " - ", "TAXABLE SALES-FOOD")</f>
        <v xml:space="preserve">          4031 - TAXABLE SALES-FOOD</v>
      </c>
      <c r="C28" s="11"/>
      <c r="D28" s="2">
        <f>--88.48</f>
        <v>88.48</v>
      </c>
      <c r="E28" s="2"/>
      <c r="F28" s="19"/>
      <c r="G28" s="2"/>
      <c r="H28" s="2"/>
      <c r="I28" s="2"/>
      <c r="J28" s="19"/>
      <c r="K28" s="2"/>
      <c r="L28" s="2">
        <f t="shared" si="0"/>
        <v>88.48</v>
      </c>
      <c r="M28" s="2"/>
      <c r="N28" s="19">
        <f t="shared" si="1"/>
        <v>0</v>
      </c>
      <c r="O28" s="11"/>
      <c r="P28" s="2">
        <f>--120.82</f>
        <v>120.82</v>
      </c>
      <c r="Q28" s="2"/>
      <c r="R28" s="19"/>
      <c r="S28" s="2"/>
      <c r="T28" s="2"/>
      <c r="U28" s="2"/>
      <c r="V28" s="19"/>
      <c r="W28" s="2"/>
      <c r="X28" s="2">
        <f t="shared" si="2"/>
        <v>120.82</v>
      </c>
      <c r="Y28" s="2"/>
      <c r="Z28" s="19">
        <f t="shared" si="3"/>
        <v>0</v>
      </c>
    </row>
    <row r="29" spans="1:26" s="24" customFormat="1" hidden="1" outlineLevel="1" x14ac:dyDescent="0.25">
      <c r="A29" s="46"/>
      <c r="B29" s="11" t="str">
        <f>CONCATENATE("          ", "4032", " - ", "TAXABLE SALES-JUICE")</f>
        <v xml:space="preserve">          4032 - TAXABLE SALES-JUICE</v>
      </c>
      <c r="C29" s="11"/>
      <c r="D29" s="2">
        <f>--47924.5</f>
        <v>47924.5</v>
      </c>
      <c r="E29" s="2"/>
      <c r="F29" s="19"/>
      <c r="G29" s="2"/>
      <c r="H29" s="2"/>
      <c r="I29" s="2"/>
      <c r="J29" s="19"/>
      <c r="K29" s="2"/>
      <c r="L29" s="2">
        <f t="shared" si="0"/>
        <v>47924.5</v>
      </c>
      <c r="M29" s="2"/>
      <c r="N29" s="19">
        <f t="shared" si="1"/>
        <v>0</v>
      </c>
      <c r="O29" s="11"/>
      <c r="P29" s="2">
        <f>--72677.69</f>
        <v>72677.69</v>
      </c>
      <c r="Q29" s="2"/>
      <c r="R29" s="19"/>
      <c r="S29" s="2"/>
      <c r="T29" s="2"/>
      <c r="U29" s="2"/>
      <c r="V29" s="19"/>
      <c r="W29" s="2"/>
      <c r="X29" s="2">
        <f t="shared" si="2"/>
        <v>72677.69</v>
      </c>
      <c r="Y29" s="2"/>
      <c r="Z29" s="19">
        <f t="shared" si="3"/>
        <v>0</v>
      </c>
    </row>
    <row r="30" spans="1:26" s="24" customFormat="1" hidden="1" outlineLevel="1" x14ac:dyDescent="0.25">
      <c r="A30" s="46"/>
      <c r="B30" s="11" t="str">
        <f>CONCATENATE("          ", "4033", " - ", "TAXABLE SALES-CANDY")</f>
        <v xml:space="preserve">          4033 - TAXABLE SALES-CANDY</v>
      </c>
      <c r="C30" s="11"/>
      <c r="D30" s="2">
        <f>--27.97</f>
        <v>27.97</v>
      </c>
      <c r="E30" s="2"/>
      <c r="F30" s="19"/>
      <c r="G30" s="2"/>
      <c r="H30" s="2"/>
      <c r="I30" s="2"/>
      <c r="J30" s="19"/>
      <c r="K30" s="2"/>
      <c r="L30" s="2">
        <f t="shared" si="0"/>
        <v>27.97</v>
      </c>
      <c r="M30" s="2"/>
      <c r="N30" s="19">
        <f t="shared" si="1"/>
        <v>0</v>
      </c>
      <c r="O30" s="11"/>
      <c r="P30" s="2">
        <f>--40.97</f>
        <v>40.97</v>
      </c>
      <c r="Q30" s="2"/>
      <c r="R30" s="19"/>
      <c r="S30" s="2"/>
      <c r="T30" s="2"/>
      <c r="U30" s="2"/>
      <c r="V30" s="19"/>
      <c r="W30" s="2"/>
      <c r="X30" s="2">
        <f t="shared" si="2"/>
        <v>40.97</v>
      </c>
      <c r="Y30" s="2"/>
      <c r="Z30" s="19">
        <f t="shared" si="3"/>
        <v>0</v>
      </c>
    </row>
    <row r="31" spans="1:26" s="24" customFormat="1" hidden="1" outlineLevel="1" x14ac:dyDescent="0.25">
      <c r="A31" s="46"/>
      <c r="B31" s="11" t="str">
        <f>CONCATENATE("          ", "4034", " - ", "TAXABLE SALES-SODA")</f>
        <v xml:space="preserve">          4034 - TAXABLE SALES-SODA</v>
      </c>
      <c r="C31" s="11"/>
      <c r="D31" s="2">
        <f>--2047.94</f>
        <v>2047.94</v>
      </c>
      <c r="E31" s="2"/>
      <c r="F31" s="19"/>
      <c r="G31" s="2"/>
      <c r="H31" s="2"/>
      <c r="I31" s="2"/>
      <c r="J31" s="19"/>
      <c r="K31" s="2"/>
      <c r="L31" s="2">
        <f t="shared" si="0"/>
        <v>2047.94</v>
      </c>
      <c r="M31" s="2"/>
      <c r="N31" s="19">
        <f t="shared" si="1"/>
        <v>0</v>
      </c>
      <c r="O31" s="11"/>
      <c r="P31" s="2">
        <f>--3009.88</f>
        <v>3009.88</v>
      </c>
      <c r="Q31" s="2"/>
      <c r="R31" s="19"/>
      <c r="S31" s="2"/>
      <c r="T31" s="2"/>
      <c r="U31" s="2"/>
      <c r="V31" s="19"/>
      <c r="W31" s="2"/>
      <c r="X31" s="2">
        <f t="shared" si="2"/>
        <v>3009.88</v>
      </c>
      <c r="Y31" s="2"/>
      <c r="Z31" s="19">
        <f t="shared" si="3"/>
        <v>0</v>
      </c>
    </row>
    <row r="32" spans="1:26" s="24" customFormat="1" hidden="1" outlineLevel="1" x14ac:dyDescent="0.25">
      <c r="A32" s="46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>--339.98</f>
        <v>339.98</v>
      </c>
      <c r="E32" s="2"/>
      <c r="F32" s="19"/>
      <c r="G32" s="2"/>
      <c r="H32" s="2"/>
      <c r="I32" s="2"/>
      <c r="J32" s="19"/>
      <c r="K32" s="2"/>
      <c r="L32" s="2">
        <f t="shared" si="0"/>
        <v>339.98</v>
      </c>
      <c r="M32" s="2"/>
      <c r="N32" s="19">
        <f t="shared" si="1"/>
        <v>0</v>
      </c>
      <c r="O32" s="11"/>
      <c r="P32" s="2">
        <f>--438.43</f>
        <v>438.43</v>
      </c>
      <c r="Q32" s="2"/>
      <c r="R32" s="19"/>
      <c r="S32" s="2"/>
      <c r="T32" s="2"/>
      <c r="U32" s="2"/>
      <c r="V32" s="19"/>
      <c r="W32" s="2"/>
      <c r="X32" s="2">
        <f t="shared" si="2"/>
        <v>438.43</v>
      </c>
      <c r="Y32" s="2"/>
      <c r="Z32" s="19">
        <f t="shared" si="3"/>
        <v>0</v>
      </c>
    </row>
    <row r="33" spans="1:26" s="24" customFormat="1" hidden="1" outlineLevel="1" x14ac:dyDescent="0.25">
      <c r="A33" s="46"/>
      <c r="B33" s="11" t="str">
        <f>CONCATENATE("          ", "4037", " - ", "TAXABLE SALES-WATER")</f>
        <v xml:space="preserve">          4037 - TAXABLE SALES-WATER</v>
      </c>
      <c r="C33" s="11"/>
      <c r="D33" s="2">
        <f>--131.98</f>
        <v>131.97999999999999</v>
      </c>
      <c r="E33" s="2"/>
      <c r="F33" s="19"/>
      <c r="G33" s="2"/>
      <c r="H33" s="2"/>
      <c r="I33" s="2"/>
      <c r="J33" s="19"/>
      <c r="K33" s="2"/>
      <c r="L33" s="2">
        <f t="shared" si="0"/>
        <v>131.97999999999999</v>
      </c>
      <c r="M33" s="2"/>
      <c r="N33" s="19">
        <f t="shared" si="1"/>
        <v>0</v>
      </c>
      <c r="O33" s="11"/>
      <c r="P33" s="2">
        <f>--174.15</f>
        <v>174.15</v>
      </c>
      <c r="Q33" s="2"/>
      <c r="R33" s="19"/>
      <c r="S33" s="2"/>
      <c r="T33" s="2"/>
      <c r="U33" s="2"/>
      <c r="V33" s="19"/>
      <c r="W33" s="2"/>
      <c r="X33" s="2">
        <f t="shared" si="2"/>
        <v>174.15</v>
      </c>
      <c r="Y33" s="2"/>
      <c r="Z33" s="19">
        <f t="shared" si="3"/>
        <v>0</v>
      </c>
    </row>
    <row r="34" spans="1:26" s="24" customFormat="1" hidden="1" outlineLevel="1" x14ac:dyDescent="0.25">
      <c r="A34" s="46"/>
      <c r="B34" s="11" t="str">
        <f>CONCATENATE("          ", "4040", " - ", "TAXABLE SALES-LOGO CLOTHING")</f>
        <v xml:space="preserve">          4040 - TAXABLE SALES-LOGO CLOTHING</v>
      </c>
      <c r="C34" s="11"/>
      <c r="D34" s="2">
        <f>--243145.84</f>
        <v>243145.84</v>
      </c>
      <c r="E34" s="2"/>
      <c r="F34" s="19"/>
      <c r="G34" s="2"/>
      <c r="H34" s="2"/>
      <c r="I34" s="2"/>
      <c r="J34" s="19"/>
      <c r="K34" s="2"/>
      <c r="L34" s="2">
        <f t="shared" si="0"/>
        <v>243145.84</v>
      </c>
      <c r="M34" s="2"/>
      <c r="N34" s="19">
        <f t="shared" si="1"/>
        <v>0</v>
      </c>
      <c r="O34" s="11"/>
      <c r="P34" s="2">
        <f>--632899.52</f>
        <v>632899.52</v>
      </c>
      <c r="Q34" s="2"/>
      <c r="R34" s="19"/>
      <c r="S34" s="2"/>
      <c r="T34" s="2"/>
      <c r="U34" s="2"/>
      <c r="V34" s="19"/>
      <c r="W34" s="2"/>
      <c r="X34" s="2">
        <f t="shared" si="2"/>
        <v>632899.52</v>
      </c>
      <c r="Y34" s="2"/>
      <c r="Z34" s="19">
        <f t="shared" si="3"/>
        <v>0</v>
      </c>
    </row>
    <row r="35" spans="1:26" s="24" customFormat="1" hidden="1" outlineLevel="1" x14ac:dyDescent="0.25">
      <c r="A35" s="46"/>
      <c r="B35" s="11" t="str">
        <f>CONCATENATE("          ", "4041", " - ", "TAXABLE SALES-LOGO GIFTS")</f>
        <v xml:space="preserve">          4041 - TAXABLE SALES-LOGO GIFTS</v>
      </c>
      <c r="C35" s="11"/>
      <c r="D35" s="2">
        <f>--49940.2</f>
        <v>49940.2</v>
      </c>
      <c r="E35" s="2"/>
      <c r="F35" s="19"/>
      <c r="G35" s="2"/>
      <c r="H35" s="2"/>
      <c r="I35" s="2"/>
      <c r="J35" s="19"/>
      <c r="K35" s="2"/>
      <c r="L35" s="2">
        <f t="shared" si="0"/>
        <v>49940.2</v>
      </c>
      <c r="M35" s="2"/>
      <c r="N35" s="19">
        <f t="shared" si="1"/>
        <v>0</v>
      </c>
      <c r="O35" s="11"/>
      <c r="P35" s="2">
        <f>--201632.61</f>
        <v>201632.61</v>
      </c>
      <c r="Q35" s="2"/>
      <c r="R35" s="19"/>
      <c r="S35" s="2"/>
      <c r="T35" s="2"/>
      <c r="U35" s="2"/>
      <c r="V35" s="19"/>
      <c r="W35" s="2"/>
      <c r="X35" s="2">
        <f t="shared" si="2"/>
        <v>201632.61</v>
      </c>
      <c r="Y35" s="2"/>
      <c r="Z35" s="19">
        <f t="shared" si="3"/>
        <v>0</v>
      </c>
    </row>
    <row r="36" spans="1:26" s="24" customFormat="1" hidden="1" outlineLevel="1" x14ac:dyDescent="0.25">
      <c r="A36" s="46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--35079.3</f>
        <v>35079.300000000003</v>
      </c>
      <c r="E36" s="2"/>
      <c r="F36" s="19"/>
      <c r="G36" s="2"/>
      <c r="H36" s="2"/>
      <c r="I36" s="2"/>
      <c r="J36" s="19"/>
      <c r="K36" s="2"/>
      <c r="L36" s="2">
        <f t="shared" si="0"/>
        <v>35079.300000000003</v>
      </c>
      <c r="M36" s="2"/>
      <c r="N36" s="19">
        <f t="shared" si="1"/>
        <v>0</v>
      </c>
      <c r="O36" s="11"/>
      <c r="P36" s="2">
        <f>--95118.27</f>
        <v>95118.27</v>
      </c>
      <c r="Q36" s="2"/>
      <c r="R36" s="19"/>
      <c r="S36" s="2"/>
      <c r="T36" s="2"/>
      <c r="U36" s="2"/>
      <c r="V36" s="19"/>
      <c r="W36" s="2"/>
      <c r="X36" s="2">
        <f t="shared" si="2"/>
        <v>95118.27</v>
      </c>
      <c r="Y36" s="2"/>
      <c r="Z36" s="19">
        <f t="shared" si="3"/>
        <v>0</v>
      </c>
    </row>
    <row r="37" spans="1:26" s="24" customFormat="1" hidden="1" outlineLevel="1" x14ac:dyDescent="0.25">
      <c r="A37" s="46"/>
      <c r="B37" s="11" t="str">
        <f>CONCATENATE("          ", "4043", " - ", "TAXABLE SALES-CARDS")</f>
        <v xml:space="preserve">          4043 - TAXABLE SALES-CARDS</v>
      </c>
      <c r="C37" s="11"/>
      <c r="D37" s="2">
        <f>--272.36</f>
        <v>272.36</v>
      </c>
      <c r="E37" s="2"/>
      <c r="F37" s="19"/>
      <c r="G37" s="2"/>
      <c r="H37" s="2"/>
      <c r="I37" s="2"/>
      <c r="J37" s="19"/>
      <c r="K37" s="2"/>
      <c r="L37" s="2">
        <f t="shared" si="0"/>
        <v>272.36</v>
      </c>
      <c r="M37" s="2"/>
      <c r="N37" s="19">
        <f t="shared" si="1"/>
        <v>0</v>
      </c>
      <c r="O37" s="11"/>
      <c r="P37" s="2">
        <f>--457.81</f>
        <v>457.81</v>
      </c>
      <c r="Q37" s="2"/>
      <c r="R37" s="19"/>
      <c r="S37" s="2"/>
      <c r="T37" s="2"/>
      <c r="U37" s="2"/>
      <c r="V37" s="19"/>
      <c r="W37" s="2"/>
      <c r="X37" s="2">
        <f t="shared" si="2"/>
        <v>457.81</v>
      </c>
      <c r="Y37" s="2"/>
      <c r="Z37" s="19">
        <f t="shared" si="3"/>
        <v>0</v>
      </c>
    </row>
    <row r="38" spans="1:26" s="24" customFormat="1" hidden="1" outlineLevel="1" x14ac:dyDescent="0.25">
      <c r="A38" s="46"/>
      <c r="B38" s="11" t="str">
        <f>CONCATENATE("          ", "4044", " - ", "TAXABLE SALES-ACCESSORIES")</f>
        <v xml:space="preserve">          4044 - TAXABLE SALES-ACCESSORIES</v>
      </c>
      <c r="C38" s="11"/>
      <c r="D38" s="2">
        <f>--6451.34</f>
        <v>6451.34</v>
      </c>
      <c r="E38" s="2"/>
      <c r="F38" s="19"/>
      <c r="G38" s="2"/>
      <c r="H38" s="2"/>
      <c r="I38" s="2"/>
      <c r="J38" s="19"/>
      <c r="K38" s="2"/>
      <c r="L38" s="2">
        <f t="shared" si="0"/>
        <v>6451.34</v>
      </c>
      <c r="M38" s="2"/>
      <c r="N38" s="19">
        <f t="shared" si="1"/>
        <v>0</v>
      </c>
      <c r="O38" s="11"/>
      <c r="P38" s="2">
        <f>--28228.41</f>
        <v>28228.41</v>
      </c>
      <c r="Q38" s="2"/>
      <c r="R38" s="19"/>
      <c r="S38" s="2"/>
      <c r="T38" s="2"/>
      <c r="U38" s="2"/>
      <c r="V38" s="19"/>
      <c r="W38" s="2"/>
      <c r="X38" s="2">
        <f t="shared" si="2"/>
        <v>28228.41</v>
      </c>
      <c r="Y38" s="2"/>
      <c r="Z38" s="19">
        <f t="shared" si="3"/>
        <v>0</v>
      </c>
    </row>
    <row r="39" spans="1:26" s="24" customFormat="1" hidden="1" outlineLevel="1" x14ac:dyDescent="0.25">
      <c r="A39" s="46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--5803.07</f>
        <v>5803.07</v>
      </c>
      <c r="E39" s="2"/>
      <c r="F39" s="19"/>
      <c r="G39" s="2"/>
      <c r="H39" s="2"/>
      <c r="I39" s="2"/>
      <c r="J39" s="19"/>
      <c r="K39" s="2"/>
      <c r="L39" s="2">
        <f t="shared" si="0"/>
        <v>5803.07</v>
      </c>
      <c r="M39" s="2"/>
      <c r="N39" s="19">
        <f t="shared" si="1"/>
        <v>0</v>
      </c>
      <c r="O39" s="11"/>
      <c r="P39" s="2">
        <f>--31327.11</f>
        <v>31327.11</v>
      </c>
      <c r="Q39" s="2"/>
      <c r="R39" s="19"/>
      <c r="S39" s="2"/>
      <c r="T39" s="2"/>
      <c r="U39" s="2"/>
      <c r="V39" s="19"/>
      <c r="W39" s="2"/>
      <c r="X39" s="2">
        <f t="shared" si="2"/>
        <v>31327.11</v>
      </c>
      <c r="Y39" s="2"/>
      <c r="Z39" s="19">
        <f t="shared" si="3"/>
        <v>0</v>
      </c>
    </row>
    <row r="40" spans="1:26" s="24" customFormat="1" hidden="1" outlineLevel="1" x14ac:dyDescent="0.25">
      <c r="A40" s="46"/>
      <c r="B40" s="11" t="str">
        <f>CONCATENATE("          ", "4047", " - ", "TAXABLE SALES-MISC")</f>
        <v xml:space="preserve">          4047 - TAXABLE SALES-MISC</v>
      </c>
      <c r="C40" s="11"/>
      <c r="D40" s="2">
        <f>--488.97</f>
        <v>488.97</v>
      </c>
      <c r="E40" s="2"/>
      <c r="F40" s="19"/>
      <c r="G40" s="2"/>
      <c r="H40" s="2"/>
      <c r="I40" s="2"/>
      <c r="J40" s="19"/>
      <c r="K40" s="2"/>
      <c r="L40" s="2">
        <f t="shared" si="0"/>
        <v>488.97</v>
      </c>
      <c r="M40" s="2"/>
      <c r="N40" s="19">
        <f t="shared" si="1"/>
        <v>0</v>
      </c>
      <c r="O40" s="11"/>
      <c r="P40" s="2">
        <f>--971.35</f>
        <v>971.35</v>
      </c>
      <c r="Q40" s="2"/>
      <c r="R40" s="19"/>
      <c r="S40" s="2"/>
      <c r="T40" s="2"/>
      <c r="U40" s="2"/>
      <c r="V40" s="19"/>
      <c r="W40" s="2"/>
      <c r="X40" s="2">
        <f t="shared" si="2"/>
        <v>971.35</v>
      </c>
      <c r="Y40" s="2"/>
      <c r="Z40" s="19">
        <f t="shared" si="3"/>
        <v>0</v>
      </c>
    </row>
    <row r="41" spans="1:26" s="24" customFormat="1" hidden="1" outlineLevel="1" x14ac:dyDescent="0.25">
      <c r="A41" s="46"/>
      <c r="B41" s="11" t="str">
        <f>CONCATENATE("          ", "4051", " - ", "TAXABLE SALES-FOOD")</f>
        <v xml:space="preserve">          4051 - TAXABLE SALES-FOOD</v>
      </c>
      <c r="C41" s="11"/>
      <c r="D41" s="2">
        <f>--110327</f>
        <v>110327</v>
      </c>
      <c r="E41" s="2"/>
      <c r="F41" s="19"/>
      <c r="G41" s="2"/>
      <c r="H41" s="2"/>
      <c r="I41" s="2"/>
      <c r="J41" s="19"/>
      <c r="K41" s="2"/>
      <c r="L41" s="2">
        <f t="shared" si="0"/>
        <v>110327</v>
      </c>
      <c r="M41" s="2"/>
      <c r="N41" s="19">
        <f t="shared" si="1"/>
        <v>0</v>
      </c>
      <c r="O41" s="11"/>
      <c r="P41" s="2">
        <f>--174689.63</f>
        <v>174689.63</v>
      </c>
      <c r="Q41" s="2"/>
      <c r="R41" s="19"/>
      <c r="S41" s="2"/>
      <c r="T41" s="2"/>
      <c r="U41" s="2"/>
      <c r="V41" s="19"/>
      <c r="W41" s="2"/>
      <c r="X41" s="2">
        <f t="shared" si="2"/>
        <v>174689.63</v>
      </c>
      <c r="Y41" s="2"/>
      <c r="Z41" s="19">
        <f t="shared" si="3"/>
        <v>0</v>
      </c>
    </row>
    <row r="42" spans="1:26" s="24" customFormat="1" hidden="1" outlineLevel="1" x14ac:dyDescent="0.25">
      <c r="A42" s="46"/>
      <c r="B42" s="11" t="str">
        <f>CONCATENATE("          ", "4052", " - ", "TAXABLE SALES-FOOD")</f>
        <v xml:space="preserve">          4052 - TAXABLE SALES-FOOD</v>
      </c>
      <c r="C42" s="11"/>
      <c r="D42" s="2">
        <f>--113975.81</f>
        <v>113975.81</v>
      </c>
      <c r="E42" s="2"/>
      <c r="F42" s="19"/>
      <c r="G42" s="2"/>
      <c r="H42" s="2"/>
      <c r="I42" s="2"/>
      <c r="J42" s="19"/>
      <c r="K42" s="2"/>
      <c r="L42" s="2">
        <f t="shared" si="0"/>
        <v>113975.81</v>
      </c>
      <c r="M42" s="2"/>
      <c r="N42" s="19">
        <f t="shared" si="1"/>
        <v>0</v>
      </c>
      <c r="O42" s="11"/>
      <c r="P42" s="2">
        <f>--253506.01</f>
        <v>253506.01</v>
      </c>
      <c r="Q42" s="2"/>
      <c r="R42" s="19"/>
      <c r="S42" s="2"/>
      <c r="T42" s="2"/>
      <c r="U42" s="2"/>
      <c r="V42" s="19"/>
      <c r="W42" s="2"/>
      <c r="X42" s="2">
        <f t="shared" si="2"/>
        <v>253506.01</v>
      </c>
      <c r="Y42" s="2"/>
      <c r="Z42" s="19">
        <f t="shared" si="3"/>
        <v>0</v>
      </c>
    </row>
    <row r="43" spans="1:26" s="24" customFormat="1" hidden="1" outlineLevel="1" x14ac:dyDescent="0.25">
      <c r="A43" s="46"/>
      <c r="B43" s="11" t="str">
        <f>CONCATENATE("          ", "4053", " - ", "TAXABLE SALES-FOOD")</f>
        <v xml:space="preserve">          4053 - TAXABLE SALES-FOOD</v>
      </c>
      <c r="C43" s="11"/>
      <c r="D43" s="2">
        <f>--3885.3</f>
        <v>3885.3</v>
      </c>
      <c r="E43" s="2"/>
      <c r="F43" s="19"/>
      <c r="G43" s="2"/>
      <c r="H43" s="2"/>
      <c r="I43" s="2"/>
      <c r="J43" s="19"/>
      <c r="K43" s="2"/>
      <c r="L43" s="2">
        <f t="shared" si="0"/>
        <v>3885.3</v>
      </c>
      <c r="M43" s="2"/>
      <c r="N43" s="19">
        <f t="shared" si="1"/>
        <v>0</v>
      </c>
      <c r="O43" s="11"/>
      <c r="P43" s="2">
        <f>--50166.43</f>
        <v>50166.43</v>
      </c>
      <c r="Q43" s="2"/>
      <c r="R43" s="19"/>
      <c r="S43" s="2"/>
      <c r="T43" s="2"/>
      <c r="U43" s="2"/>
      <c r="V43" s="19"/>
      <c r="W43" s="2"/>
      <c r="X43" s="2">
        <f t="shared" si="2"/>
        <v>50166.43</v>
      </c>
      <c r="Y43" s="2"/>
      <c r="Z43" s="19">
        <f t="shared" si="3"/>
        <v>0</v>
      </c>
    </row>
    <row r="44" spans="1:26" s="24" customFormat="1" hidden="1" outlineLevel="1" x14ac:dyDescent="0.25">
      <c r="A44" s="46"/>
      <c r="B44" s="11" t="str">
        <f>CONCATENATE("          ", "4055", " - ", "TAXABLE SALES-FOOD")</f>
        <v xml:space="preserve">          4055 - TAXABLE SALES-FOOD</v>
      </c>
      <c r="C44" s="11"/>
      <c r="D44" s="2">
        <f>--67132.28</f>
        <v>67132.28</v>
      </c>
      <c r="E44" s="2"/>
      <c r="F44" s="19"/>
      <c r="G44" s="2"/>
      <c r="H44" s="2"/>
      <c r="I44" s="2"/>
      <c r="J44" s="19"/>
      <c r="K44" s="2"/>
      <c r="L44" s="2">
        <f t="shared" si="0"/>
        <v>67132.28</v>
      </c>
      <c r="M44" s="2"/>
      <c r="N44" s="19">
        <f t="shared" si="1"/>
        <v>0</v>
      </c>
      <c r="O44" s="11"/>
      <c r="P44" s="2">
        <f>--111115</f>
        <v>111115</v>
      </c>
      <c r="Q44" s="2"/>
      <c r="R44" s="19"/>
      <c r="S44" s="2"/>
      <c r="T44" s="2"/>
      <c r="U44" s="2"/>
      <c r="V44" s="19"/>
      <c r="W44" s="2"/>
      <c r="X44" s="2">
        <f t="shared" si="2"/>
        <v>111115</v>
      </c>
      <c r="Y44" s="2"/>
      <c r="Z44" s="19">
        <f t="shared" si="3"/>
        <v>0</v>
      </c>
    </row>
    <row r="45" spans="1:26" s="24" customFormat="1" hidden="1" outlineLevel="1" x14ac:dyDescent="0.25">
      <c r="A45" s="46"/>
      <c r="B45" s="11" t="str">
        <f>CONCATENATE("          ", "4058", " - ", "TAXABLE SALES-FOOD")</f>
        <v xml:space="preserve">          4058 - TAXABLE SALES-FOOD</v>
      </c>
      <c r="C45" s="11"/>
      <c r="D45" s="2">
        <f>--24452.76</f>
        <v>24452.76</v>
      </c>
      <c r="E45" s="2"/>
      <c r="F45" s="19"/>
      <c r="G45" s="2"/>
      <c r="H45" s="2"/>
      <c r="I45" s="2"/>
      <c r="J45" s="19"/>
      <c r="K45" s="2"/>
      <c r="L45" s="2">
        <f t="shared" si="0"/>
        <v>24452.76</v>
      </c>
      <c r="M45" s="2"/>
      <c r="N45" s="19">
        <f t="shared" si="1"/>
        <v>0</v>
      </c>
      <c r="O45" s="11"/>
      <c r="P45" s="2">
        <f>--42290.9</f>
        <v>42290.9</v>
      </c>
      <c r="Q45" s="2"/>
      <c r="R45" s="19"/>
      <c r="S45" s="2"/>
      <c r="T45" s="2"/>
      <c r="U45" s="2"/>
      <c r="V45" s="19"/>
      <c r="W45" s="2"/>
      <c r="X45" s="2">
        <f t="shared" si="2"/>
        <v>42290.9</v>
      </c>
      <c r="Y45" s="2"/>
      <c r="Z45" s="19">
        <f t="shared" si="3"/>
        <v>0</v>
      </c>
    </row>
    <row r="46" spans="1:26" s="24" customFormat="1" hidden="1" outlineLevel="1" x14ac:dyDescent="0.25">
      <c r="A46" s="46"/>
      <c r="B46" s="11" t="str">
        <f>CONCATENATE("          ", "4081", " - ", "TAXABLE SALES-ELECTRONICS")</f>
        <v xml:space="preserve">          4081 - TAXABLE SALES-ELECTRONICS</v>
      </c>
      <c r="C46" s="11"/>
      <c r="D46" s="2">
        <f>--79907.95</f>
        <v>79907.95</v>
      </c>
      <c r="E46" s="2"/>
      <c r="F46" s="19"/>
      <c r="G46" s="2"/>
      <c r="H46" s="2"/>
      <c r="I46" s="2"/>
      <c r="J46" s="19"/>
      <c r="K46" s="2"/>
      <c r="L46" s="2">
        <f t="shared" si="0"/>
        <v>79907.95</v>
      </c>
      <c r="M46" s="2"/>
      <c r="N46" s="19">
        <f t="shared" si="1"/>
        <v>0</v>
      </c>
      <c r="O46" s="11"/>
      <c r="P46" s="2">
        <f>--189596.74</f>
        <v>189596.74</v>
      </c>
      <c r="Q46" s="2"/>
      <c r="R46" s="19"/>
      <c r="S46" s="2"/>
      <c r="T46" s="2"/>
      <c r="U46" s="2"/>
      <c r="V46" s="19"/>
      <c r="W46" s="2"/>
      <c r="X46" s="2">
        <f t="shared" si="2"/>
        <v>189596.74</v>
      </c>
      <c r="Y46" s="2"/>
      <c r="Z46" s="19">
        <f t="shared" si="3"/>
        <v>0</v>
      </c>
    </row>
    <row r="47" spans="1:26" s="24" customFormat="1" hidden="1" outlineLevel="1" x14ac:dyDescent="0.25">
      <c r="A47" s="46"/>
      <c r="B47" s="11" t="str">
        <f>CONCATENATE("          ", "4082", " - ", "TAXABLE SALES-COMPUTER HARDWAR")</f>
        <v xml:space="preserve">          4082 - TAXABLE SALES-COMPUTER HARDWAR</v>
      </c>
      <c r="C47" s="11"/>
      <c r="D47" s="2">
        <f>--225343.71</f>
        <v>225343.71</v>
      </c>
      <c r="E47" s="2"/>
      <c r="F47" s="19"/>
      <c r="G47" s="2"/>
      <c r="H47" s="2"/>
      <c r="I47" s="2"/>
      <c r="J47" s="19"/>
      <c r="K47" s="2"/>
      <c r="L47" s="2">
        <f t="shared" si="0"/>
        <v>225343.71</v>
      </c>
      <c r="M47" s="2"/>
      <c r="N47" s="19">
        <f t="shared" si="1"/>
        <v>0</v>
      </c>
      <c r="O47" s="11"/>
      <c r="P47" s="2">
        <f>--1038916.49</f>
        <v>1038916.49</v>
      </c>
      <c r="Q47" s="2"/>
      <c r="R47" s="19"/>
      <c r="S47" s="2"/>
      <c r="T47" s="2"/>
      <c r="U47" s="2"/>
      <c r="V47" s="19"/>
      <c r="W47" s="2"/>
      <c r="X47" s="2">
        <f t="shared" si="2"/>
        <v>1038916.49</v>
      </c>
      <c r="Y47" s="2"/>
      <c r="Z47" s="19">
        <f t="shared" si="3"/>
        <v>0</v>
      </c>
    </row>
    <row r="48" spans="1:26" s="24" customFormat="1" hidden="1" outlineLevel="1" x14ac:dyDescent="0.25">
      <c r="A48" s="46"/>
      <c r="B48" s="11" t="str">
        <f>CONCATENATE("          ", "4083", " - ", "TAXABLE SALES-COMPUTER EQUIPME")</f>
        <v xml:space="preserve">          4083 - TAXABLE SALES-COMPUTER EQUIPME</v>
      </c>
      <c r="C48" s="11"/>
      <c r="D48" s="2">
        <f>--17648.24</f>
        <v>17648.240000000002</v>
      </c>
      <c r="E48" s="2"/>
      <c r="F48" s="19"/>
      <c r="G48" s="2"/>
      <c r="H48" s="2"/>
      <c r="I48" s="2"/>
      <c r="J48" s="19"/>
      <c r="K48" s="2"/>
      <c r="L48" s="2">
        <f t="shared" si="0"/>
        <v>17648.240000000002</v>
      </c>
      <c r="M48" s="2"/>
      <c r="N48" s="19">
        <f t="shared" si="1"/>
        <v>0</v>
      </c>
      <c r="O48" s="11"/>
      <c r="P48" s="2">
        <f>--41256.01</f>
        <v>41256.01</v>
      </c>
      <c r="Q48" s="2"/>
      <c r="R48" s="19"/>
      <c r="S48" s="2"/>
      <c r="T48" s="2"/>
      <c r="U48" s="2"/>
      <c r="V48" s="19"/>
      <c r="W48" s="2"/>
      <c r="X48" s="2">
        <f t="shared" si="2"/>
        <v>41256.01</v>
      </c>
      <c r="Y48" s="2"/>
      <c r="Z48" s="19">
        <f t="shared" si="3"/>
        <v>0</v>
      </c>
    </row>
    <row r="49" spans="1:26" s="24" customFormat="1" hidden="1" outlineLevel="1" x14ac:dyDescent="0.25">
      <c r="A49" s="46"/>
      <c r="B49" s="11" t="str">
        <f>CONCATENATE("          ", "4084", " - ", "TAXABLE SALES-SOFTWARE LICENSE")</f>
        <v xml:space="preserve">          4084 - TAXABLE SALES-SOFTWARE LICENSE</v>
      </c>
      <c r="C49" s="11"/>
      <c r="D49" s="2">
        <f t="shared" ref="D49:D50" si="4">0</f>
        <v>0</v>
      </c>
      <c r="E49" s="2"/>
      <c r="F49" s="19"/>
      <c r="G49" s="2"/>
      <c r="H49" s="2"/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>--129</f>
        <v>129</v>
      </c>
      <c r="Q49" s="2"/>
      <c r="R49" s="19"/>
      <c r="S49" s="2"/>
      <c r="T49" s="2"/>
      <c r="U49" s="2"/>
      <c r="V49" s="19"/>
      <c r="W49" s="2"/>
      <c r="X49" s="2">
        <f t="shared" si="2"/>
        <v>129</v>
      </c>
      <c r="Y49" s="2"/>
      <c r="Z49" s="19">
        <f t="shared" si="3"/>
        <v>0</v>
      </c>
    </row>
    <row r="50" spans="1:26" s="24" customFormat="1" hidden="1" outlineLevel="1" x14ac:dyDescent="0.25">
      <c r="A50" s="46"/>
      <c r="B50" s="11" t="str">
        <f>CONCATENATE("          ", "4085", " - ", "TAXABLE SALES-SOFTWARE")</f>
        <v xml:space="preserve">          4085 - TAXABLE SALES-SOFTWARE</v>
      </c>
      <c r="C50" s="11"/>
      <c r="D50" s="2">
        <f t="shared" si="4"/>
        <v>0</v>
      </c>
      <c r="E50" s="2"/>
      <c r="F50" s="19"/>
      <c r="G50" s="2"/>
      <c r="H50" s="2"/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>--493.95</f>
        <v>493.95</v>
      </c>
      <c r="Q50" s="2"/>
      <c r="R50" s="19"/>
      <c r="S50" s="2"/>
      <c r="T50" s="2"/>
      <c r="U50" s="2"/>
      <c r="V50" s="19"/>
      <c r="W50" s="2"/>
      <c r="X50" s="2">
        <f t="shared" si="2"/>
        <v>493.95</v>
      </c>
      <c r="Y50" s="2"/>
      <c r="Z50" s="19">
        <f t="shared" si="3"/>
        <v>0</v>
      </c>
    </row>
    <row r="51" spans="1:26" s="24" customFormat="1" hidden="1" outlineLevel="1" x14ac:dyDescent="0.25">
      <c r="A51" s="46"/>
      <c r="B51" s="11" t="str">
        <f>CONCATENATE("          ", "4086", " - ", "TAXABLE SALES-COMPUTER SUPPLIE")</f>
        <v xml:space="preserve">          4086 - TAXABLE SALES-COMPUTER SUPPLIE</v>
      </c>
      <c r="C51" s="11"/>
      <c r="D51" s="2">
        <f>--10769.48</f>
        <v>10769.48</v>
      </c>
      <c r="E51" s="2"/>
      <c r="F51" s="19"/>
      <c r="G51" s="2"/>
      <c r="H51" s="2"/>
      <c r="I51" s="2"/>
      <c r="J51" s="19"/>
      <c r="K51" s="2"/>
      <c r="L51" s="2">
        <f t="shared" si="0"/>
        <v>10769.48</v>
      </c>
      <c r="M51" s="2"/>
      <c r="N51" s="19">
        <f t="shared" si="1"/>
        <v>0</v>
      </c>
      <c r="O51" s="11"/>
      <c r="P51" s="2">
        <f>--20437.03</f>
        <v>20437.03</v>
      </c>
      <c r="Q51" s="2"/>
      <c r="R51" s="19"/>
      <c r="S51" s="2"/>
      <c r="T51" s="2"/>
      <c r="U51" s="2"/>
      <c r="V51" s="19"/>
      <c r="W51" s="2"/>
      <c r="X51" s="2">
        <f t="shared" si="2"/>
        <v>20437.03</v>
      </c>
      <c r="Y51" s="2"/>
      <c r="Z51" s="19">
        <f t="shared" si="3"/>
        <v>0</v>
      </c>
    </row>
    <row r="52" spans="1:26" s="24" customFormat="1" hidden="1" outlineLevel="1" x14ac:dyDescent="0.25">
      <c r="A52" s="46"/>
      <c r="B52" s="11" t="str">
        <f>CONCATENATE("          ", "4088", " - ", "TAXABLE SALES-MUSIC")</f>
        <v xml:space="preserve">          4088 - TAXABLE SALES-MUSIC</v>
      </c>
      <c r="C52" s="11"/>
      <c r="D52" s="2">
        <f>--16.99</f>
        <v>16.989999999999998</v>
      </c>
      <c r="E52" s="2"/>
      <c r="F52" s="19"/>
      <c r="G52" s="2"/>
      <c r="H52" s="2"/>
      <c r="I52" s="2"/>
      <c r="J52" s="19"/>
      <c r="K52" s="2"/>
      <c r="L52" s="2">
        <f t="shared" si="0"/>
        <v>16.989999999999998</v>
      </c>
      <c r="M52" s="2"/>
      <c r="N52" s="19">
        <f t="shared" si="1"/>
        <v>0</v>
      </c>
      <c r="O52" s="11"/>
      <c r="P52" s="2">
        <f>--535.96</f>
        <v>535.96</v>
      </c>
      <c r="Q52" s="2"/>
      <c r="R52" s="19"/>
      <c r="S52" s="2"/>
      <c r="T52" s="2"/>
      <c r="U52" s="2"/>
      <c r="V52" s="19"/>
      <c r="W52" s="2"/>
      <c r="X52" s="2">
        <f t="shared" si="2"/>
        <v>535.96</v>
      </c>
      <c r="Y52" s="2"/>
      <c r="Z52" s="19">
        <f t="shared" si="3"/>
        <v>0</v>
      </c>
    </row>
    <row r="53" spans="1:26" s="24" customFormat="1" hidden="1" outlineLevel="1" x14ac:dyDescent="0.25">
      <c r="A53" s="46"/>
      <c r="B53" s="11" t="str">
        <f>CONCATENATE("          ", "4092", " - ", "TAXABLE SALES-GRAD MERCH")</f>
        <v xml:space="preserve">          4092 - TAXABLE SALES-GRAD MERCH</v>
      </c>
      <c r="C53" s="11"/>
      <c r="D53" s="2">
        <f>--49.9</f>
        <v>49.9</v>
      </c>
      <c r="E53" s="2"/>
      <c r="F53" s="19"/>
      <c r="G53" s="2"/>
      <c r="H53" s="2"/>
      <c r="I53" s="2"/>
      <c r="J53" s="19"/>
      <c r="K53" s="2"/>
      <c r="L53" s="2">
        <f t="shared" si="0"/>
        <v>49.9</v>
      </c>
      <c r="M53" s="2"/>
      <c r="N53" s="19">
        <f t="shared" si="1"/>
        <v>0</v>
      </c>
      <c r="O53" s="11"/>
      <c r="P53" s="2">
        <f>--3872.63</f>
        <v>3872.63</v>
      </c>
      <c r="Q53" s="2"/>
      <c r="R53" s="19"/>
      <c r="S53" s="2"/>
      <c r="T53" s="2"/>
      <c r="U53" s="2"/>
      <c r="V53" s="19"/>
      <c r="W53" s="2"/>
      <c r="X53" s="2">
        <f t="shared" si="2"/>
        <v>3872.63</v>
      </c>
      <c r="Y53" s="2"/>
      <c r="Z53" s="19">
        <f t="shared" si="3"/>
        <v>0</v>
      </c>
    </row>
    <row r="54" spans="1:26" s="24" customFormat="1" hidden="1" outlineLevel="1" x14ac:dyDescent="0.25">
      <c r="A54" s="46"/>
      <c r="B54" s="11" t="str">
        <f>CONCATENATE("          ", "4095", " - ", "TAXABLE SALES-CUSTOMER SERVICE")</f>
        <v xml:space="preserve">          4095 - TAXABLE SALES-CUSTOMER SERVICE</v>
      </c>
      <c r="C54" s="11"/>
      <c r="D54" s="2">
        <f>--26.83</f>
        <v>26.83</v>
      </c>
      <c r="E54" s="2"/>
      <c r="F54" s="19"/>
      <c r="G54" s="2"/>
      <c r="H54" s="2"/>
      <c r="I54" s="2"/>
      <c r="J54" s="19"/>
      <c r="K54" s="2"/>
      <c r="L54" s="2">
        <f t="shared" si="0"/>
        <v>26.83</v>
      </c>
      <c r="M54" s="2"/>
      <c r="N54" s="19">
        <f t="shared" si="1"/>
        <v>0</v>
      </c>
      <c r="O54" s="11"/>
      <c r="P54" s="2">
        <f>--200.85</f>
        <v>200.85</v>
      </c>
      <c r="Q54" s="2"/>
      <c r="R54" s="19"/>
      <c r="S54" s="2"/>
      <c r="T54" s="2"/>
      <c r="U54" s="2"/>
      <c r="V54" s="19"/>
      <c r="W54" s="2"/>
      <c r="X54" s="2">
        <f t="shared" si="2"/>
        <v>200.85</v>
      </c>
      <c r="Y54" s="2"/>
      <c r="Z54" s="19">
        <f t="shared" si="3"/>
        <v>0</v>
      </c>
    </row>
    <row r="55" spans="1:26" s="24" customFormat="1" hidden="1" outlineLevel="1" x14ac:dyDescent="0.25">
      <c r="A55" s="46"/>
      <c r="B55" s="11" t="str">
        <f>CONCATENATE("          ", "4100", " - ", "NON-TAXABLE SALES")</f>
        <v xml:space="preserve">          4100 - NON-TAXABLE SALES</v>
      </c>
      <c r="C55" s="11"/>
      <c r="D55" s="2">
        <f>--94379.34</f>
        <v>94379.34</v>
      </c>
      <c r="E55" s="2"/>
      <c r="F55" s="19"/>
      <c r="G55" s="2"/>
      <c r="H55" s="2">
        <v>2934510</v>
      </c>
      <c r="I55" s="2"/>
      <c r="J55" s="19"/>
      <c r="K55" s="2"/>
      <c r="L55" s="2">
        <f t="shared" si="0"/>
        <v>-2840130.66</v>
      </c>
      <c r="M55" s="2"/>
      <c r="N55" s="19">
        <f t="shared" si="1"/>
        <v>-0.967838126297065</v>
      </c>
      <c r="O55" s="11"/>
      <c r="P55" s="2">
        <f>--427779.77</f>
        <v>427779.77</v>
      </c>
      <c r="Q55" s="2"/>
      <c r="R55" s="19"/>
      <c r="S55" s="2"/>
      <c r="T55" s="2">
        <v>7122395</v>
      </c>
      <c r="U55" s="2"/>
      <c r="V55" s="19"/>
      <c r="W55" s="2"/>
      <c r="X55" s="2">
        <f t="shared" si="2"/>
        <v>-6694615.2300000004</v>
      </c>
      <c r="Y55" s="2"/>
      <c r="Z55" s="19">
        <f t="shared" si="3"/>
        <v>-0.9399387748081931</v>
      </c>
    </row>
    <row r="56" spans="1:26" s="24" customFormat="1" hidden="1" outlineLevel="1" x14ac:dyDescent="0.25">
      <c r="A56" s="46"/>
      <c r="B56" s="11" t="str">
        <f>CONCATENATE("          ", "4101", " - ", "NON-TAXABLE SALES-NEW TEXT")</f>
        <v xml:space="preserve">          4101 - NON-TAXABLE SALES-NEW TEXT</v>
      </c>
      <c r="C56" s="11"/>
      <c r="D56" s="2">
        <f>--27999.53</f>
        <v>27999.53</v>
      </c>
      <c r="E56" s="2"/>
      <c r="F56" s="19"/>
      <c r="G56" s="2"/>
      <c r="H56" s="2"/>
      <c r="I56" s="2"/>
      <c r="J56" s="19"/>
      <c r="K56" s="2"/>
      <c r="L56" s="2">
        <f t="shared" si="0"/>
        <v>27999.53</v>
      </c>
      <c r="M56" s="2"/>
      <c r="N56" s="19">
        <f t="shared" si="1"/>
        <v>0</v>
      </c>
      <c r="O56" s="11"/>
      <c r="P56" s="2">
        <f>--83892.55</f>
        <v>83892.55</v>
      </c>
      <c r="Q56" s="2"/>
      <c r="R56" s="19"/>
      <c r="S56" s="2"/>
      <c r="T56" s="2"/>
      <c r="U56" s="2"/>
      <c r="V56" s="19"/>
      <c r="W56" s="2"/>
      <c r="X56" s="2">
        <f t="shared" si="2"/>
        <v>83892.55</v>
      </c>
      <c r="Y56" s="2"/>
      <c r="Z56" s="19">
        <f t="shared" si="3"/>
        <v>0</v>
      </c>
    </row>
    <row r="57" spans="1:26" s="24" customFormat="1" hidden="1" outlineLevel="1" x14ac:dyDescent="0.25">
      <c r="A57" s="46"/>
      <c r="B57" s="11" t="str">
        <f>CONCATENATE("          ", "4102", " - ", "NON-TAXABLE SALES-USED TEXT")</f>
        <v xml:space="preserve">          4102 - NON-TAXABLE SALES-USED TEXT</v>
      </c>
      <c r="C57" s="11"/>
      <c r="D57" s="2">
        <f>--3969.18</f>
        <v>3969.18</v>
      </c>
      <c r="E57" s="2"/>
      <c r="F57" s="19"/>
      <c r="G57" s="2"/>
      <c r="H57" s="2"/>
      <c r="I57" s="2"/>
      <c r="J57" s="19"/>
      <c r="K57" s="2"/>
      <c r="L57" s="2">
        <f t="shared" si="0"/>
        <v>3969.18</v>
      </c>
      <c r="M57" s="2"/>
      <c r="N57" s="19">
        <f t="shared" si="1"/>
        <v>0</v>
      </c>
      <c r="O57" s="11"/>
      <c r="P57" s="2">
        <f>--36443.51</f>
        <v>36443.51</v>
      </c>
      <c r="Q57" s="2"/>
      <c r="R57" s="19"/>
      <c r="S57" s="2"/>
      <c r="T57" s="2"/>
      <c r="U57" s="2"/>
      <c r="V57" s="19"/>
      <c r="W57" s="2"/>
      <c r="X57" s="2">
        <f t="shared" si="2"/>
        <v>36443.51</v>
      </c>
      <c r="Y57" s="2"/>
      <c r="Z57" s="19">
        <f t="shared" si="3"/>
        <v>0</v>
      </c>
    </row>
    <row r="58" spans="1:26" s="24" customFormat="1" hidden="1" outlineLevel="1" x14ac:dyDescent="0.25">
      <c r="A58" s="46"/>
      <c r="B58" s="11" t="str">
        <f>CONCATENATE("          ", "4103", " - ", "NON-TAXABLE SALES-RENTAL TEXT")</f>
        <v xml:space="preserve">          4103 - NON-TAXABLE SALES-RENTAL TEXT</v>
      </c>
      <c r="C58" s="11"/>
      <c r="D58" s="2">
        <f>-144.99</f>
        <v>-144.99</v>
      </c>
      <c r="E58" s="2"/>
      <c r="F58" s="19"/>
      <c r="G58" s="2"/>
      <c r="H58" s="2"/>
      <c r="I58" s="2"/>
      <c r="J58" s="19"/>
      <c r="K58" s="2"/>
      <c r="L58" s="2">
        <f t="shared" si="0"/>
        <v>-144.99</v>
      </c>
      <c r="M58" s="2"/>
      <c r="N58" s="19">
        <f t="shared" si="1"/>
        <v>0</v>
      </c>
      <c r="O58" s="11"/>
      <c r="P58" s="2">
        <f>--329.98</f>
        <v>329.98</v>
      </c>
      <c r="Q58" s="2"/>
      <c r="R58" s="19"/>
      <c r="S58" s="2"/>
      <c r="T58" s="2"/>
      <c r="U58" s="2"/>
      <c r="V58" s="19"/>
      <c r="W58" s="2"/>
      <c r="X58" s="2">
        <f t="shared" si="2"/>
        <v>329.98</v>
      </c>
      <c r="Y58" s="2"/>
      <c r="Z58" s="19">
        <f t="shared" si="3"/>
        <v>0</v>
      </c>
    </row>
    <row r="59" spans="1:26" s="24" customFormat="1" hidden="1" outlineLevel="1" x14ac:dyDescent="0.25">
      <c r="A59" s="46"/>
      <c r="B59" s="11" t="str">
        <f>CONCATENATE("          ", "4104", " - ", "NON-TAXABLE SALES-DIGITAL TEXT")</f>
        <v xml:space="preserve">          4104 - NON-TAXABLE SALES-DIGITAL TEXT</v>
      </c>
      <c r="C59" s="11"/>
      <c r="D59" s="2">
        <f>--59065.75</f>
        <v>59065.75</v>
      </c>
      <c r="E59" s="2"/>
      <c r="F59" s="19"/>
      <c r="G59" s="2"/>
      <c r="H59" s="2"/>
      <c r="I59" s="2"/>
      <c r="J59" s="19"/>
      <c r="K59" s="2"/>
      <c r="L59" s="2">
        <f t="shared" si="0"/>
        <v>59065.75</v>
      </c>
      <c r="M59" s="2"/>
      <c r="N59" s="19">
        <f t="shared" si="1"/>
        <v>0</v>
      </c>
      <c r="O59" s="11"/>
      <c r="P59" s="2">
        <f>--318933.82</f>
        <v>318933.82</v>
      </c>
      <c r="Q59" s="2"/>
      <c r="R59" s="19"/>
      <c r="S59" s="2"/>
      <c r="T59" s="2"/>
      <c r="U59" s="2"/>
      <c r="V59" s="19"/>
      <c r="W59" s="2"/>
      <c r="X59" s="2">
        <f t="shared" si="2"/>
        <v>318933.82</v>
      </c>
      <c r="Y59" s="2"/>
      <c r="Z59" s="19">
        <f t="shared" si="3"/>
        <v>0</v>
      </c>
    </row>
    <row r="60" spans="1:26" s="24" customFormat="1" hidden="1" outlineLevel="1" x14ac:dyDescent="0.25">
      <c r="A60" s="46"/>
      <c r="B60" s="11" t="str">
        <f>CONCATENATE("          ", "4111", " - ", "NON-TAXABLE SALES-NO VALUE TEX")</f>
        <v xml:space="preserve">          4111 - NON-TAXABLE SALES-NO VALUE TEX</v>
      </c>
      <c r="C60" s="11"/>
      <c r="D60" s="2">
        <f>--594.06</f>
        <v>594.05999999999995</v>
      </c>
      <c r="E60" s="2"/>
      <c r="F60" s="19"/>
      <c r="G60" s="2"/>
      <c r="H60" s="2"/>
      <c r="I60" s="2"/>
      <c r="J60" s="19"/>
      <c r="K60" s="2"/>
      <c r="L60" s="2">
        <f t="shared" si="0"/>
        <v>594.05999999999995</v>
      </c>
      <c r="M60" s="2"/>
      <c r="N60" s="19">
        <f t="shared" si="1"/>
        <v>0</v>
      </c>
      <c r="O60" s="11"/>
      <c r="P60" s="2">
        <f>--6342.17</f>
        <v>6342.17</v>
      </c>
      <c r="Q60" s="2"/>
      <c r="R60" s="19"/>
      <c r="S60" s="2"/>
      <c r="T60" s="2"/>
      <c r="U60" s="2"/>
      <c r="V60" s="19"/>
      <c r="W60" s="2"/>
      <c r="X60" s="2">
        <f t="shared" si="2"/>
        <v>6342.17</v>
      </c>
      <c r="Y60" s="2"/>
      <c r="Z60" s="19">
        <f t="shared" si="3"/>
        <v>0</v>
      </c>
    </row>
    <row r="61" spans="1:26" s="24" customFormat="1" hidden="1" outlineLevel="1" x14ac:dyDescent="0.25">
      <c r="A61" s="46"/>
      <c r="B61" s="11" t="str">
        <f>CONCATENATE("          ", "4113", " - ", "NON-TAXABLE SALES-TRADE BOOKS")</f>
        <v xml:space="preserve">          4113 - NON-TAXABLE SALES-TRADE BOOKS</v>
      </c>
      <c r="C61" s="11"/>
      <c r="D61" s="2">
        <f>0</f>
        <v>0</v>
      </c>
      <c r="E61" s="2"/>
      <c r="F61" s="19"/>
      <c r="G61" s="2"/>
      <c r="H61" s="2"/>
      <c r="I61" s="2"/>
      <c r="J61" s="19"/>
      <c r="K61" s="2"/>
      <c r="L61" s="2">
        <f t="shared" si="0"/>
        <v>0</v>
      </c>
      <c r="M61" s="2"/>
      <c r="N61" s="19">
        <f t="shared" si="1"/>
        <v>0</v>
      </c>
      <c r="O61" s="11"/>
      <c r="P61" s="2">
        <f>--1146.72</f>
        <v>1146.72</v>
      </c>
      <c r="Q61" s="2"/>
      <c r="R61" s="19"/>
      <c r="S61" s="2"/>
      <c r="T61" s="2"/>
      <c r="U61" s="2"/>
      <c r="V61" s="19"/>
      <c r="W61" s="2"/>
      <c r="X61" s="2">
        <f t="shared" si="2"/>
        <v>1146.72</v>
      </c>
      <c r="Y61" s="2"/>
      <c r="Z61" s="19">
        <f t="shared" si="3"/>
        <v>0</v>
      </c>
    </row>
    <row r="62" spans="1:26" s="24" customFormat="1" hidden="1" outlineLevel="1" x14ac:dyDescent="0.25">
      <c r="A62" s="46"/>
      <c r="B62" s="11" t="str">
        <f>CONCATENATE("          ", "4118", " - ", "NON-TAXABLE SALES-STUDY GUIDES")</f>
        <v xml:space="preserve">          4118 - NON-TAXABLE SALES-STUDY GUIDES</v>
      </c>
      <c r="C62" s="11"/>
      <c r="D62" s="2">
        <f>--6.95</f>
        <v>6.95</v>
      </c>
      <c r="E62" s="2"/>
      <c r="F62" s="19"/>
      <c r="G62" s="2"/>
      <c r="H62" s="2"/>
      <c r="I62" s="2"/>
      <c r="J62" s="19"/>
      <c r="K62" s="2"/>
      <c r="L62" s="2">
        <f t="shared" si="0"/>
        <v>6.95</v>
      </c>
      <c r="M62" s="2"/>
      <c r="N62" s="19">
        <f t="shared" si="1"/>
        <v>0</v>
      </c>
      <c r="O62" s="11"/>
      <c r="P62" s="2">
        <f>--20.92</f>
        <v>20.92</v>
      </c>
      <c r="Q62" s="2"/>
      <c r="R62" s="19"/>
      <c r="S62" s="2"/>
      <c r="T62" s="2"/>
      <c r="U62" s="2"/>
      <c r="V62" s="19"/>
      <c r="W62" s="2"/>
      <c r="X62" s="2">
        <f t="shared" si="2"/>
        <v>20.92</v>
      </c>
      <c r="Y62" s="2"/>
      <c r="Z62" s="19">
        <f t="shared" si="3"/>
        <v>0</v>
      </c>
    </row>
    <row r="63" spans="1:26" s="24" customFormat="1" hidden="1" outlineLevel="1" x14ac:dyDescent="0.25">
      <c r="A63" s="46"/>
      <c r="B63" s="11" t="str">
        <f>CONCATENATE("          ", "4125", " - ", "NON-TAXABLE SALES-TEST FORMS")</f>
        <v xml:space="preserve">          4125 - NON-TAXABLE SALES-TEST FORMS</v>
      </c>
      <c r="C63" s="11"/>
      <c r="D63" s="2">
        <f>--42.03</f>
        <v>42.03</v>
      </c>
      <c r="E63" s="2"/>
      <c r="F63" s="19"/>
      <c r="G63" s="2"/>
      <c r="H63" s="2"/>
      <c r="I63" s="2"/>
      <c r="J63" s="19"/>
      <c r="K63" s="2"/>
      <c r="L63" s="2">
        <f t="shared" si="0"/>
        <v>42.03</v>
      </c>
      <c r="M63" s="2"/>
      <c r="N63" s="19">
        <f t="shared" si="1"/>
        <v>0</v>
      </c>
      <c r="O63" s="11"/>
      <c r="P63" s="2">
        <f>--124.18</f>
        <v>124.18</v>
      </c>
      <c r="Q63" s="2"/>
      <c r="R63" s="19"/>
      <c r="S63" s="2"/>
      <c r="T63" s="2"/>
      <c r="U63" s="2"/>
      <c r="V63" s="19"/>
      <c r="W63" s="2"/>
      <c r="X63" s="2">
        <f t="shared" si="2"/>
        <v>124.18</v>
      </c>
      <c r="Y63" s="2"/>
      <c r="Z63" s="19">
        <f t="shared" si="3"/>
        <v>0</v>
      </c>
    </row>
    <row r="64" spans="1:26" s="24" customFormat="1" hidden="1" outlineLevel="1" x14ac:dyDescent="0.25">
      <c r="A64" s="46"/>
      <c r="B64" s="11" t="str">
        <f>CONCATENATE("          ", "4126", " - ", "NON-TAXABLE SALES-WRITING INST")</f>
        <v xml:space="preserve">          4126 - NON-TAXABLE SALES-WRITING INST</v>
      </c>
      <c r="C64" s="11"/>
      <c r="D64" s="2">
        <f>--332.14</f>
        <v>332.14</v>
      </c>
      <c r="E64" s="2"/>
      <c r="F64" s="19"/>
      <c r="G64" s="2"/>
      <c r="H64" s="2"/>
      <c r="I64" s="2"/>
      <c r="J64" s="19"/>
      <c r="K64" s="2"/>
      <c r="L64" s="2">
        <f t="shared" si="0"/>
        <v>332.14</v>
      </c>
      <c r="M64" s="2"/>
      <c r="N64" s="19">
        <f t="shared" si="1"/>
        <v>0</v>
      </c>
      <c r="O64" s="11"/>
      <c r="P64" s="2">
        <f>--1343.26</f>
        <v>1343.26</v>
      </c>
      <c r="Q64" s="2"/>
      <c r="R64" s="19"/>
      <c r="S64" s="2"/>
      <c r="T64" s="2"/>
      <c r="U64" s="2"/>
      <c r="V64" s="19"/>
      <c r="W64" s="2"/>
      <c r="X64" s="2">
        <f t="shared" si="2"/>
        <v>1343.26</v>
      </c>
      <c r="Y64" s="2"/>
      <c r="Z64" s="19">
        <f t="shared" si="3"/>
        <v>0</v>
      </c>
    </row>
    <row r="65" spans="1:26" s="24" customFormat="1" hidden="1" outlineLevel="1" x14ac:dyDescent="0.25">
      <c r="A65" s="46"/>
      <c r="B65" s="11" t="str">
        <f>CONCATENATE("          ", "4127", " - ", "NON-TAXABLE SALES-SCHOOL SUPPL")</f>
        <v xml:space="preserve">          4127 - NON-TAXABLE SALES-SCHOOL SUPPL</v>
      </c>
      <c r="C65" s="11"/>
      <c r="D65" s="2">
        <f>--547.21</f>
        <v>547.21</v>
      </c>
      <c r="E65" s="2"/>
      <c r="F65" s="19"/>
      <c r="G65" s="2"/>
      <c r="H65" s="2"/>
      <c r="I65" s="2"/>
      <c r="J65" s="19"/>
      <c r="K65" s="2"/>
      <c r="L65" s="2">
        <f t="shared" si="0"/>
        <v>547.21</v>
      </c>
      <c r="M65" s="2"/>
      <c r="N65" s="19">
        <f t="shared" si="1"/>
        <v>0</v>
      </c>
      <c r="O65" s="11"/>
      <c r="P65" s="2">
        <f>--2417.49</f>
        <v>2417.4899999999998</v>
      </c>
      <c r="Q65" s="2"/>
      <c r="R65" s="19"/>
      <c r="S65" s="2"/>
      <c r="T65" s="2"/>
      <c r="U65" s="2"/>
      <c r="V65" s="19"/>
      <c r="W65" s="2"/>
      <c r="X65" s="2">
        <f t="shared" si="2"/>
        <v>2417.4899999999998</v>
      </c>
      <c r="Y65" s="2"/>
      <c r="Z65" s="19">
        <f t="shared" si="3"/>
        <v>0</v>
      </c>
    </row>
    <row r="66" spans="1:26" s="24" customFormat="1" hidden="1" outlineLevel="1" x14ac:dyDescent="0.25">
      <c r="A66" s="46"/>
      <c r="B66" s="11" t="str">
        <f>CONCATENATE("          ", "4128", " - ", "NON-TAXABLE SALES-ART/TECH")</f>
        <v xml:space="preserve">          4128 - NON-TAXABLE SALES-ART/TECH</v>
      </c>
      <c r="C66" s="11"/>
      <c r="D66" s="2">
        <f>--132.8</f>
        <v>132.80000000000001</v>
      </c>
      <c r="E66" s="2"/>
      <c r="F66" s="19"/>
      <c r="G66" s="2"/>
      <c r="H66" s="2"/>
      <c r="I66" s="2"/>
      <c r="J66" s="19"/>
      <c r="K66" s="2"/>
      <c r="L66" s="2">
        <f t="shared" si="0"/>
        <v>132.80000000000001</v>
      </c>
      <c r="M66" s="2"/>
      <c r="N66" s="19">
        <f t="shared" si="1"/>
        <v>0</v>
      </c>
      <c r="O66" s="11"/>
      <c r="P66" s="2">
        <f>--262.9</f>
        <v>262.89999999999998</v>
      </c>
      <c r="Q66" s="2"/>
      <c r="R66" s="19"/>
      <c r="S66" s="2"/>
      <c r="T66" s="2"/>
      <c r="U66" s="2"/>
      <c r="V66" s="19"/>
      <c r="W66" s="2"/>
      <c r="X66" s="2">
        <f t="shared" si="2"/>
        <v>262.89999999999998</v>
      </c>
      <c r="Y66" s="2"/>
      <c r="Z66" s="19">
        <f t="shared" si="3"/>
        <v>0</v>
      </c>
    </row>
    <row r="67" spans="1:26" s="24" customFormat="1" hidden="1" outlineLevel="1" x14ac:dyDescent="0.25">
      <c r="A67" s="46"/>
      <c r="B67" s="11" t="str">
        <f>CONCATENATE("          ", "4131", " - ", "NON-TAXABLE SALES-FOOD")</f>
        <v xml:space="preserve">          4131 - NON-TAXABLE SALES-FOOD</v>
      </c>
      <c r="C67" s="11"/>
      <c r="D67" s="2">
        <f>--10548.09</f>
        <v>10548.09</v>
      </c>
      <c r="E67" s="2"/>
      <c r="F67" s="19"/>
      <c r="G67" s="2"/>
      <c r="H67" s="2"/>
      <c r="I67" s="2"/>
      <c r="J67" s="19"/>
      <c r="K67" s="2"/>
      <c r="L67" s="2">
        <f t="shared" si="0"/>
        <v>10548.09</v>
      </c>
      <c r="M67" s="2"/>
      <c r="N67" s="19">
        <f t="shared" si="1"/>
        <v>0</v>
      </c>
      <c r="O67" s="11"/>
      <c r="P67" s="2">
        <f>--13265.29</f>
        <v>13265.29</v>
      </c>
      <c r="Q67" s="2"/>
      <c r="R67" s="19"/>
      <c r="S67" s="2"/>
      <c r="T67" s="2"/>
      <c r="U67" s="2"/>
      <c r="V67" s="19"/>
      <c r="W67" s="2"/>
      <c r="X67" s="2">
        <f t="shared" si="2"/>
        <v>13265.29</v>
      </c>
      <c r="Y67" s="2"/>
      <c r="Z67" s="19">
        <f t="shared" si="3"/>
        <v>0</v>
      </c>
    </row>
    <row r="68" spans="1:26" s="24" customFormat="1" hidden="1" outlineLevel="1" x14ac:dyDescent="0.25">
      <c r="A68" s="46"/>
      <c r="B68" s="11" t="str">
        <f>CONCATENATE("          ", "4132", " - ", "NON-TAXABLE SALES-JUICE")</f>
        <v xml:space="preserve">          4132 - NON-TAXABLE SALES-JUICE</v>
      </c>
      <c r="C68" s="11"/>
      <c r="D68" s="2">
        <f>--184994.61</f>
        <v>184994.61</v>
      </c>
      <c r="E68" s="2"/>
      <c r="F68" s="19"/>
      <c r="G68" s="2"/>
      <c r="H68" s="2"/>
      <c r="I68" s="2"/>
      <c r="J68" s="19"/>
      <c r="K68" s="2"/>
      <c r="L68" s="2">
        <f t="shared" si="0"/>
        <v>184994.61</v>
      </c>
      <c r="M68" s="2"/>
      <c r="N68" s="19">
        <f t="shared" si="1"/>
        <v>0</v>
      </c>
      <c r="O68" s="11"/>
      <c r="P68" s="2">
        <f>--279752.36</f>
        <v>279752.36</v>
      </c>
      <c r="Q68" s="2"/>
      <c r="R68" s="19"/>
      <c r="S68" s="2"/>
      <c r="T68" s="2"/>
      <c r="U68" s="2"/>
      <c r="V68" s="19"/>
      <c r="W68" s="2"/>
      <c r="X68" s="2">
        <f t="shared" si="2"/>
        <v>279752.36</v>
      </c>
      <c r="Y68" s="2"/>
      <c r="Z68" s="19">
        <f t="shared" si="3"/>
        <v>0</v>
      </c>
    </row>
    <row r="69" spans="1:26" s="24" customFormat="1" hidden="1" outlineLevel="1" x14ac:dyDescent="0.25">
      <c r="A69" s="46"/>
      <c r="B69" s="11" t="str">
        <f>CONCATENATE("          ", "4133", " - ", "NON-TAXABLE SALES-CANDY")</f>
        <v xml:space="preserve">          4133 - NON-TAXABLE SALES-CANDY</v>
      </c>
      <c r="C69" s="11"/>
      <c r="D69" s="2">
        <f>--3292.63</f>
        <v>3292.63</v>
      </c>
      <c r="E69" s="2"/>
      <c r="F69" s="19"/>
      <c r="G69" s="2"/>
      <c r="H69" s="2"/>
      <c r="I69" s="2"/>
      <c r="J69" s="19"/>
      <c r="K69" s="2"/>
      <c r="L69" s="2">
        <f t="shared" si="0"/>
        <v>3292.63</v>
      </c>
      <c r="M69" s="2"/>
      <c r="N69" s="19">
        <f t="shared" si="1"/>
        <v>0</v>
      </c>
      <c r="O69" s="11"/>
      <c r="P69" s="2">
        <f>--4664.98</f>
        <v>4664.9799999999996</v>
      </c>
      <c r="Q69" s="2"/>
      <c r="R69" s="19"/>
      <c r="S69" s="2"/>
      <c r="T69" s="2"/>
      <c r="U69" s="2"/>
      <c r="V69" s="19"/>
      <c r="W69" s="2"/>
      <c r="X69" s="2">
        <f t="shared" si="2"/>
        <v>4664.9799999999996</v>
      </c>
      <c r="Y69" s="2"/>
      <c r="Z69" s="19">
        <f t="shared" si="3"/>
        <v>0</v>
      </c>
    </row>
    <row r="70" spans="1:26" s="24" customFormat="1" hidden="1" outlineLevel="1" x14ac:dyDescent="0.25">
      <c r="A70" s="46"/>
      <c r="B70" s="11" t="str">
        <f>CONCATENATE("          ", "4134", " - ", "NON-TAXABLE SALES-SODA")</f>
        <v xml:space="preserve">          4134 - NON-TAXABLE SALES-SODA</v>
      </c>
      <c r="C70" s="11"/>
      <c r="D70" s="2">
        <f>--3.78</f>
        <v>3.78</v>
      </c>
      <c r="E70" s="2"/>
      <c r="F70" s="19"/>
      <c r="G70" s="2"/>
      <c r="H70" s="2"/>
      <c r="I70" s="2"/>
      <c r="J70" s="19"/>
      <c r="K70" s="2"/>
      <c r="L70" s="2">
        <f t="shared" si="0"/>
        <v>3.78</v>
      </c>
      <c r="M70" s="2"/>
      <c r="N70" s="19">
        <f t="shared" si="1"/>
        <v>0</v>
      </c>
      <c r="O70" s="11"/>
      <c r="P70" s="2">
        <f>--0.39</f>
        <v>0.39</v>
      </c>
      <c r="Q70" s="2"/>
      <c r="R70" s="19"/>
      <c r="S70" s="2"/>
      <c r="T70" s="2"/>
      <c r="U70" s="2"/>
      <c r="V70" s="19"/>
      <c r="W70" s="2"/>
      <c r="X70" s="2">
        <f t="shared" si="2"/>
        <v>0.39</v>
      </c>
      <c r="Y70" s="2"/>
      <c r="Z70" s="19">
        <f t="shared" si="3"/>
        <v>0</v>
      </c>
    </row>
    <row r="71" spans="1:26" s="24" customFormat="1" hidden="1" outlineLevel="1" x14ac:dyDescent="0.25">
      <c r="A71" s="46"/>
      <c r="B71" s="11" t="str">
        <f>CONCATENATE("          ", "4135", " - ", "NON-TAXABLE SALES")</f>
        <v xml:space="preserve">          4135 - NON-TAXABLE SALES</v>
      </c>
      <c r="C71" s="11"/>
      <c r="D71" s="2">
        <f>--32.31</f>
        <v>32.31</v>
      </c>
      <c r="E71" s="2"/>
      <c r="F71" s="19"/>
      <c r="G71" s="2"/>
      <c r="H71" s="2"/>
      <c r="I71" s="2"/>
      <c r="J71" s="19"/>
      <c r="K71" s="2"/>
      <c r="L71" s="2">
        <f t="shared" si="0"/>
        <v>32.31</v>
      </c>
      <c r="M71" s="2"/>
      <c r="N71" s="19">
        <f t="shared" si="1"/>
        <v>0</v>
      </c>
      <c r="O71" s="11"/>
      <c r="P71" s="2">
        <f>--86.06</f>
        <v>86.06</v>
      </c>
      <c r="Q71" s="2"/>
      <c r="R71" s="19"/>
      <c r="S71" s="2"/>
      <c r="T71" s="2"/>
      <c r="U71" s="2"/>
      <c r="V71" s="19"/>
      <c r="W71" s="2"/>
      <c r="X71" s="2">
        <f t="shared" si="2"/>
        <v>86.06</v>
      </c>
      <c r="Y71" s="2"/>
      <c r="Z71" s="19">
        <f t="shared" si="3"/>
        <v>0</v>
      </c>
    </row>
    <row r="72" spans="1:26" s="24" customFormat="1" hidden="1" outlineLevel="1" x14ac:dyDescent="0.25">
      <c r="A72" s="46"/>
      <c r="B72" s="11" t="str">
        <f>CONCATENATE("          ", "4137", " - ", "NON-TAXABLE SALES-WATER")</f>
        <v xml:space="preserve">          4137 - NON-TAXABLE SALES-WATER</v>
      </c>
      <c r="C72" s="11"/>
      <c r="D72" s="2">
        <f>--1871.72</f>
        <v>1871.72</v>
      </c>
      <c r="E72" s="2"/>
      <c r="F72" s="19"/>
      <c r="G72" s="2"/>
      <c r="H72" s="2"/>
      <c r="I72" s="2"/>
      <c r="J72" s="19"/>
      <c r="K72" s="2"/>
      <c r="L72" s="2">
        <f t="shared" si="0"/>
        <v>1871.72</v>
      </c>
      <c r="M72" s="2"/>
      <c r="N72" s="19">
        <f t="shared" si="1"/>
        <v>0</v>
      </c>
      <c r="O72" s="11"/>
      <c r="P72" s="2">
        <f>--2861.96</f>
        <v>2861.96</v>
      </c>
      <c r="Q72" s="2"/>
      <c r="R72" s="19"/>
      <c r="S72" s="2"/>
      <c r="T72" s="2"/>
      <c r="U72" s="2"/>
      <c r="V72" s="19"/>
      <c r="W72" s="2"/>
      <c r="X72" s="2">
        <f t="shared" si="2"/>
        <v>2861.96</v>
      </c>
      <c r="Y72" s="2"/>
      <c r="Z72" s="19">
        <f t="shared" si="3"/>
        <v>0</v>
      </c>
    </row>
    <row r="73" spans="1:26" s="24" customFormat="1" hidden="1" outlineLevel="1" x14ac:dyDescent="0.25">
      <c r="A73" s="46"/>
      <c r="B73" s="11" t="str">
        <f>CONCATENATE("          ", "4140", " - ", "NON-TAXABLE SALES-LOGO CLOTHIN")</f>
        <v xml:space="preserve">          4140 - NON-TAXABLE SALES-LOGO CLOTHIN</v>
      </c>
      <c r="C73" s="11"/>
      <c r="D73" s="2">
        <f>--3114.74</f>
        <v>3114.74</v>
      </c>
      <c r="E73" s="2"/>
      <c r="F73" s="19"/>
      <c r="G73" s="2"/>
      <c r="H73" s="2"/>
      <c r="I73" s="2"/>
      <c r="J73" s="19"/>
      <c r="K73" s="2"/>
      <c r="L73" s="2">
        <f t="shared" si="0"/>
        <v>3114.74</v>
      </c>
      <c r="M73" s="2"/>
      <c r="N73" s="19">
        <f t="shared" si="1"/>
        <v>0</v>
      </c>
      <c r="O73" s="11"/>
      <c r="P73" s="2">
        <f>--8257.7</f>
        <v>8257.7000000000007</v>
      </c>
      <c r="Q73" s="2"/>
      <c r="R73" s="19"/>
      <c r="S73" s="2"/>
      <c r="T73" s="2"/>
      <c r="U73" s="2"/>
      <c r="V73" s="19"/>
      <c r="W73" s="2"/>
      <c r="X73" s="2">
        <f t="shared" si="2"/>
        <v>8257.7000000000007</v>
      </c>
      <c r="Y73" s="2"/>
      <c r="Z73" s="19">
        <f t="shared" si="3"/>
        <v>0</v>
      </c>
    </row>
    <row r="74" spans="1:26" s="24" customFormat="1" hidden="1" outlineLevel="1" x14ac:dyDescent="0.25">
      <c r="A74" s="46"/>
      <c r="B74" s="11" t="str">
        <f>CONCATENATE("          ", "4141", " - ", "NON-TAXABLE SALES-LOGO GIFTS")</f>
        <v xml:space="preserve">          4141 - NON-TAXABLE SALES-LOGO GIFTS</v>
      </c>
      <c r="C74" s="11"/>
      <c r="D74" s="2">
        <f>--120.34</f>
        <v>120.34</v>
      </c>
      <c r="E74" s="2"/>
      <c r="F74" s="19"/>
      <c r="G74" s="2"/>
      <c r="H74" s="2"/>
      <c r="I74" s="2"/>
      <c r="J74" s="19"/>
      <c r="K74" s="2"/>
      <c r="L74" s="2">
        <f t="shared" si="0"/>
        <v>120.34</v>
      </c>
      <c r="M74" s="2"/>
      <c r="N74" s="19">
        <f t="shared" si="1"/>
        <v>0</v>
      </c>
      <c r="O74" s="11"/>
      <c r="P74" s="2">
        <f>--814.64</f>
        <v>814.64</v>
      </c>
      <c r="Q74" s="2"/>
      <c r="R74" s="19"/>
      <c r="S74" s="2"/>
      <c r="T74" s="2"/>
      <c r="U74" s="2"/>
      <c r="V74" s="19"/>
      <c r="W74" s="2"/>
      <c r="X74" s="2">
        <f t="shared" si="2"/>
        <v>814.64</v>
      </c>
      <c r="Y74" s="2"/>
      <c r="Z74" s="19">
        <f t="shared" si="3"/>
        <v>0</v>
      </c>
    </row>
    <row r="75" spans="1:26" s="24" customFormat="1" hidden="1" outlineLevel="1" x14ac:dyDescent="0.25">
      <c r="A75" s="46"/>
      <c r="B75" s="11" t="str">
        <f>CONCATENATE("          ", "4142", " - ", "NON-TAXABLE SALES-EVERYDAY GIF")</f>
        <v xml:space="preserve">          4142 - NON-TAXABLE SALES-EVERYDAY GIF</v>
      </c>
      <c r="C75" s="11"/>
      <c r="D75" s="2">
        <f>--2116.4</f>
        <v>2116.4</v>
      </c>
      <c r="E75" s="2"/>
      <c r="F75" s="19"/>
      <c r="G75" s="2"/>
      <c r="H75" s="2"/>
      <c r="I75" s="2"/>
      <c r="J75" s="19"/>
      <c r="K75" s="2"/>
      <c r="L75" s="2">
        <f t="shared" si="0"/>
        <v>2116.4</v>
      </c>
      <c r="M75" s="2"/>
      <c r="N75" s="19">
        <f t="shared" si="1"/>
        <v>0</v>
      </c>
      <c r="O75" s="11"/>
      <c r="P75" s="2">
        <f>--3036.5</f>
        <v>3036.5</v>
      </c>
      <c r="Q75" s="2"/>
      <c r="R75" s="19"/>
      <c r="S75" s="2"/>
      <c r="T75" s="2"/>
      <c r="U75" s="2"/>
      <c r="V75" s="19"/>
      <c r="W75" s="2"/>
      <c r="X75" s="2">
        <f t="shared" si="2"/>
        <v>3036.5</v>
      </c>
      <c r="Y75" s="2"/>
      <c r="Z75" s="19">
        <f t="shared" si="3"/>
        <v>0</v>
      </c>
    </row>
    <row r="76" spans="1:26" s="24" customFormat="1" hidden="1" outlineLevel="1" x14ac:dyDescent="0.25">
      <c r="A76" s="46"/>
      <c r="B76" s="11" t="str">
        <f>CONCATENATE("          ", "4144", " - ", "NON-TAXABLE SALES-ACCESSORIES")</f>
        <v xml:space="preserve">          4144 - NON-TAXABLE SALES-ACCESSORIES</v>
      </c>
      <c r="C76" s="11"/>
      <c r="D76" s="2">
        <f t="shared" ref="D76:D77" si="5">0</f>
        <v>0</v>
      </c>
      <c r="E76" s="2"/>
      <c r="F76" s="19"/>
      <c r="G76" s="2"/>
      <c r="H76" s="2"/>
      <c r="I76" s="2"/>
      <c r="J76" s="19"/>
      <c r="K76" s="2"/>
      <c r="L76" s="2">
        <f t="shared" si="0"/>
        <v>0</v>
      </c>
      <c r="M76" s="2"/>
      <c r="N76" s="19">
        <f t="shared" si="1"/>
        <v>0</v>
      </c>
      <c r="O76" s="11"/>
      <c r="P76" s="2">
        <f>--139.76</f>
        <v>139.76</v>
      </c>
      <c r="Q76" s="2"/>
      <c r="R76" s="19"/>
      <c r="S76" s="2"/>
      <c r="T76" s="2"/>
      <c r="U76" s="2"/>
      <c r="V76" s="19"/>
      <c r="W76" s="2"/>
      <c r="X76" s="2">
        <f t="shared" si="2"/>
        <v>139.76</v>
      </c>
      <c r="Y76" s="2"/>
      <c r="Z76" s="19">
        <f t="shared" si="3"/>
        <v>0</v>
      </c>
    </row>
    <row r="77" spans="1:26" s="24" customFormat="1" hidden="1" outlineLevel="1" x14ac:dyDescent="0.25">
      <c r="A77" s="46"/>
      <c r="B77" s="11" t="str">
        <f>CONCATENATE("          ", "4145", " - ", "NON-TAXABLE SALES-SPECIAL ORDE")</f>
        <v xml:space="preserve">          4145 - NON-TAXABLE SALES-SPECIAL ORDE</v>
      </c>
      <c r="C77" s="11"/>
      <c r="D77" s="2">
        <f t="shared" si="5"/>
        <v>0</v>
      </c>
      <c r="E77" s="2"/>
      <c r="F77" s="19"/>
      <c r="G77" s="2"/>
      <c r="H77" s="2"/>
      <c r="I77" s="2"/>
      <c r="J77" s="19"/>
      <c r="K77" s="2"/>
      <c r="L77" s="2">
        <f t="shared" si="0"/>
        <v>0</v>
      </c>
      <c r="M77" s="2"/>
      <c r="N77" s="19">
        <f t="shared" si="1"/>
        <v>0</v>
      </c>
      <c r="O77" s="11"/>
      <c r="P77" s="2">
        <f>--90</f>
        <v>90</v>
      </c>
      <c r="Q77" s="2"/>
      <c r="R77" s="19"/>
      <c r="S77" s="2"/>
      <c r="T77" s="2"/>
      <c r="U77" s="2"/>
      <c r="V77" s="19"/>
      <c r="W77" s="2"/>
      <c r="X77" s="2">
        <f t="shared" si="2"/>
        <v>90</v>
      </c>
      <c r="Y77" s="2"/>
      <c r="Z77" s="19">
        <f t="shared" si="3"/>
        <v>0</v>
      </c>
    </row>
    <row r="78" spans="1:26" s="24" customFormat="1" hidden="1" outlineLevel="1" x14ac:dyDescent="0.25">
      <c r="A78" s="46"/>
      <c r="B78" s="11" t="str">
        <f>CONCATENATE("          ", "4146", " - ", "NON-TAXABLE SALES-COIN OP MACH")</f>
        <v xml:space="preserve">          4146 - NON-TAXABLE SALES-COIN OP MACH</v>
      </c>
      <c r="C78" s="11"/>
      <c r="D78" s="2">
        <f>--34744.75</f>
        <v>34744.75</v>
      </c>
      <c r="E78" s="2"/>
      <c r="F78" s="19"/>
      <c r="G78" s="2"/>
      <c r="H78" s="2"/>
      <c r="I78" s="2"/>
      <c r="J78" s="19"/>
      <c r="K78" s="2"/>
      <c r="L78" s="2">
        <f t="shared" si="0"/>
        <v>34744.75</v>
      </c>
      <c r="M78" s="2"/>
      <c r="N78" s="19">
        <f t="shared" si="1"/>
        <v>0</v>
      </c>
      <c r="O78" s="11"/>
      <c r="P78" s="2">
        <f>--50093.5</f>
        <v>50093.5</v>
      </c>
      <c r="Q78" s="2"/>
      <c r="R78" s="19"/>
      <c r="S78" s="2"/>
      <c r="T78" s="2"/>
      <c r="U78" s="2"/>
      <c r="V78" s="19"/>
      <c r="W78" s="2"/>
      <c r="X78" s="2">
        <f t="shared" si="2"/>
        <v>50093.5</v>
      </c>
      <c r="Y78" s="2"/>
      <c r="Z78" s="19">
        <f t="shared" si="3"/>
        <v>0</v>
      </c>
    </row>
    <row r="79" spans="1:26" s="24" customFormat="1" hidden="1" outlineLevel="1" x14ac:dyDescent="0.25">
      <c r="A79" s="46"/>
      <c r="B79" s="11" t="str">
        <f>CONCATENATE("          ", "4147", " - ", "NON-TAXABLE SALES-MISC")</f>
        <v xml:space="preserve">          4147 - NON-TAXABLE SALES-MISC</v>
      </c>
      <c r="C79" s="11"/>
      <c r="D79" s="2">
        <f>--344.5</f>
        <v>344.5</v>
      </c>
      <c r="E79" s="2"/>
      <c r="F79" s="19"/>
      <c r="G79" s="2"/>
      <c r="H79" s="2"/>
      <c r="I79" s="2"/>
      <c r="J79" s="19"/>
      <c r="K79" s="2"/>
      <c r="L79" s="2">
        <f t="shared" si="0"/>
        <v>344.5</v>
      </c>
      <c r="M79" s="2"/>
      <c r="N79" s="19">
        <f t="shared" si="1"/>
        <v>0</v>
      </c>
      <c r="O79" s="11"/>
      <c r="P79" s="2">
        <f>--414.9</f>
        <v>414.9</v>
      </c>
      <c r="Q79" s="2"/>
      <c r="R79" s="19"/>
      <c r="S79" s="2"/>
      <c r="T79" s="2"/>
      <c r="U79" s="2"/>
      <c r="V79" s="19"/>
      <c r="W79" s="2"/>
      <c r="X79" s="2">
        <f t="shared" si="2"/>
        <v>414.9</v>
      </c>
      <c r="Y79" s="2"/>
      <c r="Z79" s="19">
        <f t="shared" si="3"/>
        <v>0</v>
      </c>
    </row>
    <row r="80" spans="1:26" s="24" customFormat="1" hidden="1" outlineLevel="1" x14ac:dyDescent="0.25">
      <c r="A80" s="46"/>
      <c r="B80" s="11" t="str">
        <f>CONCATENATE("          ", "4151", " - ", "NON-TAXABLE SALES-FOOD")</f>
        <v xml:space="preserve">          4151 - NON-TAXABLE SALES-FOOD</v>
      </c>
      <c r="C80" s="11"/>
      <c r="D80" s="2">
        <f>--1788274.53</f>
        <v>1788274.53</v>
      </c>
      <c r="E80" s="2"/>
      <c r="F80" s="19"/>
      <c r="G80" s="2"/>
      <c r="H80" s="2"/>
      <c r="I80" s="2"/>
      <c r="J80" s="19"/>
      <c r="K80" s="2"/>
      <c r="L80" s="2">
        <f t="shared" si="0"/>
        <v>1788274.53</v>
      </c>
      <c r="M80" s="2"/>
      <c r="N80" s="19">
        <f t="shared" si="1"/>
        <v>0</v>
      </c>
      <c r="O80" s="11"/>
      <c r="P80" s="2">
        <f>--2847789.46</f>
        <v>2847789.46</v>
      </c>
      <c r="Q80" s="2"/>
      <c r="R80" s="19"/>
      <c r="S80" s="2"/>
      <c r="T80" s="2"/>
      <c r="U80" s="2"/>
      <c r="V80" s="19"/>
      <c r="W80" s="2"/>
      <c r="X80" s="2">
        <f t="shared" si="2"/>
        <v>2847789.46</v>
      </c>
      <c r="Y80" s="2"/>
      <c r="Z80" s="19">
        <f t="shared" si="3"/>
        <v>0</v>
      </c>
    </row>
    <row r="81" spans="1:26" s="24" customFormat="1" hidden="1" outlineLevel="1" x14ac:dyDescent="0.25">
      <c r="A81" s="46"/>
      <c r="B81" s="11" t="str">
        <f>CONCATENATE("          ", "4152", " - ", "NON-TAXABLE SALES-FOOD")</f>
        <v xml:space="preserve">          4152 - NON-TAXABLE SALES-FOOD</v>
      </c>
      <c r="C81" s="11"/>
      <c r="D81" s="2">
        <f>--8131.54</f>
        <v>8131.54</v>
      </c>
      <c r="E81" s="2"/>
      <c r="F81" s="19"/>
      <c r="G81" s="2"/>
      <c r="H81" s="2"/>
      <c r="I81" s="2"/>
      <c r="J81" s="19"/>
      <c r="K81" s="2"/>
      <c r="L81" s="2">
        <f t="shared" si="0"/>
        <v>8131.54</v>
      </c>
      <c r="M81" s="2"/>
      <c r="N81" s="19">
        <f t="shared" si="1"/>
        <v>0</v>
      </c>
      <c r="O81" s="11"/>
      <c r="P81" s="2">
        <f>--15789.06</f>
        <v>15789.06</v>
      </c>
      <c r="Q81" s="2"/>
      <c r="R81" s="19"/>
      <c r="S81" s="2"/>
      <c r="T81" s="2"/>
      <c r="U81" s="2"/>
      <c r="V81" s="19"/>
      <c r="W81" s="2"/>
      <c r="X81" s="2">
        <f t="shared" si="2"/>
        <v>15789.06</v>
      </c>
      <c r="Y81" s="2"/>
      <c r="Z81" s="19">
        <f t="shared" si="3"/>
        <v>0</v>
      </c>
    </row>
    <row r="82" spans="1:26" s="24" customFormat="1" hidden="1" outlineLevel="1" x14ac:dyDescent="0.25">
      <c r="A82" s="46"/>
      <c r="B82" s="11" t="str">
        <f>CONCATENATE("          ", "4153", " - ", "NON-TAXABLE SALES-FOOD")</f>
        <v xml:space="preserve">          4153 - NON-TAXABLE SALES-FOOD</v>
      </c>
      <c r="C82" s="11"/>
      <c r="D82" s="2">
        <f>--41475.66</f>
        <v>41475.660000000003</v>
      </c>
      <c r="E82" s="2"/>
      <c r="F82" s="19"/>
      <c r="G82" s="2"/>
      <c r="H82" s="2"/>
      <c r="I82" s="2"/>
      <c r="J82" s="19"/>
      <c r="K82" s="2"/>
      <c r="L82" s="2">
        <f t="shared" si="0"/>
        <v>41475.660000000003</v>
      </c>
      <c r="M82" s="2"/>
      <c r="N82" s="19">
        <f t="shared" si="1"/>
        <v>0</v>
      </c>
      <c r="O82" s="11"/>
      <c r="P82" s="2">
        <f>--161692.08</f>
        <v>161692.07999999999</v>
      </c>
      <c r="Q82" s="2"/>
      <c r="R82" s="19"/>
      <c r="S82" s="2"/>
      <c r="T82" s="2"/>
      <c r="U82" s="2"/>
      <c r="V82" s="19"/>
      <c r="W82" s="2"/>
      <c r="X82" s="2">
        <f t="shared" si="2"/>
        <v>161692.07999999999</v>
      </c>
      <c r="Y82" s="2"/>
      <c r="Z82" s="19">
        <f t="shared" si="3"/>
        <v>0</v>
      </c>
    </row>
    <row r="83" spans="1:26" s="24" customFormat="1" hidden="1" outlineLevel="1" x14ac:dyDescent="0.25">
      <c r="A83" s="46"/>
      <c r="B83" s="11" t="str">
        <f>CONCATENATE("          ", "4155", " - ", "NON-TAXABLE SALES-FOOD")</f>
        <v xml:space="preserve">          4155 - NON-TAXABLE SALES-FOOD</v>
      </c>
      <c r="C83" s="11"/>
      <c r="D83" s="2">
        <f>--113029.61</f>
        <v>113029.61</v>
      </c>
      <c r="E83" s="2"/>
      <c r="F83" s="19"/>
      <c r="G83" s="2"/>
      <c r="H83" s="2"/>
      <c r="I83" s="2"/>
      <c r="J83" s="19"/>
      <c r="K83" s="2"/>
      <c r="L83" s="2">
        <f t="shared" si="0"/>
        <v>113029.61</v>
      </c>
      <c r="M83" s="2"/>
      <c r="N83" s="19">
        <f t="shared" si="1"/>
        <v>0</v>
      </c>
      <c r="O83" s="11"/>
      <c r="P83" s="2">
        <f>--184025.65</f>
        <v>184025.65</v>
      </c>
      <c r="Q83" s="2"/>
      <c r="R83" s="19"/>
      <c r="S83" s="2"/>
      <c r="T83" s="2"/>
      <c r="U83" s="2"/>
      <c r="V83" s="19"/>
      <c r="W83" s="2"/>
      <c r="X83" s="2">
        <f t="shared" si="2"/>
        <v>184025.65</v>
      </c>
      <c r="Y83" s="2"/>
      <c r="Z83" s="19">
        <f t="shared" si="3"/>
        <v>0</v>
      </c>
    </row>
    <row r="84" spans="1:26" s="24" customFormat="1" hidden="1" outlineLevel="1" x14ac:dyDescent="0.25">
      <c r="A84" s="46"/>
      <c r="B84" s="11" t="str">
        <f>CONCATENATE("          ", "4158", " - ", "NON-TAXABLE SALES-FOOD")</f>
        <v xml:space="preserve">          4158 - NON-TAXABLE SALES-FOOD</v>
      </c>
      <c r="C84" s="11"/>
      <c r="D84" s="2">
        <f>--71876.72</f>
        <v>71876.72</v>
      </c>
      <c r="E84" s="2"/>
      <c r="F84" s="19"/>
      <c r="G84" s="2"/>
      <c r="H84" s="2"/>
      <c r="I84" s="2"/>
      <c r="J84" s="19"/>
      <c r="K84" s="2"/>
      <c r="L84" s="2">
        <f t="shared" si="0"/>
        <v>71876.72</v>
      </c>
      <c r="M84" s="2"/>
      <c r="N84" s="19">
        <f t="shared" si="1"/>
        <v>0</v>
      </c>
      <c r="O84" s="11"/>
      <c r="P84" s="2">
        <f>--112246.63</f>
        <v>112246.63</v>
      </c>
      <c r="Q84" s="2"/>
      <c r="R84" s="19"/>
      <c r="S84" s="2"/>
      <c r="T84" s="2"/>
      <c r="U84" s="2"/>
      <c r="V84" s="19"/>
      <c r="W84" s="2"/>
      <c r="X84" s="2">
        <f t="shared" si="2"/>
        <v>112246.63</v>
      </c>
      <c r="Y84" s="2"/>
      <c r="Z84" s="19">
        <f t="shared" si="3"/>
        <v>0</v>
      </c>
    </row>
    <row r="85" spans="1:26" s="24" customFormat="1" hidden="1" outlineLevel="1" x14ac:dyDescent="0.25">
      <c r="A85" s="46"/>
      <c r="B85" s="11" t="str">
        <f>CONCATENATE("          ", "4181", " - ", "NON-TAXABLE SALES-ELECTRONICS")</f>
        <v xml:space="preserve">          4181 - NON-TAXABLE SALES-ELECTRONICS</v>
      </c>
      <c r="C85" s="11"/>
      <c r="D85" s="2">
        <f>--63.96</f>
        <v>63.96</v>
      </c>
      <c r="E85" s="2"/>
      <c r="F85" s="19"/>
      <c r="G85" s="2"/>
      <c r="H85" s="2"/>
      <c r="I85" s="2"/>
      <c r="J85" s="19"/>
      <c r="K85" s="2"/>
      <c r="L85" s="2">
        <f t="shared" si="0"/>
        <v>63.96</v>
      </c>
      <c r="M85" s="2"/>
      <c r="N85" s="19">
        <f t="shared" si="1"/>
        <v>0</v>
      </c>
      <c r="O85" s="11"/>
      <c r="P85" s="2">
        <f>--1454.52</f>
        <v>1454.52</v>
      </c>
      <c r="Q85" s="2"/>
      <c r="R85" s="19"/>
      <c r="S85" s="2"/>
      <c r="T85" s="2"/>
      <c r="U85" s="2"/>
      <c r="V85" s="19"/>
      <c r="W85" s="2"/>
      <c r="X85" s="2">
        <f t="shared" si="2"/>
        <v>1454.52</v>
      </c>
      <c r="Y85" s="2"/>
      <c r="Z85" s="19">
        <f t="shared" si="3"/>
        <v>0</v>
      </c>
    </row>
    <row r="86" spans="1:26" s="24" customFormat="1" hidden="1" outlineLevel="1" x14ac:dyDescent="0.25">
      <c r="A86" s="46"/>
      <c r="B86" s="11" t="str">
        <f>CONCATENATE("          ", "4182", " - ", "NON-TAXABLE SALES-COMPUTER HAR")</f>
        <v xml:space="preserve">          4182 - NON-TAXABLE SALES-COMPUTER HAR</v>
      </c>
      <c r="C86" s="11"/>
      <c r="D86" s="2">
        <f>--15231</f>
        <v>15231</v>
      </c>
      <c r="E86" s="2"/>
      <c r="F86" s="19"/>
      <c r="G86" s="2"/>
      <c r="H86" s="2"/>
      <c r="I86" s="2"/>
      <c r="J86" s="19"/>
      <c r="K86" s="2"/>
      <c r="L86" s="2">
        <f t="shared" si="0"/>
        <v>15231</v>
      </c>
      <c r="M86" s="2"/>
      <c r="N86" s="19">
        <f t="shared" si="1"/>
        <v>0</v>
      </c>
      <c r="O86" s="11"/>
      <c r="P86" s="2">
        <f>--45802</f>
        <v>45802</v>
      </c>
      <c r="Q86" s="2"/>
      <c r="R86" s="19"/>
      <c r="S86" s="2"/>
      <c r="T86" s="2"/>
      <c r="U86" s="2"/>
      <c r="V86" s="19"/>
      <c r="W86" s="2"/>
      <c r="X86" s="2">
        <f t="shared" si="2"/>
        <v>45802</v>
      </c>
      <c r="Y86" s="2"/>
      <c r="Z86" s="19">
        <f t="shared" si="3"/>
        <v>0</v>
      </c>
    </row>
    <row r="87" spans="1:26" s="24" customFormat="1" hidden="1" outlineLevel="1" x14ac:dyDescent="0.25">
      <c r="A87" s="46"/>
      <c r="B87" s="11" t="str">
        <f>CONCATENATE("          ", "4183", " - ", "NON-TAXABLE SALES-COMPUTER EQU")</f>
        <v xml:space="preserve">          4183 - NON-TAXABLE SALES-COMPUTER EQU</v>
      </c>
      <c r="C87" s="11"/>
      <c r="D87" s="2">
        <f>--864.82</f>
        <v>864.82</v>
      </c>
      <c r="E87" s="2"/>
      <c r="F87" s="19"/>
      <c r="G87" s="2"/>
      <c r="H87" s="2"/>
      <c r="I87" s="2"/>
      <c r="J87" s="19"/>
      <c r="K87" s="2"/>
      <c r="L87" s="2">
        <f t="shared" si="0"/>
        <v>864.82</v>
      </c>
      <c r="M87" s="2"/>
      <c r="N87" s="19">
        <f t="shared" si="1"/>
        <v>0</v>
      </c>
      <c r="O87" s="11"/>
      <c r="P87" s="2">
        <f>--2021.11</f>
        <v>2021.11</v>
      </c>
      <c r="Q87" s="2"/>
      <c r="R87" s="19"/>
      <c r="S87" s="2"/>
      <c r="T87" s="2"/>
      <c r="U87" s="2"/>
      <c r="V87" s="19"/>
      <c r="W87" s="2"/>
      <c r="X87" s="2">
        <f t="shared" si="2"/>
        <v>2021.11</v>
      </c>
      <c r="Y87" s="2"/>
      <c r="Z87" s="19">
        <f t="shared" si="3"/>
        <v>0</v>
      </c>
    </row>
    <row r="88" spans="1:26" s="24" customFormat="1" hidden="1" outlineLevel="1" x14ac:dyDescent="0.25">
      <c r="A88" s="46"/>
      <c r="B88" s="11" t="str">
        <f>CONCATENATE("          ", "4184", " - ", "NON-TAXABLE SALES-SOFTWARE LIC")</f>
        <v xml:space="preserve">          4184 - NON-TAXABLE SALES-SOFTWARE LIC</v>
      </c>
      <c r="C88" s="11"/>
      <c r="D88" s="2">
        <f>0</f>
        <v>0</v>
      </c>
      <c r="E88" s="2"/>
      <c r="F88" s="19"/>
      <c r="G88" s="2"/>
      <c r="H88" s="2"/>
      <c r="I88" s="2"/>
      <c r="J88" s="19"/>
      <c r="K88" s="2"/>
      <c r="L88" s="2">
        <f t="shared" si="0"/>
        <v>0</v>
      </c>
      <c r="M88" s="2"/>
      <c r="N88" s="19">
        <f t="shared" si="1"/>
        <v>0</v>
      </c>
      <c r="O88" s="11"/>
      <c r="P88" s="2">
        <f>--1522</f>
        <v>1522</v>
      </c>
      <c r="Q88" s="2"/>
      <c r="R88" s="19"/>
      <c r="S88" s="2"/>
      <c r="T88" s="2"/>
      <c r="U88" s="2"/>
      <c r="V88" s="19"/>
      <c r="W88" s="2"/>
      <c r="X88" s="2">
        <f t="shared" si="2"/>
        <v>1522</v>
      </c>
      <c r="Y88" s="2"/>
      <c r="Z88" s="19">
        <f t="shared" si="3"/>
        <v>0</v>
      </c>
    </row>
    <row r="89" spans="1:26" s="24" customFormat="1" hidden="1" outlineLevel="1" x14ac:dyDescent="0.25">
      <c r="A89" s="46"/>
      <c r="B89" s="11" t="str">
        <f>CONCATENATE("          ", "4185", " - ", "NON-TAXABLE SALES-SOFTWARE")</f>
        <v xml:space="preserve">          4185 - NON-TAXABLE SALES-SOFTWARE</v>
      </c>
      <c r="C89" s="11"/>
      <c r="D89" s="2">
        <f>--2555.94</f>
        <v>2555.94</v>
      </c>
      <c r="E89" s="2"/>
      <c r="F89" s="19"/>
      <c r="G89" s="2"/>
      <c r="H89" s="2"/>
      <c r="I89" s="2"/>
      <c r="J89" s="19"/>
      <c r="K89" s="2"/>
      <c r="L89" s="2">
        <f t="shared" si="0"/>
        <v>2555.94</v>
      </c>
      <c r="M89" s="2"/>
      <c r="N89" s="19">
        <f t="shared" si="1"/>
        <v>0</v>
      </c>
      <c r="O89" s="11"/>
      <c r="P89" s="2">
        <f>--7077.94</f>
        <v>7077.94</v>
      </c>
      <c r="Q89" s="2"/>
      <c r="R89" s="19"/>
      <c r="S89" s="2"/>
      <c r="T89" s="2"/>
      <c r="U89" s="2"/>
      <c r="V89" s="19"/>
      <c r="W89" s="2"/>
      <c r="X89" s="2">
        <f t="shared" si="2"/>
        <v>7077.94</v>
      </c>
      <c r="Y89" s="2"/>
      <c r="Z89" s="19">
        <f t="shared" si="3"/>
        <v>0</v>
      </c>
    </row>
    <row r="90" spans="1:26" s="24" customFormat="1" hidden="1" outlineLevel="1" x14ac:dyDescent="0.25">
      <c r="A90" s="46"/>
      <c r="B90" s="11" t="str">
        <f>CONCATENATE("          ", "4186", " - ", "NON-TAXABLE SALES-COMPUTER SUP")</f>
        <v xml:space="preserve">          4186 - NON-TAXABLE SALES-COMPUTER SUP</v>
      </c>
      <c r="C90" s="11"/>
      <c r="D90" s="2">
        <f>--450.88</f>
        <v>450.88</v>
      </c>
      <c r="E90" s="2"/>
      <c r="F90" s="19"/>
      <c r="G90" s="2"/>
      <c r="H90" s="2"/>
      <c r="I90" s="2"/>
      <c r="J90" s="19"/>
      <c r="K90" s="2"/>
      <c r="L90" s="2">
        <f t="shared" si="0"/>
        <v>450.88</v>
      </c>
      <c r="M90" s="2"/>
      <c r="N90" s="19">
        <f t="shared" si="1"/>
        <v>0</v>
      </c>
      <c r="O90" s="11"/>
      <c r="P90" s="2">
        <f>--725.78</f>
        <v>725.78</v>
      </c>
      <c r="Q90" s="2"/>
      <c r="R90" s="19"/>
      <c r="S90" s="2"/>
      <c r="T90" s="2"/>
      <c r="U90" s="2"/>
      <c r="V90" s="19"/>
      <c r="W90" s="2"/>
      <c r="X90" s="2">
        <f t="shared" si="2"/>
        <v>725.78</v>
      </c>
      <c r="Y90" s="2"/>
      <c r="Z90" s="19">
        <f t="shared" si="3"/>
        <v>0</v>
      </c>
    </row>
    <row r="91" spans="1:26" s="24" customFormat="1" hidden="1" outlineLevel="1" x14ac:dyDescent="0.25">
      <c r="A91" s="46"/>
      <c r="B91" s="11" t="str">
        <f>CONCATENATE("          ", "4188", " - ", "NON-TAXABLE SALES-MUSIC")</f>
        <v xml:space="preserve">          4188 - NON-TAXABLE SALES-MUSIC</v>
      </c>
      <c r="C91" s="11"/>
      <c r="D91" s="2">
        <f>--119.98</f>
        <v>119.98</v>
      </c>
      <c r="E91" s="2"/>
      <c r="F91" s="19"/>
      <c r="G91" s="2"/>
      <c r="H91" s="2"/>
      <c r="I91" s="2"/>
      <c r="J91" s="19"/>
      <c r="K91" s="2"/>
      <c r="L91" s="2">
        <f t="shared" si="0"/>
        <v>119.98</v>
      </c>
      <c r="M91" s="2"/>
      <c r="N91" s="19">
        <f t="shared" si="1"/>
        <v>0</v>
      </c>
      <c r="O91" s="11"/>
      <c r="P91" s="2">
        <f>--219.96</f>
        <v>219.96</v>
      </c>
      <c r="Q91" s="2"/>
      <c r="R91" s="19"/>
      <c r="S91" s="2"/>
      <c r="T91" s="2"/>
      <c r="U91" s="2"/>
      <c r="V91" s="19"/>
      <c r="W91" s="2"/>
      <c r="X91" s="2">
        <f t="shared" si="2"/>
        <v>219.96</v>
      </c>
      <c r="Y91" s="2"/>
      <c r="Z91" s="19">
        <f t="shared" si="3"/>
        <v>0</v>
      </c>
    </row>
    <row r="92" spans="1:26" s="24" customFormat="1" hidden="1" outlineLevel="1" x14ac:dyDescent="0.25">
      <c r="A92" s="46"/>
      <c r="B92" s="11" t="str">
        <f>CONCATENATE("          ", "4201", " - ", "SALES RETURN TAXABLE-NEW TEXT")</f>
        <v xml:space="preserve">          4201 - SALES RETURN TAXABLE-NEW TEXT</v>
      </c>
      <c r="C92" s="11"/>
      <c r="D92" s="2">
        <f>-14069.34</f>
        <v>-14069.34</v>
      </c>
      <c r="E92" s="2"/>
      <c r="F92" s="19"/>
      <c r="G92" s="2"/>
      <c r="H92" s="2"/>
      <c r="I92" s="2"/>
      <c r="J92" s="19"/>
      <c r="K92" s="2"/>
      <c r="L92" s="2">
        <f t="shared" si="0"/>
        <v>-14069.34</v>
      </c>
      <c r="M92" s="2"/>
      <c r="N92" s="19">
        <f t="shared" si="1"/>
        <v>0</v>
      </c>
      <c r="O92" s="11"/>
      <c r="P92" s="2">
        <f>-73239.75</f>
        <v>-73239.75</v>
      </c>
      <c r="Q92" s="2"/>
      <c r="R92" s="19"/>
      <c r="S92" s="2"/>
      <c r="T92" s="2"/>
      <c r="U92" s="2"/>
      <c r="V92" s="19"/>
      <c r="W92" s="2"/>
      <c r="X92" s="2">
        <f t="shared" si="2"/>
        <v>-73239.75</v>
      </c>
      <c r="Y92" s="2"/>
      <c r="Z92" s="19">
        <f t="shared" si="3"/>
        <v>0</v>
      </c>
    </row>
    <row r="93" spans="1:26" s="24" customFormat="1" hidden="1" outlineLevel="1" x14ac:dyDescent="0.25">
      <c r="A93" s="46"/>
      <c r="B93" s="11" t="str">
        <f>CONCATENATE("          ", "4202", " - ", "SALES RETURN TAXABLE-USED TEXT")</f>
        <v xml:space="preserve">          4202 - SALES RETURN TAXABLE-USED TEXT</v>
      </c>
      <c r="C93" s="11"/>
      <c r="D93" s="2">
        <f>-2096.65</f>
        <v>-2096.65</v>
      </c>
      <c r="E93" s="2"/>
      <c r="F93" s="19"/>
      <c r="G93" s="2"/>
      <c r="H93" s="2"/>
      <c r="I93" s="2"/>
      <c r="J93" s="19"/>
      <c r="K93" s="2"/>
      <c r="L93" s="2">
        <f t="shared" si="0"/>
        <v>-2096.65</v>
      </c>
      <c r="M93" s="2"/>
      <c r="N93" s="19">
        <f t="shared" si="1"/>
        <v>0</v>
      </c>
      <c r="O93" s="11"/>
      <c r="P93" s="2">
        <f>-23351.1</f>
        <v>-23351.1</v>
      </c>
      <c r="Q93" s="2"/>
      <c r="R93" s="19"/>
      <c r="S93" s="2"/>
      <c r="T93" s="2"/>
      <c r="U93" s="2"/>
      <c r="V93" s="19"/>
      <c r="W93" s="2"/>
      <c r="X93" s="2">
        <f t="shared" si="2"/>
        <v>-23351.1</v>
      </c>
      <c r="Y93" s="2"/>
      <c r="Z93" s="19">
        <f t="shared" si="3"/>
        <v>0</v>
      </c>
    </row>
    <row r="94" spans="1:26" s="24" customFormat="1" hidden="1" outlineLevel="1" x14ac:dyDescent="0.25">
      <c r="A94" s="46"/>
      <c r="B94" s="11" t="str">
        <f>CONCATENATE("          ", "4203", " - ", "SALES RETURN TAXABLE-RENTAL TE")</f>
        <v xml:space="preserve">          4203 - SALES RETURN TAXABLE-RENTAL TE</v>
      </c>
      <c r="C94" s="11"/>
      <c r="D94" s="2">
        <f>-144.99</f>
        <v>-144.99</v>
      </c>
      <c r="E94" s="2"/>
      <c r="F94" s="19"/>
      <c r="G94" s="2"/>
      <c r="H94" s="2"/>
      <c r="I94" s="2"/>
      <c r="J94" s="19"/>
      <c r="K94" s="2"/>
      <c r="L94" s="2">
        <f t="shared" si="0"/>
        <v>-144.99</v>
      </c>
      <c r="M94" s="2"/>
      <c r="N94" s="19">
        <f t="shared" si="1"/>
        <v>0</v>
      </c>
      <c r="O94" s="11"/>
      <c r="P94" s="2">
        <f>-144.99</f>
        <v>-144.99</v>
      </c>
      <c r="Q94" s="2"/>
      <c r="R94" s="19"/>
      <c r="S94" s="2"/>
      <c r="T94" s="2"/>
      <c r="U94" s="2"/>
      <c r="V94" s="19"/>
      <c r="W94" s="2"/>
      <c r="X94" s="2">
        <f t="shared" si="2"/>
        <v>-144.99</v>
      </c>
      <c r="Y94" s="2"/>
      <c r="Z94" s="19">
        <f t="shared" si="3"/>
        <v>0</v>
      </c>
    </row>
    <row r="95" spans="1:26" s="24" customFormat="1" hidden="1" outlineLevel="1" x14ac:dyDescent="0.25">
      <c r="A95" s="46"/>
      <c r="B95" s="11" t="str">
        <f>CONCATENATE("          ", "4204", " - ", "SALES RETURN TAXABLE-DIGITAL T")</f>
        <v xml:space="preserve">          4204 - SALES RETURN TAXABLE-DIGITAL T</v>
      </c>
      <c r="C95" s="11"/>
      <c r="D95" s="2">
        <f>-4208.35</f>
        <v>-4208.3500000000004</v>
      </c>
      <c r="E95" s="2"/>
      <c r="F95" s="19"/>
      <c r="G95" s="2"/>
      <c r="H95" s="2"/>
      <c r="I95" s="2"/>
      <c r="J95" s="19"/>
      <c r="K95" s="2"/>
      <c r="L95" s="2">
        <f t="shared" si="0"/>
        <v>-4208.3500000000004</v>
      </c>
      <c r="M95" s="2"/>
      <c r="N95" s="19">
        <f t="shared" si="1"/>
        <v>0</v>
      </c>
      <c r="O95" s="11"/>
      <c r="P95" s="2">
        <f>-11056.72</f>
        <v>-11056.72</v>
      </c>
      <c r="Q95" s="2"/>
      <c r="R95" s="19"/>
      <c r="S95" s="2"/>
      <c r="T95" s="2"/>
      <c r="U95" s="2"/>
      <c r="V95" s="19"/>
      <c r="W95" s="2"/>
      <c r="X95" s="2">
        <f t="shared" si="2"/>
        <v>-11056.72</v>
      </c>
      <c r="Y95" s="2"/>
      <c r="Z95" s="19">
        <f t="shared" si="3"/>
        <v>0</v>
      </c>
    </row>
    <row r="96" spans="1:26" s="24" customFormat="1" hidden="1" outlineLevel="1" x14ac:dyDescent="0.25">
      <c r="A96" s="46"/>
      <c r="B96" s="11" t="str">
        <f>CONCATENATE("          ", "4218", " - ", "SALES RETURN TAXABLE-STUDY GUI")</f>
        <v xml:space="preserve">          4218 - SALES RETURN TAXABLE-STUDY GUI</v>
      </c>
      <c r="C96" s="11"/>
      <c r="D96" s="2">
        <f>-5.95</f>
        <v>-5.95</v>
      </c>
      <c r="E96" s="2"/>
      <c r="F96" s="19"/>
      <c r="G96" s="2"/>
      <c r="H96" s="2"/>
      <c r="I96" s="2"/>
      <c r="J96" s="19"/>
      <c r="K96" s="2"/>
      <c r="L96" s="2">
        <f t="shared" si="0"/>
        <v>-5.95</v>
      </c>
      <c r="M96" s="2"/>
      <c r="N96" s="19">
        <f t="shared" si="1"/>
        <v>0</v>
      </c>
      <c r="O96" s="11"/>
      <c r="P96" s="2">
        <f>-32.75</f>
        <v>-32.75</v>
      </c>
      <c r="Q96" s="2"/>
      <c r="R96" s="19"/>
      <c r="S96" s="2"/>
      <c r="T96" s="2"/>
      <c r="U96" s="2"/>
      <c r="V96" s="19"/>
      <c r="W96" s="2"/>
      <c r="X96" s="2">
        <f t="shared" si="2"/>
        <v>-32.75</v>
      </c>
      <c r="Y96" s="2"/>
      <c r="Z96" s="19">
        <f t="shared" si="3"/>
        <v>0</v>
      </c>
    </row>
    <row r="97" spans="1:26" s="24" customFormat="1" hidden="1" outlineLevel="1" x14ac:dyDescent="0.25">
      <c r="A97" s="46"/>
      <c r="B97" s="11" t="str">
        <f>CONCATENATE("          ", "4225", " - ", "SALES RETURN TAXABLE-TEST FORM")</f>
        <v xml:space="preserve">          4225 - SALES RETURN TAXABLE-TEST FORM</v>
      </c>
      <c r="C97" s="11"/>
      <c r="D97" s="2">
        <f>-20.41</f>
        <v>-20.41</v>
      </c>
      <c r="E97" s="2"/>
      <c r="F97" s="19"/>
      <c r="G97" s="2"/>
      <c r="H97" s="2"/>
      <c r="I97" s="2"/>
      <c r="J97" s="19"/>
      <c r="K97" s="2"/>
      <c r="L97" s="2">
        <f t="shared" si="0"/>
        <v>-20.41</v>
      </c>
      <c r="M97" s="2"/>
      <c r="N97" s="19">
        <f t="shared" si="1"/>
        <v>0</v>
      </c>
      <c r="O97" s="11"/>
      <c r="P97" s="2">
        <f>-33.1</f>
        <v>-33.1</v>
      </c>
      <c r="Q97" s="2"/>
      <c r="R97" s="19"/>
      <c r="S97" s="2"/>
      <c r="T97" s="2"/>
      <c r="U97" s="2"/>
      <c r="V97" s="19"/>
      <c r="W97" s="2"/>
      <c r="X97" s="2">
        <f t="shared" si="2"/>
        <v>-33.1</v>
      </c>
      <c r="Y97" s="2"/>
      <c r="Z97" s="19">
        <f t="shared" si="3"/>
        <v>0</v>
      </c>
    </row>
    <row r="98" spans="1:26" s="24" customFormat="1" hidden="1" outlineLevel="1" x14ac:dyDescent="0.25">
      <c r="A98" s="46"/>
      <c r="B98" s="11" t="str">
        <f>CONCATENATE("          ", "4226", " - ", "SALES RETURN TAXABLE-WRITING I")</f>
        <v xml:space="preserve">          4226 - SALES RETURN TAXABLE-WRITING I</v>
      </c>
      <c r="C98" s="11"/>
      <c r="D98" s="2">
        <f>-184.86</f>
        <v>-184.86</v>
      </c>
      <c r="E98" s="2"/>
      <c r="F98" s="19"/>
      <c r="G98" s="2"/>
      <c r="H98" s="2"/>
      <c r="I98" s="2"/>
      <c r="J98" s="19"/>
      <c r="K98" s="2"/>
      <c r="L98" s="2">
        <f t="shared" si="0"/>
        <v>-184.86</v>
      </c>
      <c r="M98" s="2"/>
      <c r="N98" s="19">
        <f t="shared" si="1"/>
        <v>0</v>
      </c>
      <c r="O98" s="11"/>
      <c r="P98" s="2">
        <f>-309.07</f>
        <v>-309.07</v>
      </c>
      <c r="Q98" s="2"/>
      <c r="R98" s="19"/>
      <c r="S98" s="2"/>
      <c r="T98" s="2"/>
      <c r="U98" s="2"/>
      <c r="V98" s="19"/>
      <c r="W98" s="2"/>
      <c r="X98" s="2">
        <f t="shared" si="2"/>
        <v>-309.07</v>
      </c>
      <c r="Y98" s="2"/>
      <c r="Z98" s="19">
        <f t="shared" si="3"/>
        <v>0</v>
      </c>
    </row>
    <row r="99" spans="1:26" s="24" customFormat="1" hidden="1" outlineLevel="1" x14ac:dyDescent="0.25">
      <c r="A99" s="46"/>
      <c r="B99" s="11" t="str">
        <f>CONCATENATE("          ", "4227", " - ", "SALES RETURN TAXABLE-SCHOOL SU")</f>
        <v xml:space="preserve">          4227 - SALES RETURN TAXABLE-SCHOOL SU</v>
      </c>
      <c r="C99" s="11"/>
      <c r="D99" s="2">
        <f>-2805.04</f>
        <v>-2805.04</v>
      </c>
      <c r="E99" s="2"/>
      <c r="F99" s="19"/>
      <c r="G99" s="2"/>
      <c r="H99" s="2"/>
      <c r="I99" s="2"/>
      <c r="J99" s="19"/>
      <c r="K99" s="2"/>
      <c r="L99" s="2">
        <f t="shared" si="0"/>
        <v>-2805.04</v>
      </c>
      <c r="M99" s="2"/>
      <c r="N99" s="19">
        <f t="shared" si="1"/>
        <v>0</v>
      </c>
      <c r="O99" s="11"/>
      <c r="P99" s="2">
        <f>-4501.63</f>
        <v>-4501.63</v>
      </c>
      <c r="Q99" s="2"/>
      <c r="R99" s="19"/>
      <c r="S99" s="2"/>
      <c r="T99" s="2"/>
      <c r="U99" s="2"/>
      <c r="V99" s="19"/>
      <c r="W99" s="2"/>
      <c r="X99" s="2">
        <f t="shared" si="2"/>
        <v>-4501.63</v>
      </c>
      <c r="Y99" s="2"/>
      <c r="Z99" s="19">
        <f t="shared" si="3"/>
        <v>0</v>
      </c>
    </row>
    <row r="100" spans="1:26" s="24" customFormat="1" hidden="1" outlineLevel="1" x14ac:dyDescent="0.25">
      <c r="A100" s="46"/>
      <c r="B100" s="11" t="str">
        <f>CONCATENATE("          ", "4228", " - ", "SALES RETURN TAXABLE-ART/TECH")</f>
        <v xml:space="preserve">          4228 - SALES RETURN TAXABLE-ART/TECH</v>
      </c>
      <c r="C100" s="11"/>
      <c r="D100" s="2">
        <f>-1058.54</f>
        <v>-1058.54</v>
      </c>
      <c r="E100" s="2"/>
      <c r="F100" s="19"/>
      <c r="G100" s="2"/>
      <c r="H100" s="2"/>
      <c r="I100" s="2"/>
      <c r="J100" s="19"/>
      <c r="K100" s="2"/>
      <c r="L100" s="2">
        <f t="shared" si="0"/>
        <v>-1058.54</v>
      </c>
      <c r="M100" s="2"/>
      <c r="N100" s="19">
        <f t="shared" si="1"/>
        <v>0</v>
      </c>
      <c r="O100" s="11"/>
      <c r="P100" s="2">
        <f>-1927.27</f>
        <v>-1927.27</v>
      </c>
      <c r="Q100" s="2"/>
      <c r="R100" s="19"/>
      <c r="S100" s="2"/>
      <c r="T100" s="2"/>
      <c r="U100" s="2"/>
      <c r="V100" s="19"/>
      <c r="W100" s="2"/>
      <c r="X100" s="2">
        <f t="shared" si="2"/>
        <v>-1927.27</v>
      </c>
      <c r="Y100" s="2"/>
      <c r="Z100" s="19">
        <f t="shared" si="3"/>
        <v>0</v>
      </c>
    </row>
    <row r="101" spans="1:26" s="24" customFormat="1" hidden="1" outlineLevel="1" x14ac:dyDescent="0.25">
      <c r="A101" s="46"/>
      <c r="B101" s="11" t="str">
        <f>CONCATENATE("          ", "4240", " - ", "SALES RETURN TAXABLE-LOGO CLOT")</f>
        <v xml:space="preserve">          4240 - SALES RETURN TAXABLE-LOGO CLOT</v>
      </c>
      <c r="C101" s="11"/>
      <c r="D101" s="2">
        <f>-9538.49</f>
        <v>-9538.49</v>
      </c>
      <c r="E101" s="2"/>
      <c r="F101" s="19"/>
      <c r="G101" s="2"/>
      <c r="H101" s="2"/>
      <c r="I101" s="2"/>
      <c r="J101" s="19"/>
      <c r="K101" s="2"/>
      <c r="L101" s="2">
        <f t="shared" si="0"/>
        <v>-9538.49</v>
      </c>
      <c r="M101" s="2"/>
      <c r="N101" s="19">
        <f t="shared" si="1"/>
        <v>0</v>
      </c>
      <c r="O101" s="11"/>
      <c r="P101" s="2">
        <f>-20792.98</f>
        <v>-20792.98</v>
      </c>
      <c r="Q101" s="2"/>
      <c r="R101" s="19"/>
      <c r="S101" s="2"/>
      <c r="T101" s="2"/>
      <c r="U101" s="2"/>
      <c r="V101" s="19"/>
      <c r="W101" s="2"/>
      <c r="X101" s="2">
        <f t="shared" si="2"/>
        <v>-20792.98</v>
      </c>
      <c r="Y101" s="2"/>
      <c r="Z101" s="19">
        <f t="shared" si="3"/>
        <v>0</v>
      </c>
    </row>
    <row r="102" spans="1:26" s="24" customFormat="1" hidden="1" outlineLevel="1" x14ac:dyDescent="0.25">
      <c r="A102" s="46"/>
      <c r="B102" s="11" t="str">
        <f>CONCATENATE("          ", "4241", " - ", "SALES RETURN TAXABLE-LOGO GIFT")</f>
        <v xml:space="preserve">          4241 - SALES RETURN TAXABLE-LOGO GIFT</v>
      </c>
      <c r="C102" s="11"/>
      <c r="D102" s="2">
        <f>-700.87</f>
        <v>-700.87</v>
      </c>
      <c r="E102" s="2"/>
      <c r="F102" s="19"/>
      <c r="G102" s="2"/>
      <c r="H102" s="2"/>
      <c r="I102" s="2"/>
      <c r="J102" s="19"/>
      <c r="K102" s="2"/>
      <c r="L102" s="2">
        <f t="shared" si="0"/>
        <v>-700.87</v>
      </c>
      <c r="M102" s="2"/>
      <c r="N102" s="19">
        <f t="shared" si="1"/>
        <v>0</v>
      </c>
      <c r="O102" s="11"/>
      <c r="P102" s="2">
        <f>-2390.88</f>
        <v>-2390.88</v>
      </c>
      <c r="Q102" s="2"/>
      <c r="R102" s="19"/>
      <c r="S102" s="2"/>
      <c r="T102" s="2"/>
      <c r="U102" s="2"/>
      <c r="V102" s="19"/>
      <c r="W102" s="2"/>
      <c r="X102" s="2">
        <f t="shared" si="2"/>
        <v>-2390.88</v>
      </c>
      <c r="Y102" s="2"/>
      <c r="Z102" s="19">
        <f t="shared" si="3"/>
        <v>0</v>
      </c>
    </row>
    <row r="103" spans="1:26" s="24" customFormat="1" hidden="1" outlineLevel="1" x14ac:dyDescent="0.25">
      <c r="A103" s="46"/>
      <c r="B103" s="11" t="str">
        <f>CONCATENATE("          ", "4242", " - ", "SALES RETURN TAXABLE-EVERYDAY")</f>
        <v xml:space="preserve">          4242 - SALES RETURN TAXABLE-EVERYDAY</v>
      </c>
      <c r="C103" s="11"/>
      <c r="D103" s="2">
        <f>-169.66</f>
        <v>-169.66</v>
      </c>
      <c r="E103" s="2"/>
      <c r="F103" s="19"/>
      <c r="G103" s="2"/>
      <c r="H103" s="2"/>
      <c r="I103" s="2"/>
      <c r="J103" s="19"/>
      <c r="K103" s="2"/>
      <c r="L103" s="2">
        <f t="shared" si="0"/>
        <v>-169.66</v>
      </c>
      <c r="M103" s="2"/>
      <c r="N103" s="19">
        <f t="shared" si="1"/>
        <v>0</v>
      </c>
      <c r="O103" s="11"/>
      <c r="P103" s="2">
        <f>-994.47</f>
        <v>-994.47</v>
      </c>
      <c r="Q103" s="2"/>
      <c r="R103" s="19"/>
      <c r="S103" s="2"/>
      <c r="T103" s="2"/>
      <c r="U103" s="2"/>
      <c r="V103" s="19"/>
      <c r="W103" s="2"/>
      <c r="X103" s="2">
        <f t="shared" si="2"/>
        <v>-994.47</v>
      </c>
      <c r="Y103" s="2"/>
      <c r="Z103" s="19">
        <f t="shared" si="3"/>
        <v>0</v>
      </c>
    </row>
    <row r="104" spans="1:26" s="24" customFormat="1" hidden="1" outlineLevel="1" x14ac:dyDescent="0.25">
      <c r="A104" s="46"/>
      <c r="B104" s="11" t="str">
        <f>CONCATENATE("          ", "4243", " - ", "SALES RETURN TAXABLE-CARDS")</f>
        <v xml:space="preserve">          4243 - SALES RETURN TAXABLE-CARDS</v>
      </c>
      <c r="C104" s="11"/>
      <c r="D104" s="2">
        <f>-4.5</f>
        <v>-4.5</v>
      </c>
      <c r="E104" s="2"/>
      <c r="F104" s="19"/>
      <c r="G104" s="2"/>
      <c r="H104" s="2"/>
      <c r="I104" s="2"/>
      <c r="J104" s="19"/>
      <c r="K104" s="2"/>
      <c r="L104" s="2">
        <f t="shared" si="0"/>
        <v>-4.5</v>
      </c>
      <c r="M104" s="2"/>
      <c r="N104" s="19">
        <f t="shared" si="1"/>
        <v>0</v>
      </c>
      <c r="O104" s="11"/>
      <c r="P104" s="2">
        <f>-4.5</f>
        <v>-4.5</v>
      </c>
      <c r="Q104" s="2"/>
      <c r="R104" s="19"/>
      <c r="S104" s="2"/>
      <c r="T104" s="2"/>
      <c r="U104" s="2"/>
      <c r="V104" s="19"/>
      <c r="W104" s="2"/>
      <c r="X104" s="2">
        <f t="shared" si="2"/>
        <v>-4.5</v>
      </c>
      <c r="Y104" s="2"/>
      <c r="Z104" s="19">
        <f t="shared" si="3"/>
        <v>0</v>
      </c>
    </row>
    <row r="105" spans="1:26" s="24" customFormat="1" hidden="1" outlineLevel="1" x14ac:dyDescent="0.25">
      <c r="A105" s="46"/>
      <c r="B105" s="11" t="str">
        <f>CONCATENATE("          ", "4244", " - ", "SALES RETURN TAXABLE-ACCESSORI")</f>
        <v xml:space="preserve">          4244 - SALES RETURN TAXABLE-ACCESSORI</v>
      </c>
      <c r="C105" s="11"/>
      <c r="D105" s="2">
        <f>-704.04</f>
        <v>-704.04</v>
      </c>
      <c r="E105" s="2"/>
      <c r="F105" s="19"/>
      <c r="G105" s="2"/>
      <c r="H105" s="2"/>
      <c r="I105" s="2"/>
      <c r="J105" s="19"/>
      <c r="K105" s="2"/>
      <c r="L105" s="2">
        <f t="shared" si="0"/>
        <v>-704.04</v>
      </c>
      <c r="M105" s="2"/>
      <c r="N105" s="19">
        <f t="shared" si="1"/>
        <v>0</v>
      </c>
      <c r="O105" s="11"/>
      <c r="P105" s="2">
        <f>-1254.51</f>
        <v>-1254.51</v>
      </c>
      <c r="Q105" s="2"/>
      <c r="R105" s="19"/>
      <c r="S105" s="2"/>
      <c r="T105" s="2"/>
      <c r="U105" s="2"/>
      <c r="V105" s="19"/>
      <c r="W105" s="2"/>
      <c r="X105" s="2">
        <f t="shared" si="2"/>
        <v>-1254.51</v>
      </c>
      <c r="Y105" s="2"/>
      <c r="Z105" s="19">
        <f t="shared" si="3"/>
        <v>0</v>
      </c>
    </row>
    <row r="106" spans="1:26" s="24" customFormat="1" hidden="1" outlineLevel="1" x14ac:dyDescent="0.25">
      <c r="A106" s="46"/>
      <c r="B106" s="11" t="str">
        <f>CONCATENATE("          ", "4245", " - ", "SALES RETURN TAXABLE-SPECIAL O")</f>
        <v xml:space="preserve">          4245 - SALES RETURN TAXABLE-SPECIAL O</v>
      </c>
      <c r="C106" s="11"/>
      <c r="D106" s="2">
        <f>-71.98</f>
        <v>-71.98</v>
      </c>
      <c r="E106" s="2"/>
      <c r="F106" s="19"/>
      <c r="G106" s="2"/>
      <c r="H106" s="2"/>
      <c r="I106" s="2"/>
      <c r="J106" s="19"/>
      <c r="K106" s="2"/>
      <c r="L106" s="2">
        <f t="shared" si="0"/>
        <v>-71.98</v>
      </c>
      <c r="M106" s="2"/>
      <c r="N106" s="19">
        <f t="shared" si="1"/>
        <v>0</v>
      </c>
      <c r="O106" s="11"/>
      <c r="P106" s="2">
        <f>-91.96</f>
        <v>-91.96</v>
      </c>
      <c r="Q106" s="2"/>
      <c r="R106" s="19"/>
      <c r="S106" s="2"/>
      <c r="T106" s="2"/>
      <c r="U106" s="2"/>
      <c r="V106" s="19"/>
      <c r="W106" s="2"/>
      <c r="X106" s="2">
        <f t="shared" si="2"/>
        <v>-91.96</v>
      </c>
      <c r="Y106" s="2"/>
      <c r="Z106" s="19">
        <f t="shared" si="3"/>
        <v>0</v>
      </c>
    </row>
    <row r="107" spans="1:26" s="24" customFormat="1" hidden="1" outlineLevel="1" x14ac:dyDescent="0.25">
      <c r="A107" s="46"/>
      <c r="B107" s="11" t="str">
        <f>CONCATENATE("          ", "4281", " - ", "SALES RETURN TAXABLE-ELECTRONI")</f>
        <v xml:space="preserve">          4281 - SALES RETURN TAXABLE-ELECTRONI</v>
      </c>
      <c r="C107" s="11"/>
      <c r="D107" s="2">
        <f>-1064.71</f>
        <v>-1064.71</v>
      </c>
      <c r="E107" s="2"/>
      <c r="F107" s="19"/>
      <c r="G107" s="2"/>
      <c r="H107" s="2"/>
      <c r="I107" s="2"/>
      <c r="J107" s="19"/>
      <c r="K107" s="2"/>
      <c r="L107" s="2">
        <f t="shared" si="0"/>
        <v>-1064.71</v>
      </c>
      <c r="M107" s="2"/>
      <c r="N107" s="19">
        <f t="shared" si="1"/>
        <v>0</v>
      </c>
      <c r="O107" s="11"/>
      <c r="P107" s="2">
        <f>-3299.46</f>
        <v>-3299.46</v>
      </c>
      <c r="Q107" s="2"/>
      <c r="R107" s="19"/>
      <c r="S107" s="2"/>
      <c r="T107" s="2"/>
      <c r="U107" s="2"/>
      <c r="V107" s="19"/>
      <c r="W107" s="2"/>
      <c r="X107" s="2">
        <f t="shared" si="2"/>
        <v>-3299.46</v>
      </c>
      <c r="Y107" s="2"/>
      <c r="Z107" s="19">
        <f t="shared" si="3"/>
        <v>0</v>
      </c>
    </row>
    <row r="108" spans="1:26" s="24" customFormat="1" hidden="1" outlineLevel="1" x14ac:dyDescent="0.25">
      <c r="A108" s="46"/>
      <c r="B108" s="11" t="str">
        <f>CONCATENATE("          ", "4282", " - ", "SALES RETURN TAXABLE-COMPUTER")</f>
        <v xml:space="preserve">          4282 - SALES RETURN TAXABLE-COMPUTER</v>
      </c>
      <c r="C108" s="11"/>
      <c r="D108" s="2">
        <f>-27457.13</f>
        <v>-27457.13</v>
      </c>
      <c r="E108" s="2"/>
      <c r="F108" s="19"/>
      <c r="G108" s="2"/>
      <c r="H108" s="2"/>
      <c r="I108" s="2"/>
      <c r="J108" s="19"/>
      <c r="K108" s="2"/>
      <c r="L108" s="2">
        <f t="shared" si="0"/>
        <v>-27457.13</v>
      </c>
      <c r="M108" s="2"/>
      <c r="N108" s="19">
        <f t="shared" si="1"/>
        <v>0</v>
      </c>
      <c r="O108" s="11"/>
      <c r="P108" s="2">
        <f>-147646.85</f>
        <v>-147646.85</v>
      </c>
      <c r="Q108" s="2"/>
      <c r="R108" s="19"/>
      <c r="S108" s="2"/>
      <c r="T108" s="2"/>
      <c r="U108" s="2"/>
      <c r="V108" s="19"/>
      <c r="W108" s="2"/>
      <c r="X108" s="2">
        <f t="shared" si="2"/>
        <v>-147646.85</v>
      </c>
      <c r="Y108" s="2"/>
      <c r="Z108" s="19">
        <f t="shared" si="3"/>
        <v>0</v>
      </c>
    </row>
    <row r="109" spans="1:26" s="24" customFormat="1" hidden="1" outlineLevel="1" x14ac:dyDescent="0.25">
      <c r="A109" s="46"/>
      <c r="B109" s="11" t="str">
        <f>CONCATENATE("          ", "4283", " - ", "SALES RETURN TAXABLE-COMPUTER")</f>
        <v xml:space="preserve">          4283 - SALES RETURN TAXABLE-COMPUTER</v>
      </c>
      <c r="C109" s="11"/>
      <c r="D109" s="2">
        <f>-553.79</f>
        <v>-553.79</v>
      </c>
      <c r="E109" s="2"/>
      <c r="F109" s="19"/>
      <c r="G109" s="2"/>
      <c r="H109" s="2"/>
      <c r="I109" s="2"/>
      <c r="J109" s="19"/>
      <c r="K109" s="2"/>
      <c r="L109" s="2">
        <f t="shared" si="0"/>
        <v>-553.79</v>
      </c>
      <c r="M109" s="2"/>
      <c r="N109" s="19">
        <f t="shared" si="1"/>
        <v>0</v>
      </c>
      <c r="O109" s="11"/>
      <c r="P109" s="2">
        <f>-1284.48</f>
        <v>-1284.48</v>
      </c>
      <c r="Q109" s="2"/>
      <c r="R109" s="19"/>
      <c r="S109" s="2"/>
      <c r="T109" s="2"/>
      <c r="U109" s="2"/>
      <c r="V109" s="19"/>
      <c r="W109" s="2"/>
      <c r="X109" s="2">
        <f t="shared" si="2"/>
        <v>-1284.48</v>
      </c>
      <c r="Y109" s="2"/>
      <c r="Z109" s="19">
        <f t="shared" si="3"/>
        <v>0</v>
      </c>
    </row>
    <row r="110" spans="1:26" s="24" customFormat="1" hidden="1" outlineLevel="1" x14ac:dyDescent="0.25">
      <c r="A110" s="46"/>
      <c r="B110" s="11" t="str">
        <f>CONCATENATE("          ", "4284", " - ", "SALES RETURN TAXABLE-SOFTWARE")</f>
        <v xml:space="preserve">          4284 - SALES RETURN TAXABLE-SOFTWARE</v>
      </c>
      <c r="C110" s="11"/>
      <c r="D110" s="2">
        <f t="shared" ref="D110:D111" si="6">0</f>
        <v>0</v>
      </c>
      <c r="E110" s="2"/>
      <c r="F110" s="19"/>
      <c r="G110" s="2"/>
      <c r="H110" s="2"/>
      <c r="I110" s="2"/>
      <c r="J110" s="19"/>
      <c r="K110" s="2"/>
      <c r="L110" s="2">
        <f t="shared" si="0"/>
        <v>0</v>
      </c>
      <c r="M110" s="2"/>
      <c r="N110" s="19">
        <f t="shared" si="1"/>
        <v>0</v>
      </c>
      <c r="O110" s="11"/>
      <c r="P110" s="2">
        <f>-129</f>
        <v>-129</v>
      </c>
      <c r="Q110" s="2"/>
      <c r="R110" s="19"/>
      <c r="S110" s="2"/>
      <c r="T110" s="2"/>
      <c r="U110" s="2"/>
      <c r="V110" s="19"/>
      <c r="W110" s="2"/>
      <c r="X110" s="2">
        <f t="shared" si="2"/>
        <v>-129</v>
      </c>
      <c r="Y110" s="2"/>
      <c r="Z110" s="19">
        <f t="shared" si="3"/>
        <v>0</v>
      </c>
    </row>
    <row r="111" spans="1:26" s="24" customFormat="1" hidden="1" outlineLevel="1" x14ac:dyDescent="0.25">
      <c r="A111" s="46"/>
      <c r="B111" s="11" t="str">
        <f>CONCATENATE("          ", "4285", " - ", "SALES RETURN TAXABLE-SOFTWARE")</f>
        <v xml:space="preserve">          4285 - SALES RETURN TAXABLE-SOFTWARE</v>
      </c>
      <c r="C111" s="11"/>
      <c r="D111" s="2">
        <f t="shared" si="6"/>
        <v>0</v>
      </c>
      <c r="E111" s="2"/>
      <c r="F111" s="19"/>
      <c r="G111" s="2"/>
      <c r="H111" s="2"/>
      <c r="I111" s="2"/>
      <c r="J111" s="19"/>
      <c r="K111" s="2"/>
      <c r="L111" s="2">
        <f t="shared" si="0"/>
        <v>0</v>
      </c>
      <c r="M111" s="2"/>
      <c r="N111" s="19">
        <f t="shared" si="1"/>
        <v>0</v>
      </c>
      <c r="O111" s="11"/>
      <c r="P111" s="2">
        <f>-406.99</f>
        <v>-406.99</v>
      </c>
      <c r="Q111" s="2"/>
      <c r="R111" s="19"/>
      <c r="S111" s="2"/>
      <c r="T111" s="2"/>
      <c r="U111" s="2"/>
      <c r="V111" s="19"/>
      <c r="W111" s="2"/>
      <c r="X111" s="2">
        <f t="shared" si="2"/>
        <v>-406.99</v>
      </c>
      <c r="Y111" s="2"/>
      <c r="Z111" s="19">
        <f t="shared" si="3"/>
        <v>0</v>
      </c>
    </row>
    <row r="112" spans="1:26" s="24" customFormat="1" hidden="1" outlineLevel="1" x14ac:dyDescent="0.25">
      <c r="A112" s="46"/>
      <c r="B112" s="11" t="str">
        <f>CONCATENATE("          ", "4286", " - ", "SALES RETURN TAXABLE-COMPUTER")</f>
        <v xml:space="preserve">          4286 - SALES RETURN TAXABLE-COMPUTER</v>
      </c>
      <c r="C112" s="11"/>
      <c r="D112" s="2">
        <f>-962.59</f>
        <v>-962.59</v>
      </c>
      <c r="E112" s="2"/>
      <c r="F112" s="19"/>
      <c r="G112" s="2"/>
      <c r="H112" s="2"/>
      <c r="I112" s="2"/>
      <c r="J112" s="19"/>
      <c r="K112" s="2"/>
      <c r="L112" s="2">
        <f t="shared" si="0"/>
        <v>-962.59</v>
      </c>
      <c r="M112" s="2"/>
      <c r="N112" s="19">
        <f t="shared" si="1"/>
        <v>0</v>
      </c>
      <c r="O112" s="11"/>
      <c r="P112" s="2">
        <f>-2143.74</f>
        <v>-2143.7399999999998</v>
      </c>
      <c r="Q112" s="2"/>
      <c r="R112" s="19"/>
      <c r="S112" s="2"/>
      <c r="T112" s="2"/>
      <c r="U112" s="2"/>
      <c r="V112" s="19"/>
      <c r="W112" s="2"/>
      <c r="X112" s="2">
        <f t="shared" si="2"/>
        <v>-2143.7399999999998</v>
      </c>
      <c r="Y112" s="2"/>
      <c r="Z112" s="19">
        <f t="shared" si="3"/>
        <v>0</v>
      </c>
    </row>
    <row r="113" spans="1:26" s="24" customFormat="1" hidden="1" outlineLevel="1" x14ac:dyDescent="0.25">
      <c r="A113" s="46"/>
      <c r="B113" s="11" t="str">
        <f>CONCATENATE("          ", "4292", " - ", "SALES RETURN TAXABLE-GRAD MERC")</f>
        <v xml:space="preserve">          4292 - SALES RETURN TAXABLE-GRAD MERC</v>
      </c>
      <c r="C113" s="11"/>
      <c r="D113" s="2">
        <f t="shared" ref="D113:D114" si="7">0</f>
        <v>0</v>
      </c>
      <c r="E113" s="2"/>
      <c r="F113" s="19"/>
      <c r="G113" s="2"/>
      <c r="H113" s="2"/>
      <c r="I113" s="2"/>
      <c r="J113" s="19"/>
      <c r="K113" s="2"/>
      <c r="L113" s="2">
        <f t="shared" si="0"/>
        <v>0</v>
      </c>
      <c r="M113" s="2"/>
      <c r="N113" s="19">
        <f t="shared" si="1"/>
        <v>0</v>
      </c>
      <c r="O113" s="11"/>
      <c r="P113" s="2">
        <f>-369.15</f>
        <v>-369.15</v>
      </c>
      <c r="Q113" s="2"/>
      <c r="R113" s="19"/>
      <c r="S113" s="2"/>
      <c r="T113" s="2"/>
      <c r="U113" s="2"/>
      <c r="V113" s="19"/>
      <c r="W113" s="2"/>
      <c r="X113" s="2">
        <f t="shared" si="2"/>
        <v>-369.15</v>
      </c>
      <c r="Y113" s="2"/>
      <c r="Z113" s="19">
        <f t="shared" si="3"/>
        <v>0</v>
      </c>
    </row>
    <row r="114" spans="1:26" s="24" customFormat="1" hidden="1" outlineLevel="1" x14ac:dyDescent="0.25">
      <c r="A114" s="46"/>
      <c r="B114" s="11" t="str">
        <f>CONCATENATE("          ", "4295", " - ", "SALES RETURN TAXABLE-CUSTOMER")</f>
        <v xml:space="preserve">          4295 - SALES RETURN TAXABLE-CUSTOMER</v>
      </c>
      <c r="C114" s="11"/>
      <c r="D114" s="2">
        <f t="shared" si="7"/>
        <v>0</v>
      </c>
      <c r="E114" s="2"/>
      <c r="F114" s="19"/>
      <c r="G114" s="2"/>
      <c r="H114" s="2"/>
      <c r="I114" s="2"/>
      <c r="J114" s="19"/>
      <c r="K114" s="2"/>
      <c r="L114" s="2">
        <f t="shared" si="0"/>
        <v>0</v>
      </c>
      <c r="M114" s="2"/>
      <c r="N114" s="19">
        <f t="shared" si="1"/>
        <v>0</v>
      </c>
      <c r="O114" s="11"/>
      <c r="P114" s="2">
        <f>--0.99</f>
        <v>0.99</v>
      </c>
      <c r="Q114" s="2"/>
      <c r="R114" s="19"/>
      <c r="S114" s="2"/>
      <c r="T114" s="2"/>
      <c r="U114" s="2"/>
      <c r="V114" s="19"/>
      <c r="W114" s="2"/>
      <c r="X114" s="2">
        <f t="shared" si="2"/>
        <v>0.99</v>
      </c>
      <c r="Y114" s="2"/>
      <c r="Z114" s="19">
        <f t="shared" si="3"/>
        <v>0</v>
      </c>
    </row>
    <row r="115" spans="1:26" s="24" customFormat="1" hidden="1" outlineLevel="1" x14ac:dyDescent="0.25">
      <c r="A115" s="46"/>
      <c r="B115" s="11" t="str">
        <f>CONCATENATE("          ", "4301", " - ", "SALES RETURN NON TAXABLE-NEW T")</f>
        <v xml:space="preserve">          4301 - SALES RETURN NON TAXABLE-NEW T</v>
      </c>
      <c r="C115" s="11"/>
      <c r="D115" s="2">
        <f>-3805.44</f>
        <v>-3805.44</v>
      </c>
      <c r="E115" s="2"/>
      <c r="F115" s="19"/>
      <c r="G115" s="2"/>
      <c r="H115" s="2"/>
      <c r="I115" s="2"/>
      <c r="J115" s="19"/>
      <c r="K115" s="2"/>
      <c r="L115" s="2">
        <f t="shared" si="0"/>
        <v>-3805.44</v>
      </c>
      <c r="M115" s="2"/>
      <c r="N115" s="19">
        <f t="shared" si="1"/>
        <v>0</v>
      </c>
      <c r="O115" s="11"/>
      <c r="P115" s="2">
        <f>-6725.22</f>
        <v>-6725.22</v>
      </c>
      <c r="Q115" s="2"/>
      <c r="R115" s="19"/>
      <c r="S115" s="2"/>
      <c r="T115" s="2"/>
      <c r="U115" s="2"/>
      <c r="V115" s="19"/>
      <c r="W115" s="2"/>
      <c r="X115" s="2">
        <f t="shared" si="2"/>
        <v>-6725.22</v>
      </c>
      <c r="Y115" s="2"/>
      <c r="Z115" s="19">
        <f t="shared" si="3"/>
        <v>0</v>
      </c>
    </row>
    <row r="116" spans="1:26" s="24" customFormat="1" hidden="1" outlineLevel="1" x14ac:dyDescent="0.25">
      <c r="A116" s="46"/>
      <c r="B116" s="11" t="str">
        <f>CONCATENATE("          ", "4302", " - ", "SALES RETURN NON TAXABLE-TEXT")</f>
        <v xml:space="preserve">          4302 - SALES RETURN NON TAXABLE-TEXT</v>
      </c>
      <c r="C116" s="11"/>
      <c r="D116" s="2">
        <f>-398.45</f>
        <v>-398.45</v>
      </c>
      <c r="E116" s="2"/>
      <c r="F116" s="19"/>
      <c r="G116" s="2"/>
      <c r="H116" s="2"/>
      <c r="I116" s="2"/>
      <c r="J116" s="19"/>
      <c r="K116" s="2"/>
      <c r="L116" s="2">
        <f t="shared" si="0"/>
        <v>-398.45</v>
      </c>
      <c r="M116" s="2"/>
      <c r="N116" s="19">
        <f t="shared" si="1"/>
        <v>0</v>
      </c>
      <c r="O116" s="11"/>
      <c r="P116" s="2">
        <f>-648.7</f>
        <v>-648.70000000000005</v>
      </c>
      <c r="Q116" s="2"/>
      <c r="R116" s="19"/>
      <c r="S116" s="2"/>
      <c r="T116" s="2"/>
      <c r="U116" s="2"/>
      <c r="V116" s="19"/>
      <c r="W116" s="2"/>
      <c r="X116" s="2">
        <f t="shared" si="2"/>
        <v>-648.70000000000005</v>
      </c>
      <c r="Y116" s="2"/>
      <c r="Z116" s="19">
        <f t="shared" si="3"/>
        <v>0</v>
      </c>
    </row>
    <row r="117" spans="1:26" s="24" customFormat="1" hidden="1" outlineLevel="1" x14ac:dyDescent="0.25">
      <c r="A117" s="46"/>
      <c r="B117" s="11" t="str">
        <f>CONCATENATE("          ", "4303", " - ", "SALES RETURN NON-TAXABLE-RENTA")</f>
        <v xml:space="preserve">          4303 - SALES RETURN NON-TAXABLE-RENTA</v>
      </c>
      <c r="C117" s="11"/>
      <c r="D117" s="2">
        <f>-184.99</f>
        <v>-184.99</v>
      </c>
      <c r="E117" s="2"/>
      <c r="F117" s="19"/>
      <c r="G117" s="2"/>
      <c r="H117" s="2"/>
      <c r="I117" s="2"/>
      <c r="J117" s="19"/>
      <c r="K117" s="2"/>
      <c r="L117" s="2">
        <f t="shared" si="0"/>
        <v>-184.99</v>
      </c>
      <c r="M117" s="2"/>
      <c r="N117" s="19">
        <f t="shared" si="1"/>
        <v>0</v>
      </c>
      <c r="O117" s="11"/>
      <c r="P117" s="2">
        <f>-184.99</f>
        <v>-184.99</v>
      </c>
      <c r="Q117" s="2"/>
      <c r="R117" s="19"/>
      <c r="S117" s="2"/>
      <c r="T117" s="2"/>
      <c r="U117" s="2"/>
      <c r="V117" s="19"/>
      <c r="W117" s="2"/>
      <c r="X117" s="2">
        <f t="shared" si="2"/>
        <v>-184.99</v>
      </c>
      <c r="Y117" s="2"/>
      <c r="Z117" s="19">
        <f t="shared" si="3"/>
        <v>0</v>
      </c>
    </row>
    <row r="118" spans="1:26" s="24" customFormat="1" hidden="1" outlineLevel="1" x14ac:dyDescent="0.25">
      <c r="A118" s="46"/>
      <c r="B118" s="11" t="str">
        <f>CONCATENATE("          ", "4304", " - ", "SALES RETURN NON TAXABLE-DIGIT")</f>
        <v xml:space="preserve">          4304 - SALES RETURN NON TAXABLE-DIGIT</v>
      </c>
      <c r="C118" s="11"/>
      <c r="D118" s="2">
        <f>-4048.76</f>
        <v>-4048.76</v>
      </c>
      <c r="E118" s="2"/>
      <c r="F118" s="19"/>
      <c r="G118" s="2"/>
      <c r="H118" s="2"/>
      <c r="I118" s="2"/>
      <c r="J118" s="19"/>
      <c r="K118" s="2"/>
      <c r="L118" s="2">
        <f t="shared" si="0"/>
        <v>-4048.76</v>
      </c>
      <c r="M118" s="2"/>
      <c r="N118" s="19">
        <f t="shared" si="1"/>
        <v>0</v>
      </c>
      <c r="O118" s="11"/>
      <c r="P118" s="2">
        <f>-12515.31</f>
        <v>-12515.31</v>
      </c>
      <c r="Q118" s="2"/>
      <c r="R118" s="19"/>
      <c r="S118" s="2"/>
      <c r="T118" s="2"/>
      <c r="U118" s="2"/>
      <c r="V118" s="19"/>
      <c r="W118" s="2"/>
      <c r="X118" s="2">
        <f t="shared" si="2"/>
        <v>-12515.31</v>
      </c>
      <c r="Y118" s="2"/>
      <c r="Z118" s="19">
        <f t="shared" si="3"/>
        <v>0</v>
      </c>
    </row>
    <row r="119" spans="1:26" s="24" customFormat="1" hidden="1" outlineLevel="1" x14ac:dyDescent="0.25">
      <c r="A119" s="46"/>
      <c r="B119" s="11" t="str">
        <f>CONCATENATE("          ", "4311", " - ", "SALES RETURN NON TAXABLE-NO VA")</f>
        <v xml:space="preserve">          4311 - SALES RETURN NON TAXABLE-NO VA</v>
      </c>
      <c r="C119" s="11"/>
      <c r="D119" s="2">
        <f>-276.9</f>
        <v>-276.89999999999998</v>
      </c>
      <c r="E119" s="2"/>
      <c r="F119" s="19"/>
      <c r="G119" s="2"/>
      <c r="H119" s="2"/>
      <c r="I119" s="2"/>
      <c r="J119" s="19"/>
      <c r="K119" s="2"/>
      <c r="L119" s="2">
        <f t="shared" si="0"/>
        <v>-276.89999999999998</v>
      </c>
      <c r="M119" s="2"/>
      <c r="N119" s="19">
        <f t="shared" si="1"/>
        <v>0</v>
      </c>
      <c r="O119" s="11"/>
      <c r="P119" s="2">
        <f>-387.94</f>
        <v>-387.94</v>
      </c>
      <c r="Q119" s="2"/>
      <c r="R119" s="19"/>
      <c r="S119" s="2"/>
      <c r="T119" s="2"/>
      <c r="U119" s="2"/>
      <c r="V119" s="19"/>
      <c r="W119" s="2"/>
      <c r="X119" s="2">
        <f t="shared" si="2"/>
        <v>-387.94</v>
      </c>
      <c r="Y119" s="2"/>
      <c r="Z119" s="19">
        <f t="shared" si="3"/>
        <v>0</v>
      </c>
    </row>
    <row r="120" spans="1:26" s="24" customFormat="1" hidden="1" outlineLevel="1" x14ac:dyDescent="0.25">
      <c r="A120" s="46"/>
      <c r="B120" s="11" t="str">
        <f>CONCATENATE("          ", "4327", " - ", "SALES RETURN NON TAXABLE-SCHOO")</f>
        <v xml:space="preserve">          4327 - SALES RETURN NON TAXABLE-SCHOO</v>
      </c>
      <c r="C120" s="11"/>
      <c r="D120" s="2">
        <f>-8.29</f>
        <v>-8.2899999999999991</v>
      </c>
      <c r="E120" s="2"/>
      <c r="F120" s="19"/>
      <c r="G120" s="2"/>
      <c r="H120" s="2"/>
      <c r="I120" s="2"/>
      <c r="J120" s="19"/>
      <c r="K120" s="2"/>
      <c r="L120" s="2">
        <f t="shared" si="0"/>
        <v>-8.2899999999999991</v>
      </c>
      <c r="M120" s="2"/>
      <c r="N120" s="19">
        <f t="shared" si="1"/>
        <v>0</v>
      </c>
      <c r="O120" s="11"/>
      <c r="P120" s="2">
        <f>-21.87</f>
        <v>-21.87</v>
      </c>
      <c r="Q120" s="2"/>
      <c r="R120" s="19"/>
      <c r="S120" s="2"/>
      <c r="T120" s="2"/>
      <c r="U120" s="2"/>
      <c r="V120" s="19"/>
      <c r="W120" s="2"/>
      <c r="X120" s="2">
        <f t="shared" si="2"/>
        <v>-21.87</v>
      </c>
      <c r="Y120" s="2"/>
      <c r="Z120" s="19">
        <f t="shared" si="3"/>
        <v>0</v>
      </c>
    </row>
    <row r="121" spans="1:26" s="24" customFormat="1" hidden="1" outlineLevel="1" x14ac:dyDescent="0.25">
      <c r="A121" s="46"/>
      <c r="B121" s="11" t="str">
        <f>CONCATENATE("          ", "4340", " - ", "SALES RETURN NON TAXABLE-LOGO")</f>
        <v xml:space="preserve">          4340 - SALES RETURN NON TAXABLE-LOGO</v>
      </c>
      <c r="C121" s="11"/>
      <c r="D121" s="2">
        <f>-24.95</f>
        <v>-24.95</v>
      </c>
      <c r="E121" s="2"/>
      <c r="F121" s="19"/>
      <c r="G121" s="2"/>
      <c r="H121" s="2"/>
      <c r="I121" s="2"/>
      <c r="J121" s="19"/>
      <c r="K121" s="2"/>
      <c r="L121" s="2">
        <f t="shared" si="0"/>
        <v>-24.95</v>
      </c>
      <c r="M121" s="2"/>
      <c r="N121" s="19">
        <f t="shared" si="1"/>
        <v>0</v>
      </c>
      <c r="O121" s="11"/>
      <c r="P121" s="2">
        <f>-293.45</f>
        <v>-293.45</v>
      </c>
      <c r="Q121" s="2"/>
      <c r="R121" s="19"/>
      <c r="S121" s="2"/>
      <c r="T121" s="2"/>
      <c r="U121" s="2"/>
      <c r="V121" s="19"/>
      <c r="W121" s="2"/>
      <c r="X121" s="2">
        <f t="shared" si="2"/>
        <v>-293.45</v>
      </c>
      <c r="Y121" s="2"/>
      <c r="Z121" s="19">
        <f t="shared" si="3"/>
        <v>0</v>
      </c>
    </row>
    <row r="122" spans="1:26" s="24" customFormat="1" hidden="1" outlineLevel="1" x14ac:dyDescent="0.25">
      <c r="A122" s="46"/>
      <c r="B122" s="11" t="str">
        <f>CONCATENATE("          ", "4341", " - ", "SALES RETURN NON TAXABLE-LOGO")</f>
        <v xml:space="preserve">          4341 - SALES RETURN NON TAXABLE-LOGO</v>
      </c>
      <c r="C122" s="11"/>
      <c r="D122" s="2">
        <f>0</f>
        <v>0</v>
      </c>
      <c r="E122" s="2"/>
      <c r="F122" s="19"/>
      <c r="G122" s="2"/>
      <c r="H122" s="2"/>
      <c r="I122" s="2"/>
      <c r="J122" s="19"/>
      <c r="K122" s="2"/>
      <c r="L122" s="2">
        <f t="shared" si="0"/>
        <v>0</v>
      </c>
      <c r="M122" s="2"/>
      <c r="N122" s="19">
        <f t="shared" si="1"/>
        <v>0</v>
      </c>
      <c r="O122" s="11"/>
      <c r="P122" s="2">
        <f>-3.95</f>
        <v>-3.95</v>
      </c>
      <c r="Q122" s="2"/>
      <c r="R122" s="19"/>
      <c r="S122" s="2"/>
      <c r="T122" s="2"/>
      <c r="U122" s="2"/>
      <c r="V122" s="19"/>
      <c r="W122" s="2"/>
      <c r="X122" s="2">
        <f t="shared" si="2"/>
        <v>-3.95</v>
      </c>
      <c r="Y122" s="2"/>
      <c r="Z122" s="19">
        <f t="shared" si="3"/>
        <v>0</v>
      </c>
    </row>
    <row r="123" spans="1:26" s="24" customFormat="1" hidden="1" outlineLevel="1" x14ac:dyDescent="0.25">
      <c r="A123" s="46"/>
      <c r="B123" s="11" t="str">
        <f>CONCATENATE("          ", "4342", " - ", "SALES RETURN NON TAXABLE-EVERY")</f>
        <v xml:space="preserve">          4342 - SALES RETURN NON TAXABLE-EVERY</v>
      </c>
      <c r="C123" s="11"/>
      <c r="D123" s="2">
        <f>-10</f>
        <v>-10</v>
      </c>
      <c r="E123" s="2"/>
      <c r="F123" s="19"/>
      <c r="G123" s="2"/>
      <c r="H123" s="2"/>
      <c r="I123" s="2"/>
      <c r="J123" s="19"/>
      <c r="K123" s="2"/>
      <c r="L123" s="2">
        <f t="shared" si="0"/>
        <v>-10</v>
      </c>
      <c r="M123" s="2"/>
      <c r="N123" s="19">
        <f t="shared" si="1"/>
        <v>0</v>
      </c>
      <c r="O123" s="11"/>
      <c r="P123" s="2">
        <f>-10</f>
        <v>-10</v>
      </c>
      <c r="Q123" s="2"/>
      <c r="R123" s="19"/>
      <c r="S123" s="2"/>
      <c r="T123" s="2"/>
      <c r="U123" s="2"/>
      <c r="V123" s="19"/>
      <c r="W123" s="2"/>
      <c r="X123" s="2">
        <f t="shared" si="2"/>
        <v>-10</v>
      </c>
      <c r="Y123" s="2"/>
      <c r="Z123" s="19">
        <f t="shared" si="3"/>
        <v>0</v>
      </c>
    </row>
    <row r="124" spans="1:26" s="24" customFormat="1" hidden="1" outlineLevel="1" x14ac:dyDescent="0.25">
      <c r="A124" s="46"/>
      <c r="B124" s="11" t="str">
        <f>CONCATENATE("          ", "4346", " - ", "SALES RETURN NON TAXABLE-COIN-")</f>
        <v xml:space="preserve">          4346 - SALES RETURN NON TAXABLE-COIN-</v>
      </c>
      <c r="C124" s="11"/>
      <c r="D124" s="2">
        <f>0</f>
        <v>0</v>
      </c>
      <c r="E124" s="2"/>
      <c r="F124" s="19"/>
      <c r="G124" s="2"/>
      <c r="H124" s="2"/>
      <c r="I124" s="2"/>
      <c r="J124" s="19"/>
      <c r="K124" s="2"/>
      <c r="L124" s="2">
        <f t="shared" si="0"/>
        <v>0</v>
      </c>
      <c r="M124" s="2"/>
      <c r="N124" s="19">
        <f t="shared" si="1"/>
        <v>0</v>
      </c>
      <c r="O124" s="11"/>
      <c r="P124" s="2">
        <f>-8.15</f>
        <v>-8.15</v>
      </c>
      <c r="Q124" s="2"/>
      <c r="R124" s="19"/>
      <c r="S124" s="2"/>
      <c r="T124" s="2"/>
      <c r="U124" s="2"/>
      <c r="V124" s="19"/>
      <c r="W124" s="2"/>
      <c r="X124" s="2">
        <f t="shared" si="2"/>
        <v>-8.15</v>
      </c>
      <c r="Y124" s="2"/>
      <c r="Z124" s="19">
        <f t="shared" si="3"/>
        <v>0</v>
      </c>
    </row>
    <row r="125" spans="1:26" s="24" customFormat="1" hidden="1" outlineLevel="1" x14ac:dyDescent="0.25">
      <c r="A125" s="46"/>
      <c r="B125" s="11" t="str">
        <f>CONCATENATE("          ", "4381", " - ", "SALES RETURN NON TAXABLE-ELECT")</f>
        <v xml:space="preserve">          4381 - SALES RETURN NON TAXABLE-ELECT</v>
      </c>
      <c r="C125" s="11"/>
      <c r="D125" s="2">
        <f>-1279.84</f>
        <v>-1279.8399999999999</v>
      </c>
      <c r="E125" s="2"/>
      <c r="F125" s="19"/>
      <c r="G125" s="2"/>
      <c r="H125" s="2"/>
      <c r="I125" s="2"/>
      <c r="J125" s="19"/>
      <c r="K125" s="2"/>
      <c r="L125" s="2">
        <f t="shared" si="0"/>
        <v>-1279.8399999999999</v>
      </c>
      <c r="M125" s="2"/>
      <c r="N125" s="19">
        <f t="shared" si="1"/>
        <v>0</v>
      </c>
      <c r="O125" s="11"/>
      <c r="P125" s="2">
        <f>-1279.84</f>
        <v>-1279.8399999999999</v>
      </c>
      <c r="Q125" s="2"/>
      <c r="R125" s="19"/>
      <c r="S125" s="2"/>
      <c r="T125" s="2"/>
      <c r="U125" s="2"/>
      <c r="V125" s="19"/>
      <c r="W125" s="2"/>
      <c r="X125" s="2">
        <f t="shared" si="2"/>
        <v>-1279.8399999999999</v>
      </c>
      <c r="Y125" s="2"/>
      <c r="Z125" s="19">
        <f t="shared" si="3"/>
        <v>0</v>
      </c>
    </row>
    <row r="126" spans="1:26" s="24" customFormat="1" hidden="1" outlineLevel="1" x14ac:dyDescent="0.25">
      <c r="A126" s="46"/>
      <c r="B126" s="11" t="str">
        <f>CONCATENATE("          ", "4383", " - ", "SALES RETURN NON TAXABLE-COMPU")</f>
        <v xml:space="preserve">          4383 - SALES RETURN NON TAXABLE-COMPU</v>
      </c>
      <c r="C126" s="11"/>
      <c r="D126" s="2">
        <f t="shared" ref="D126:D127" si="8">0</f>
        <v>0</v>
      </c>
      <c r="E126" s="2"/>
      <c r="F126" s="19"/>
      <c r="G126" s="2"/>
      <c r="H126" s="2"/>
      <c r="I126" s="2"/>
      <c r="J126" s="19"/>
      <c r="K126" s="2"/>
      <c r="L126" s="2">
        <f t="shared" si="0"/>
        <v>0</v>
      </c>
      <c r="M126" s="2"/>
      <c r="N126" s="19">
        <f t="shared" si="1"/>
        <v>0</v>
      </c>
      <c r="O126" s="11"/>
      <c r="P126" s="2">
        <f>-24.99</f>
        <v>-24.99</v>
      </c>
      <c r="Q126" s="2"/>
      <c r="R126" s="19"/>
      <c r="S126" s="2"/>
      <c r="T126" s="2"/>
      <c r="U126" s="2"/>
      <c r="V126" s="19"/>
      <c r="W126" s="2"/>
      <c r="X126" s="2">
        <f t="shared" si="2"/>
        <v>-24.99</v>
      </c>
      <c r="Y126" s="2"/>
      <c r="Z126" s="19">
        <f t="shared" si="3"/>
        <v>0</v>
      </c>
    </row>
    <row r="127" spans="1:26" s="24" customFormat="1" hidden="1" outlineLevel="1" x14ac:dyDescent="0.25">
      <c r="A127" s="46"/>
      <c r="B127" s="11" t="str">
        <f>CONCATENATE("          ", "4386", " - ", "SALES RETURN NON TAXABLE-COMPU")</f>
        <v xml:space="preserve">          4386 - SALES RETURN NON TAXABLE-COMPU</v>
      </c>
      <c r="C127" s="11"/>
      <c r="D127" s="2">
        <f t="shared" si="8"/>
        <v>0</v>
      </c>
      <c r="E127" s="2"/>
      <c r="F127" s="19"/>
      <c r="G127" s="2"/>
      <c r="H127" s="2"/>
      <c r="I127" s="2"/>
      <c r="J127" s="19"/>
      <c r="K127" s="2"/>
      <c r="L127" s="2">
        <f t="shared" si="0"/>
        <v>0</v>
      </c>
      <c r="M127" s="2"/>
      <c r="N127" s="19">
        <f t="shared" si="1"/>
        <v>0</v>
      </c>
      <c r="O127" s="11"/>
      <c r="P127" s="2">
        <f>-19.99</f>
        <v>-19.989999999999998</v>
      </c>
      <c r="Q127" s="2"/>
      <c r="R127" s="19"/>
      <c r="S127" s="2"/>
      <c r="T127" s="2"/>
      <c r="U127" s="2"/>
      <c r="V127" s="19"/>
      <c r="W127" s="2"/>
      <c r="X127" s="2">
        <f t="shared" si="2"/>
        <v>-19.989999999999998</v>
      </c>
      <c r="Y127" s="2"/>
      <c r="Z127" s="19">
        <f t="shared" si="3"/>
        <v>0</v>
      </c>
    </row>
    <row r="128" spans="1:26" x14ac:dyDescent="0.25">
      <c r="A128" s="9"/>
      <c r="B128" s="10"/>
      <c r="C128" s="9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3" customFormat="1" collapsed="1" x14ac:dyDescent="0.25">
      <c r="A129" s="10"/>
      <c r="B129" s="28" t="s">
        <v>8</v>
      </c>
      <c r="C129" s="10"/>
      <c r="D129" s="4">
        <f>SUM(OSRRefD16x_0)</f>
        <v>1670912.4500000004</v>
      </c>
      <c r="E129" s="4"/>
      <c r="F129" s="12">
        <f t="shared" ref="F129:F186" si="9">IF(D$12=0,0,D129/D$12)</f>
        <v>0.41681451032129851</v>
      </c>
      <c r="G129" s="4"/>
      <c r="H129" s="4">
        <f>SUM(OSRRefH16x_0)</f>
        <v>1649346.4462299999</v>
      </c>
      <c r="I129" s="4"/>
      <c r="J129" s="12">
        <f t="shared" ref="J129:J186" si="10">IF(H$12=0,0,H129/H$12)</f>
        <v>0.40274441374784986</v>
      </c>
      <c r="K129" s="4"/>
      <c r="L129" s="4">
        <f t="shared" ref="L129:L186" si="11">+D129-H129</f>
        <v>21566.003770000534</v>
      </c>
      <c r="M129" s="4"/>
      <c r="N129" s="12">
        <f t="shared" ref="N129:N186" si="12">IF(H129=0,0,L129/H129)</f>
        <v>1.3075484425540258E-2</v>
      </c>
      <c r="O129" s="10"/>
      <c r="P129" s="4">
        <f>SUM(OSRRefP16x_0)</f>
        <v>5003282.5200000005</v>
      </c>
      <c r="Q129" s="4"/>
      <c r="R129" s="12">
        <f t="shared" ref="R129:R186" si="13">IF(P$12=0,0,P129/P$12)</f>
        <v>0.51400202162027486</v>
      </c>
      <c r="S129" s="4"/>
      <c r="T129" s="4">
        <f>SUM(OSRRefT16x_0)</f>
        <v>4958759.6671900004</v>
      </c>
      <c r="U129" s="4"/>
      <c r="V129" s="12">
        <f t="shared" ref="V129:V186" si="14">IF(T$12=0,0,T129/T$12)</f>
        <v>0.48732214845241817</v>
      </c>
      <c r="W129" s="4"/>
      <c r="X129" s="4">
        <f t="shared" ref="X129:X186" si="15">+P129-T129</f>
        <v>44522.852810000069</v>
      </c>
      <c r="Y129" s="4"/>
      <c r="Z129" s="12">
        <f t="shared" ref="Z129:Z186" si="16">IF(T129=0,0,X129/T129)</f>
        <v>8.9786268740928935E-3</v>
      </c>
    </row>
    <row r="130" spans="1:26" s="24" customFormat="1" hidden="1" outlineLevel="1" x14ac:dyDescent="0.25">
      <c r="A130" s="46"/>
      <c r="B130" s="11" t="str">
        <f>CONCATENATE("          ", "5000", " - ", "PURCHASES @ COST")</f>
        <v xml:space="preserve">          5000 - PURCHASES @ COST</v>
      </c>
      <c r="C130" s="11"/>
      <c r="D130" s="2"/>
      <c r="E130" s="2"/>
      <c r="F130" s="19">
        <f t="shared" si="9"/>
        <v>0</v>
      </c>
      <c r="G130" s="2"/>
      <c r="H130" s="2">
        <v>1649346.4462299999</v>
      </c>
      <c r="I130" s="2"/>
      <c r="J130" s="19">
        <f t="shared" si="10"/>
        <v>0.40274441374784986</v>
      </c>
      <c r="K130" s="2"/>
      <c r="L130" s="2">
        <f t="shared" si="11"/>
        <v>-1649346.4462299999</v>
      </c>
      <c r="M130" s="2"/>
      <c r="N130" s="19">
        <f t="shared" si="12"/>
        <v>-1</v>
      </c>
      <c r="O130" s="11"/>
      <c r="P130" s="2"/>
      <c r="Q130" s="2"/>
      <c r="R130" s="19">
        <f t="shared" si="13"/>
        <v>0</v>
      </c>
      <c r="S130" s="2"/>
      <c r="T130" s="2">
        <v>4958759.6671900004</v>
      </c>
      <c r="U130" s="2"/>
      <c r="V130" s="19">
        <f t="shared" si="14"/>
        <v>0.48732214845241817</v>
      </c>
      <c r="W130" s="2"/>
      <c r="X130" s="2">
        <f t="shared" si="15"/>
        <v>-4958759.6671900004</v>
      </c>
      <c r="Y130" s="2"/>
      <c r="Z130" s="19">
        <f t="shared" si="16"/>
        <v>-1</v>
      </c>
    </row>
    <row r="131" spans="1:26" s="24" customFormat="1" hidden="1" outlineLevel="1" x14ac:dyDescent="0.25">
      <c r="A131" s="46"/>
      <c r="B131" s="11" t="str">
        <f>CONCATENATE("          ", "5001", " - ", "PURCHASES @ COST-NEW TEXT")</f>
        <v xml:space="preserve">          5001 - PURCHASES @ COST-NEW TEXT</v>
      </c>
      <c r="C131" s="11"/>
      <c r="D131" s="2">
        <v>104892.25</v>
      </c>
      <c r="E131" s="2"/>
      <c r="F131" s="19">
        <f t="shared" si="9"/>
        <v>2.6165710729038623E-2</v>
      </c>
      <c r="G131" s="2"/>
      <c r="H131" s="2"/>
      <c r="I131" s="2"/>
      <c r="J131" s="19">
        <f t="shared" si="10"/>
        <v>0</v>
      </c>
      <c r="K131" s="2"/>
      <c r="L131" s="2">
        <f t="shared" si="11"/>
        <v>104892.25</v>
      </c>
      <c r="M131" s="2"/>
      <c r="N131" s="19">
        <f t="shared" si="12"/>
        <v>0</v>
      </c>
      <c r="O131" s="11"/>
      <c r="P131" s="2">
        <v>1932650.95</v>
      </c>
      <c r="Q131" s="2"/>
      <c r="R131" s="19">
        <f t="shared" si="13"/>
        <v>0.19854695220895593</v>
      </c>
      <c r="S131" s="2"/>
      <c r="T131" s="2"/>
      <c r="U131" s="2"/>
      <c r="V131" s="19">
        <f t="shared" si="14"/>
        <v>0</v>
      </c>
      <c r="W131" s="2"/>
      <c r="X131" s="2">
        <f t="shared" si="15"/>
        <v>1932650.95</v>
      </c>
      <c r="Y131" s="2"/>
      <c r="Z131" s="19">
        <f t="shared" si="16"/>
        <v>0</v>
      </c>
    </row>
    <row r="132" spans="1:26" s="24" customFormat="1" hidden="1" outlineLevel="1" x14ac:dyDescent="0.25">
      <c r="A132" s="46"/>
      <c r="B132" s="11" t="str">
        <f>CONCATENATE("          ", "5002", " - ", "PURCHASES @ COST-USED TEXT")</f>
        <v xml:space="preserve">          5002 - PURCHASES @ COST-USED TEXT</v>
      </c>
      <c r="C132" s="11"/>
      <c r="D132" s="2">
        <v>18830.57</v>
      </c>
      <c r="E132" s="2"/>
      <c r="F132" s="19">
        <f t="shared" si="9"/>
        <v>4.6973465387853998E-3</v>
      </c>
      <c r="G132" s="2"/>
      <c r="H132" s="2"/>
      <c r="I132" s="2"/>
      <c r="J132" s="19">
        <f t="shared" si="10"/>
        <v>0</v>
      </c>
      <c r="K132" s="2"/>
      <c r="L132" s="2">
        <f t="shared" si="11"/>
        <v>18830.57</v>
      </c>
      <c r="M132" s="2"/>
      <c r="N132" s="19">
        <f t="shared" si="12"/>
        <v>0</v>
      </c>
      <c r="O132" s="11"/>
      <c r="P132" s="2">
        <v>353811.24</v>
      </c>
      <c r="Q132" s="2"/>
      <c r="R132" s="19">
        <f t="shared" si="13"/>
        <v>3.6348075869194821E-2</v>
      </c>
      <c r="S132" s="2"/>
      <c r="T132" s="2"/>
      <c r="U132" s="2"/>
      <c r="V132" s="19">
        <f t="shared" si="14"/>
        <v>0</v>
      </c>
      <c r="W132" s="2"/>
      <c r="X132" s="2">
        <f t="shared" si="15"/>
        <v>353811.24</v>
      </c>
      <c r="Y132" s="2"/>
      <c r="Z132" s="19">
        <f t="shared" si="16"/>
        <v>0</v>
      </c>
    </row>
    <row r="133" spans="1:26" s="24" customFormat="1" hidden="1" outlineLevel="1" x14ac:dyDescent="0.25">
      <c r="A133" s="46"/>
      <c r="B133" s="11" t="str">
        <f>CONCATENATE("          ", "5003", " - ", "PURCHASES @ COST-RENTAL TEXT")</f>
        <v xml:space="preserve">          5003 - PURCHASES @ COST-RENTAL TEXT</v>
      </c>
      <c r="C133" s="11"/>
      <c r="D133" s="2"/>
      <c r="E133" s="2"/>
      <c r="F133" s="19">
        <f t="shared" si="9"/>
        <v>0</v>
      </c>
      <c r="G133" s="2"/>
      <c r="H133" s="2"/>
      <c r="I133" s="2"/>
      <c r="J133" s="19">
        <f t="shared" si="10"/>
        <v>0</v>
      </c>
      <c r="K133" s="2"/>
      <c r="L133" s="2">
        <f t="shared" si="11"/>
        <v>0</v>
      </c>
      <c r="M133" s="2"/>
      <c r="N133" s="19">
        <f t="shared" si="12"/>
        <v>0</v>
      </c>
      <c r="O133" s="11"/>
      <c r="P133" s="2">
        <v>-78.400000000000006</v>
      </c>
      <c r="Q133" s="2"/>
      <c r="R133" s="19">
        <f t="shared" si="13"/>
        <v>-8.0542640424449887E-6</v>
      </c>
      <c r="S133" s="2"/>
      <c r="T133" s="2"/>
      <c r="U133" s="2"/>
      <c r="V133" s="19">
        <f t="shared" si="14"/>
        <v>0</v>
      </c>
      <c r="W133" s="2"/>
      <c r="X133" s="2">
        <f t="shared" si="15"/>
        <v>-78.400000000000006</v>
      </c>
      <c r="Y133" s="2"/>
      <c r="Z133" s="19">
        <f t="shared" si="16"/>
        <v>0</v>
      </c>
    </row>
    <row r="134" spans="1:26" s="24" customFormat="1" hidden="1" outlineLevel="1" x14ac:dyDescent="0.25">
      <c r="A134" s="46"/>
      <c r="B134" s="11" t="str">
        <f>CONCATENATE("          ", "5004", " - ", "PURCHASES @ COST-DIGITAL TEXT")</f>
        <v xml:space="preserve">          5004 - PURCHASES @ COST-DIGITAL TEXT</v>
      </c>
      <c r="C134" s="11"/>
      <c r="D134" s="2">
        <v>50761.9</v>
      </c>
      <c r="E134" s="2"/>
      <c r="F134" s="19">
        <f t="shared" si="9"/>
        <v>1.266271999558009E-2</v>
      </c>
      <c r="G134" s="2"/>
      <c r="H134" s="2"/>
      <c r="I134" s="2"/>
      <c r="J134" s="19">
        <f t="shared" si="10"/>
        <v>0</v>
      </c>
      <c r="K134" s="2"/>
      <c r="L134" s="2">
        <f t="shared" si="11"/>
        <v>50761.9</v>
      </c>
      <c r="M134" s="2"/>
      <c r="N134" s="19">
        <f t="shared" si="12"/>
        <v>0</v>
      </c>
      <c r="O134" s="11"/>
      <c r="P134" s="2">
        <v>353728.39</v>
      </c>
      <c r="Q134" s="2"/>
      <c r="R134" s="19">
        <f t="shared" si="13"/>
        <v>3.6339564443481596E-2</v>
      </c>
      <c r="S134" s="2"/>
      <c r="T134" s="2"/>
      <c r="U134" s="2"/>
      <c r="V134" s="19">
        <f t="shared" si="14"/>
        <v>0</v>
      </c>
      <c r="W134" s="2"/>
      <c r="X134" s="2">
        <f t="shared" si="15"/>
        <v>353728.39</v>
      </c>
      <c r="Y134" s="2"/>
      <c r="Z134" s="19">
        <f t="shared" si="16"/>
        <v>0</v>
      </c>
    </row>
    <row r="135" spans="1:26" s="24" customFormat="1" hidden="1" outlineLevel="1" x14ac:dyDescent="0.25">
      <c r="A135" s="46"/>
      <c r="B135" s="11" t="str">
        <f>CONCATENATE("          ", "5011", " - ", "PURCHASES @ COST-NO VALUE TEXT")</f>
        <v xml:space="preserve">          5011 - PURCHASES @ COST-NO VALUE TEXT</v>
      </c>
      <c r="C135" s="11"/>
      <c r="D135" s="2">
        <v>2928</v>
      </c>
      <c r="E135" s="2"/>
      <c r="F135" s="19">
        <f t="shared" si="9"/>
        <v>7.3039906203389751E-4</v>
      </c>
      <c r="G135" s="2"/>
      <c r="H135" s="2"/>
      <c r="I135" s="2"/>
      <c r="J135" s="19">
        <f t="shared" si="10"/>
        <v>0</v>
      </c>
      <c r="K135" s="2"/>
      <c r="L135" s="2">
        <f t="shared" si="11"/>
        <v>2928</v>
      </c>
      <c r="M135" s="2"/>
      <c r="N135" s="19">
        <f t="shared" si="12"/>
        <v>0</v>
      </c>
      <c r="O135" s="11"/>
      <c r="P135" s="2">
        <v>3585</v>
      </c>
      <c r="Q135" s="2"/>
      <c r="R135" s="19">
        <f t="shared" si="13"/>
        <v>3.6829766061435311E-4</v>
      </c>
      <c r="S135" s="2"/>
      <c r="T135" s="2"/>
      <c r="U135" s="2"/>
      <c r="V135" s="19">
        <f t="shared" si="14"/>
        <v>0</v>
      </c>
      <c r="W135" s="2"/>
      <c r="X135" s="2">
        <f t="shared" si="15"/>
        <v>3585</v>
      </c>
      <c r="Y135" s="2"/>
      <c r="Z135" s="19">
        <f t="shared" si="16"/>
        <v>0</v>
      </c>
    </row>
    <row r="136" spans="1:26" s="24" customFormat="1" hidden="1" outlineLevel="1" x14ac:dyDescent="0.25">
      <c r="A136" s="46"/>
      <c r="B136" s="11" t="str">
        <f>CONCATENATE("          ", "5013", " - ", "PURCHASES @ COST-TRADE BOOKS")</f>
        <v xml:space="preserve">          5013 - PURCHASES @ COST-TRADE BOOKS</v>
      </c>
      <c r="C136" s="11"/>
      <c r="D136" s="2">
        <v>269.89</v>
      </c>
      <c r="E136" s="2"/>
      <c r="F136" s="19">
        <f t="shared" si="9"/>
        <v>6.7324932668145007E-5</v>
      </c>
      <c r="G136" s="2"/>
      <c r="H136" s="2"/>
      <c r="I136" s="2"/>
      <c r="J136" s="19">
        <f t="shared" si="10"/>
        <v>0</v>
      </c>
      <c r="K136" s="2"/>
      <c r="L136" s="2">
        <f t="shared" si="11"/>
        <v>269.89</v>
      </c>
      <c r="M136" s="2"/>
      <c r="N136" s="19">
        <f t="shared" si="12"/>
        <v>0</v>
      </c>
      <c r="O136" s="11"/>
      <c r="P136" s="2">
        <v>474.79</v>
      </c>
      <c r="Q136" s="2"/>
      <c r="R136" s="19">
        <f t="shared" si="13"/>
        <v>4.8776581947862961E-5</v>
      </c>
      <c r="S136" s="2"/>
      <c r="T136" s="2"/>
      <c r="U136" s="2"/>
      <c r="V136" s="19">
        <f t="shared" si="14"/>
        <v>0</v>
      </c>
      <c r="W136" s="2"/>
      <c r="X136" s="2">
        <f t="shared" si="15"/>
        <v>474.79</v>
      </c>
      <c r="Y136" s="2"/>
      <c r="Z136" s="19">
        <f t="shared" si="16"/>
        <v>0</v>
      </c>
    </row>
    <row r="137" spans="1:26" s="24" customFormat="1" hidden="1" outlineLevel="1" x14ac:dyDescent="0.25">
      <c r="A137" s="46"/>
      <c r="B137" s="11" t="str">
        <f>CONCATENATE("          ", "5014", " - ", "PURCHASES @ COST-REMAINDERS")</f>
        <v xml:space="preserve">          5014 - PURCHASES @ COST-REMAINDERS</v>
      </c>
      <c r="C137" s="11"/>
      <c r="D137" s="2">
        <v>55.65</v>
      </c>
      <c r="E137" s="2"/>
      <c r="F137" s="19">
        <f t="shared" si="9"/>
        <v>1.3882072336812294E-5</v>
      </c>
      <c r="G137" s="2"/>
      <c r="H137" s="2"/>
      <c r="I137" s="2"/>
      <c r="J137" s="19">
        <f t="shared" si="10"/>
        <v>0</v>
      </c>
      <c r="K137" s="2"/>
      <c r="L137" s="2">
        <f t="shared" si="11"/>
        <v>55.65</v>
      </c>
      <c r="M137" s="2"/>
      <c r="N137" s="19">
        <f t="shared" si="12"/>
        <v>0</v>
      </c>
      <c r="O137" s="11"/>
      <c r="P137" s="2">
        <v>289.97000000000003</v>
      </c>
      <c r="Q137" s="2"/>
      <c r="R137" s="19">
        <f t="shared" si="13"/>
        <v>2.9789476331476702E-5</v>
      </c>
      <c r="S137" s="2"/>
      <c r="T137" s="2"/>
      <c r="U137" s="2"/>
      <c r="V137" s="19">
        <f t="shared" si="14"/>
        <v>0</v>
      </c>
      <c r="W137" s="2"/>
      <c r="X137" s="2">
        <f t="shared" si="15"/>
        <v>289.97000000000003</v>
      </c>
      <c r="Y137" s="2"/>
      <c r="Z137" s="19">
        <f t="shared" si="16"/>
        <v>0</v>
      </c>
    </row>
    <row r="138" spans="1:26" s="24" customFormat="1" hidden="1" outlineLevel="1" x14ac:dyDescent="0.25">
      <c r="A138" s="46"/>
      <c r="B138" s="11" t="str">
        <f>CONCATENATE("          ", "5017", " - ", "PURCHASES @ COST-DORM/HOUSEWAR")</f>
        <v xml:space="preserve">          5017 - PURCHASES @ COST-DORM/HOUSEWAR</v>
      </c>
      <c r="C138" s="11"/>
      <c r="D138" s="2">
        <v>-139.86000000000001</v>
      </c>
      <c r="E138" s="2"/>
      <c r="F138" s="19">
        <f t="shared" si="9"/>
        <v>-3.4888528967233922E-5</v>
      </c>
      <c r="G138" s="2"/>
      <c r="H138" s="2"/>
      <c r="I138" s="2"/>
      <c r="J138" s="19">
        <f t="shared" si="10"/>
        <v>0</v>
      </c>
      <c r="K138" s="2"/>
      <c r="L138" s="2">
        <f t="shared" si="11"/>
        <v>-139.86000000000001</v>
      </c>
      <c r="M138" s="2"/>
      <c r="N138" s="19">
        <f t="shared" si="12"/>
        <v>0</v>
      </c>
      <c r="O138" s="11"/>
      <c r="P138" s="2">
        <v>0</v>
      </c>
      <c r="Q138" s="2"/>
      <c r="R138" s="19">
        <f t="shared" si="13"/>
        <v>0</v>
      </c>
      <c r="S138" s="2"/>
      <c r="T138" s="2"/>
      <c r="U138" s="2"/>
      <c r="V138" s="19">
        <f t="shared" si="14"/>
        <v>0</v>
      </c>
      <c r="W138" s="2"/>
      <c r="X138" s="2">
        <f t="shared" si="15"/>
        <v>0</v>
      </c>
      <c r="Y138" s="2"/>
      <c r="Z138" s="19">
        <f t="shared" si="16"/>
        <v>0</v>
      </c>
    </row>
    <row r="139" spans="1:26" s="24" customFormat="1" hidden="1" outlineLevel="1" x14ac:dyDescent="0.25">
      <c r="A139" s="46"/>
      <c r="B139" s="11" t="str">
        <f>CONCATENATE("          ", "5018", " - ", "PURCHASES @ COST-STUDY GUIDES")</f>
        <v xml:space="preserve">          5018 - PURCHASES @ COST-STUDY GUIDES</v>
      </c>
      <c r="C139" s="11"/>
      <c r="D139" s="2"/>
      <c r="E139" s="2"/>
      <c r="F139" s="19">
        <f t="shared" si="9"/>
        <v>0</v>
      </c>
      <c r="G139" s="2"/>
      <c r="H139" s="2"/>
      <c r="I139" s="2"/>
      <c r="J139" s="19">
        <f t="shared" si="10"/>
        <v>0</v>
      </c>
      <c r="K139" s="2"/>
      <c r="L139" s="2">
        <f t="shared" si="11"/>
        <v>0</v>
      </c>
      <c r="M139" s="2"/>
      <c r="N139" s="19">
        <f t="shared" si="12"/>
        <v>0</v>
      </c>
      <c r="O139" s="11"/>
      <c r="P139" s="2">
        <v>503.93</v>
      </c>
      <c r="Q139" s="2"/>
      <c r="R139" s="19">
        <f t="shared" si="13"/>
        <v>5.1770220394251312E-5</v>
      </c>
      <c r="S139" s="2"/>
      <c r="T139" s="2"/>
      <c r="U139" s="2"/>
      <c r="V139" s="19">
        <f t="shared" si="14"/>
        <v>0</v>
      </c>
      <c r="W139" s="2"/>
      <c r="X139" s="2">
        <f t="shared" si="15"/>
        <v>503.93</v>
      </c>
      <c r="Y139" s="2"/>
      <c r="Z139" s="19">
        <f t="shared" si="16"/>
        <v>0</v>
      </c>
    </row>
    <row r="140" spans="1:26" s="24" customFormat="1" hidden="1" outlineLevel="1" x14ac:dyDescent="0.25">
      <c r="A140" s="46"/>
      <c r="B140" s="11" t="str">
        <f>CONCATENATE("          ", "5025", " - ", "PURCHASES @ COST-TEST FORMS")</f>
        <v xml:space="preserve">          5025 - PURCHASES @ COST-TEST FORMS</v>
      </c>
      <c r="C140" s="11"/>
      <c r="D140" s="2">
        <v>1495.25</v>
      </c>
      <c r="E140" s="2"/>
      <c r="F140" s="19">
        <f t="shared" si="9"/>
        <v>3.729949445034786E-4</v>
      </c>
      <c r="G140" s="2"/>
      <c r="H140" s="2"/>
      <c r="I140" s="2"/>
      <c r="J140" s="19">
        <f t="shared" si="10"/>
        <v>0</v>
      </c>
      <c r="K140" s="2"/>
      <c r="L140" s="2">
        <f t="shared" si="11"/>
        <v>1495.25</v>
      </c>
      <c r="M140" s="2"/>
      <c r="N140" s="19">
        <f t="shared" si="12"/>
        <v>0</v>
      </c>
      <c r="O140" s="11"/>
      <c r="P140" s="2">
        <v>3252.39</v>
      </c>
      <c r="Q140" s="2"/>
      <c r="R140" s="19">
        <f t="shared" si="13"/>
        <v>3.3412765088019965E-4</v>
      </c>
      <c r="S140" s="2"/>
      <c r="T140" s="2"/>
      <c r="U140" s="2"/>
      <c r="V140" s="19">
        <f t="shared" si="14"/>
        <v>0</v>
      </c>
      <c r="W140" s="2"/>
      <c r="X140" s="2">
        <f t="shared" si="15"/>
        <v>3252.39</v>
      </c>
      <c r="Y140" s="2"/>
      <c r="Z140" s="19">
        <f t="shared" si="16"/>
        <v>0</v>
      </c>
    </row>
    <row r="141" spans="1:26" s="24" customFormat="1" hidden="1" outlineLevel="1" x14ac:dyDescent="0.25">
      <c r="A141" s="46"/>
      <c r="B141" s="11" t="str">
        <f>CONCATENATE("          ", "5026", " - ", "PURCHASES @ COST-WRITING INSTR")</f>
        <v xml:space="preserve">          5026 - PURCHASES @ COST-WRITING INSTR</v>
      </c>
      <c r="C141" s="11"/>
      <c r="D141" s="2">
        <v>2250.85</v>
      </c>
      <c r="E141" s="2"/>
      <c r="F141" s="19">
        <f t="shared" si="9"/>
        <v>5.6148180627698025E-4</v>
      </c>
      <c r="G141" s="2"/>
      <c r="H141" s="2"/>
      <c r="I141" s="2"/>
      <c r="J141" s="19">
        <f t="shared" si="10"/>
        <v>0</v>
      </c>
      <c r="K141" s="2"/>
      <c r="L141" s="2">
        <f t="shared" si="11"/>
        <v>2250.85</v>
      </c>
      <c r="M141" s="2"/>
      <c r="N141" s="19">
        <f t="shared" si="12"/>
        <v>0</v>
      </c>
      <c r="O141" s="11"/>
      <c r="P141" s="2">
        <v>14787.38</v>
      </c>
      <c r="Q141" s="2"/>
      <c r="R141" s="19">
        <f t="shared" si="13"/>
        <v>1.5191513139792112E-3</v>
      </c>
      <c r="S141" s="2"/>
      <c r="T141" s="2"/>
      <c r="U141" s="2"/>
      <c r="V141" s="19">
        <f t="shared" si="14"/>
        <v>0</v>
      </c>
      <c r="W141" s="2"/>
      <c r="X141" s="2">
        <f t="shared" si="15"/>
        <v>14787.38</v>
      </c>
      <c r="Y141" s="2"/>
      <c r="Z141" s="19">
        <f t="shared" si="16"/>
        <v>0</v>
      </c>
    </row>
    <row r="142" spans="1:26" s="24" customFormat="1" hidden="1" outlineLevel="1" x14ac:dyDescent="0.25">
      <c r="A142" s="46"/>
      <c r="B142" s="11" t="str">
        <f>CONCATENATE("          ", "5027", " - ", "PURCHASES @ COST-SCHOOL SUPPLI")</f>
        <v xml:space="preserve">          5027 - PURCHASES @ COST-SCHOOL SUPPLI</v>
      </c>
      <c r="C142" s="11"/>
      <c r="D142" s="2">
        <v>12655.95</v>
      </c>
      <c r="E142" s="2"/>
      <c r="F142" s="19">
        <f t="shared" si="9"/>
        <v>3.1570676260751045E-3</v>
      </c>
      <c r="G142" s="2"/>
      <c r="H142" s="2"/>
      <c r="I142" s="2"/>
      <c r="J142" s="19">
        <f t="shared" si="10"/>
        <v>0</v>
      </c>
      <c r="K142" s="2"/>
      <c r="L142" s="2">
        <f t="shared" si="11"/>
        <v>12655.95</v>
      </c>
      <c r="M142" s="2"/>
      <c r="N142" s="19">
        <f t="shared" si="12"/>
        <v>0</v>
      </c>
      <c r="O142" s="11"/>
      <c r="P142" s="2">
        <v>62182.680000000008</v>
      </c>
      <c r="Q142" s="2"/>
      <c r="R142" s="19">
        <f t="shared" si="13"/>
        <v>6.3882107600365199E-3</v>
      </c>
      <c r="S142" s="2"/>
      <c r="T142" s="2"/>
      <c r="U142" s="2"/>
      <c r="V142" s="19">
        <f t="shared" si="14"/>
        <v>0</v>
      </c>
      <c r="W142" s="2"/>
      <c r="X142" s="2">
        <f t="shared" si="15"/>
        <v>62182.680000000008</v>
      </c>
      <c r="Y142" s="2"/>
      <c r="Z142" s="19">
        <f t="shared" si="16"/>
        <v>0</v>
      </c>
    </row>
    <row r="143" spans="1:26" s="24" customFormat="1" hidden="1" outlineLevel="1" x14ac:dyDescent="0.25">
      <c r="A143" s="46"/>
      <c r="B143" s="11" t="str">
        <f>CONCATENATE("          ", "5028", " - ", "PURCHASES @ COST-ART/TECH")</f>
        <v xml:space="preserve">          5028 - PURCHASES @ COST-ART/TECH</v>
      </c>
      <c r="C143" s="11"/>
      <c r="D143" s="2">
        <v>14830.009999999998</v>
      </c>
      <c r="E143" s="2"/>
      <c r="F143" s="19">
        <f t="shared" si="9"/>
        <v>3.6993939186999044E-3</v>
      </c>
      <c r="G143" s="2"/>
      <c r="H143" s="2"/>
      <c r="I143" s="2"/>
      <c r="J143" s="19">
        <f t="shared" si="10"/>
        <v>0</v>
      </c>
      <c r="K143" s="2"/>
      <c r="L143" s="2">
        <f t="shared" si="11"/>
        <v>14830.009999999998</v>
      </c>
      <c r="M143" s="2"/>
      <c r="N143" s="19">
        <f t="shared" si="12"/>
        <v>0</v>
      </c>
      <c r="O143" s="11"/>
      <c r="P143" s="2">
        <v>70844.78</v>
      </c>
      <c r="Q143" s="2"/>
      <c r="R143" s="19">
        <f t="shared" si="13"/>
        <v>7.278093930470993E-3</v>
      </c>
      <c r="S143" s="2"/>
      <c r="T143" s="2"/>
      <c r="U143" s="2"/>
      <c r="V143" s="19">
        <f t="shared" si="14"/>
        <v>0</v>
      </c>
      <c r="W143" s="2"/>
      <c r="X143" s="2">
        <f t="shared" si="15"/>
        <v>70844.78</v>
      </c>
      <c r="Y143" s="2"/>
      <c r="Z143" s="19">
        <f t="shared" si="16"/>
        <v>0</v>
      </c>
    </row>
    <row r="144" spans="1:26" s="24" customFormat="1" hidden="1" outlineLevel="1" x14ac:dyDescent="0.25">
      <c r="A144" s="46"/>
      <c r="B144" s="11" t="str">
        <f>CONCATENATE("          ", "5031", " - ", "PURCHASES @ COST-FOOD")</f>
        <v xml:space="preserve">          5031 - PURCHASES @ COST-FOOD</v>
      </c>
      <c r="C144" s="11"/>
      <c r="D144" s="2">
        <v>5471.01</v>
      </c>
      <c r="E144" s="2"/>
      <c r="F144" s="19">
        <f t="shared" si="9"/>
        <v>1.3647611244460636E-3</v>
      </c>
      <c r="G144" s="2"/>
      <c r="H144" s="2"/>
      <c r="I144" s="2"/>
      <c r="J144" s="19">
        <f t="shared" si="10"/>
        <v>0</v>
      </c>
      <c r="K144" s="2"/>
      <c r="L144" s="2">
        <f t="shared" si="11"/>
        <v>5471.01</v>
      </c>
      <c r="M144" s="2"/>
      <c r="N144" s="19">
        <f t="shared" si="12"/>
        <v>0</v>
      </c>
      <c r="O144" s="11"/>
      <c r="P144" s="2">
        <v>8150.05</v>
      </c>
      <c r="Q144" s="2"/>
      <c r="R144" s="19">
        <f t="shared" si="13"/>
        <v>8.3727875840725475E-4</v>
      </c>
      <c r="S144" s="2"/>
      <c r="T144" s="2"/>
      <c r="U144" s="2"/>
      <c r="V144" s="19">
        <f t="shared" si="14"/>
        <v>0</v>
      </c>
      <c r="W144" s="2"/>
      <c r="X144" s="2">
        <f t="shared" si="15"/>
        <v>8150.05</v>
      </c>
      <c r="Y144" s="2"/>
      <c r="Z144" s="19">
        <f t="shared" si="16"/>
        <v>0</v>
      </c>
    </row>
    <row r="145" spans="1:26" s="24" customFormat="1" hidden="1" outlineLevel="1" x14ac:dyDescent="0.25">
      <c r="A145" s="46"/>
      <c r="B145" s="11" t="str">
        <f>CONCATENATE("          ", "5032", " - ", "PURCHASES @ COST-JUICE")</f>
        <v xml:space="preserve">          5032 - PURCHASES @ COST-JUICE</v>
      </c>
      <c r="C145" s="11"/>
      <c r="D145" s="2">
        <v>477.55</v>
      </c>
      <c r="E145" s="2"/>
      <c r="F145" s="19">
        <f t="shared" si="9"/>
        <v>1.1912639073575403E-4</v>
      </c>
      <c r="G145" s="2"/>
      <c r="H145" s="2"/>
      <c r="I145" s="2"/>
      <c r="J145" s="19">
        <f t="shared" si="10"/>
        <v>0</v>
      </c>
      <c r="K145" s="2"/>
      <c r="L145" s="2">
        <f t="shared" si="11"/>
        <v>477.55</v>
      </c>
      <c r="M145" s="2"/>
      <c r="N145" s="19">
        <f t="shared" si="12"/>
        <v>0</v>
      </c>
      <c r="O145" s="11"/>
      <c r="P145" s="2">
        <v>819.15</v>
      </c>
      <c r="Q145" s="2"/>
      <c r="R145" s="19">
        <f t="shared" si="13"/>
        <v>8.4153703958785868E-5</v>
      </c>
      <c r="S145" s="2"/>
      <c r="T145" s="2"/>
      <c r="U145" s="2"/>
      <c r="V145" s="19">
        <f t="shared" si="14"/>
        <v>0</v>
      </c>
      <c r="W145" s="2"/>
      <c r="X145" s="2">
        <f t="shared" si="15"/>
        <v>819.15</v>
      </c>
      <c r="Y145" s="2"/>
      <c r="Z145" s="19">
        <f t="shared" si="16"/>
        <v>0</v>
      </c>
    </row>
    <row r="146" spans="1:26" s="24" customFormat="1" hidden="1" outlineLevel="1" x14ac:dyDescent="0.25">
      <c r="A146" s="46"/>
      <c r="B146" s="11" t="str">
        <f>CONCATENATE("          ", "5033", " - ", "PURCHASES @ COST-CANDY")</f>
        <v xml:space="preserve">          5033 - PURCHASES @ COST-CANDY</v>
      </c>
      <c r="C146" s="11"/>
      <c r="D146" s="2">
        <v>1366.65</v>
      </c>
      <c r="E146" s="2"/>
      <c r="F146" s="19">
        <f t="shared" si="9"/>
        <v>3.409152589237111E-4</v>
      </c>
      <c r="G146" s="2"/>
      <c r="H146" s="2"/>
      <c r="I146" s="2"/>
      <c r="J146" s="19">
        <f t="shared" si="10"/>
        <v>0</v>
      </c>
      <c r="K146" s="2"/>
      <c r="L146" s="2">
        <f t="shared" si="11"/>
        <v>1366.65</v>
      </c>
      <c r="M146" s="2"/>
      <c r="N146" s="19">
        <f t="shared" si="12"/>
        <v>0</v>
      </c>
      <c r="O146" s="11"/>
      <c r="P146" s="2">
        <v>2353.11</v>
      </c>
      <c r="Q146" s="2"/>
      <c r="R146" s="19">
        <f t="shared" si="13"/>
        <v>2.4174195485864448E-4</v>
      </c>
      <c r="S146" s="2"/>
      <c r="T146" s="2"/>
      <c r="U146" s="2"/>
      <c r="V146" s="19">
        <f t="shared" si="14"/>
        <v>0</v>
      </c>
      <c r="W146" s="2"/>
      <c r="X146" s="2">
        <f t="shared" si="15"/>
        <v>2353.11</v>
      </c>
      <c r="Y146" s="2"/>
      <c r="Z146" s="19">
        <f t="shared" si="16"/>
        <v>0</v>
      </c>
    </row>
    <row r="147" spans="1:26" s="24" customFormat="1" hidden="1" outlineLevel="1" x14ac:dyDescent="0.25">
      <c r="A147" s="46"/>
      <c r="B147" s="11" t="str">
        <f>CONCATENATE("          ", "5034", " - ", "PURCHASES @ COST-SODA")</f>
        <v xml:space="preserve">          5034 - PURCHASES @ COST-SODA</v>
      </c>
      <c r="C147" s="11"/>
      <c r="D147" s="2">
        <v>330.04</v>
      </c>
      <c r="E147" s="2"/>
      <c r="F147" s="19">
        <f t="shared" si="9"/>
        <v>8.2329544547017617E-5</v>
      </c>
      <c r="G147" s="2"/>
      <c r="H147" s="2"/>
      <c r="I147" s="2"/>
      <c r="J147" s="19">
        <f t="shared" si="10"/>
        <v>0</v>
      </c>
      <c r="K147" s="2"/>
      <c r="L147" s="2">
        <f t="shared" si="11"/>
        <v>330.04</v>
      </c>
      <c r="M147" s="2"/>
      <c r="N147" s="19">
        <f t="shared" si="12"/>
        <v>0</v>
      </c>
      <c r="O147" s="11"/>
      <c r="P147" s="2">
        <v>618.54</v>
      </c>
      <c r="Q147" s="2"/>
      <c r="R147" s="19">
        <f t="shared" si="13"/>
        <v>6.3544444908340855E-5</v>
      </c>
      <c r="S147" s="2"/>
      <c r="T147" s="2"/>
      <c r="U147" s="2"/>
      <c r="V147" s="19">
        <f t="shared" si="14"/>
        <v>0</v>
      </c>
      <c r="W147" s="2"/>
      <c r="X147" s="2">
        <f t="shared" si="15"/>
        <v>618.54</v>
      </c>
      <c r="Y147" s="2"/>
      <c r="Z147" s="19">
        <f t="shared" si="16"/>
        <v>0</v>
      </c>
    </row>
    <row r="148" spans="1:26" s="24" customFormat="1" hidden="1" outlineLevel="1" x14ac:dyDescent="0.25">
      <c r="A148" s="46"/>
      <c r="B148" s="11" t="str">
        <f>CONCATENATE("          ", "5035", " - ", "PURCHASES @ COST-HEALTH &amp; BEAU")</f>
        <v xml:space="preserve">          5035 - PURCHASES @ COST-HEALTH &amp; BEAU</v>
      </c>
      <c r="C148" s="11"/>
      <c r="D148" s="2">
        <v>210.83</v>
      </c>
      <c r="E148" s="2"/>
      <c r="F148" s="19">
        <f t="shared" si="9"/>
        <v>5.259222481168259E-5</v>
      </c>
      <c r="G148" s="2"/>
      <c r="H148" s="2"/>
      <c r="I148" s="2"/>
      <c r="J148" s="19">
        <f t="shared" si="10"/>
        <v>0</v>
      </c>
      <c r="K148" s="2"/>
      <c r="L148" s="2">
        <f t="shared" si="11"/>
        <v>210.83</v>
      </c>
      <c r="M148" s="2"/>
      <c r="N148" s="19">
        <f t="shared" si="12"/>
        <v>0</v>
      </c>
      <c r="O148" s="11"/>
      <c r="P148" s="2">
        <v>287.56</v>
      </c>
      <c r="Q148" s="2"/>
      <c r="R148" s="19">
        <f t="shared" si="13"/>
        <v>2.9541889898539295E-5</v>
      </c>
      <c r="S148" s="2"/>
      <c r="T148" s="2"/>
      <c r="U148" s="2"/>
      <c r="V148" s="19">
        <f t="shared" si="14"/>
        <v>0</v>
      </c>
      <c r="W148" s="2"/>
      <c r="X148" s="2">
        <f t="shared" si="15"/>
        <v>287.56</v>
      </c>
      <c r="Y148" s="2"/>
      <c r="Z148" s="19">
        <f t="shared" si="16"/>
        <v>0</v>
      </c>
    </row>
    <row r="149" spans="1:26" s="24" customFormat="1" hidden="1" outlineLevel="1" x14ac:dyDescent="0.25">
      <c r="A149" s="46"/>
      <c r="B149" s="11" t="str">
        <f>CONCATENATE("          ", "5037", " - ", "PURCHASES @ COST-WATER")</f>
        <v xml:space="preserve">          5037 - PURCHASES @ COST-WATER</v>
      </c>
      <c r="C149" s="11"/>
      <c r="D149" s="2">
        <v>896.64</v>
      </c>
      <c r="E149" s="2"/>
      <c r="F149" s="19">
        <f t="shared" si="9"/>
        <v>2.2366974555398697E-4</v>
      </c>
      <c r="G149" s="2"/>
      <c r="H149" s="2"/>
      <c r="I149" s="2"/>
      <c r="J149" s="19">
        <f t="shared" si="10"/>
        <v>0</v>
      </c>
      <c r="K149" s="2"/>
      <c r="L149" s="2">
        <f t="shared" si="11"/>
        <v>896.64</v>
      </c>
      <c r="M149" s="2"/>
      <c r="N149" s="19">
        <f t="shared" si="12"/>
        <v>0</v>
      </c>
      <c r="O149" s="11"/>
      <c r="P149" s="2">
        <v>1392.58</v>
      </c>
      <c r="Q149" s="2"/>
      <c r="R149" s="19">
        <f t="shared" si="13"/>
        <v>1.4306386505392909E-4</v>
      </c>
      <c r="S149" s="2"/>
      <c r="T149" s="2"/>
      <c r="U149" s="2"/>
      <c r="V149" s="19">
        <f t="shared" si="14"/>
        <v>0</v>
      </c>
      <c r="W149" s="2"/>
      <c r="X149" s="2">
        <f t="shared" si="15"/>
        <v>1392.58</v>
      </c>
      <c r="Y149" s="2"/>
      <c r="Z149" s="19">
        <f t="shared" si="16"/>
        <v>0</v>
      </c>
    </row>
    <row r="150" spans="1:26" s="24" customFormat="1" hidden="1" outlineLevel="1" x14ac:dyDescent="0.25">
      <c r="A150" s="46"/>
      <c r="B150" s="11" t="str">
        <f>CONCATENATE("          ", "5040", " - ", "PURCHASES @ COST-LOGO CLOTHING")</f>
        <v xml:space="preserve">          5040 - PURCHASES @ COST-LOGO CLOTHING</v>
      </c>
      <c r="C150" s="11"/>
      <c r="D150" s="2">
        <v>150282.89000000001</v>
      </c>
      <c r="E150" s="2"/>
      <c r="F150" s="19">
        <f t="shared" si="9"/>
        <v>3.7488552560021655E-2</v>
      </c>
      <c r="G150" s="2"/>
      <c r="H150" s="2"/>
      <c r="I150" s="2"/>
      <c r="J150" s="19">
        <f t="shared" si="10"/>
        <v>0</v>
      </c>
      <c r="K150" s="2"/>
      <c r="L150" s="2">
        <f t="shared" si="11"/>
        <v>150282.89000000001</v>
      </c>
      <c r="M150" s="2"/>
      <c r="N150" s="19">
        <f t="shared" si="12"/>
        <v>0</v>
      </c>
      <c r="O150" s="11"/>
      <c r="P150" s="2">
        <v>335851.86000000004</v>
      </c>
      <c r="Q150" s="2"/>
      <c r="R150" s="19">
        <f t="shared" si="13"/>
        <v>3.450305560696771E-2</v>
      </c>
      <c r="S150" s="2"/>
      <c r="T150" s="2"/>
      <c r="U150" s="2"/>
      <c r="V150" s="19">
        <f t="shared" si="14"/>
        <v>0</v>
      </c>
      <c r="W150" s="2"/>
      <c r="X150" s="2">
        <f t="shared" si="15"/>
        <v>335851.86000000004</v>
      </c>
      <c r="Y150" s="2"/>
      <c r="Z150" s="19">
        <f t="shared" si="16"/>
        <v>0</v>
      </c>
    </row>
    <row r="151" spans="1:26" s="24" customFormat="1" hidden="1" outlineLevel="1" x14ac:dyDescent="0.25">
      <c r="A151" s="46"/>
      <c r="B151" s="11" t="str">
        <f>CONCATENATE("          ", "5041", " - ", "PURCHASES @ COST-LOGO GIFTS")</f>
        <v xml:space="preserve">          5041 - PURCHASES @ COST-LOGO GIFTS</v>
      </c>
      <c r="C151" s="11"/>
      <c r="D151" s="2">
        <v>14167.32</v>
      </c>
      <c r="E151" s="2"/>
      <c r="F151" s="19">
        <f t="shared" si="9"/>
        <v>3.5340837566714745E-3</v>
      </c>
      <c r="G151" s="2"/>
      <c r="H151" s="2"/>
      <c r="I151" s="2"/>
      <c r="J151" s="19">
        <f t="shared" si="10"/>
        <v>0</v>
      </c>
      <c r="K151" s="2"/>
      <c r="L151" s="2">
        <f t="shared" si="11"/>
        <v>14167.32</v>
      </c>
      <c r="M151" s="2"/>
      <c r="N151" s="19">
        <f t="shared" si="12"/>
        <v>0</v>
      </c>
      <c r="O151" s="11"/>
      <c r="P151" s="2">
        <v>42696.480000000003</v>
      </c>
      <c r="Q151" s="2"/>
      <c r="R151" s="19">
        <f t="shared" si="13"/>
        <v>4.3863357602419847E-3</v>
      </c>
      <c r="S151" s="2"/>
      <c r="T151" s="2"/>
      <c r="U151" s="2"/>
      <c r="V151" s="19">
        <f t="shared" si="14"/>
        <v>0</v>
      </c>
      <c r="W151" s="2"/>
      <c r="X151" s="2">
        <f t="shared" si="15"/>
        <v>42696.480000000003</v>
      </c>
      <c r="Y151" s="2"/>
      <c r="Z151" s="19">
        <f t="shared" si="16"/>
        <v>0</v>
      </c>
    </row>
    <row r="152" spans="1:26" s="24" customFormat="1" hidden="1" outlineLevel="1" x14ac:dyDescent="0.25">
      <c r="A152" s="46"/>
      <c r="B152" s="11" t="str">
        <f>CONCATENATE("          ", "5042", " - ", "PURCHASES @ COST-EVERYDAY GIFT")</f>
        <v xml:space="preserve">          5042 - PURCHASES @ COST-EVERYDAY GIFT</v>
      </c>
      <c r="C152" s="11"/>
      <c r="D152" s="2">
        <v>11559.46</v>
      </c>
      <c r="E152" s="2"/>
      <c r="F152" s="19">
        <f t="shared" si="9"/>
        <v>2.8835446521920617E-3</v>
      </c>
      <c r="G152" s="2"/>
      <c r="H152" s="2"/>
      <c r="I152" s="2"/>
      <c r="J152" s="19">
        <f t="shared" si="10"/>
        <v>0</v>
      </c>
      <c r="K152" s="2"/>
      <c r="L152" s="2">
        <f t="shared" si="11"/>
        <v>11559.46</v>
      </c>
      <c r="M152" s="2"/>
      <c r="N152" s="19">
        <f t="shared" si="12"/>
        <v>0</v>
      </c>
      <c r="O152" s="11"/>
      <c r="P152" s="2">
        <v>35291.68</v>
      </c>
      <c r="Q152" s="2"/>
      <c r="R152" s="19">
        <f t="shared" si="13"/>
        <v>3.6256187400698333E-3</v>
      </c>
      <c r="S152" s="2"/>
      <c r="T152" s="2"/>
      <c r="U152" s="2"/>
      <c r="V152" s="19">
        <f t="shared" si="14"/>
        <v>0</v>
      </c>
      <c r="W152" s="2"/>
      <c r="X152" s="2">
        <f t="shared" si="15"/>
        <v>35291.68</v>
      </c>
      <c r="Y152" s="2"/>
      <c r="Z152" s="19">
        <f t="shared" si="16"/>
        <v>0</v>
      </c>
    </row>
    <row r="153" spans="1:26" s="24" customFormat="1" hidden="1" outlineLevel="1" x14ac:dyDescent="0.25">
      <c r="A153" s="46"/>
      <c r="B153" s="11" t="str">
        <f>CONCATENATE("          ", "5043", " - ", "PURCHASES @ COST-CARDS")</f>
        <v xml:space="preserve">          5043 - PURCHASES @ COST-CARDS</v>
      </c>
      <c r="C153" s="11"/>
      <c r="D153" s="2">
        <v>495.49</v>
      </c>
      <c r="E153" s="2"/>
      <c r="F153" s="19">
        <f t="shared" si="9"/>
        <v>1.2360158171010105E-4</v>
      </c>
      <c r="G153" s="2"/>
      <c r="H153" s="2"/>
      <c r="I153" s="2"/>
      <c r="J153" s="19">
        <f t="shared" si="10"/>
        <v>0</v>
      </c>
      <c r="K153" s="2"/>
      <c r="L153" s="2">
        <f t="shared" si="11"/>
        <v>495.49</v>
      </c>
      <c r="M153" s="2"/>
      <c r="N153" s="19">
        <f t="shared" si="12"/>
        <v>0</v>
      </c>
      <c r="O153" s="11"/>
      <c r="P153" s="2">
        <v>1008.99</v>
      </c>
      <c r="Q153" s="2"/>
      <c r="R153" s="19">
        <f t="shared" si="13"/>
        <v>1.0365652903299195E-4</v>
      </c>
      <c r="S153" s="2"/>
      <c r="T153" s="2"/>
      <c r="U153" s="2"/>
      <c r="V153" s="19">
        <f t="shared" si="14"/>
        <v>0</v>
      </c>
      <c r="W153" s="2"/>
      <c r="X153" s="2">
        <f t="shared" si="15"/>
        <v>1008.99</v>
      </c>
      <c r="Y153" s="2"/>
      <c r="Z153" s="19">
        <f t="shared" si="16"/>
        <v>0</v>
      </c>
    </row>
    <row r="154" spans="1:26" s="24" customFormat="1" hidden="1" outlineLevel="1" x14ac:dyDescent="0.25">
      <c r="A154" s="46"/>
      <c r="B154" s="11" t="str">
        <f>CONCATENATE("          ", "5044", " - ", "PURCHASES @ COST-ACCESSORIES")</f>
        <v xml:space="preserve">          5044 - PURCHASES @ COST-ACCESSORIES</v>
      </c>
      <c r="C154" s="11"/>
      <c r="D154" s="2">
        <v>2315.5300000000002</v>
      </c>
      <c r="E154" s="2"/>
      <c r="F154" s="19">
        <f t="shared" si="9"/>
        <v>5.7761644129486033E-4</v>
      </c>
      <c r="G154" s="2"/>
      <c r="H154" s="2"/>
      <c r="I154" s="2"/>
      <c r="J154" s="19">
        <f t="shared" si="10"/>
        <v>0</v>
      </c>
      <c r="K154" s="2"/>
      <c r="L154" s="2">
        <f t="shared" si="11"/>
        <v>2315.5300000000002</v>
      </c>
      <c r="M154" s="2"/>
      <c r="N154" s="19">
        <f t="shared" si="12"/>
        <v>0</v>
      </c>
      <c r="O154" s="11"/>
      <c r="P154" s="2">
        <v>20403.649999999998</v>
      </c>
      <c r="Q154" s="2"/>
      <c r="R154" s="19">
        <f t="shared" si="13"/>
        <v>2.0961273536942941E-3</v>
      </c>
      <c r="S154" s="2"/>
      <c r="T154" s="2"/>
      <c r="U154" s="2"/>
      <c r="V154" s="19">
        <f t="shared" si="14"/>
        <v>0</v>
      </c>
      <c r="W154" s="2"/>
      <c r="X154" s="2">
        <f t="shared" si="15"/>
        <v>20403.649999999998</v>
      </c>
      <c r="Y154" s="2"/>
      <c r="Z154" s="19">
        <f t="shared" si="16"/>
        <v>0</v>
      </c>
    </row>
    <row r="155" spans="1:26" s="24" customFormat="1" hidden="1" outlineLevel="1" x14ac:dyDescent="0.25">
      <c r="A155" s="46"/>
      <c r="B155" s="11" t="str">
        <f>CONCATENATE("          ", "5045", " - ", "PURCHASES @ COST-SPECIAL ORDER")</f>
        <v xml:space="preserve">          5045 - PURCHASES @ COST-SPECIAL ORDER</v>
      </c>
      <c r="C155" s="11"/>
      <c r="D155" s="2">
        <v>4318.3999999999996</v>
      </c>
      <c r="E155" s="2"/>
      <c r="F155" s="19">
        <f t="shared" si="9"/>
        <v>1.0772388352073713E-3</v>
      </c>
      <c r="G155" s="2"/>
      <c r="H155" s="2"/>
      <c r="I155" s="2"/>
      <c r="J155" s="19">
        <f t="shared" si="10"/>
        <v>0</v>
      </c>
      <c r="K155" s="2"/>
      <c r="L155" s="2">
        <f t="shared" si="11"/>
        <v>4318.3999999999996</v>
      </c>
      <c r="M155" s="2"/>
      <c r="N155" s="19">
        <f t="shared" si="12"/>
        <v>0</v>
      </c>
      <c r="O155" s="11"/>
      <c r="P155" s="2">
        <v>24464.030000000002</v>
      </c>
      <c r="Q155" s="2"/>
      <c r="R155" s="19">
        <f t="shared" si="13"/>
        <v>2.5132622087027483E-3</v>
      </c>
      <c r="S155" s="2"/>
      <c r="T155" s="2"/>
      <c r="U155" s="2"/>
      <c r="V155" s="19">
        <f t="shared" si="14"/>
        <v>0</v>
      </c>
      <c r="W155" s="2"/>
      <c r="X155" s="2">
        <f t="shared" si="15"/>
        <v>24464.030000000002</v>
      </c>
      <c r="Y155" s="2"/>
      <c r="Z155" s="19">
        <f t="shared" si="16"/>
        <v>0</v>
      </c>
    </row>
    <row r="156" spans="1:26" s="24" customFormat="1" hidden="1" outlineLevel="1" x14ac:dyDescent="0.25">
      <c r="A156" s="46"/>
      <c r="B156" s="11" t="str">
        <f>CONCATENATE("          ", "5053", " - ", "PURCHASES @ COST-FOOD")</f>
        <v xml:space="preserve">          5053 - PURCHASES @ COST-FOOD</v>
      </c>
      <c r="C156" s="11"/>
      <c r="D156" s="2">
        <v>746436.17</v>
      </c>
      <c r="E156" s="2"/>
      <c r="F156" s="19">
        <f t="shared" si="9"/>
        <v>0.18620091476645317</v>
      </c>
      <c r="G156" s="2"/>
      <c r="H156" s="2"/>
      <c r="I156" s="2"/>
      <c r="J156" s="19">
        <f t="shared" si="10"/>
        <v>0</v>
      </c>
      <c r="K156" s="2"/>
      <c r="L156" s="2">
        <f t="shared" si="11"/>
        <v>746436.17</v>
      </c>
      <c r="M156" s="2"/>
      <c r="N156" s="19">
        <f t="shared" si="12"/>
        <v>0</v>
      </c>
      <c r="O156" s="11"/>
      <c r="P156" s="2">
        <v>1412561.04</v>
      </c>
      <c r="Q156" s="2"/>
      <c r="R156" s="19">
        <f t="shared" si="13"/>
        <v>0.14511657643151399</v>
      </c>
      <c r="S156" s="2"/>
      <c r="T156" s="2"/>
      <c r="U156" s="2"/>
      <c r="V156" s="19">
        <f t="shared" si="14"/>
        <v>0</v>
      </c>
      <c r="W156" s="2"/>
      <c r="X156" s="2">
        <f t="shared" si="15"/>
        <v>1412561.04</v>
      </c>
      <c r="Y156" s="2"/>
      <c r="Z156" s="19">
        <f t="shared" si="16"/>
        <v>0</v>
      </c>
    </row>
    <row r="157" spans="1:26" s="24" customFormat="1" hidden="1" outlineLevel="1" x14ac:dyDescent="0.25">
      <c r="A157" s="46"/>
      <c r="B157" s="11" t="str">
        <f>CONCATENATE("          ", "5059", " - ", "PURCHASES @ COST-FOOD")</f>
        <v xml:space="preserve">          5059 - PURCHASES @ COST-FOOD</v>
      </c>
      <c r="C157" s="11"/>
      <c r="D157" s="2">
        <v>7808.84</v>
      </c>
      <c r="E157" s="2"/>
      <c r="F157" s="19">
        <f t="shared" si="9"/>
        <v>1.9479403728049115E-3</v>
      </c>
      <c r="G157" s="2"/>
      <c r="H157" s="2"/>
      <c r="I157" s="2"/>
      <c r="J157" s="19">
        <f t="shared" si="10"/>
        <v>0</v>
      </c>
      <c r="K157" s="2"/>
      <c r="L157" s="2">
        <f t="shared" si="11"/>
        <v>7808.84</v>
      </c>
      <c r="M157" s="2"/>
      <c r="N157" s="19">
        <f t="shared" si="12"/>
        <v>0</v>
      </c>
      <c r="O157" s="11"/>
      <c r="P157" s="2">
        <v>-87541.29</v>
      </c>
      <c r="Q157" s="2"/>
      <c r="R157" s="19">
        <f t="shared" si="13"/>
        <v>-8.9933758198501145E-3</v>
      </c>
      <c r="S157" s="2"/>
      <c r="T157" s="2"/>
      <c r="U157" s="2"/>
      <c r="V157" s="19">
        <f t="shared" si="14"/>
        <v>0</v>
      </c>
      <c r="W157" s="2"/>
      <c r="X157" s="2">
        <f t="shared" si="15"/>
        <v>-87541.29</v>
      </c>
      <c r="Y157" s="2"/>
      <c r="Z157" s="19">
        <f t="shared" si="16"/>
        <v>0</v>
      </c>
    </row>
    <row r="158" spans="1:26" s="24" customFormat="1" hidden="1" outlineLevel="1" x14ac:dyDescent="0.25">
      <c r="A158" s="46"/>
      <c r="B158" s="11" t="str">
        <f>CONCATENATE("          ", "5081", " - ", "PURCHASES @ COST-ELECTRONICS")</f>
        <v xml:space="preserve">          5081 - PURCHASES @ COST-ELECTRONICS</v>
      </c>
      <c r="C158" s="11"/>
      <c r="D158" s="2">
        <v>66395.33</v>
      </c>
      <c r="E158" s="2"/>
      <c r="F158" s="19">
        <f t="shared" si="9"/>
        <v>1.6562529629587125E-2</v>
      </c>
      <c r="G158" s="2"/>
      <c r="H158" s="2"/>
      <c r="I158" s="2"/>
      <c r="J158" s="19">
        <f t="shared" si="10"/>
        <v>0</v>
      </c>
      <c r="K158" s="2"/>
      <c r="L158" s="2">
        <f t="shared" si="11"/>
        <v>66395.33</v>
      </c>
      <c r="M158" s="2"/>
      <c r="N158" s="19">
        <f t="shared" si="12"/>
        <v>0</v>
      </c>
      <c r="O158" s="11"/>
      <c r="P158" s="2">
        <v>150158.17000000001</v>
      </c>
      <c r="Q158" s="2"/>
      <c r="R158" s="19">
        <f t="shared" si="13"/>
        <v>1.5426193230999257E-2</v>
      </c>
      <c r="S158" s="2"/>
      <c r="T158" s="2"/>
      <c r="U158" s="2"/>
      <c r="V158" s="19">
        <f t="shared" si="14"/>
        <v>0</v>
      </c>
      <c r="W158" s="2"/>
      <c r="X158" s="2">
        <f t="shared" si="15"/>
        <v>150158.17000000001</v>
      </c>
      <c r="Y158" s="2"/>
      <c r="Z158" s="19">
        <f t="shared" si="16"/>
        <v>0</v>
      </c>
    </row>
    <row r="159" spans="1:26" s="24" customFormat="1" hidden="1" outlineLevel="1" x14ac:dyDescent="0.25">
      <c r="A159" s="46"/>
      <c r="B159" s="11" t="str">
        <f>CONCATENATE("          ", "5082", " - ", "PURCHASES @ COST-COMPUTER HARD")</f>
        <v xml:space="preserve">          5082 - PURCHASES @ COST-COMPUTER HARD</v>
      </c>
      <c r="C159" s="11"/>
      <c r="D159" s="2">
        <v>127439.07</v>
      </c>
      <c r="E159" s="2"/>
      <c r="F159" s="19">
        <f t="shared" si="9"/>
        <v>3.1790087839642149E-2</v>
      </c>
      <c r="G159" s="2"/>
      <c r="H159" s="2"/>
      <c r="I159" s="2"/>
      <c r="J159" s="19">
        <f t="shared" si="10"/>
        <v>0</v>
      </c>
      <c r="K159" s="2"/>
      <c r="L159" s="2">
        <f t="shared" si="11"/>
        <v>127439.07</v>
      </c>
      <c r="M159" s="2"/>
      <c r="N159" s="19">
        <f t="shared" si="12"/>
        <v>0</v>
      </c>
      <c r="O159" s="11"/>
      <c r="P159" s="2">
        <v>801192.57</v>
      </c>
      <c r="Q159" s="2"/>
      <c r="R159" s="19">
        <f t="shared" si="13"/>
        <v>8.2308884025830212E-2</v>
      </c>
      <c r="S159" s="2"/>
      <c r="T159" s="2"/>
      <c r="U159" s="2"/>
      <c r="V159" s="19">
        <f t="shared" si="14"/>
        <v>0</v>
      </c>
      <c r="W159" s="2"/>
      <c r="X159" s="2">
        <f t="shared" si="15"/>
        <v>801192.57</v>
      </c>
      <c r="Y159" s="2"/>
      <c r="Z159" s="19">
        <f t="shared" si="16"/>
        <v>0</v>
      </c>
    </row>
    <row r="160" spans="1:26" s="24" customFormat="1" hidden="1" outlineLevel="1" x14ac:dyDescent="0.25">
      <c r="A160" s="46"/>
      <c r="B160" s="11" t="str">
        <f>CONCATENATE("          ", "5083", " - ", "PURCHASES @ COST-COMPUTER EQUI")</f>
        <v xml:space="preserve">          5083 - PURCHASES @ COST-COMPUTER EQUI</v>
      </c>
      <c r="C160" s="11"/>
      <c r="D160" s="2">
        <v>10594.52</v>
      </c>
      <c r="E160" s="2"/>
      <c r="F160" s="19">
        <f t="shared" si="9"/>
        <v>2.6428372509219155E-3</v>
      </c>
      <c r="G160" s="2"/>
      <c r="H160" s="2"/>
      <c r="I160" s="2"/>
      <c r="J160" s="19">
        <f t="shared" si="10"/>
        <v>0</v>
      </c>
      <c r="K160" s="2"/>
      <c r="L160" s="2">
        <f t="shared" si="11"/>
        <v>10594.52</v>
      </c>
      <c r="M160" s="2"/>
      <c r="N160" s="19">
        <f t="shared" si="12"/>
        <v>0</v>
      </c>
      <c r="O160" s="11"/>
      <c r="P160" s="2">
        <v>27868.41</v>
      </c>
      <c r="Q160" s="2"/>
      <c r="R160" s="19">
        <f t="shared" si="13"/>
        <v>2.8630042421315602E-3</v>
      </c>
      <c r="S160" s="2"/>
      <c r="T160" s="2"/>
      <c r="U160" s="2"/>
      <c r="V160" s="19">
        <f t="shared" si="14"/>
        <v>0</v>
      </c>
      <c r="W160" s="2"/>
      <c r="X160" s="2">
        <f t="shared" si="15"/>
        <v>27868.41</v>
      </c>
      <c r="Y160" s="2"/>
      <c r="Z160" s="19">
        <f t="shared" si="16"/>
        <v>0</v>
      </c>
    </row>
    <row r="161" spans="1:26" s="24" customFormat="1" hidden="1" outlineLevel="1" x14ac:dyDescent="0.25">
      <c r="A161" s="46"/>
      <c r="B161" s="11" t="str">
        <f>CONCATENATE("          ", "5084", " - ", "PURCHASES @ COST-SOFTWARE LICE")</f>
        <v xml:space="preserve">          5084 - PURCHASES @ COST-SOFTWARE LICE</v>
      </c>
      <c r="C161" s="11"/>
      <c r="D161" s="2"/>
      <c r="E161" s="2"/>
      <c r="F161" s="19">
        <f t="shared" si="9"/>
        <v>0</v>
      </c>
      <c r="G161" s="2"/>
      <c r="H161" s="2"/>
      <c r="I161" s="2"/>
      <c r="J161" s="19">
        <f t="shared" si="10"/>
        <v>0</v>
      </c>
      <c r="K161" s="2"/>
      <c r="L161" s="2">
        <f t="shared" si="11"/>
        <v>0</v>
      </c>
      <c r="M161" s="2"/>
      <c r="N161" s="19">
        <f t="shared" si="12"/>
        <v>0</v>
      </c>
      <c r="O161" s="11"/>
      <c r="P161" s="2">
        <v>1522</v>
      </c>
      <c r="Q161" s="2"/>
      <c r="R161" s="19">
        <f t="shared" si="13"/>
        <v>1.5635956470154685E-4</v>
      </c>
      <c r="S161" s="2"/>
      <c r="T161" s="2"/>
      <c r="U161" s="2"/>
      <c r="V161" s="19">
        <f t="shared" si="14"/>
        <v>0</v>
      </c>
      <c r="W161" s="2"/>
      <c r="X161" s="2">
        <f t="shared" si="15"/>
        <v>1522</v>
      </c>
      <c r="Y161" s="2"/>
      <c r="Z161" s="19">
        <f t="shared" si="16"/>
        <v>0</v>
      </c>
    </row>
    <row r="162" spans="1:26" s="24" customFormat="1" hidden="1" outlineLevel="1" x14ac:dyDescent="0.25">
      <c r="A162" s="46"/>
      <c r="B162" s="11" t="str">
        <f>CONCATENATE("          ", "5085", " - ", "PURCHASES @ COST-SOFTWARE")</f>
        <v xml:space="preserve">          5085 - PURCHASES @ COST-SOFTWARE</v>
      </c>
      <c r="C162" s="11"/>
      <c r="D162" s="2">
        <v>3058</v>
      </c>
      <c r="E162" s="2"/>
      <c r="F162" s="19">
        <f t="shared" si="9"/>
        <v>7.6282798213786159E-4</v>
      </c>
      <c r="G162" s="2"/>
      <c r="H162" s="2"/>
      <c r="I162" s="2"/>
      <c r="J162" s="19">
        <f t="shared" si="10"/>
        <v>0</v>
      </c>
      <c r="K162" s="2"/>
      <c r="L162" s="2">
        <f t="shared" si="11"/>
        <v>3058</v>
      </c>
      <c r="M162" s="2"/>
      <c r="N162" s="19">
        <f t="shared" si="12"/>
        <v>0</v>
      </c>
      <c r="O162" s="11"/>
      <c r="P162" s="2">
        <v>6426</v>
      </c>
      <c r="Q162" s="2"/>
      <c r="R162" s="19">
        <f t="shared" si="13"/>
        <v>6.6016199919325888E-4</v>
      </c>
      <c r="S162" s="2"/>
      <c r="T162" s="2"/>
      <c r="U162" s="2"/>
      <c r="V162" s="19">
        <f t="shared" si="14"/>
        <v>0</v>
      </c>
      <c r="W162" s="2"/>
      <c r="X162" s="2">
        <f t="shared" si="15"/>
        <v>6426</v>
      </c>
      <c r="Y162" s="2"/>
      <c r="Z162" s="19">
        <f t="shared" si="16"/>
        <v>0</v>
      </c>
    </row>
    <row r="163" spans="1:26" s="24" customFormat="1" hidden="1" outlineLevel="1" x14ac:dyDescent="0.25">
      <c r="A163" s="46"/>
      <c r="B163" s="11" t="str">
        <f>CONCATENATE("          ", "5086", " - ", "PURCHASES @ COST-COMPUTER SUPP")</f>
        <v xml:space="preserve">          5086 - PURCHASES @ COST-COMPUTER SUPP</v>
      </c>
      <c r="C163" s="11"/>
      <c r="D163" s="2">
        <v>6301.87</v>
      </c>
      <c r="E163" s="2"/>
      <c r="F163" s="19">
        <f t="shared" si="9"/>
        <v>1.5720218364274447E-3</v>
      </c>
      <c r="G163" s="2"/>
      <c r="H163" s="2"/>
      <c r="I163" s="2"/>
      <c r="J163" s="19">
        <f t="shared" si="10"/>
        <v>0</v>
      </c>
      <c r="K163" s="2"/>
      <c r="L163" s="2">
        <f t="shared" si="11"/>
        <v>6301.87</v>
      </c>
      <c r="M163" s="2"/>
      <c r="N163" s="19">
        <f t="shared" si="12"/>
        <v>0</v>
      </c>
      <c r="O163" s="11"/>
      <c r="P163" s="2">
        <v>12566.75</v>
      </c>
      <c r="Q163" s="2"/>
      <c r="R163" s="19">
        <f t="shared" si="13"/>
        <v>1.2910194216249433E-3</v>
      </c>
      <c r="S163" s="2"/>
      <c r="T163" s="2"/>
      <c r="U163" s="2"/>
      <c r="V163" s="19">
        <f t="shared" si="14"/>
        <v>0</v>
      </c>
      <c r="W163" s="2"/>
      <c r="X163" s="2">
        <f t="shared" si="15"/>
        <v>12566.75</v>
      </c>
      <c r="Y163" s="2"/>
      <c r="Z163" s="19">
        <f t="shared" si="16"/>
        <v>0</v>
      </c>
    </row>
    <row r="164" spans="1:26" s="24" customFormat="1" hidden="1" outlineLevel="1" x14ac:dyDescent="0.25">
      <c r="A164" s="46"/>
      <c r="B164" s="11" t="str">
        <f>CONCATENATE("          ", "5088", " - ", "PURCHASES @ COST-MUSIC")</f>
        <v xml:space="preserve">          5088 - PURCHASES @ COST-MUSIC</v>
      </c>
      <c r="C164" s="11"/>
      <c r="D164" s="2">
        <v>6.75</v>
      </c>
      <c r="E164" s="2"/>
      <c r="F164" s="19">
        <f t="shared" si="9"/>
        <v>1.6838093130904401E-6</v>
      </c>
      <c r="G164" s="2"/>
      <c r="H164" s="2"/>
      <c r="I164" s="2"/>
      <c r="J164" s="19">
        <f t="shared" si="10"/>
        <v>0</v>
      </c>
      <c r="K164" s="2"/>
      <c r="L164" s="2">
        <f t="shared" si="11"/>
        <v>6.75</v>
      </c>
      <c r="M164" s="2"/>
      <c r="N164" s="19">
        <f t="shared" si="12"/>
        <v>0</v>
      </c>
      <c r="O164" s="11"/>
      <c r="P164" s="2">
        <v>88.75</v>
      </c>
      <c r="Q164" s="2"/>
      <c r="R164" s="19">
        <f t="shared" si="13"/>
        <v>9.1175501755993969E-6</v>
      </c>
      <c r="S164" s="2"/>
      <c r="T164" s="2"/>
      <c r="U164" s="2"/>
      <c r="V164" s="19">
        <f t="shared" si="14"/>
        <v>0</v>
      </c>
      <c r="W164" s="2"/>
      <c r="X164" s="2">
        <f t="shared" si="15"/>
        <v>88.75</v>
      </c>
      <c r="Y164" s="2"/>
      <c r="Z164" s="19">
        <f t="shared" si="16"/>
        <v>0</v>
      </c>
    </row>
    <row r="165" spans="1:26" s="24" customFormat="1" hidden="1" outlineLevel="1" x14ac:dyDescent="0.25">
      <c r="A165" s="46"/>
      <c r="B165" s="11" t="str">
        <f>CONCATENATE("          ", "5092", " - ", "PURCHASES @ COST-GRAD MERCH")</f>
        <v xml:space="preserve">          5092 - PURCHASES @ COST-GRAD MERCH</v>
      </c>
      <c r="C165" s="11"/>
      <c r="D165" s="2">
        <v>-628</v>
      </c>
      <c r="E165" s="2"/>
      <c r="F165" s="19">
        <f t="shared" si="9"/>
        <v>-1.5665662942530316E-4</v>
      </c>
      <c r="G165" s="2"/>
      <c r="H165" s="2"/>
      <c r="I165" s="2"/>
      <c r="J165" s="19">
        <f t="shared" si="10"/>
        <v>0</v>
      </c>
      <c r="K165" s="2"/>
      <c r="L165" s="2">
        <f t="shared" si="11"/>
        <v>-628</v>
      </c>
      <c r="M165" s="2"/>
      <c r="N165" s="19">
        <f t="shared" si="12"/>
        <v>0</v>
      </c>
      <c r="O165" s="11"/>
      <c r="P165" s="2">
        <v>0</v>
      </c>
      <c r="Q165" s="2"/>
      <c r="R165" s="19">
        <f t="shared" si="13"/>
        <v>0</v>
      </c>
      <c r="S165" s="2"/>
      <c r="T165" s="2"/>
      <c r="U165" s="2"/>
      <c r="V165" s="19">
        <f t="shared" si="14"/>
        <v>0</v>
      </c>
      <c r="W165" s="2"/>
      <c r="X165" s="2">
        <f t="shared" si="15"/>
        <v>0</v>
      </c>
      <c r="Y165" s="2"/>
      <c r="Z165" s="19">
        <f t="shared" si="16"/>
        <v>0</v>
      </c>
    </row>
    <row r="166" spans="1:26" s="24" customFormat="1" hidden="1" outlineLevel="1" x14ac:dyDescent="0.25">
      <c r="A166" s="46"/>
      <c r="B166" s="11" t="str">
        <f>CONCATENATE("          ", "5095", " - ", "PURCHASES @ COST-CUSTOMER SERV")</f>
        <v xml:space="preserve">          5095 - PURCHASES @ COST-CUSTOMER SERV</v>
      </c>
      <c r="C166" s="11"/>
      <c r="D166" s="2"/>
      <c r="E166" s="2"/>
      <c r="F166" s="19">
        <f t="shared" si="9"/>
        <v>0</v>
      </c>
      <c r="G166" s="2"/>
      <c r="H166" s="2"/>
      <c r="I166" s="2"/>
      <c r="J166" s="19">
        <f t="shared" si="10"/>
        <v>0</v>
      </c>
      <c r="K166" s="2"/>
      <c r="L166" s="2">
        <f t="shared" si="11"/>
        <v>0</v>
      </c>
      <c r="M166" s="2"/>
      <c r="N166" s="19">
        <f t="shared" si="12"/>
        <v>0</v>
      </c>
      <c r="O166" s="11"/>
      <c r="P166" s="2">
        <v>0</v>
      </c>
      <c r="Q166" s="2"/>
      <c r="R166" s="19">
        <f t="shared" si="13"/>
        <v>0</v>
      </c>
      <c r="S166" s="2"/>
      <c r="T166" s="2"/>
      <c r="U166" s="2"/>
      <c r="V166" s="19">
        <f t="shared" si="14"/>
        <v>0</v>
      </c>
      <c r="W166" s="2"/>
      <c r="X166" s="2">
        <f t="shared" si="15"/>
        <v>0</v>
      </c>
      <c r="Y166" s="2"/>
      <c r="Z166" s="19">
        <f t="shared" si="16"/>
        <v>0</v>
      </c>
    </row>
    <row r="167" spans="1:26" s="24" customFormat="1" hidden="1" outlineLevel="1" x14ac:dyDescent="0.25">
      <c r="A167" s="46"/>
      <c r="B167" s="11" t="str">
        <f>CONCATENATE("          ", "5200", " - ", "PURCHASES OFFSET")</f>
        <v xml:space="preserve">          5200 - PURCHASES OFFSET</v>
      </c>
      <c r="C167" s="11"/>
      <c r="D167" s="2">
        <v>-493649</v>
      </c>
      <c r="E167" s="2"/>
      <c r="F167" s="19">
        <f t="shared" si="9"/>
        <v>-0.12314233831078261</v>
      </c>
      <c r="G167" s="2"/>
      <c r="H167" s="2"/>
      <c r="I167" s="2"/>
      <c r="J167" s="19">
        <f t="shared" si="10"/>
        <v>0</v>
      </c>
      <c r="K167" s="2"/>
      <c r="L167" s="2">
        <f t="shared" si="11"/>
        <v>-493649</v>
      </c>
      <c r="M167" s="2"/>
      <c r="N167" s="19">
        <f t="shared" si="12"/>
        <v>0</v>
      </c>
      <c r="O167" s="11"/>
      <c r="P167" s="2">
        <v>-3635482</v>
      </c>
      <c r="Q167" s="2"/>
      <c r="R167" s="19">
        <f t="shared" si="13"/>
        <v>-0.37348382588719375</v>
      </c>
      <c r="S167" s="2"/>
      <c r="T167" s="2"/>
      <c r="U167" s="2"/>
      <c r="V167" s="19">
        <f t="shared" si="14"/>
        <v>0</v>
      </c>
      <c r="W167" s="2"/>
      <c r="X167" s="2">
        <f t="shared" si="15"/>
        <v>-3635482</v>
      </c>
      <c r="Y167" s="2"/>
      <c r="Z167" s="19">
        <f t="shared" si="16"/>
        <v>0</v>
      </c>
    </row>
    <row r="168" spans="1:26" s="24" customFormat="1" hidden="1" outlineLevel="1" x14ac:dyDescent="0.25">
      <c r="A168" s="46"/>
      <c r="B168" s="11" t="str">
        <f>CONCATENATE("          ", "5300", " - ", "COG$ OFFSET")</f>
        <v xml:space="preserve">          5300 - COG$ OFFSET</v>
      </c>
      <c r="C168" s="11"/>
      <c r="D168" s="2">
        <v>777079</v>
      </c>
      <c r="E168" s="2"/>
      <c r="F168" s="19">
        <f t="shared" si="9"/>
        <v>0.19384486773437126</v>
      </c>
      <c r="G168" s="2"/>
      <c r="H168" s="2"/>
      <c r="I168" s="2"/>
      <c r="J168" s="19">
        <f t="shared" si="10"/>
        <v>0</v>
      </c>
      <c r="K168" s="2"/>
      <c r="L168" s="2">
        <f t="shared" si="11"/>
        <v>777079</v>
      </c>
      <c r="M168" s="2"/>
      <c r="N168" s="19">
        <f t="shared" si="12"/>
        <v>0</v>
      </c>
      <c r="O168" s="11"/>
      <c r="P168" s="2">
        <v>3003907</v>
      </c>
      <c r="Q168" s="2"/>
      <c r="R168" s="19">
        <f t="shared" si="13"/>
        <v>0.30860025684883668</v>
      </c>
      <c r="S168" s="2"/>
      <c r="T168" s="2"/>
      <c r="U168" s="2"/>
      <c r="V168" s="19">
        <f t="shared" si="14"/>
        <v>0</v>
      </c>
      <c r="W168" s="2"/>
      <c r="X168" s="2">
        <f t="shared" si="15"/>
        <v>3003907</v>
      </c>
      <c r="Y168" s="2"/>
      <c r="Z168" s="19">
        <f t="shared" si="16"/>
        <v>0</v>
      </c>
    </row>
    <row r="169" spans="1:26" s="24" customFormat="1" hidden="1" outlineLevel="1" x14ac:dyDescent="0.25">
      <c r="A169" s="46"/>
      <c r="B169" s="11" t="str">
        <f>CONCATENATE("          ", "5500", " - ", "FREIGHT-IN")</f>
        <v xml:space="preserve">          5500 - FREIGHT-IN</v>
      </c>
      <c r="C169" s="11"/>
      <c r="D169" s="2">
        <v>-49</v>
      </c>
      <c r="E169" s="2"/>
      <c r="F169" s="19">
        <f t="shared" si="9"/>
        <v>-1.2223208346878751E-5</v>
      </c>
      <c r="G169" s="2"/>
      <c r="H169" s="2"/>
      <c r="I169" s="2"/>
      <c r="J169" s="19">
        <f t="shared" si="10"/>
        <v>0</v>
      </c>
      <c r="K169" s="2"/>
      <c r="L169" s="2">
        <f t="shared" si="11"/>
        <v>-49</v>
      </c>
      <c r="M169" s="2"/>
      <c r="N169" s="19">
        <f t="shared" si="12"/>
        <v>0</v>
      </c>
      <c r="O169" s="11"/>
      <c r="P169" s="2">
        <v>0</v>
      </c>
      <c r="Q169" s="2"/>
      <c r="R169" s="19">
        <f t="shared" si="13"/>
        <v>0</v>
      </c>
      <c r="S169" s="2"/>
      <c r="T169" s="2"/>
      <c r="U169" s="2"/>
      <c r="V169" s="19">
        <f t="shared" si="14"/>
        <v>0</v>
      </c>
      <c r="W169" s="2"/>
      <c r="X169" s="2">
        <f t="shared" si="15"/>
        <v>0</v>
      </c>
      <c r="Y169" s="2"/>
      <c r="Z169" s="19">
        <f t="shared" si="16"/>
        <v>0</v>
      </c>
    </row>
    <row r="170" spans="1:26" s="24" customFormat="1" hidden="1" outlineLevel="1" x14ac:dyDescent="0.25">
      <c r="A170" s="46"/>
      <c r="B170" s="11" t="str">
        <f>CONCATENATE("          ", "5501", " - ", "FREIGHT-IN-NEW TEXT")</f>
        <v xml:space="preserve">          5501 - FREIGHT-IN-NEW TEXT</v>
      </c>
      <c r="C170" s="11"/>
      <c r="D170" s="2">
        <v>13859.22</v>
      </c>
      <c r="E170" s="2"/>
      <c r="F170" s="19">
        <f t="shared" si="9"/>
        <v>3.4572272160250796E-3</v>
      </c>
      <c r="G170" s="2"/>
      <c r="H170" s="2"/>
      <c r="I170" s="2"/>
      <c r="J170" s="19">
        <f t="shared" si="10"/>
        <v>0</v>
      </c>
      <c r="K170" s="2"/>
      <c r="L170" s="2">
        <f t="shared" si="11"/>
        <v>13859.22</v>
      </c>
      <c r="M170" s="2"/>
      <c r="N170" s="19">
        <f t="shared" si="12"/>
        <v>0</v>
      </c>
      <c r="O170" s="11"/>
      <c r="P170" s="2">
        <v>26583.46</v>
      </c>
      <c r="Q170" s="2"/>
      <c r="R170" s="19">
        <f t="shared" si="13"/>
        <v>2.7309975255328397E-3</v>
      </c>
      <c r="S170" s="2"/>
      <c r="T170" s="2"/>
      <c r="U170" s="2"/>
      <c r="V170" s="19">
        <f t="shared" si="14"/>
        <v>0</v>
      </c>
      <c r="W170" s="2"/>
      <c r="X170" s="2">
        <f t="shared" si="15"/>
        <v>26583.46</v>
      </c>
      <c r="Y170" s="2"/>
      <c r="Z170" s="19">
        <f t="shared" si="16"/>
        <v>0</v>
      </c>
    </row>
    <row r="171" spans="1:26" s="24" customFormat="1" hidden="1" outlineLevel="1" x14ac:dyDescent="0.25">
      <c r="A171" s="46"/>
      <c r="B171" s="11" t="str">
        <f>CONCATENATE("          ", "5502", " - ", "FREIGHT-IN-USED TEXT")</f>
        <v xml:space="preserve">          5502 - FREIGHT-IN-USED TEXT</v>
      </c>
      <c r="C171" s="11"/>
      <c r="D171" s="2">
        <v>1998.66</v>
      </c>
      <c r="E171" s="2"/>
      <c r="F171" s="19">
        <f t="shared" si="9"/>
        <v>4.9857219580760578E-4</v>
      </c>
      <c r="G171" s="2"/>
      <c r="H171" s="2"/>
      <c r="I171" s="2"/>
      <c r="J171" s="19">
        <f t="shared" si="10"/>
        <v>0</v>
      </c>
      <c r="K171" s="2"/>
      <c r="L171" s="2">
        <f t="shared" si="11"/>
        <v>1998.66</v>
      </c>
      <c r="M171" s="2"/>
      <c r="N171" s="19">
        <f t="shared" si="12"/>
        <v>0</v>
      </c>
      <c r="O171" s="11"/>
      <c r="P171" s="2">
        <v>6261.17</v>
      </c>
      <c r="Q171" s="2"/>
      <c r="R171" s="19">
        <f t="shared" si="13"/>
        <v>6.432285254417766E-4</v>
      </c>
      <c r="S171" s="2"/>
      <c r="T171" s="2"/>
      <c r="U171" s="2"/>
      <c r="V171" s="19">
        <f t="shared" si="14"/>
        <v>0</v>
      </c>
      <c r="W171" s="2"/>
      <c r="X171" s="2">
        <f t="shared" si="15"/>
        <v>6261.17</v>
      </c>
      <c r="Y171" s="2"/>
      <c r="Z171" s="19">
        <f t="shared" si="16"/>
        <v>0</v>
      </c>
    </row>
    <row r="172" spans="1:26" s="24" customFormat="1" hidden="1" outlineLevel="1" x14ac:dyDescent="0.25">
      <c r="A172" s="46"/>
      <c r="B172" s="11" t="str">
        <f>CONCATENATE("          ", "5504", " - ", "FREIGHT-IN-DIGITAL TEXT")</f>
        <v xml:space="preserve">          5504 - FREIGHT-IN-DIGITAL TEXT</v>
      </c>
      <c r="C172" s="11"/>
      <c r="D172" s="2"/>
      <c r="E172" s="2"/>
      <c r="F172" s="19">
        <f t="shared" si="9"/>
        <v>0</v>
      </c>
      <c r="G172" s="2"/>
      <c r="H172" s="2"/>
      <c r="I172" s="2"/>
      <c r="J172" s="19">
        <f t="shared" si="10"/>
        <v>0</v>
      </c>
      <c r="K172" s="2"/>
      <c r="L172" s="2">
        <f t="shared" si="11"/>
        <v>0</v>
      </c>
      <c r="M172" s="2"/>
      <c r="N172" s="19">
        <f t="shared" si="12"/>
        <v>0</v>
      </c>
      <c r="O172" s="11"/>
      <c r="P172" s="2">
        <v>7.03</v>
      </c>
      <c r="Q172" s="2"/>
      <c r="R172" s="19">
        <f t="shared" si="13"/>
        <v>7.2221270686719728E-7</v>
      </c>
      <c r="S172" s="2"/>
      <c r="T172" s="2"/>
      <c r="U172" s="2"/>
      <c r="V172" s="19">
        <f t="shared" si="14"/>
        <v>0</v>
      </c>
      <c r="W172" s="2"/>
      <c r="X172" s="2">
        <f t="shared" si="15"/>
        <v>7.03</v>
      </c>
      <c r="Y172" s="2"/>
      <c r="Z172" s="19">
        <f t="shared" si="16"/>
        <v>0</v>
      </c>
    </row>
    <row r="173" spans="1:26" s="24" customFormat="1" hidden="1" outlineLevel="1" x14ac:dyDescent="0.25">
      <c r="A173" s="46"/>
      <c r="B173" s="11" t="str">
        <f>CONCATENATE("          ", "5526", " - ", "FREIGHT-IN-WRITING INSTRUMENTS")</f>
        <v xml:space="preserve">          5526 - FREIGHT-IN-WRITING INSTRUMENTS</v>
      </c>
      <c r="C173" s="11"/>
      <c r="D173" s="2"/>
      <c r="E173" s="2"/>
      <c r="F173" s="19">
        <f t="shared" si="9"/>
        <v>0</v>
      </c>
      <c r="G173" s="2"/>
      <c r="H173" s="2"/>
      <c r="I173" s="2"/>
      <c r="J173" s="19">
        <f t="shared" si="10"/>
        <v>0</v>
      </c>
      <c r="K173" s="2"/>
      <c r="L173" s="2">
        <f t="shared" si="11"/>
        <v>0</v>
      </c>
      <c r="M173" s="2"/>
      <c r="N173" s="19">
        <f t="shared" si="12"/>
        <v>0</v>
      </c>
      <c r="O173" s="11"/>
      <c r="P173" s="2">
        <v>56.57</v>
      </c>
      <c r="Q173" s="2"/>
      <c r="R173" s="19">
        <f t="shared" si="13"/>
        <v>5.8116035316468492E-6</v>
      </c>
      <c r="S173" s="2"/>
      <c r="T173" s="2"/>
      <c r="U173" s="2"/>
      <c r="V173" s="19">
        <f t="shared" si="14"/>
        <v>0</v>
      </c>
      <c r="W173" s="2"/>
      <c r="X173" s="2">
        <f t="shared" si="15"/>
        <v>56.57</v>
      </c>
      <c r="Y173" s="2"/>
      <c r="Z173" s="19">
        <f t="shared" si="16"/>
        <v>0</v>
      </c>
    </row>
    <row r="174" spans="1:26" s="24" customFormat="1" hidden="1" outlineLevel="1" x14ac:dyDescent="0.25">
      <c r="A174" s="46"/>
      <c r="B174" s="11" t="str">
        <f>CONCATENATE("          ", "5527", " - ", "FREIGHT-IN-SCHOOL SUPPLIES")</f>
        <v xml:space="preserve">          5527 - FREIGHT-IN-SCHOOL SUPPLIES</v>
      </c>
      <c r="C174" s="11"/>
      <c r="D174" s="2">
        <v>133.38999999999999</v>
      </c>
      <c r="E174" s="2"/>
      <c r="F174" s="19">
        <f t="shared" si="9"/>
        <v>3.327456655898278E-5</v>
      </c>
      <c r="G174" s="2"/>
      <c r="H174" s="2"/>
      <c r="I174" s="2"/>
      <c r="J174" s="19">
        <f t="shared" si="10"/>
        <v>0</v>
      </c>
      <c r="K174" s="2"/>
      <c r="L174" s="2">
        <f t="shared" si="11"/>
        <v>133.38999999999999</v>
      </c>
      <c r="M174" s="2"/>
      <c r="N174" s="19">
        <f t="shared" si="12"/>
        <v>0</v>
      </c>
      <c r="O174" s="11"/>
      <c r="P174" s="2">
        <v>393.9</v>
      </c>
      <c r="Q174" s="2"/>
      <c r="R174" s="19">
        <f t="shared" si="13"/>
        <v>4.0466512835702556E-5</v>
      </c>
      <c r="S174" s="2"/>
      <c r="T174" s="2"/>
      <c r="U174" s="2"/>
      <c r="V174" s="19">
        <f t="shared" si="14"/>
        <v>0</v>
      </c>
      <c r="W174" s="2"/>
      <c r="X174" s="2">
        <f t="shared" si="15"/>
        <v>393.9</v>
      </c>
      <c r="Y174" s="2"/>
      <c r="Z174" s="19">
        <f t="shared" si="16"/>
        <v>0</v>
      </c>
    </row>
    <row r="175" spans="1:26" s="24" customFormat="1" hidden="1" outlineLevel="1" x14ac:dyDescent="0.25">
      <c r="A175" s="46"/>
      <c r="B175" s="11" t="str">
        <f>CONCATENATE("          ", "5528", " - ", "FREIGHT-IN-ART/TECH")</f>
        <v xml:space="preserve">          5528 - FREIGHT-IN-ART/TECH</v>
      </c>
      <c r="C175" s="11"/>
      <c r="D175" s="2">
        <v>332.97</v>
      </c>
      <c r="E175" s="2"/>
      <c r="F175" s="19">
        <f t="shared" si="9"/>
        <v>8.306044251551465E-5</v>
      </c>
      <c r="G175" s="2"/>
      <c r="H175" s="2"/>
      <c r="I175" s="2"/>
      <c r="J175" s="19">
        <f t="shared" si="10"/>
        <v>0</v>
      </c>
      <c r="K175" s="2"/>
      <c r="L175" s="2">
        <f t="shared" si="11"/>
        <v>332.97</v>
      </c>
      <c r="M175" s="2"/>
      <c r="N175" s="19">
        <f t="shared" si="12"/>
        <v>0</v>
      </c>
      <c r="O175" s="11"/>
      <c r="P175" s="2">
        <v>632.77</v>
      </c>
      <c r="Q175" s="2"/>
      <c r="R175" s="19">
        <f t="shared" si="13"/>
        <v>6.5006334925228509E-5</v>
      </c>
      <c r="S175" s="2"/>
      <c r="T175" s="2"/>
      <c r="U175" s="2"/>
      <c r="V175" s="19">
        <f t="shared" si="14"/>
        <v>0</v>
      </c>
      <c r="W175" s="2"/>
      <c r="X175" s="2">
        <f t="shared" si="15"/>
        <v>632.77</v>
      </c>
      <c r="Y175" s="2"/>
      <c r="Z175" s="19">
        <f t="shared" si="16"/>
        <v>0</v>
      </c>
    </row>
    <row r="176" spans="1:26" s="24" customFormat="1" hidden="1" outlineLevel="1" x14ac:dyDescent="0.25">
      <c r="A176" s="46"/>
      <c r="B176" s="11" t="str">
        <f>CONCATENATE("          ", "5540", " - ", "FREIGHT-IN-LOGO CLOTHING")</f>
        <v xml:space="preserve">          5540 - FREIGHT-IN-LOGO CLOTHING</v>
      </c>
      <c r="C176" s="11"/>
      <c r="D176" s="2">
        <v>2672.92</v>
      </c>
      <c r="E176" s="2"/>
      <c r="F176" s="19">
        <f t="shared" si="9"/>
        <v>6.6676853172528878E-4</v>
      </c>
      <c r="G176" s="2"/>
      <c r="H176" s="2"/>
      <c r="I176" s="2"/>
      <c r="J176" s="19">
        <f t="shared" si="10"/>
        <v>0</v>
      </c>
      <c r="K176" s="2"/>
      <c r="L176" s="2">
        <f t="shared" si="11"/>
        <v>2672.92</v>
      </c>
      <c r="M176" s="2"/>
      <c r="N176" s="19">
        <f t="shared" si="12"/>
        <v>0</v>
      </c>
      <c r="O176" s="11"/>
      <c r="P176" s="2">
        <v>5004.8599999999997</v>
      </c>
      <c r="Q176" s="2"/>
      <c r="R176" s="19">
        <f t="shared" si="13"/>
        <v>5.141640808095819E-4</v>
      </c>
      <c r="S176" s="2"/>
      <c r="T176" s="2"/>
      <c r="U176" s="2"/>
      <c r="V176" s="19">
        <f t="shared" si="14"/>
        <v>0</v>
      </c>
      <c r="W176" s="2"/>
      <c r="X176" s="2">
        <f t="shared" si="15"/>
        <v>5004.8599999999997</v>
      </c>
      <c r="Y176" s="2"/>
      <c r="Z176" s="19">
        <f t="shared" si="16"/>
        <v>0</v>
      </c>
    </row>
    <row r="177" spans="1:26" s="24" customFormat="1" hidden="1" outlineLevel="1" x14ac:dyDescent="0.25">
      <c r="A177" s="46"/>
      <c r="B177" s="11" t="str">
        <f>CONCATENATE("          ", "5541", " - ", "FREIGHT-IN-LOGO GIFTS")</f>
        <v xml:space="preserve">          5541 - FREIGHT-IN-LOGO GIFTS</v>
      </c>
      <c r="C177" s="11"/>
      <c r="D177" s="2">
        <v>97.6</v>
      </c>
      <c r="E177" s="2"/>
      <c r="F177" s="19">
        <f t="shared" si="9"/>
        <v>2.4346635401129915E-5</v>
      </c>
      <c r="G177" s="2"/>
      <c r="H177" s="2"/>
      <c r="I177" s="2"/>
      <c r="J177" s="19">
        <f t="shared" si="10"/>
        <v>0</v>
      </c>
      <c r="K177" s="2"/>
      <c r="L177" s="2">
        <f t="shared" si="11"/>
        <v>97.6</v>
      </c>
      <c r="M177" s="2"/>
      <c r="N177" s="19">
        <f t="shared" si="12"/>
        <v>0</v>
      </c>
      <c r="O177" s="11"/>
      <c r="P177" s="2">
        <v>818.01</v>
      </c>
      <c r="Q177" s="2"/>
      <c r="R177" s="19">
        <f t="shared" si="13"/>
        <v>8.40365883846993E-5</v>
      </c>
      <c r="S177" s="2"/>
      <c r="T177" s="2"/>
      <c r="U177" s="2"/>
      <c r="V177" s="19">
        <f t="shared" si="14"/>
        <v>0</v>
      </c>
      <c r="W177" s="2"/>
      <c r="X177" s="2">
        <f t="shared" si="15"/>
        <v>818.01</v>
      </c>
      <c r="Y177" s="2"/>
      <c r="Z177" s="19">
        <f t="shared" si="16"/>
        <v>0</v>
      </c>
    </row>
    <row r="178" spans="1:26" s="24" customFormat="1" hidden="1" outlineLevel="1" x14ac:dyDescent="0.25">
      <c r="A178" s="46"/>
      <c r="B178" s="11" t="str">
        <f>CONCATENATE("          ", "5542", " - ", "FREIGHT-IN-EVERYDAY GIFTS")</f>
        <v xml:space="preserve">          5542 - FREIGHT-IN-EVERYDAY GIFTS</v>
      </c>
      <c r="C178" s="11"/>
      <c r="D178" s="2">
        <v>58.91</v>
      </c>
      <c r="E178" s="2"/>
      <c r="F178" s="19">
        <f t="shared" si="9"/>
        <v>1.4695289871727085E-5</v>
      </c>
      <c r="G178" s="2"/>
      <c r="H178" s="2"/>
      <c r="I178" s="2"/>
      <c r="J178" s="19">
        <f t="shared" si="10"/>
        <v>0</v>
      </c>
      <c r="K178" s="2"/>
      <c r="L178" s="2">
        <f t="shared" si="11"/>
        <v>58.91</v>
      </c>
      <c r="M178" s="2"/>
      <c r="N178" s="19">
        <f t="shared" si="12"/>
        <v>0</v>
      </c>
      <c r="O178" s="11"/>
      <c r="P178" s="2">
        <v>171.68</v>
      </c>
      <c r="Q178" s="2"/>
      <c r="R178" s="19">
        <f t="shared" si="13"/>
        <v>1.7637194525598924E-5</v>
      </c>
      <c r="S178" s="2"/>
      <c r="T178" s="2"/>
      <c r="U178" s="2"/>
      <c r="V178" s="19">
        <f t="shared" si="14"/>
        <v>0</v>
      </c>
      <c r="W178" s="2"/>
      <c r="X178" s="2">
        <f t="shared" si="15"/>
        <v>171.68</v>
      </c>
      <c r="Y178" s="2"/>
      <c r="Z178" s="19">
        <f t="shared" si="16"/>
        <v>0</v>
      </c>
    </row>
    <row r="179" spans="1:26" s="24" customFormat="1" hidden="1" outlineLevel="1" x14ac:dyDescent="0.25">
      <c r="A179" s="46"/>
      <c r="B179" s="11" t="str">
        <f>CONCATENATE("          ", "5543", " - ", "FREIGHT-IN-CARDS")</f>
        <v xml:space="preserve">          5543 - FREIGHT-IN-CARDS</v>
      </c>
      <c r="C179" s="11"/>
      <c r="D179" s="2"/>
      <c r="E179" s="2"/>
      <c r="F179" s="19">
        <f t="shared" si="9"/>
        <v>0</v>
      </c>
      <c r="G179" s="2"/>
      <c r="H179" s="2"/>
      <c r="I179" s="2"/>
      <c r="J179" s="19">
        <f t="shared" si="10"/>
        <v>0</v>
      </c>
      <c r="K179" s="2"/>
      <c r="L179" s="2">
        <f t="shared" si="11"/>
        <v>0</v>
      </c>
      <c r="M179" s="2"/>
      <c r="N179" s="19">
        <f t="shared" si="12"/>
        <v>0</v>
      </c>
      <c r="O179" s="11"/>
      <c r="P179" s="2">
        <v>4.58</v>
      </c>
      <c r="Q179" s="2"/>
      <c r="R179" s="19">
        <f t="shared" si="13"/>
        <v>4.7051695554079139E-7</v>
      </c>
      <c r="S179" s="2"/>
      <c r="T179" s="2"/>
      <c r="U179" s="2"/>
      <c r="V179" s="19">
        <f t="shared" si="14"/>
        <v>0</v>
      </c>
      <c r="W179" s="2"/>
      <c r="X179" s="2">
        <f t="shared" si="15"/>
        <v>4.58</v>
      </c>
      <c r="Y179" s="2"/>
      <c r="Z179" s="19">
        <f t="shared" si="16"/>
        <v>0</v>
      </c>
    </row>
    <row r="180" spans="1:26" s="24" customFormat="1" hidden="1" outlineLevel="1" x14ac:dyDescent="0.25">
      <c r="A180" s="46"/>
      <c r="B180" s="11" t="str">
        <f>CONCATENATE("          ", "5544", " - ", "FREIGHT-IN-ACCESSORIES")</f>
        <v xml:space="preserve">          5544 - FREIGHT-IN-ACCESSORIES</v>
      </c>
      <c r="C180" s="11"/>
      <c r="D180" s="2">
        <v>34.18</v>
      </c>
      <c r="E180" s="2"/>
      <c r="F180" s="19">
        <f t="shared" si="9"/>
        <v>8.5263114550268498E-6</v>
      </c>
      <c r="G180" s="2"/>
      <c r="H180" s="2"/>
      <c r="I180" s="2"/>
      <c r="J180" s="19">
        <f t="shared" si="10"/>
        <v>0</v>
      </c>
      <c r="K180" s="2"/>
      <c r="L180" s="2">
        <f t="shared" si="11"/>
        <v>34.18</v>
      </c>
      <c r="M180" s="2"/>
      <c r="N180" s="19">
        <f t="shared" si="12"/>
        <v>0</v>
      </c>
      <c r="O180" s="11"/>
      <c r="P180" s="2">
        <v>135.84</v>
      </c>
      <c r="Q180" s="2"/>
      <c r="R180" s="19">
        <f t="shared" si="13"/>
        <v>1.3955245249052643E-5</v>
      </c>
      <c r="S180" s="2"/>
      <c r="T180" s="2"/>
      <c r="U180" s="2"/>
      <c r="V180" s="19">
        <f t="shared" si="14"/>
        <v>0</v>
      </c>
      <c r="W180" s="2"/>
      <c r="X180" s="2">
        <f t="shared" si="15"/>
        <v>135.84</v>
      </c>
      <c r="Y180" s="2"/>
      <c r="Z180" s="19">
        <f t="shared" si="16"/>
        <v>0</v>
      </c>
    </row>
    <row r="181" spans="1:26" s="24" customFormat="1" hidden="1" outlineLevel="1" x14ac:dyDescent="0.25">
      <c r="A181" s="46"/>
      <c r="B181" s="11" t="str">
        <f>CONCATENATE("          ", "5545", " - ", "FREIGHT-IN-SPECIAL ORDERS")</f>
        <v xml:space="preserve">          5545 - FREIGHT-IN-SPECIAL ORDERS</v>
      </c>
      <c r="C181" s="11"/>
      <c r="D181" s="2">
        <v>26.56</v>
      </c>
      <c r="E181" s="2"/>
      <c r="F181" s="19">
        <f t="shared" si="9"/>
        <v>6.6254778304714202E-6</v>
      </c>
      <c r="G181" s="2"/>
      <c r="H181" s="2"/>
      <c r="I181" s="2"/>
      <c r="J181" s="19">
        <f t="shared" si="10"/>
        <v>0</v>
      </c>
      <c r="K181" s="2"/>
      <c r="L181" s="2">
        <f t="shared" si="11"/>
        <v>26.56</v>
      </c>
      <c r="M181" s="2"/>
      <c r="N181" s="19">
        <f t="shared" si="12"/>
        <v>0</v>
      </c>
      <c r="O181" s="11"/>
      <c r="P181" s="2">
        <v>262.51</v>
      </c>
      <c r="Q181" s="2"/>
      <c r="R181" s="19">
        <f t="shared" si="13"/>
        <v>2.6968429257426452E-5</v>
      </c>
      <c r="S181" s="2"/>
      <c r="T181" s="2"/>
      <c r="U181" s="2"/>
      <c r="V181" s="19">
        <f t="shared" si="14"/>
        <v>0</v>
      </c>
      <c r="W181" s="2"/>
      <c r="X181" s="2">
        <f t="shared" si="15"/>
        <v>262.51</v>
      </c>
      <c r="Y181" s="2"/>
      <c r="Z181" s="19">
        <f t="shared" si="16"/>
        <v>0</v>
      </c>
    </row>
    <row r="182" spans="1:26" s="24" customFormat="1" hidden="1" outlineLevel="1" x14ac:dyDescent="0.25">
      <c r="A182" s="46"/>
      <c r="B182" s="11" t="str">
        <f>CONCATENATE("          ", "5581", " - ", "FREIGHT-IN-ELECTRONICS")</f>
        <v xml:space="preserve">          5581 - FREIGHT-IN-ELECTRONICS</v>
      </c>
      <c r="C182" s="11"/>
      <c r="D182" s="2">
        <v>92.95</v>
      </c>
      <c r="E182" s="2"/>
      <c r="F182" s="19">
        <f t="shared" si="9"/>
        <v>2.3186677874334283E-5</v>
      </c>
      <c r="G182" s="2"/>
      <c r="H182" s="2"/>
      <c r="I182" s="2"/>
      <c r="J182" s="19">
        <f t="shared" si="10"/>
        <v>0</v>
      </c>
      <c r="K182" s="2"/>
      <c r="L182" s="2">
        <f t="shared" si="11"/>
        <v>92.95</v>
      </c>
      <c r="M182" s="2"/>
      <c r="N182" s="19">
        <f t="shared" si="12"/>
        <v>0</v>
      </c>
      <c r="O182" s="11"/>
      <c r="P182" s="2">
        <v>92.95</v>
      </c>
      <c r="Q182" s="2"/>
      <c r="R182" s="19">
        <f t="shared" si="13"/>
        <v>9.5490286064446645E-6</v>
      </c>
      <c r="S182" s="2"/>
      <c r="T182" s="2"/>
      <c r="U182" s="2"/>
      <c r="V182" s="19">
        <f t="shared" si="14"/>
        <v>0</v>
      </c>
      <c r="W182" s="2"/>
      <c r="X182" s="2">
        <f t="shared" si="15"/>
        <v>92.95</v>
      </c>
      <c r="Y182" s="2"/>
      <c r="Z182" s="19">
        <f t="shared" si="16"/>
        <v>0</v>
      </c>
    </row>
    <row r="183" spans="1:26" s="24" customFormat="1" hidden="1" outlineLevel="1" x14ac:dyDescent="0.25">
      <c r="A183" s="46"/>
      <c r="B183" s="11" t="str">
        <f>CONCATENATE("          ", "5582", " - ", "FREIGHT-IN-COMPUTER HARDWARE")</f>
        <v xml:space="preserve">          5582 - FREIGHT-IN-COMPUTER HARDWARE</v>
      </c>
      <c r="C183" s="11"/>
      <c r="D183" s="2">
        <v>4.84</v>
      </c>
      <c r="E183" s="2"/>
      <c r="F183" s="19">
        <f t="shared" si="9"/>
        <v>1.2073536407937377E-6</v>
      </c>
      <c r="G183" s="2"/>
      <c r="H183" s="2"/>
      <c r="I183" s="2"/>
      <c r="J183" s="19">
        <f t="shared" si="10"/>
        <v>0</v>
      </c>
      <c r="K183" s="2"/>
      <c r="L183" s="2">
        <f t="shared" si="11"/>
        <v>4.84</v>
      </c>
      <c r="M183" s="2"/>
      <c r="N183" s="19">
        <f t="shared" si="12"/>
        <v>0</v>
      </c>
      <c r="O183" s="11"/>
      <c r="P183" s="2">
        <v>4.84</v>
      </c>
      <c r="Q183" s="2"/>
      <c r="R183" s="19">
        <f t="shared" si="13"/>
        <v>4.9722752506930792E-7</v>
      </c>
      <c r="S183" s="2"/>
      <c r="T183" s="2"/>
      <c r="U183" s="2"/>
      <c r="V183" s="19">
        <f t="shared" si="14"/>
        <v>0</v>
      </c>
      <c r="W183" s="2"/>
      <c r="X183" s="2">
        <f t="shared" si="15"/>
        <v>4.84</v>
      </c>
      <c r="Y183" s="2"/>
      <c r="Z183" s="19">
        <f t="shared" si="16"/>
        <v>0</v>
      </c>
    </row>
    <row r="184" spans="1:26" s="24" customFormat="1" hidden="1" outlineLevel="1" x14ac:dyDescent="0.25">
      <c r="A184" s="46"/>
      <c r="B184" s="11" t="str">
        <f>CONCATENATE("          ", "5583", " - ", "FREIGHT-IN-COMPUTER EQUIPMENT")</f>
        <v xml:space="preserve">          5583 - FREIGHT-IN-COMPUTER EQUIPMENT</v>
      </c>
      <c r="C184" s="11"/>
      <c r="D184" s="2">
        <v>7.86</v>
      </c>
      <c r="E184" s="2"/>
      <c r="F184" s="19">
        <f t="shared" si="9"/>
        <v>1.9607024001319791E-6</v>
      </c>
      <c r="G184" s="2"/>
      <c r="H184" s="2"/>
      <c r="I184" s="2"/>
      <c r="J184" s="19">
        <f t="shared" si="10"/>
        <v>0</v>
      </c>
      <c r="K184" s="2"/>
      <c r="L184" s="2">
        <f t="shared" si="11"/>
        <v>7.86</v>
      </c>
      <c r="M184" s="2"/>
      <c r="N184" s="19">
        <f t="shared" si="12"/>
        <v>0</v>
      </c>
      <c r="O184" s="11"/>
      <c r="P184" s="2">
        <v>41</v>
      </c>
      <c r="Q184" s="2"/>
      <c r="R184" s="19">
        <f t="shared" si="13"/>
        <v>4.2120513487276089E-6</v>
      </c>
      <c r="S184" s="2"/>
      <c r="T184" s="2"/>
      <c r="U184" s="2"/>
      <c r="V184" s="19">
        <f t="shared" si="14"/>
        <v>0</v>
      </c>
      <c r="W184" s="2"/>
      <c r="X184" s="2">
        <f t="shared" si="15"/>
        <v>41</v>
      </c>
      <c r="Y184" s="2"/>
      <c r="Z184" s="19">
        <f t="shared" si="16"/>
        <v>0</v>
      </c>
    </row>
    <row r="185" spans="1:26" s="24" customFormat="1" hidden="1" outlineLevel="1" x14ac:dyDescent="0.25">
      <c r="A185" s="46"/>
      <c r="B185" s="11" t="str">
        <f>CONCATENATE("          ", "5586", " - ", "FREIGHT-IN-COMPUTER SUPPLIES")</f>
        <v xml:space="preserve">          5586 - FREIGHT-IN-COMPUTER SUPPLIES</v>
      </c>
      <c r="C185" s="11"/>
      <c r="D185" s="2">
        <v>65.36</v>
      </c>
      <c r="E185" s="2"/>
      <c r="F185" s="19">
        <f t="shared" si="9"/>
        <v>1.6304263215346839E-5</v>
      </c>
      <c r="G185" s="2"/>
      <c r="H185" s="2"/>
      <c r="I185" s="2"/>
      <c r="J185" s="19">
        <f t="shared" si="10"/>
        <v>0</v>
      </c>
      <c r="K185" s="2"/>
      <c r="L185" s="2">
        <f t="shared" si="11"/>
        <v>65.36</v>
      </c>
      <c r="M185" s="2"/>
      <c r="N185" s="19">
        <f t="shared" si="12"/>
        <v>0</v>
      </c>
      <c r="O185" s="11"/>
      <c r="P185" s="2">
        <v>102.39</v>
      </c>
      <c r="Q185" s="2"/>
      <c r="R185" s="19">
        <f t="shared" si="13"/>
        <v>1.0518827746249264E-5</v>
      </c>
      <c r="S185" s="2"/>
      <c r="T185" s="2"/>
      <c r="U185" s="2"/>
      <c r="V185" s="19">
        <f t="shared" si="14"/>
        <v>0</v>
      </c>
      <c r="W185" s="2"/>
      <c r="X185" s="2">
        <f t="shared" si="15"/>
        <v>102.39</v>
      </c>
      <c r="Y185" s="2"/>
      <c r="Z185" s="19">
        <f t="shared" si="16"/>
        <v>0</v>
      </c>
    </row>
    <row r="186" spans="1:26" s="24" customFormat="1" hidden="1" outlineLevel="1" x14ac:dyDescent="0.25">
      <c r="A186" s="46"/>
      <c r="B186" s="11" t="str">
        <f>CONCATENATE("          ", "5592", " - ", "FREIGHT-IN-GRAD MERCH")</f>
        <v xml:space="preserve">          5592 - FREIGHT-IN-GRAD MERCH</v>
      </c>
      <c r="C186" s="11"/>
      <c r="D186" s="2">
        <v>11.21</v>
      </c>
      <c r="E186" s="2"/>
      <c r="F186" s="19">
        <f t="shared" si="9"/>
        <v>2.7963707258879756E-6</v>
      </c>
      <c r="G186" s="2"/>
      <c r="H186" s="2"/>
      <c r="I186" s="2"/>
      <c r="J186" s="19">
        <f t="shared" si="10"/>
        <v>0</v>
      </c>
      <c r="K186" s="2"/>
      <c r="L186" s="2">
        <f t="shared" si="11"/>
        <v>11.21</v>
      </c>
      <c r="M186" s="2"/>
      <c r="N186" s="19">
        <f t="shared" si="12"/>
        <v>0</v>
      </c>
      <c r="O186" s="11"/>
      <c r="P186" s="2">
        <v>70.78</v>
      </c>
      <c r="Q186" s="2"/>
      <c r="R186" s="19">
        <f t="shared" si="13"/>
        <v>7.2714388893400036E-6</v>
      </c>
      <c r="S186" s="2"/>
      <c r="T186" s="2"/>
      <c r="U186" s="2"/>
      <c r="V186" s="19">
        <f t="shared" si="14"/>
        <v>0</v>
      </c>
      <c r="W186" s="2"/>
      <c r="X186" s="2">
        <f t="shared" si="15"/>
        <v>70.78</v>
      </c>
      <c r="Y186" s="2"/>
      <c r="Z186" s="19">
        <f t="shared" si="16"/>
        <v>0</v>
      </c>
    </row>
    <row r="187" spans="1:26" x14ac:dyDescent="0.25">
      <c r="A187" s="9"/>
      <c r="B187" s="10"/>
      <c r="C187" s="10"/>
      <c r="D187" s="3"/>
      <c r="E187" s="3"/>
      <c r="F187" s="8"/>
      <c r="G187" s="3"/>
      <c r="H187" s="3"/>
      <c r="I187" s="3"/>
      <c r="J187" s="8"/>
      <c r="K187" s="3"/>
      <c r="L187" s="3"/>
      <c r="M187" s="3"/>
      <c r="N187" s="8"/>
      <c r="O187" s="10"/>
      <c r="P187" s="3"/>
      <c r="Q187" s="3"/>
      <c r="R187" s="8"/>
      <c r="S187" s="3"/>
      <c r="T187" s="3"/>
      <c r="U187" s="3"/>
      <c r="V187" s="8"/>
      <c r="W187" s="3"/>
      <c r="X187" s="3"/>
      <c r="Y187" s="3"/>
      <c r="Z187" s="8"/>
    </row>
    <row r="188" spans="1:26" s="23" customFormat="1" x14ac:dyDescent="0.25">
      <c r="A188" s="10"/>
      <c r="B188" s="29" t="s">
        <v>6</v>
      </c>
      <c r="C188" s="29"/>
      <c r="D188" s="22">
        <f>D12-D129</f>
        <v>2337855.0199999986</v>
      </c>
      <c r="E188" s="14"/>
      <c r="F188" s="20">
        <f>IF(D$12=0,0,D188/D$12)</f>
        <v>0.58318548967870143</v>
      </c>
      <c r="G188" s="14"/>
      <c r="H188" s="22">
        <f>H12-H129</f>
        <v>2445921.8925200002</v>
      </c>
      <c r="I188" s="14"/>
      <c r="J188" s="20">
        <f>IF(H$12=0,0,H188/H$12)</f>
        <v>0.59725558625215014</v>
      </c>
      <c r="K188" s="15"/>
      <c r="L188" s="22">
        <f>+D188-H188</f>
        <v>-108066.87252000161</v>
      </c>
      <c r="M188" s="15"/>
      <c r="N188" s="20">
        <f>IF(H188=0,0,L188/H188)</f>
        <v>-4.4182470769196056E-2</v>
      </c>
      <c r="O188" s="28"/>
      <c r="P188" s="22">
        <f>P12-P129</f>
        <v>4730691.8799999962</v>
      </c>
      <c r="Q188" s="14"/>
      <c r="R188" s="20">
        <f>IF(P$12=0,0,P188/P$12)</f>
        <v>0.48599797837972514</v>
      </c>
      <c r="S188" s="14"/>
      <c r="T188" s="22">
        <f>T12-T129</f>
        <v>5216767.3080100007</v>
      </c>
      <c r="U188" s="14"/>
      <c r="V188" s="20">
        <f>IF(T$12=0,0,T188/T$12)</f>
        <v>0.51267785154758183</v>
      </c>
      <c r="W188" s="15"/>
      <c r="X188" s="22">
        <f>+P188-T188</f>
        <v>-486075.42801000457</v>
      </c>
      <c r="Y188" s="15"/>
      <c r="Z188" s="20">
        <f>IF(T188=0,0,X188/T188)</f>
        <v>-9.3175600771701658E-2</v>
      </c>
    </row>
    <row r="189" spans="1:26" x14ac:dyDescent="0.25">
      <c r="A189" s="9"/>
      <c r="B189" s="10"/>
      <c r="C189" s="9"/>
      <c r="D189" s="1"/>
      <c r="E189" s="1"/>
      <c r="F189" s="5"/>
      <c r="G189" s="1"/>
      <c r="H189" s="1"/>
      <c r="I189" s="1"/>
      <c r="J189" s="5"/>
      <c r="K189" s="1"/>
      <c r="L189" s="1"/>
      <c r="M189" s="1"/>
      <c r="N189" s="5"/>
      <c r="O189" s="36"/>
      <c r="P189" s="1"/>
      <c r="Q189" s="1"/>
      <c r="R189" s="5"/>
      <c r="S189" s="1"/>
      <c r="T189" s="1"/>
      <c r="U189" s="1"/>
      <c r="V189" s="5"/>
      <c r="W189" s="1"/>
      <c r="X189" s="1"/>
      <c r="Y189" s="1"/>
      <c r="Z189" s="5"/>
    </row>
    <row r="190" spans="1:26" s="23" customFormat="1" x14ac:dyDescent="0.25">
      <c r="A190" s="10"/>
      <c r="B190" s="28" t="s">
        <v>9</v>
      </c>
      <c r="C190" s="10"/>
      <c r="D190" s="21">
        <f>SUM(OSRRefD22x_0)</f>
        <v>1621976.6500000006</v>
      </c>
      <c r="E190" s="21"/>
      <c r="F190" s="33">
        <f t="shared" ref="F190:F201" si="17">IF(D$12=0,0,D190/D$12)</f>
        <v>0.40460731687188656</v>
      </c>
      <c r="G190" s="21"/>
      <c r="H190" s="21">
        <f>SUM(OSRRefH22x_0)</f>
        <v>1582930.4110719329</v>
      </c>
      <c r="I190" s="21"/>
      <c r="J190" s="33">
        <f t="shared" ref="J190:J201" si="18">IF(H$12=0,0,H190/H$12)</f>
        <v>0.38652666446640982</v>
      </c>
      <c r="K190" s="4"/>
      <c r="L190" s="21">
        <f t="shared" ref="L190:L201" si="19">+D190-H190</f>
        <v>39046.238928067731</v>
      </c>
      <c r="M190" s="4"/>
      <c r="N190" s="33">
        <f t="shared" ref="N190:N201" si="20">IF(H190=0,0,L190/H190)</f>
        <v>2.466705968560317E-2</v>
      </c>
      <c r="O190" s="10"/>
      <c r="P190" s="21">
        <f>SUM(OSRRefP22x_0)</f>
        <v>4285479.4999999991</v>
      </c>
      <c r="Q190" s="21"/>
      <c r="R190" s="33">
        <f t="shared" ref="R190:R201" si="21">IF(P$12=0,0,P190/P$12)</f>
        <v>0.44025999287608569</v>
      </c>
      <c r="S190" s="21"/>
      <c r="T190" s="21">
        <f>SUM(OSRRefT22x_0)</f>
        <v>4462682.7651452487</v>
      </c>
      <c r="U190" s="21"/>
      <c r="V190" s="33">
        <f t="shared" ref="V190:V201" si="22">IF(T$12=0,0,T190/T$12)</f>
        <v>0.43857018668632974</v>
      </c>
      <c r="W190" s="4"/>
      <c r="X190" s="21">
        <f t="shared" ref="X190:X201" si="23">+P190-T190</f>
        <v>-177203.26514524966</v>
      </c>
      <c r="Y190" s="4"/>
      <c r="Z190" s="33">
        <f t="shared" ref="Z190:Z201" si="24">IF(T190=0,0,X190/T190)</f>
        <v>-3.9707788895337749E-2</v>
      </c>
    </row>
    <row r="191" spans="1:26" s="26" customFormat="1" outlineLevel="1" collapsed="1" x14ac:dyDescent="0.25">
      <c r="A191" s="27"/>
      <c r="B191" s="13" t="str">
        <f>CONCATENATE("     ","*Benefits                                         ")</f>
        <v xml:space="preserve">     *Benefits                                         </v>
      </c>
      <c r="C191" s="13"/>
      <c r="D191" s="1">
        <f>SUM(OSRRefD22_0x_0)</f>
        <v>239113.31000000003</v>
      </c>
      <c r="E191" s="1"/>
      <c r="F191" s="5">
        <f t="shared" si="17"/>
        <v>5.9647587890649112E-2</v>
      </c>
      <c r="G191" s="1"/>
      <c r="H191" s="1">
        <f>SUM(OSRRefH22_0x_0)</f>
        <v>214302.05097862822</v>
      </c>
      <c r="I191" s="1"/>
      <c r="J191" s="5">
        <f t="shared" si="18"/>
        <v>5.2329184134497934E-2</v>
      </c>
      <c r="K191" s="1"/>
      <c r="L191" s="1">
        <f t="shared" si="19"/>
        <v>24811.259021371807</v>
      </c>
      <c r="M191" s="1"/>
      <c r="N191" s="5">
        <f t="shared" si="20"/>
        <v>0.11577704883396644</v>
      </c>
      <c r="O191" s="13"/>
      <c r="P191" s="1">
        <f>SUM(OSRRefP22_0x_0)</f>
        <v>700895.40000000014</v>
      </c>
      <c r="Q191" s="1"/>
      <c r="R191" s="5">
        <f t="shared" si="21"/>
        <v>7.2005058899682367E-2</v>
      </c>
      <c r="S191" s="1"/>
      <c r="T191" s="1">
        <f>SUM(OSRRefT22_0x_0)</f>
        <v>663801.27795345825</v>
      </c>
      <c r="U191" s="1"/>
      <c r="V191" s="5">
        <f t="shared" si="22"/>
        <v>6.5235076234507375E-2</v>
      </c>
      <c r="W191" s="1"/>
      <c r="X191" s="1">
        <f t="shared" si="23"/>
        <v>37094.122046541888</v>
      </c>
      <c r="Y191" s="1"/>
      <c r="Z191" s="5">
        <f t="shared" si="24"/>
        <v>5.5881365822171111E-2</v>
      </c>
    </row>
    <row r="192" spans="1:26" s="24" customFormat="1" hidden="1" outlineLevel="2" x14ac:dyDescent="0.25">
      <c r="A192" s="25"/>
      <c r="B192" s="11" t="str">
        <f>CONCATENATE("          ", "6111", " - ", "F.I.C.A.")</f>
        <v xml:space="preserve">          6111 - F.I.C.A.</v>
      </c>
      <c r="C192" s="11"/>
      <c r="D192" s="7">
        <v>35451.65</v>
      </c>
      <c r="E192" s="2"/>
      <c r="F192" s="6">
        <f t="shared" si="17"/>
        <v>8.8435286569515121E-3</v>
      </c>
      <c r="G192" s="2"/>
      <c r="H192" s="7">
        <v>32533.67349874178</v>
      </c>
      <c r="I192" s="2"/>
      <c r="J192" s="6">
        <f t="shared" si="18"/>
        <v>7.9442104418173589E-3</v>
      </c>
      <c r="K192" s="2"/>
      <c r="L192" s="7">
        <f t="shared" si="19"/>
        <v>2917.9765012582211</v>
      </c>
      <c r="M192" s="2"/>
      <c r="N192" s="6">
        <f t="shared" si="20"/>
        <v>8.9690962853336317E-2</v>
      </c>
      <c r="O192" s="11"/>
      <c r="P192" s="7">
        <v>117898.25</v>
      </c>
      <c r="Q192" s="2"/>
      <c r="R192" s="6">
        <f t="shared" si="21"/>
        <v>1.2112036168905483E-2</v>
      </c>
      <c r="S192" s="2"/>
      <c r="T192" s="7">
        <v>121127.00849058297</v>
      </c>
      <c r="U192" s="2"/>
      <c r="V192" s="6">
        <f t="shared" si="22"/>
        <v>1.1903757789232553E-2</v>
      </c>
      <c r="W192" s="2"/>
      <c r="X192" s="7">
        <f t="shared" si="23"/>
        <v>-3228.7584905829717</v>
      </c>
      <c r="Y192" s="2"/>
      <c r="Z192" s="6">
        <f t="shared" si="24"/>
        <v>-2.6655974838460505E-2</v>
      </c>
    </row>
    <row r="193" spans="1:26" s="24" customFormat="1" hidden="1" outlineLevel="2" x14ac:dyDescent="0.25">
      <c r="A193" s="25"/>
      <c r="B193" s="11" t="str">
        <f>CONCATENATE("          ", "6112", " - ", "COMPENSATION INSURANCE")</f>
        <v xml:space="preserve">          6112 - COMPENSATION INSURANCE</v>
      </c>
      <c r="C193" s="11"/>
      <c r="D193" s="7">
        <v>24731.89</v>
      </c>
      <c r="E193" s="2"/>
      <c r="F193" s="6">
        <f t="shared" si="17"/>
        <v>6.1694498833078995E-3</v>
      </c>
      <c r="G193" s="2"/>
      <c r="H193" s="7">
        <v>25607.84806357693</v>
      </c>
      <c r="I193" s="2"/>
      <c r="J193" s="6">
        <f t="shared" si="18"/>
        <v>6.2530329993939352E-3</v>
      </c>
      <c r="K193" s="2"/>
      <c r="L193" s="7">
        <f t="shared" si="19"/>
        <v>-875.95806357693073</v>
      </c>
      <c r="M193" s="2"/>
      <c r="N193" s="6">
        <f t="shared" si="20"/>
        <v>-3.4206625304952547E-2</v>
      </c>
      <c r="O193" s="11"/>
      <c r="P193" s="7">
        <v>56642.409999999996</v>
      </c>
      <c r="Q193" s="2"/>
      <c r="R193" s="6">
        <f t="shared" si="21"/>
        <v>5.8190424252605403E-3</v>
      </c>
      <c r="S193" s="2"/>
      <c r="T193" s="7">
        <v>66493.141378234999</v>
      </c>
      <c r="U193" s="2"/>
      <c r="V193" s="6">
        <f t="shared" si="22"/>
        <v>6.5346140342700107E-3</v>
      </c>
      <c r="W193" s="2"/>
      <c r="X193" s="7">
        <f t="shared" si="23"/>
        <v>-9850.7313782350029</v>
      </c>
      <c r="Y193" s="2"/>
      <c r="Z193" s="6">
        <f t="shared" si="24"/>
        <v>-0.14814657833957312</v>
      </c>
    </row>
    <row r="194" spans="1:26" s="24" customFormat="1" hidden="1" outlineLevel="2" x14ac:dyDescent="0.25">
      <c r="A194" s="25"/>
      <c r="B194" s="11" t="str">
        <f>CONCATENATE("          ", "6113", " - ", "GROUP INSURANCE")</f>
        <v xml:space="preserve">          6113 - GROUP INSURANCE</v>
      </c>
      <c r="C194" s="11"/>
      <c r="D194" s="7">
        <v>93890.200000000012</v>
      </c>
      <c r="E194" s="2"/>
      <c r="F194" s="6">
        <f t="shared" si="17"/>
        <v>2.3421213802655414E-2</v>
      </c>
      <c r="G194" s="2"/>
      <c r="H194" s="7">
        <v>94344.757692307641</v>
      </c>
      <c r="I194" s="2"/>
      <c r="J194" s="6">
        <f t="shared" si="18"/>
        <v>2.3037503257016003E-2</v>
      </c>
      <c r="K194" s="2"/>
      <c r="L194" s="7">
        <f t="shared" si="19"/>
        <v>-454.55769230762962</v>
      </c>
      <c r="M194" s="2"/>
      <c r="N194" s="6">
        <f t="shared" si="20"/>
        <v>-4.8180492846259309E-3</v>
      </c>
      <c r="O194" s="11"/>
      <c r="P194" s="7">
        <v>280351.12</v>
      </c>
      <c r="Q194" s="2"/>
      <c r="R194" s="6">
        <f t="shared" si="21"/>
        <v>2.8801300319836479E-2</v>
      </c>
      <c r="S194" s="2"/>
      <c r="T194" s="7">
        <v>284097.72692307684</v>
      </c>
      <c r="U194" s="2"/>
      <c r="V194" s="6">
        <f t="shared" si="22"/>
        <v>2.7919706528761166E-2</v>
      </c>
      <c r="W194" s="2"/>
      <c r="X194" s="7">
        <f t="shared" si="23"/>
        <v>-3746.606923076848</v>
      </c>
      <c r="Y194" s="2"/>
      <c r="Z194" s="6">
        <f t="shared" si="24"/>
        <v>-1.3187739879704461E-2</v>
      </c>
    </row>
    <row r="195" spans="1:26" s="24" customFormat="1" hidden="1" outlineLevel="2" x14ac:dyDescent="0.25">
      <c r="A195" s="25"/>
      <c r="B195" s="11" t="str">
        <f>CONCATENATE("          ", "6114", " - ", "STATE UNEMPLOYMENT INSURANCE")</f>
        <v xml:space="preserve">          6114 - STATE UNEMPLOYMENT INSURANCE</v>
      </c>
      <c r="C195" s="11"/>
      <c r="D195" s="7">
        <v>2173.44</v>
      </c>
      <c r="E195" s="2"/>
      <c r="F195" s="6">
        <f t="shared" si="17"/>
        <v>5.4217163162122758E-4</v>
      </c>
      <c r="G195" s="2"/>
      <c r="H195" s="7">
        <v>2129.0020230099121</v>
      </c>
      <c r="I195" s="2"/>
      <c r="J195" s="6">
        <f t="shared" si="18"/>
        <v>5.1986874776067742E-4</v>
      </c>
      <c r="K195" s="2"/>
      <c r="L195" s="7">
        <f t="shared" si="19"/>
        <v>44.437976990087918</v>
      </c>
      <c r="M195" s="2"/>
      <c r="N195" s="6">
        <f t="shared" si="20"/>
        <v>2.0872679551174399E-2</v>
      </c>
      <c r="O195" s="11"/>
      <c r="P195" s="7">
        <v>5034.71</v>
      </c>
      <c r="Q195" s="2"/>
      <c r="R195" s="6">
        <f t="shared" si="21"/>
        <v>5.1723065965737509E-4</v>
      </c>
      <c r="S195" s="2"/>
      <c r="T195" s="7">
        <v>5688.3328699091444</v>
      </c>
      <c r="U195" s="2"/>
      <c r="V195" s="6">
        <f t="shared" si="22"/>
        <v>5.5902096115246548E-4</v>
      </c>
      <c r="W195" s="2"/>
      <c r="X195" s="7">
        <f t="shared" si="23"/>
        <v>-653.62286990914436</v>
      </c>
      <c r="Y195" s="2"/>
      <c r="Z195" s="6">
        <f t="shared" si="24"/>
        <v>-0.11490587573852445</v>
      </c>
    </row>
    <row r="196" spans="1:26" s="24" customFormat="1" hidden="1" outlineLevel="2" x14ac:dyDescent="0.25">
      <c r="A196" s="25"/>
      <c r="B196" s="11" t="str">
        <f>CONCATENATE("          ", "6115", " - ", "P.E.R.S.")</f>
        <v xml:space="preserve">          6115 - P.E.R.S.</v>
      </c>
      <c r="C196" s="11"/>
      <c r="D196" s="7">
        <v>18918.350000000002</v>
      </c>
      <c r="E196" s="2"/>
      <c r="F196" s="6">
        <f t="shared" si="17"/>
        <v>4.7192435434525231E-3</v>
      </c>
      <c r="G196" s="2"/>
      <c r="H196" s="7">
        <v>18291.264090446155</v>
      </c>
      <c r="I196" s="2"/>
      <c r="J196" s="6">
        <f t="shared" si="18"/>
        <v>4.4664384791032281E-3</v>
      </c>
      <c r="K196" s="2"/>
      <c r="L196" s="7">
        <f t="shared" si="19"/>
        <v>627.08590955384716</v>
      </c>
      <c r="M196" s="2"/>
      <c r="N196" s="6">
        <f t="shared" si="20"/>
        <v>3.4283355510753628E-2</v>
      </c>
      <c r="O196" s="11"/>
      <c r="P196" s="7">
        <v>55541.18</v>
      </c>
      <c r="Q196" s="2"/>
      <c r="R196" s="6">
        <f t="shared" si="21"/>
        <v>5.7059098080225095E-3</v>
      </c>
      <c r="S196" s="2"/>
      <c r="T196" s="7">
        <v>59446.608293950012</v>
      </c>
      <c r="U196" s="2"/>
      <c r="V196" s="6">
        <f t="shared" si="22"/>
        <v>5.8421159355023554E-3</v>
      </c>
      <c r="W196" s="2"/>
      <c r="X196" s="7">
        <f t="shared" si="23"/>
        <v>-3905.4282939500117</v>
      </c>
      <c r="Y196" s="2"/>
      <c r="Z196" s="6">
        <f t="shared" si="24"/>
        <v>-6.5696402301684789E-2</v>
      </c>
    </row>
    <row r="197" spans="1:26" s="24" customFormat="1" hidden="1" outlineLevel="2" x14ac:dyDescent="0.25">
      <c r="A197" s="25"/>
      <c r="B197" s="11" t="str">
        <f>CONCATENATE("          ", "6116", " - ", "EDUCATIONAL BENEFITS")</f>
        <v xml:space="preserve">          6116 - EDUCATIONAL BENEFITS</v>
      </c>
      <c r="C197" s="11"/>
      <c r="D197" s="7"/>
      <c r="E197" s="2"/>
      <c r="F197" s="6">
        <f t="shared" si="17"/>
        <v>0</v>
      </c>
      <c r="G197" s="2"/>
      <c r="H197" s="7">
        <v>0</v>
      </c>
      <c r="I197" s="2"/>
      <c r="J197" s="6">
        <f t="shared" si="18"/>
        <v>0</v>
      </c>
      <c r="K197" s="2"/>
      <c r="L197" s="7">
        <f t="shared" si="19"/>
        <v>0</v>
      </c>
      <c r="M197" s="2"/>
      <c r="N197" s="6">
        <f t="shared" si="20"/>
        <v>0</v>
      </c>
      <c r="O197" s="11"/>
      <c r="P197" s="7"/>
      <c r="Q197" s="2"/>
      <c r="R197" s="6">
        <f t="shared" si="21"/>
        <v>0</v>
      </c>
      <c r="S197" s="2"/>
      <c r="T197" s="7">
        <v>8000</v>
      </c>
      <c r="U197" s="2"/>
      <c r="V197" s="6">
        <f t="shared" si="22"/>
        <v>7.8620006801591313E-4</v>
      </c>
      <c r="W197" s="2"/>
      <c r="X197" s="7">
        <f t="shared" si="23"/>
        <v>-8000</v>
      </c>
      <c r="Y197" s="2"/>
      <c r="Z197" s="6">
        <f t="shared" si="24"/>
        <v>-1</v>
      </c>
    </row>
    <row r="198" spans="1:26" s="24" customFormat="1" hidden="1" outlineLevel="2" x14ac:dyDescent="0.25">
      <c r="A198" s="25"/>
      <c r="B198" s="11" t="str">
        <f>CONCATENATE("          ", "6117", " - ", "RETIREMENT STAFF HOURLY")</f>
        <v xml:space="preserve">          6117 - RETIREMENT STAFF HOURLY</v>
      </c>
      <c r="C198" s="11"/>
      <c r="D198" s="7">
        <v>2816.51</v>
      </c>
      <c r="E198" s="2"/>
      <c r="F198" s="6">
        <f t="shared" si="17"/>
        <v>7.0258752124627494E-4</v>
      </c>
      <c r="G198" s="2"/>
      <c r="H198" s="7"/>
      <c r="I198" s="2"/>
      <c r="J198" s="6">
        <f t="shared" si="18"/>
        <v>0</v>
      </c>
      <c r="K198" s="2"/>
      <c r="L198" s="7">
        <f t="shared" si="19"/>
        <v>2816.51</v>
      </c>
      <c r="M198" s="2"/>
      <c r="N198" s="6">
        <f t="shared" si="20"/>
        <v>0</v>
      </c>
      <c r="O198" s="11"/>
      <c r="P198" s="7">
        <v>6042.17</v>
      </c>
      <c r="Q198" s="2"/>
      <c r="R198" s="6">
        <f t="shared" si="21"/>
        <v>6.2073000726198767E-4</v>
      </c>
      <c r="S198" s="2"/>
      <c r="T198" s="7"/>
      <c r="U198" s="2"/>
      <c r="V198" s="6">
        <f t="shared" si="22"/>
        <v>0</v>
      </c>
      <c r="W198" s="2"/>
      <c r="X198" s="7">
        <f t="shared" si="23"/>
        <v>6042.17</v>
      </c>
      <c r="Y198" s="2"/>
      <c r="Z198" s="6">
        <f t="shared" si="24"/>
        <v>0</v>
      </c>
    </row>
    <row r="199" spans="1:26" s="24" customFormat="1" hidden="1" outlineLevel="2" x14ac:dyDescent="0.25">
      <c r="A199" s="25"/>
      <c r="B199" s="11" t="str">
        <f>CONCATENATE("          ", "6118", " - ", "VACATION")</f>
        <v xml:space="preserve">          6118 - VACATION</v>
      </c>
      <c r="C199" s="11"/>
      <c r="D199" s="7">
        <v>25071.38</v>
      </c>
      <c r="E199" s="2"/>
      <c r="F199" s="6">
        <f t="shared" si="17"/>
        <v>6.2541367608932438E-3</v>
      </c>
      <c r="G199" s="2"/>
      <c r="H199" s="7">
        <v>14254.520903861532</v>
      </c>
      <c r="I199" s="2"/>
      <c r="J199" s="6">
        <f t="shared" si="18"/>
        <v>3.4807293990929159E-3</v>
      </c>
      <c r="K199" s="2"/>
      <c r="L199" s="7">
        <f t="shared" si="19"/>
        <v>10816.859096138469</v>
      </c>
      <c r="M199" s="2"/>
      <c r="N199" s="6">
        <f t="shared" si="20"/>
        <v>0.75883708537746752</v>
      </c>
      <c r="O199" s="11"/>
      <c r="P199" s="7">
        <v>73900.099999999991</v>
      </c>
      <c r="Q199" s="2"/>
      <c r="R199" s="6">
        <f t="shared" si="21"/>
        <v>7.5919759969781736E-3</v>
      </c>
      <c r="S199" s="2"/>
      <c r="T199" s="7">
        <v>45605.54181754998</v>
      </c>
      <c r="U199" s="2"/>
      <c r="V199" s="6">
        <f t="shared" si="22"/>
        <v>4.4818850098575459E-3</v>
      </c>
      <c r="W199" s="2"/>
      <c r="X199" s="7">
        <f t="shared" si="23"/>
        <v>28294.558182450011</v>
      </c>
      <c r="Y199" s="2"/>
      <c r="Z199" s="6">
        <f t="shared" si="24"/>
        <v>0.62041929675225704</v>
      </c>
    </row>
    <row r="200" spans="1:26" s="24" customFormat="1" hidden="1" outlineLevel="2" x14ac:dyDescent="0.25">
      <c r="A200" s="25"/>
      <c r="B200" s="11" t="str">
        <f>CONCATENATE("          ", "6119", " - ", "SICK LEAVE")</f>
        <v xml:space="preserve">          6119 - SICK LEAVE</v>
      </c>
      <c r="C200" s="11"/>
      <c r="D200" s="7">
        <v>26478.46</v>
      </c>
      <c r="E200" s="2"/>
      <c r="F200" s="6">
        <f t="shared" si="17"/>
        <v>6.6051374139692873E-3</v>
      </c>
      <c r="G200" s="2"/>
      <c r="H200" s="7">
        <v>22215.984706684278</v>
      </c>
      <c r="I200" s="2"/>
      <c r="J200" s="6">
        <f t="shared" si="18"/>
        <v>5.4247934125521233E-3</v>
      </c>
      <c r="K200" s="2"/>
      <c r="L200" s="7">
        <f t="shared" si="19"/>
        <v>4262.4752933157215</v>
      </c>
      <c r="M200" s="2"/>
      <c r="N200" s="6">
        <f t="shared" si="20"/>
        <v>0.19186524250861772</v>
      </c>
      <c r="O200" s="11"/>
      <c r="P200" s="7">
        <v>79594.42</v>
      </c>
      <c r="Q200" s="2"/>
      <c r="R200" s="6">
        <f t="shared" si="21"/>
        <v>8.1769703441997976E-3</v>
      </c>
      <c r="S200" s="2"/>
      <c r="T200" s="7">
        <v>58442.918180154389</v>
      </c>
      <c r="U200" s="2"/>
      <c r="V200" s="6">
        <f t="shared" si="22"/>
        <v>5.7434782810357283E-3</v>
      </c>
      <c r="W200" s="2"/>
      <c r="X200" s="7">
        <f t="shared" si="23"/>
        <v>21151.501819845609</v>
      </c>
      <c r="Y200" s="2"/>
      <c r="Z200" s="6">
        <f t="shared" si="24"/>
        <v>0.36191727720790096</v>
      </c>
    </row>
    <row r="201" spans="1:26" s="24" customFormat="1" hidden="1" outlineLevel="2" x14ac:dyDescent="0.25">
      <c r="A201" s="25"/>
      <c r="B201" s="11" t="str">
        <f>CONCATENATE("          ", "6156", " - ", "EMPLOYEE MEALS")</f>
        <v xml:space="preserve">          6156 - EMPLOYEE MEALS</v>
      </c>
      <c r="C201" s="11"/>
      <c r="D201" s="7">
        <v>9581.43</v>
      </c>
      <c r="E201" s="2"/>
      <c r="F201" s="6">
        <f t="shared" si="17"/>
        <v>2.3901186765517236E-3</v>
      </c>
      <c r="G201" s="2"/>
      <c r="H201" s="7">
        <v>4925</v>
      </c>
      <c r="I201" s="2"/>
      <c r="J201" s="6">
        <f t="shared" si="18"/>
        <v>1.2026073977616956E-3</v>
      </c>
      <c r="K201" s="2"/>
      <c r="L201" s="7">
        <f t="shared" si="19"/>
        <v>4656.43</v>
      </c>
      <c r="M201" s="2"/>
      <c r="N201" s="6">
        <f t="shared" si="20"/>
        <v>0.94546802030456856</v>
      </c>
      <c r="O201" s="11"/>
      <c r="P201" s="7">
        <v>25891.040000000001</v>
      </c>
      <c r="Q201" s="2"/>
      <c r="R201" s="6">
        <f t="shared" si="21"/>
        <v>2.6598631695600112E-3</v>
      </c>
      <c r="S201" s="2"/>
      <c r="T201" s="7">
        <v>14900</v>
      </c>
      <c r="U201" s="2"/>
      <c r="V201" s="6">
        <f t="shared" si="22"/>
        <v>1.4642976266796383E-3</v>
      </c>
      <c r="W201" s="2"/>
      <c r="X201" s="7">
        <f t="shared" si="23"/>
        <v>10991.04</v>
      </c>
      <c r="Y201" s="2"/>
      <c r="Z201" s="6">
        <f t="shared" si="24"/>
        <v>0.73765369127516789</v>
      </c>
    </row>
    <row r="202" spans="1:26" s="26" customFormat="1" outlineLevel="1" collapsed="1" x14ac:dyDescent="0.25">
      <c r="A202" s="27"/>
      <c r="B202" s="13" t="str">
        <f>CONCATENATE("     ","*Payroll                                          ")</f>
        <v xml:space="preserve">     *Payroll                                          </v>
      </c>
      <c r="C202" s="13"/>
      <c r="D202" s="1">
        <f>SUM(OSRRefD22_1x_0)</f>
        <v>793810.63</v>
      </c>
      <c r="E202" s="1"/>
      <c r="F202" s="5">
        <f t="shared" ref="F202:F212" si="25">IF(D$12=0,0,D202/D$12)</f>
        <v>0.19801862690728733</v>
      </c>
      <c r="G202" s="1"/>
      <c r="H202" s="1">
        <f>SUM(OSRRefH22_1x_0)</f>
        <v>783959.86009330465</v>
      </c>
      <c r="I202" s="1"/>
      <c r="J202" s="5">
        <f t="shared" ref="J202:J212" si="26">IF(H$12=0,0,H202/H$12)</f>
        <v>0.1914306451363314</v>
      </c>
      <c r="K202" s="1"/>
      <c r="L202" s="1">
        <f t="shared" ref="L202:L212" si="27">+D202-H202</f>
        <v>9850.7699066953501</v>
      </c>
      <c r="M202" s="1"/>
      <c r="N202" s="5">
        <f t="shared" ref="N202:N212" si="28">IF(H202=0,0,L202/H202)</f>
        <v>1.2565400868257387E-2</v>
      </c>
      <c r="O202" s="13"/>
      <c r="P202" s="1">
        <f>SUM(OSRRefP22_1x_0)</f>
        <v>2064466.3699999999</v>
      </c>
      <c r="Q202" s="1"/>
      <c r="R202" s="5">
        <f t="shared" ref="R202:R212" si="29">IF(P$12=0,0,P202/P$12)</f>
        <v>0.21208874044295828</v>
      </c>
      <c r="S202" s="1"/>
      <c r="T202" s="1">
        <f>SUM(OSRRefT22_1x_0)</f>
        <v>2084499.6571917902</v>
      </c>
      <c r="U202" s="1"/>
      <c r="V202" s="5">
        <f t="shared" ref="V202:V212" si="30">IF(T$12=0,0,T202/T$12)</f>
        <v>0.20485422153291663</v>
      </c>
      <c r="W202" s="1"/>
      <c r="X202" s="1">
        <f t="shared" ref="X202:X212" si="31">+P202-T202</f>
        <v>-20033.287191790296</v>
      </c>
      <c r="Y202" s="1"/>
      <c r="Z202" s="5">
        <f t="shared" ref="Z202:Z212" si="32">IF(T202=0,0,X202/T202)</f>
        <v>-9.6105974988640059E-3</v>
      </c>
    </row>
    <row r="203" spans="1:26" s="24" customFormat="1" hidden="1" outlineLevel="2" x14ac:dyDescent="0.25">
      <c r="A203" s="25"/>
      <c r="B203" s="11" t="str">
        <f>CONCATENATE("          ", "6001", " - ", "ADMINISTRATIVE SALARIES")</f>
        <v xml:space="preserve">          6001 - ADMINISTRATIVE SALARIES</v>
      </c>
      <c r="C203" s="11"/>
      <c r="D203" s="7">
        <v>35074.049999999996</v>
      </c>
      <c r="E203" s="2"/>
      <c r="F203" s="6">
        <f t="shared" si="25"/>
        <v>8.7493351167110735E-3</v>
      </c>
      <c r="G203" s="2"/>
      <c r="H203" s="7">
        <v>60667.695831076926</v>
      </c>
      <c r="I203" s="2"/>
      <c r="J203" s="6">
        <f t="shared" si="26"/>
        <v>1.4814095393220202E-2</v>
      </c>
      <c r="K203" s="2"/>
      <c r="L203" s="7">
        <f t="shared" si="27"/>
        <v>-25593.64583107693</v>
      </c>
      <c r="M203" s="2"/>
      <c r="N203" s="6">
        <f t="shared" si="28"/>
        <v>-0.42186612628803066</v>
      </c>
      <c r="O203" s="11"/>
      <c r="P203" s="7">
        <v>106630.32</v>
      </c>
      <c r="Q203" s="2"/>
      <c r="R203" s="6">
        <f t="shared" si="29"/>
        <v>1.0954448370030647E-2</v>
      </c>
      <c r="S203" s="2"/>
      <c r="T203" s="7">
        <v>197170.011451</v>
      </c>
      <c r="U203" s="2"/>
      <c r="V203" s="6">
        <f t="shared" si="30"/>
        <v>1.937688455168432E-2</v>
      </c>
      <c r="W203" s="2"/>
      <c r="X203" s="7">
        <f t="shared" si="31"/>
        <v>-90539.691450999992</v>
      </c>
      <c r="Y203" s="2"/>
      <c r="Z203" s="6">
        <f t="shared" si="32"/>
        <v>-0.45919605514401768</v>
      </c>
    </row>
    <row r="204" spans="1:26" s="24" customFormat="1" hidden="1" outlineLevel="2" x14ac:dyDescent="0.25">
      <c r="A204" s="25"/>
      <c r="B204" s="11" t="str">
        <f>CONCATENATE("          ", "6002", " - ", "STAFF SALARIES")</f>
        <v xml:space="preserve">          6002 - STAFF SALARIES</v>
      </c>
      <c r="C204" s="11"/>
      <c r="D204" s="7">
        <v>177558.41999999998</v>
      </c>
      <c r="E204" s="2"/>
      <c r="F204" s="6">
        <f t="shared" si="25"/>
        <v>4.4292521661277603E-2</v>
      </c>
      <c r="G204" s="2"/>
      <c r="H204" s="7">
        <v>134334.30362810774</v>
      </c>
      <c r="I204" s="2"/>
      <c r="J204" s="6">
        <f t="shared" si="26"/>
        <v>3.2802320267274754E-2</v>
      </c>
      <c r="K204" s="2"/>
      <c r="L204" s="7">
        <f t="shared" si="27"/>
        <v>43224.116371892247</v>
      </c>
      <c r="M204" s="2"/>
      <c r="N204" s="6">
        <f t="shared" si="28"/>
        <v>0.32176529154871913</v>
      </c>
      <c r="O204" s="11"/>
      <c r="P204" s="7">
        <v>542062.06999999995</v>
      </c>
      <c r="Q204" s="2"/>
      <c r="R204" s="6">
        <f t="shared" si="29"/>
        <v>5.5687640805794615E-2</v>
      </c>
      <c r="S204" s="2"/>
      <c r="T204" s="7">
        <v>436586.48679135001</v>
      </c>
      <c r="U204" s="2"/>
      <c r="V204" s="6">
        <f t="shared" si="30"/>
        <v>4.2905540701273497E-2</v>
      </c>
      <c r="W204" s="2"/>
      <c r="X204" s="7">
        <f t="shared" si="31"/>
        <v>105475.58320864994</v>
      </c>
      <c r="Y204" s="2"/>
      <c r="Z204" s="6">
        <f t="shared" si="32"/>
        <v>0.24159149767513993</v>
      </c>
    </row>
    <row r="205" spans="1:26" s="24" customFormat="1" hidden="1" outlineLevel="2" x14ac:dyDescent="0.25">
      <c r="A205" s="25"/>
      <c r="B205" s="11" t="str">
        <f>CONCATENATE("          ", "6003", " - ", "STAFF HOURLY-9 MONTH")</f>
        <v xml:space="preserve">          6003 - STAFF HOURLY-9 MONTH</v>
      </c>
      <c r="C205" s="11"/>
      <c r="D205" s="7"/>
      <c r="E205" s="2"/>
      <c r="F205" s="6">
        <f t="shared" si="25"/>
        <v>0</v>
      </c>
      <c r="G205" s="2"/>
      <c r="H205" s="7">
        <v>0</v>
      </c>
      <c r="I205" s="2"/>
      <c r="J205" s="6">
        <f t="shared" si="26"/>
        <v>0</v>
      </c>
      <c r="K205" s="2"/>
      <c r="L205" s="7">
        <f t="shared" si="27"/>
        <v>0</v>
      </c>
      <c r="M205" s="2"/>
      <c r="N205" s="6">
        <f t="shared" si="28"/>
        <v>0</v>
      </c>
      <c r="O205" s="11"/>
      <c r="P205" s="7"/>
      <c r="Q205" s="2"/>
      <c r="R205" s="6">
        <f t="shared" si="29"/>
        <v>0</v>
      </c>
      <c r="S205" s="2"/>
      <c r="T205" s="7">
        <v>0</v>
      </c>
      <c r="U205" s="2"/>
      <c r="V205" s="6">
        <f t="shared" si="30"/>
        <v>0</v>
      </c>
      <c r="W205" s="2"/>
      <c r="X205" s="7">
        <f t="shared" si="31"/>
        <v>0</v>
      </c>
      <c r="Y205" s="2"/>
      <c r="Z205" s="6">
        <f t="shared" si="32"/>
        <v>0</v>
      </c>
    </row>
    <row r="206" spans="1:26" s="24" customFormat="1" hidden="1" outlineLevel="2" x14ac:dyDescent="0.25">
      <c r="A206" s="25"/>
      <c r="B206" s="11" t="str">
        <f>CONCATENATE("          ", "6004", " - ", "STAFF HOURLY")</f>
        <v xml:space="preserve">          6004 - STAFF HOURLY</v>
      </c>
      <c r="C206" s="11"/>
      <c r="D206" s="7">
        <v>84287.74</v>
      </c>
      <c r="E206" s="2"/>
      <c r="F206" s="6">
        <f t="shared" si="25"/>
        <v>2.1025849124643795E-2</v>
      </c>
      <c r="G206" s="2"/>
      <c r="H206" s="7">
        <v>162649.869022</v>
      </c>
      <c r="I206" s="2"/>
      <c r="J206" s="6">
        <f t="shared" si="26"/>
        <v>3.9716535173772195E-2</v>
      </c>
      <c r="K206" s="2"/>
      <c r="L206" s="7">
        <f t="shared" si="27"/>
        <v>-78362.129021999994</v>
      </c>
      <c r="M206" s="2"/>
      <c r="N206" s="6">
        <f t="shared" si="28"/>
        <v>-0.48178415078465719</v>
      </c>
      <c r="O206" s="11"/>
      <c r="P206" s="7">
        <v>205806.9</v>
      </c>
      <c r="Q206" s="2"/>
      <c r="R206" s="6">
        <f t="shared" si="29"/>
        <v>2.1143151968840194E-2</v>
      </c>
      <c r="S206" s="2"/>
      <c r="T206" s="7">
        <v>483441.49232400005</v>
      </c>
      <c r="U206" s="2"/>
      <c r="V206" s="6">
        <f t="shared" si="30"/>
        <v>4.7510216768355422E-2</v>
      </c>
      <c r="W206" s="2"/>
      <c r="X206" s="7">
        <f t="shared" si="31"/>
        <v>-277634.59232400008</v>
      </c>
      <c r="Y206" s="2"/>
      <c r="Z206" s="6">
        <f t="shared" si="32"/>
        <v>-0.57428788536406961</v>
      </c>
    </row>
    <row r="207" spans="1:26" s="24" customFormat="1" hidden="1" outlineLevel="2" x14ac:dyDescent="0.25">
      <c r="A207" s="25"/>
      <c r="B207" s="11" t="str">
        <f>CONCATENATE("          ", "6005", " - ", "TEMPORARY WAGES-HOURLY")</f>
        <v xml:space="preserve">          6005 - TEMPORARY WAGES-HOURLY</v>
      </c>
      <c r="C207" s="11"/>
      <c r="D207" s="7">
        <v>140603.4</v>
      </c>
      <c r="E207" s="2"/>
      <c r="F207" s="6">
        <f t="shared" si="25"/>
        <v>3.507397249958228E-2</v>
      </c>
      <c r="G207" s="2"/>
      <c r="H207" s="7">
        <v>66167.575415999992</v>
      </c>
      <c r="I207" s="2"/>
      <c r="J207" s="6">
        <f t="shared" si="26"/>
        <v>1.6157079327357663E-2</v>
      </c>
      <c r="K207" s="2"/>
      <c r="L207" s="7">
        <f t="shared" si="27"/>
        <v>74435.824584000002</v>
      </c>
      <c r="M207" s="2"/>
      <c r="N207" s="6">
        <f t="shared" si="28"/>
        <v>1.1249592283836451</v>
      </c>
      <c r="O207" s="11"/>
      <c r="P207" s="7">
        <v>330390.83999999997</v>
      </c>
      <c r="Q207" s="2"/>
      <c r="R207" s="6">
        <f t="shared" si="29"/>
        <v>3.3942028859249934E-2</v>
      </c>
      <c r="S207" s="2"/>
      <c r="T207" s="7">
        <v>148126.42912000002</v>
      </c>
      <c r="U207" s="2"/>
      <c r="V207" s="6">
        <f t="shared" si="30"/>
        <v>1.4557126081137293E-2</v>
      </c>
      <c r="W207" s="2"/>
      <c r="X207" s="7">
        <f t="shared" si="31"/>
        <v>182264.41087999995</v>
      </c>
      <c r="Y207" s="2"/>
      <c r="Z207" s="6">
        <f t="shared" si="32"/>
        <v>1.2304651638658224</v>
      </c>
    </row>
    <row r="208" spans="1:26" s="24" customFormat="1" hidden="1" outlineLevel="2" x14ac:dyDescent="0.25">
      <c r="A208" s="25"/>
      <c r="B208" s="11" t="str">
        <f>CONCATENATE("          ", "6006", " - ", "TEMPORARY PART TIME")</f>
        <v xml:space="preserve">          6006 - TEMPORARY PART TIME</v>
      </c>
      <c r="C208" s="11"/>
      <c r="D208" s="7">
        <v>18360.919999999998</v>
      </c>
      <c r="E208" s="2"/>
      <c r="F208" s="6">
        <f t="shared" si="25"/>
        <v>4.5801908285790401E-3</v>
      </c>
      <c r="G208" s="2"/>
      <c r="H208" s="7">
        <v>0</v>
      </c>
      <c r="I208" s="2"/>
      <c r="J208" s="6">
        <f t="shared" si="26"/>
        <v>0</v>
      </c>
      <c r="K208" s="2"/>
      <c r="L208" s="7">
        <f t="shared" si="27"/>
        <v>18360.919999999998</v>
      </c>
      <c r="M208" s="2"/>
      <c r="N208" s="6">
        <f t="shared" si="28"/>
        <v>0</v>
      </c>
      <c r="O208" s="11"/>
      <c r="P208" s="7">
        <v>46446.89</v>
      </c>
      <c r="Q208" s="2"/>
      <c r="R208" s="6">
        <f t="shared" si="29"/>
        <v>4.77162647972446E-3</v>
      </c>
      <c r="S208" s="2"/>
      <c r="T208" s="7">
        <v>0</v>
      </c>
      <c r="U208" s="2"/>
      <c r="V208" s="6">
        <f t="shared" si="30"/>
        <v>0</v>
      </c>
      <c r="W208" s="2"/>
      <c r="X208" s="7">
        <f t="shared" si="31"/>
        <v>46446.89</v>
      </c>
      <c r="Y208" s="2"/>
      <c r="Z208" s="6">
        <f t="shared" si="32"/>
        <v>0</v>
      </c>
    </row>
    <row r="209" spans="1:26" s="24" customFormat="1" hidden="1" outlineLevel="2" x14ac:dyDescent="0.25">
      <c r="A209" s="25"/>
      <c r="B209" s="11" t="str">
        <f>CONCATENATE("          ", "6007", " - ", "STUDENT HOURLY")</f>
        <v xml:space="preserve">          6007 - STUDENT HOURLY</v>
      </c>
      <c r="C209" s="11"/>
      <c r="D209" s="7">
        <v>305295.46999999997</v>
      </c>
      <c r="E209" s="2"/>
      <c r="F209" s="6">
        <f t="shared" si="25"/>
        <v>7.6156941574862663E-2</v>
      </c>
      <c r="G209" s="2"/>
      <c r="H209" s="7">
        <v>42974.009999999995</v>
      </c>
      <c r="I209" s="2"/>
      <c r="J209" s="6">
        <f t="shared" si="26"/>
        <v>1.0493576109134026E-2</v>
      </c>
      <c r="K209" s="2"/>
      <c r="L209" s="7">
        <f t="shared" si="27"/>
        <v>262321.45999999996</v>
      </c>
      <c r="M209" s="2"/>
      <c r="N209" s="6">
        <f t="shared" si="28"/>
        <v>6.1041885548963197</v>
      </c>
      <c r="O209" s="11"/>
      <c r="P209" s="7">
        <v>770862.02</v>
      </c>
      <c r="Q209" s="2"/>
      <c r="R209" s="6">
        <f t="shared" si="29"/>
        <v>7.9192936854241197E-2</v>
      </c>
      <c r="S209" s="2"/>
      <c r="T209" s="7">
        <v>378004.14261320001</v>
      </c>
      <c r="U209" s="2"/>
      <c r="V209" s="6">
        <f t="shared" si="30"/>
        <v>3.714836032909935E-2</v>
      </c>
      <c r="W209" s="2"/>
      <c r="X209" s="7">
        <f t="shared" si="31"/>
        <v>392857.87738680001</v>
      </c>
      <c r="Y209" s="2"/>
      <c r="Z209" s="6">
        <f t="shared" si="32"/>
        <v>1.0392951639918915</v>
      </c>
    </row>
    <row r="210" spans="1:26" s="24" customFormat="1" hidden="1" outlineLevel="2" x14ac:dyDescent="0.25">
      <c r="A210" s="25"/>
      <c r="B210" s="11" t="str">
        <f>CONCATENATE("          ", "6008", " - ", "STUDENT HOURLY-FICA EXEMPT")</f>
        <v xml:space="preserve">          6008 - STUDENT HOURLY-FICA EXEMPT</v>
      </c>
      <c r="C210" s="11"/>
      <c r="D210" s="7">
        <v>32630.63</v>
      </c>
      <c r="E210" s="2"/>
      <c r="F210" s="6">
        <f t="shared" si="25"/>
        <v>8.1398161016308611E-3</v>
      </c>
      <c r="G210" s="2"/>
      <c r="H210" s="7">
        <v>317166.40619612002</v>
      </c>
      <c r="I210" s="2"/>
      <c r="J210" s="6">
        <f t="shared" si="26"/>
        <v>7.7447038865572554E-2</v>
      </c>
      <c r="K210" s="2"/>
      <c r="L210" s="7">
        <f t="shared" si="27"/>
        <v>-284535.77619612002</v>
      </c>
      <c r="M210" s="2"/>
      <c r="N210" s="6">
        <f t="shared" si="28"/>
        <v>-0.8971182654829376</v>
      </c>
      <c r="O210" s="11"/>
      <c r="P210" s="7">
        <v>62267.33</v>
      </c>
      <c r="Q210" s="2"/>
      <c r="R210" s="6">
        <f t="shared" si="29"/>
        <v>6.3969071050772458E-3</v>
      </c>
      <c r="S210" s="2"/>
      <c r="T210" s="7">
        <v>441171.09489224001</v>
      </c>
      <c r="U210" s="2"/>
      <c r="V210" s="6">
        <f t="shared" si="30"/>
        <v>4.3356093101366747E-2</v>
      </c>
      <c r="W210" s="2"/>
      <c r="X210" s="7">
        <f t="shared" si="31"/>
        <v>-378903.76489224</v>
      </c>
      <c r="Y210" s="2"/>
      <c r="Z210" s="6">
        <f t="shared" si="32"/>
        <v>-0.85885899887614037</v>
      </c>
    </row>
    <row r="211" spans="1:26" s="24" customFormat="1" hidden="1" outlineLevel="2" x14ac:dyDescent="0.25">
      <c r="A211" s="25"/>
      <c r="B211" s="11" t="str">
        <f>CONCATENATE("          ", "6009", " - ", "TEMPORARY-SEASONAL")</f>
        <v xml:space="preserve">          6009 - TEMPORARY-SEASONAL</v>
      </c>
      <c r="C211" s="11"/>
      <c r="D211" s="7"/>
      <c r="E211" s="2"/>
      <c r="F211" s="6">
        <f t="shared" si="25"/>
        <v>0</v>
      </c>
      <c r="G211" s="2"/>
      <c r="H211" s="7">
        <v>0</v>
      </c>
      <c r="I211" s="2"/>
      <c r="J211" s="6">
        <f t="shared" si="26"/>
        <v>0</v>
      </c>
      <c r="K211" s="2"/>
      <c r="L211" s="7">
        <f t="shared" si="27"/>
        <v>0</v>
      </c>
      <c r="M211" s="2"/>
      <c r="N211" s="6">
        <f t="shared" si="28"/>
        <v>0</v>
      </c>
      <c r="O211" s="11"/>
      <c r="P211" s="7"/>
      <c r="Q211" s="2"/>
      <c r="R211" s="6">
        <f t="shared" si="29"/>
        <v>0</v>
      </c>
      <c r="S211" s="2"/>
      <c r="T211" s="7">
        <v>0</v>
      </c>
      <c r="U211" s="2"/>
      <c r="V211" s="6">
        <f t="shared" si="30"/>
        <v>0</v>
      </c>
      <c r="W211" s="2"/>
      <c r="X211" s="7">
        <f t="shared" si="31"/>
        <v>0</v>
      </c>
      <c r="Y211" s="2"/>
      <c r="Z211" s="6">
        <f t="shared" si="32"/>
        <v>0</v>
      </c>
    </row>
    <row r="212" spans="1:26" s="24" customFormat="1" hidden="1" outlineLevel="2" x14ac:dyDescent="0.25">
      <c r="A212" s="25"/>
      <c r="B212" s="11" t="str">
        <f>CONCATENATE("          ", "6010", " - ", "GRATUITY")</f>
        <v xml:space="preserve">          6010 - GRATUITY</v>
      </c>
      <c r="C212" s="11"/>
      <c r="D212" s="7"/>
      <c r="E212" s="2"/>
      <c r="F212" s="6">
        <f t="shared" si="25"/>
        <v>0</v>
      </c>
      <c r="G212" s="2"/>
      <c r="H212" s="7">
        <v>0</v>
      </c>
      <c r="I212" s="2"/>
      <c r="J212" s="6">
        <f t="shared" si="26"/>
        <v>0</v>
      </c>
      <c r="K212" s="2"/>
      <c r="L212" s="7">
        <f t="shared" si="27"/>
        <v>0</v>
      </c>
      <c r="M212" s="2"/>
      <c r="N212" s="6">
        <f t="shared" si="28"/>
        <v>0</v>
      </c>
      <c r="O212" s="11"/>
      <c r="P212" s="7"/>
      <c r="Q212" s="2"/>
      <c r="R212" s="6">
        <f t="shared" si="29"/>
        <v>0</v>
      </c>
      <c r="S212" s="2"/>
      <c r="T212" s="7">
        <v>0</v>
      </c>
      <c r="U212" s="2"/>
      <c r="V212" s="6">
        <f t="shared" si="30"/>
        <v>0</v>
      </c>
      <c r="W212" s="2"/>
      <c r="X212" s="7">
        <f t="shared" si="31"/>
        <v>0</v>
      </c>
      <c r="Y212" s="2"/>
      <c r="Z212" s="6">
        <f t="shared" si="32"/>
        <v>0</v>
      </c>
    </row>
    <row r="213" spans="1:26" s="26" customFormat="1" outlineLevel="1" collapsed="1" x14ac:dyDescent="0.25">
      <c r="A213" s="27"/>
      <c r="B213" s="13" t="str">
        <f>CONCATENATE("     ","Advertising/Promo                                 ")</f>
        <v xml:space="preserve">     Advertising/Promo                                 </v>
      </c>
      <c r="C213" s="13"/>
      <c r="D213" s="1">
        <f>SUM(OSRRefD22_2x_0)</f>
        <v>1492.68</v>
      </c>
      <c r="E213" s="1"/>
      <c r="F213" s="5">
        <f t="shared" ref="F213:F217" si="33">IF(D$12=0,0,D213/D$12)</f>
        <v>3.7235384969834637E-4</v>
      </c>
      <c r="G213" s="1"/>
      <c r="H213" s="1">
        <f>SUM(OSRRefH22_2x_0)</f>
        <v>9795</v>
      </c>
      <c r="I213" s="1"/>
      <c r="J213" s="5">
        <f t="shared" ref="J213:J217" si="34">IF(H$12=0,0,H213/H$12)</f>
        <v>2.3917846621473722E-3</v>
      </c>
      <c r="K213" s="1"/>
      <c r="L213" s="1">
        <f t="shared" ref="L213:L217" si="35">+D213-H213</f>
        <v>-8302.32</v>
      </c>
      <c r="M213" s="1"/>
      <c r="N213" s="5">
        <f t="shared" ref="N213:N217" si="36">IF(H213=0,0,L213/H213)</f>
        <v>-0.8476079632465543</v>
      </c>
      <c r="O213" s="13"/>
      <c r="P213" s="1">
        <f>SUM(OSRRefP22_2x_0)</f>
        <v>21984.09</v>
      </c>
      <c r="Q213" s="1"/>
      <c r="R213" s="5">
        <f t="shared" ref="R213:R217" si="37">IF(P$12=0,0,P213/P$12)</f>
        <v>2.2584906325621738E-3</v>
      </c>
      <c r="S213" s="1"/>
      <c r="T213" s="1">
        <f>SUM(OSRRefT22_2x_0)</f>
        <v>31460</v>
      </c>
      <c r="U213" s="1"/>
      <c r="V213" s="5">
        <f t="shared" ref="V213:V217" si="38">IF(T$12=0,0,T213/T$12)</f>
        <v>3.0917317674725785E-3</v>
      </c>
      <c r="W213" s="1"/>
      <c r="X213" s="1">
        <f t="shared" ref="X213:X217" si="39">+P213-T213</f>
        <v>-9475.91</v>
      </c>
      <c r="Y213" s="1"/>
      <c r="Z213" s="5">
        <f t="shared" ref="Z213:Z217" si="40">IF(T213=0,0,X213/T213)</f>
        <v>-0.30120502225047679</v>
      </c>
    </row>
    <row r="214" spans="1:26" s="24" customFormat="1" hidden="1" outlineLevel="2" x14ac:dyDescent="0.25">
      <c r="A214" s="25"/>
      <c r="B214" s="11" t="str">
        <f>CONCATENATE("          ", "6362", " - ", "ADVERTISING EXPENSE")</f>
        <v xml:space="preserve">          6362 - ADVERTISING EXPENSE</v>
      </c>
      <c r="C214" s="11"/>
      <c r="D214" s="7">
        <v>1492.68</v>
      </c>
      <c r="E214" s="2"/>
      <c r="F214" s="6">
        <f t="shared" si="33"/>
        <v>3.7235384969834637E-4</v>
      </c>
      <c r="G214" s="2"/>
      <c r="H214" s="7">
        <v>9795</v>
      </c>
      <c r="I214" s="2"/>
      <c r="J214" s="6">
        <f t="shared" si="34"/>
        <v>2.3917846621473722E-3</v>
      </c>
      <c r="K214" s="2"/>
      <c r="L214" s="7">
        <f t="shared" si="35"/>
        <v>-8302.32</v>
      </c>
      <c r="M214" s="2"/>
      <c r="N214" s="6">
        <f t="shared" si="36"/>
        <v>-0.8476079632465543</v>
      </c>
      <c r="O214" s="11"/>
      <c r="P214" s="7">
        <v>21984.09</v>
      </c>
      <c r="Q214" s="2"/>
      <c r="R214" s="6">
        <f t="shared" si="37"/>
        <v>2.2584906325621738E-3</v>
      </c>
      <c r="S214" s="2"/>
      <c r="T214" s="7">
        <v>31460</v>
      </c>
      <c r="U214" s="2"/>
      <c r="V214" s="6">
        <f t="shared" si="38"/>
        <v>3.0917317674725785E-3</v>
      </c>
      <c r="W214" s="2"/>
      <c r="X214" s="7">
        <f t="shared" si="39"/>
        <v>-9475.91</v>
      </c>
      <c r="Y214" s="2"/>
      <c r="Z214" s="6">
        <f t="shared" si="40"/>
        <v>-0.30120502225047679</v>
      </c>
    </row>
    <row r="215" spans="1:26" s="26" customFormat="1" outlineLevel="1" collapsed="1" x14ac:dyDescent="0.25">
      <c r="A215" s="27"/>
      <c r="B215" s="13" t="str">
        <f>CONCATENATE("     ","Bad Debts/Over/Short                              ")</f>
        <v xml:space="preserve">     Bad Debts/Over/Short                              </v>
      </c>
      <c r="C215" s="13"/>
      <c r="D215" s="1">
        <f>SUM(OSRRefD22_3x_0)</f>
        <v>-231.3</v>
      </c>
      <c r="E215" s="1"/>
      <c r="F215" s="5">
        <f t="shared" si="33"/>
        <v>-5.7698532461899085E-5</v>
      </c>
      <c r="G215" s="1"/>
      <c r="H215" s="1">
        <f>SUM(OSRRefH22_3x_0)</f>
        <v>402</v>
      </c>
      <c r="I215" s="1"/>
      <c r="J215" s="5">
        <f t="shared" si="34"/>
        <v>9.8162065766538401E-5</v>
      </c>
      <c r="K215" s="1"/>
      <c r="L215" s="1">
        <f t="shared" si="35"/>
        <v>-633.29999999999995</v>
      </c>
      <c r="M215" s="1"/>
      <c r="N215" s="5">
        <f t="shared" si="36"/>
        <v>-1.5753731343283581</v>
      </c>
      <c r="O215" s="13"/>
      <c r="P215" s="1">
        <f>SUM(OSRRefP22_3x_0)</f>
        <v>-336.28</v>
      </c>
      <c r="Q215" s="1"/>
      <c r="R215" s="5">
        <f t="shared" si="37"/>
        <v>-3.454703969634439E-5</v>
      </c>
      <c r="S215" s="1"/>
      <c r="T215" s="1">
        <f>SUM(OSRRefT22_3x_0)</f>
        <v>1118</v>
      </c>
      <c r="U215" s="1"/>
      <c r="V215" s="5">
        <f t="shared" si="38"/>
        <v>1.0987145950522386E-4</v>
      </c>
      <c r="W215" s="1"/>
      <c r="X215" s="1">
        <f t="shared" si="39"/>
        <v>-1454.28</v>
      </c>
      <c r="Y215" s="1"/>
      <c r="Z215" s="5">
        <f t="shared" si="40"/>
        <v>-1.3007871198568872</v>
      </c>
    </row>
    <row r="216" spans="1:26" s="24" customFormat="1" hidden="1" outlineLevel="2" x14ac:dyDescent="0.25">
      <c r="A216" s="25"/>
      <c r="B216" s="11" t="str">
        <f>CONCATENATE("          ", "6272", " - ", "CASH (OVER/SHORT)")</f>
        <v xml:space="preserve">          6272 - CASH (OVER/SHORT)</v>
      </c>
      <c r="C216" s="11"/>
      <c r="D216" s="7">
        <v>-231.3</v>
      </c>
      <c r="E216" s="2"/>
      <c r="F216" s="6">
        <f t="shared" si="33"/>
        <v>-5.7698532461899085E-5</v>
      </c>
      <c r="G216" s="2"/>
      <c r="H216" s="7">
        <v>342</v>
      </c>
      <c r="I216" s="2"/>
      <c r="J216" s="6">
        <f t="shared" si="34"/>
        <v>8.3511011174517753E-5</v>
      </c>
      <c r="K216" s="2"/>
      <c r="L216" s="7">
        <f t="shared" si="35"/>
        <v>-573.29999999999995</v>
      </c>
      <c r="M216" s="2"/>
      <c r="N216" s="6">
        <f t="shared" si="36"/>
        <v>-1.676315789473684</v>
      </c>
      <c r="O216" s="11"/>
      <c r="P216" s="7">
        <v>-336.28</v>
      </c>
      <c r="Q216" s="2"/>
      <c r="R216" s="6">
        <f t="shared" si="37"/>
        <v>-3.454703969634439E-5</v>
      </c>
      <c r="S216" s="2"/>
      <c r="T216" s="7">
        <v>988</v>
      </c>
      <c r="U216" s="2"/>
      <c r="V216" s="6">
        <f t="shared" si="38"/>
        <v>9.709570839996528E-5</v>
      </c>
      <c r="W216" s="2"/>
      <c r="X216" s="7">
        <f t="shared" si="39"/>
        <v>-1324.28</v>
      </c>
      <c r="Y216" s="2"/>
      <c r="Z216" s="6">
        <f t="shared" si="40"/>
        <v>-1.3403643724696357</v>
      </c>
    </row>
    <row r="217" spans="1:26" s="24" customFormat="1" hidden="1" outlineLevel="2" x14ac:dyDescent="0.25">
      <c r="A217" s="25"/>
      <c r="B217" s="11" t="str">
        <f>CONCATENATE("          ", "6342", " - ", "BAD DEBT")</f>
        <v xml:space="preserve">          6342 - BAD DEBT</v>
      </c>
      <c r="C217" s="11"/>
      <c r="D217" s="7"/>
      <c r="E217" s="2"/>
      <c r="F217" s="6">
        <f t="shared" si="33"/>
        <v>0</v>
      </c>
      <c r="G217" s="2"/>
      <c r="H217" s="7">
        <v>60</v>
      </c>
      <c r="I217" s="2"/>
      <c r="J217" s="6">
        <f t="shared" si="34"/>
        <v>1.4651054592020658E-5</v>
      </c>
      <c r="K217" s="2"/>
      <c r="L217" s="7">
        <f t="shared" si="35"/>
        <v>-60</v>
      </c>
      <c r="M217" s="2"/>
      <c r="N217" s="6">
        <f t="shared" si="36"/>
        <v>-1</v>
      </c>
      <c r="O217" s="11"/>
      <c r="P217" s="7"/>
      <c r="Q217" s="2"/>
      <c r="R217" s="6">
        <f t="shared" si="37"/>
        <v>0</v>
      </c>
      <c r="S217" s="2"/>
      <c r="T217" s="7">
        <v>130</v>
      </c>
      <c r="U217" s="2"/>
      <c r="V217" s="6">
        <f t="shared" si="38"/>
        <v>1.2775751105258589E-5</v>
      </c>
      <c r="W217" s="2"/>
      <c r="X217" s="7">
        <f t="shared" si="39"/>
        <v>-130</v>
      </c>
      <c r="Y217" s="2"/>
      <c r="Z217" s="6">
        <f t="shared" si="40"/>
        <v>-1</v>
      </c>
    </row>
    <row r="218" spans="1:26" s="26" customFormat="1" outlineLevel="1" collapsed="1" x14ac:dyDescent="0.25">
      <c r="A218" s="27"/>
      <c r="B218" s="13" t="str">
        <f>CONCATENATE("     ","Bank/card Fees                                    ")</f>
        <v xml:space="preserve">     Bank/card Fees                                    </v>
      </c>
      <c r="C218" s="13"/>
      <c r="D218" s="1">
        <f>SUM(OSRRefD22_4x_0)</f>
        <v>59370.49</v>
      </c>
      <c r="E218" s="1"/>
      <c r="F218" s="5">
        <f t="shared" ref="F218:F224" si="41">IF(D$12=0,0,D218/D$12)</f>
        <v>1.4810160590332272E-2</v>
      </c>
      <c r="G218" s="1"/>
      <c r="H218" s="1">
        <f>SUM(OSRRefH22_4x_0)</f>
        <v>56873</v>
      </c>
      <c r="I218" s="1"/>
      <c r="J218" s="5">
        <f t="shared" ref="J218:J224" si="42">IF(H$12=0,0,H218/H$12)</f>
        <v>1.3887490463533181E-2</v>
      </c>
      <c r="K218" s="1"/>
      <c r="L218" s="1">
        <f t="shared" ref="L218:L224" si="43">+D218-H218</f>
        <v>2497.489999999998</v>
      </c>
      <c r="M218" s="1"/>
      <c r="N218" s="5">
        <f t="shared" ref="N218:N224" si="44">IF(H218=0,0,L218/H218)</f>
        <v>4.3913456297364269E-2</v>
      </c>
      <c r="O218" s="13"/>
      <c r="P218" s="1">
        <f>SUM(OSRRefP22_4x_0)</f>
        <v>120854.33</v>
      </c>
      <c r="Q218" s="1"/>
      <c r="R218" s="5">
        <f t="shared" ref="R218:R224" si="45">IF(P$12=0,0,P218/P$12)</f>
        <v>1.2415723016489549E-2</v>
      </c>
      <c r="S218" s="1"/>
      <c r="T218" s="1">
        <f>SUM(OSRRefT22_4x_0)</f>
        <v>115090</v>
      </c>
      <c r="U218" s="1"/>
      <c r="V218" s="5">
        <f t="shared" ref="V218:V224" si="46">IF(T$12=0,0,T218/T$12)</f>
        <v>1.1310470728493931E-2</v>
      </c>
      <c r="W218" s="1"/>
      <c r="X218" s="1">
        <f t="shared" ref="X218:X224" si="47">+P218-T218</f>
        <v>5764.3300000000017</v>
      </c>
      <c r="Y218" s="1"/>
      <c r="Z218" s="5">
        <f t="shared" ref="Z218:Z224" si="48">IF(T218=0,0,X218/T218)</f>
        <v>5.0085411417151809E-2</v>
      </c>
    </row>
    <row r="219" spans="1:26" s="24" customFormat="1" hidden="1" outlineLevel="2" x14ac:dyDescent="0.25">
      <c r="A219" s="25"/>
      <c r="B219" s="11" t="str">
        <f>CONCATENATE("          ", "6381", " - ", "BANK/CREDIT CARD FEES")</f>
        <v xml:space="preserve">          6381 - BANK/CREDIT CARD FEES</v>
      </c>
      <c r="C219" s="11"/>
      <c r="D219" s="7">
        <v>59370.49</v>
      </c>
      <c r="E219" s="2"/>
      <c r="F219" s="6">
        <f t="shared" si="41"/>
        <v>1.4810160590332272E-2</v>
      </c>
      <c r="G219" s="2"/>
      <c r="H219" s="7">
        <v>56873</v>
      </c>
      <c r="I219" s="2"/>
      <c r="J219" s="6">
        <f t="shared" si="42"/>
        <v>1.3887490463533181E-2</v>
      </c>
      <c r="K219" s="2"/>
      <c r="L219" s="7">
        <f t="shared" si="43"/>
        <v>2497.489999999998</v>
      </c>
      <c r="M219" s="2"/>
      <c r="N219" s="6">
        <f t="shared" si="44"/>
        <v>4.3913456297364269E-2</v>
      </c>
      <c r="O219" s="11"/>
      <c r="P219" s="7">
        <v>120854.33</v>
      </c>
      <c r="Q219" s="2"/>
      <c r="R219" s="6">
        <f t="shared" si="45"/>
        <v>1.2415723016489549E-2</v>
      </c>
      <c r="S219" s="2"/>
      <c r="T219" s="7">
        <v>115090</v>
      </c>
      <c r="U219" s="2"/>
      <c r="V219" s="6">
        <f t="shared" si="46"/>
        <v>1.1310470728493931E-2</v>
      </c>
      <c r="W219" s="2"/>
      <c r="X219" s="7">
        <f t="shared" si="47"/>
        <v>5764.3300000000017</v>
      </c>
      <c r="Y219" s="2"/>
      <c r="Z219" s="6">
        <f t="shared" si="48"/>
        <v>5.0085411417151809E-2</v>
      </c>
    </row>
    <row r="220" spans="1:26" s="26" customFormat="1" outlineLevel="1" collapsed="1" x14ac:dyDescent="0.25">
      <c r="A220" s="27"/>
      <c r="B220" s="13" t="str">
        <f>CONCATENATE("     ","Depreciation                                      ")</f>
        <v xml:space="preserve">     Depreciation                                      </v>
      </c>
      <c r="C220" s="13"/>
      <c r="D220" s="1">
        <f>SUM(OSRRefD22_5x_0)</f>
        <v>77862.400000000009</v>
      </c>
      <c r="E220" s="1"/>
      <c r="F220" s="5">
        <f t="shared" si="41"/>
        <v>1.9423027297714533E-2</v>
      </c>
      <c r="G220" s="1"/>
      <c r="H220" s="1">
        <f>SUM(OSRRefH22_5x_0)</f>
        <v>79726</v>
      </c>
      <c r="I220" s="1"/>
      <c r="J220" s="5">
        <f t="shared" si="42"/>
        <v>1.946783297339065E-2</v>
      </c>
      <c r="K220" s="1"/>
      <c r="L220" s="1">
        <f t="shared" si="43"/>
        <v>-1863.5999999999913</v>
      </c>
      <c r="M220" s="1"/>
      <c r="N220" s="5">
        <f t="shared" si="44"/>
        <v>-2.3375059579058166E-2</v>
      </c>
      <c r="O220" s="13"/>
      <c r="P220" s="1">
        <f>SUM(OSRRefP22_5x_0)</f>
        <v>233587.20000000001</v>
      </c>
      <c r="Q220" s="1"/>
      <c r="R220" s="5">
        <f t="shared" si="45"/>
        <v>2.3997104409890384E-2</v>
      </c>
      <c r="S220" s="1"/>
      <c r="T220" s="1">
        <f>SUM(OSRRefT22_5x_0)</f>
        <v>235016</v>
      </c>
      <c r="U220" s="1"/>
      <c r="V220" s="5">
        <f t="shared" si="46"/>
        <v>2.3096199398103482E-2</v>
      </c>
      <c r="W220" s="1"/>
      <c r="X220" s="1">
        <f t="shared" si="47"/>
        <v>-1428.7999999999884</v>
      </c>
      <c r="Y220" s="1"/>
      <c r="Z220" s="5">
        <f t="shared" si="48"/>
        <v>-6.0795860707355603E-3</v>
      </c>
    </row>
    <row r="221" spans="1:26" s="24" customFormat="1" hidden="1" outlineLevel="2" x14ac:dyDescent="0.25">
      <c r="A221" s="25"/>
      <c r="B221" s="11" t="str">
        <f>CONCATENATE("          ", "6321", " - ", "BUILDING DEPRECIATION")</f>
        <v xml:space="preserve">          6321 - BUILDING DEPRECIATION</v>
      </c>
      <c r="C221" s="11"/>
      <c r="D221" s="7">
        <v>45519.990000000005</v>
      </c>
      <c r="E221" s="2"/>
      <c r="F221" s="6">
        <f t="shared" si="41"/>
        <v>1.1355108606486475E-2</v>
      </c>
      <c r="G221" s="2"/>
      <c r="H221" s="7">
        <v>44653</v>
      </c>
      <c r="I221" s="2"/>
      <c r="J221" s="6">
        <f t="shared" si="42"/>
        <v>1.0903559011624974E-2</v>
      </c>
      <c r="K221" s="2"/>
      <c r="L221" s="7">
        <f t="shared" si="43"/>
        <v>866.99000000000524</v>
      </c>
      <c r="M221" s="2"/>
      <c r="N221" s="6">
        <f t="shared" si="44"/>
        <v>1.941616464739223E-2</v>
      </c>
      <c r="O221" s="11"/>
      <c r="P221" s="7">
        <v>136559.97</v>
      </c>
      <c r="Q221" s="2"/>
      <c r="R221" s="6">
        <f t="shared" si="45"/>
        <v>1.4029209898065897E-2</v>
      </c>
      <c r="S221" s="2"/>
      <c r="T221" s="7">
        <v>133959</v>
      </c>
      <c r="U221" s="2"/>
      <c r="V221" s="6">
        <f t="shared" si="46"/>
        <v>1.3164821863917963E-2</v>
      </c>
      <c r="W221" s="2"/>
      <c r="X221" s="7">
        <f t="shared" si="47"/>
        <v>2600.9700000000012</v>
      </c>
      <c r="Y221" s="2"/>
      <c r="Z221" s="6">
        <f t="shared" si="48"/>
        <v>1.9416164647392122E-2</v>
      </c>
    </row>
    <row r="222" spans="1:26" s="24" customFormat="1" hidden="1" outlineLevel="2" x14ac:dyDescent="0.25">
      <c r="A222" s="25"/>
      <c r="B222" s="11" t="str">
        <f>CONCATENATE("          ", "6322", " - ", "EQUIPMENT DEPRECIATION EXPENSE")</f>
        <v xml:space="preserve">          6322 - EQUIPMENT DEPRECIATION EXPENSE</v>
      </c>
      <c r="C222" s="11"/>
      <c r="D222" s="7">
        <v>31918.16</v>
      </c>
      <c r="E222" s="2"/>
      <c r="F222" s="6">
        <f t="shared" si="41"/>
        <v>7.9620881577349267E-3</v>
      </c>
      <c r="G222" s="2"/>
      <c r="H222" s="7">
        <v>31525</v>
      </c>
      <c r="I222" s="2"/>
      <c r="J222" s="6">
        <f t="shared" si="42"/>
        <v>7.6979082668908539E-3</v>
      </c>
      <c r="K222" s="2"/>
      <c r="L222" s="7">
        <f t="shared" si="43"/>
        <v>393.15999999999985</v>
      </c>
      <c r="M222" s="2"/>
      <c r="N222" s="6">
        <f t="shared" si="44"/>
        <v>1.2471371927042025E-2</v>
      </c>
      <c r="O222" s="11"/>
      <c r="P222" s="7">
        <v>95754.48</v>
      </c>
      <c r="Q222" s="2"/>
      <c r="R222" s="6">
        <f t="shared" si="45"/>
        <v>9.8371411373344101E-3</v>
      </c>
      <c r="S222" s="2"/>
      <c r="T222" s="7">
        <v>94575</v>
      </c>
      <c r="U222" s="2"/>
      <c r="V222" s="6">
        <f t="shared" si="46"/>
        <v>9.2943589290756228E-3</v>
      </c>
      <c r="W222" s="2"/>
      <c r="X222" s="7">
        <f t="shared" si="47"/>
        <v>1179.4799999999959</v>
      </c>
      <c r="Y222" s="2"/>
      <c r="Z222" s="6">
        <f t="shared" si="48"/>
        <v>1.2471371927041987E-2</v>
      </c>
    </row>
    <row r="223" spans="1:26" s="24" customFormat="1" hidden="1" outlineLevel="2" x14ac:dyDescent="0.25">
      <c r="A223" s="25"/>
      <c r="B223" s="11" t="str">
        <f>CONCATENATE("          ", "6324", " - ", "FURNITURE + FIXT DEPRECIATION")</f>
        <v xml:space="preserve">          6324 - FURNITURE + FIXT DEPRECIATION</v>
      </c>
      <c r="C223" s="11"/>
      <c r="D223" s="7"/>
      <c r="E223" s="2"/>
      <c r="F223" s="6">
        <f t="shared" si="41"/>
        <v>0</v>
      </c>
      <c r="G223" s="2"/>
      <c r="H223" s="7">
        <v>3124</v>
      </c>
      <c r="I223" s="2"/>
      <c r="J223" s="6">
        <f t="shared" si="42"/>
        <v>7.6283157575787557E-4</v>
      </c>
      <c r="K223" s="2"/>
      <c r="L223" s="7">
        <f t="shared" si="43"/>
        <v>-3124</v>
      </c>
      <c r="M223" s="2"/>
      <c r="N223" s="6">
        <f t="shared" si="44"/>
        <v>-1</v>
      </c>
      <c r="O223" s="11"/>
      <c r="P223" s="7"/>
      <c r="Q223" s="2"/>
      <c r="R223" s="6">
        <f t="shared" si="45"/>
        <v>0</v>
      </c>
      <c r="S223" s="2"/>
      <c r="T223" s="7">
        <v>5210</v>
      </c>
      <c r="U223" s="2"/>
      <c r="V223" s="6">
        <f t="shared" si="46"/>
        <v>5.1201279429536348E-4</v>
      </c>
      <c r="W223" s="2"/>
      <c r="X223" s="7">
        <f t="shared" si="47"/>
        <v>-5210</v>
      </c>
      <c r="Y223" s="2"/>
      <c r="Z223" s="6">
        <f t="shared" si="48"/>
        <v>-1</v>
      </c>
    </row>
    <row r="224" spans="1:26" s="24" customFormat="1" hidden="1" outlineLevel="2" x14ac:dyDescent="0.25">
      <c r="A224" s="25"/>
      <c r="B224" s="11" t="str">
        <f>CONCATENATE("          ", "6326", " - ", "VEHICLES DEPRECIATION EXPENSE")</f>
        <v xml:space="preserve">          6326 - VEHICLES DEPRECIATION EXPENSE</v>
      </c>
      <c r="C224" s="11"/>
      <c r="D224" s="7">
        <v>424.25</v>
      </c>
      <c r="E224" s="2"/>
      <c r="F224" s="6">
        <f t="shared" si="41"/>
        <v>1.0583053349312876E-4</v>
      </c>
      <c r="G224" s="2"/>
      <c r="H224" s="7">
        <v>424</v>
      </c>
      <c r="I224" s="2"/>
      <c r="J224" s="6">
        <f t="shared" si="42"/>
        <v>1.0353411911694598E-4</v>
      </c>
      <c r="K224" s="2"/>
      <c r="L224" s="7">
        <f t="shared" si="43"/>
        <v>0.25</v>
      </c>
      <c r="M224" s="2"/>
      <c r="N224" s="6">
        <f t="shared" si="44"/>
        <v>5.8962264150943394E-4</v>
      </c>
      <c r="O224" s="11"/>
      <c r="P224" s="7">
        <v>1272.75</v>
      </c>
      <c r="Q224" s="2"/>
      <c r="R224" s="6">
        <f t="shared" si="45"/>
        <v>1.3075337449007472E-4</v>
      </c>
      <c r="S224" s="2"/>
      <c r="T224" s="7">
        <v>1272</v>
      </c>
      <c r="U224" s="2"/>
      <c r="V224" s="6">
        <f t="shared" si="46"/>
        <v>1.2500581081453018E-4</v>
      </c>
      <c r="W224" s="2"/>
      <c r="X224" s="7">
        <f t="shared" si="47"/>
        <v>0.75</v>
      </c>
      <c r="Y224" s="2"/>
      <c r="Z224" s="6">
        <f t="shared" si="48"/>
        <v>5.8962264150943394E-4</v>
      </c>
    </row>
    <row r="225" spans="1:26" s="26" customFormat="1" outlineLevel="1" collapsed="1" x14ac:dyDescent="0.25">
      <c r="A225" s="27"/>
      <c r="B225" s="13" t="str">
        <f>CONCATENATE("     ","Discounts and Markdowns                           ")</f>
        <v xml:space="preserve">     Discounts and Markdowns                           </v>
      </c>
      <c r="C225" s="13"/>
      <c r="D225" s="1">
        <f>SUM(OSRRefD22_6x_0)</f>
        <v>1937.4800000000002</v>
      </c>
      <c r="E225" s="1"/>
      <c r="F225" s="5">
        <f t="shared" ref="F225:F227" si="49">IF(D$12=0,0,D225/D$12)</f>
        <v>4.8331064710021719E-4</v>
      </c>
      <c r="G225" s="1"/>
      <c r="H225" s="1">
        <f>SUM(OSRRefH22_6x_0)</f>
        <v>31725</v>
      </c>
      <c r="I225" s="1"/>
      <c r="J225" s="5">
        <f t="shared" ref="J225:J227" si="50">IF(H$12=0,0,H225/H$12)</f>
        <v>7.7467451155309227E-3</v>
      </c>
      <c r="K225" s="1"/>
      <c r="L225" s="1">
        <f t="shared" ref="L225:L227" si="51">+D225-H225</f>
        <v>-29787.52</v>
      </c>
      <c r="M225" s="1"/>
      <c r="N225" s="5">
        <f t="shared" ref="N225:N227" si="52">IF(H225=0,0,L225/H225)</f>
        <v>-0.93892892040977149</v>
      </c>
      <c r="O225" s="13"/>
      <c r="P225" s="1">
        <f>SUM(OSRRefP22_6x_0)</f>
        <v>131060.15000000001</v>
      </c>
      <c r="Q225" s="1"/>
      <c r="R225" s="5">
        <f t="shared" ref="R225:R227" si="53">IF(P$12=0,0,P225/P$12)</f>
        <v>1.3464197111510798E-2</v>
      </c>
      <c r="S225" s="1"/>
      <c r="T225" s="1">
        <f>SUM(OSRRefT22_6x_0)</f>
        <v>89175</v>
      </c>
      <c r="U225" s="1"/>
      <c r="V225" s="5">
        <f t="shared" ref="V225:V227" si="54">IF(T$12=0,0,T225/T$12)</f>
        <v>8.7636738831648828E-3</v>
      </c>
      <c r="W225" s="1"/>
      <c r="X225" s="1">
        <f t="shared" ref="X225:X227" si="55">+P225-T225</f>
        <v>41885.150000000009</v>
      </c>
      <c r="Y225" s="1"/>
      <c r="Z225" s="5">
        <f t="shared" ref="Z225:Z227" si="56">IF(T225=0,0,X225/T225)</f>
        <v>0.46969610316792831</v>
      </c>
    </row>
    <row r="226" spans="1:26" s="24" customFormat="1" hidden="1" outlineLevel="2" x14ac:dyDescent="0.25">
      <c r="A226" s="25"/>
      <c r="B226" s="11" t="str">
        <f>CONCATENATE("          ", "6382", " - ", "DISCOUNTS/MARK DOWNS")</f>
        <v xml:space="preserve">          6382 - DISCOUNTS/MARK DOWNS</v>
      </c>
      <c r="C226" s="11"/>
      <c r="D226" s="7">
        <v>2335.7800000000002</v>
      </c>
      <c r="E226" s="2"/>
      <c r="F226" s="6">
        <f t="shared" si="49"/>
        <v>5.8266786923413165E-4</v>
      </c>
      <c r="G226" s="2"/>
      <c r="H226" s="7">
        <v>31725</v>
      </c>
      <c r="I226" s="2"/>
      <c r="J226" s="6">
        <f t="shared" si="50"/>
        <v>7.7467451155309227E-3</v>
      </c>
      <c r="K226" s="2"/>
      <c r="L226" s="7">
        <f t="shared" si="51"/>
        <v>-29389.22</v>
      </c>
      <c r="M226" s="2"/>
      <c r="N226" s="6">
        <f t="shared" si="52"/>
        <v>-0.92637415287628055</v>
      </c>
      <c r="O226" s="11"/>
      <c r="P226" s="7">
        <v>132708.01</v>
      </c>
      <c r="Q226" s="2"/>
      <c r="R226" s="6">
        <f t="shared" si="53"/>
        <v>1.3633486646523342E-2</v>
      </c>
      <c r="S226" s="2"/>
      <c r="T226" s="7">
        <v>89175</v>
      </c>
      <c r="U226" s="2"/>
      <c r="V226" s="6">
        <f t="shared" si="54"/>
        <v>8.7636738831648828E-3</v>
      </c>
      <c r="W226" s="2"/>
      <c r="X226" s="7">
        <f t="shared" si="55"/>
        <v>43533.010000000009</v>
      </c>
      <c r="Y226" s="2"/>
      <c r="Z226" s="6">
        <f t="shared" si="56"/>
        <v>0.48817504906083553</v>
      </c>
    </row>
    <row r="227" spans="1:26" s="24" customFormat="1" hidden="1" outlineLevel="2" x14ac:dyDescent="0.25">
      <c r="A227" s="25"/>
      <c r="B227" s="11" t="str">
        <f>CONCATENATE("          ", "9175", " - ", "EARNED DISCOUNTS")</f>
        <v xml:space="preserve">          9175 - EARNED DISCOUNTS</v>
      </c>
      <c r="C227" s="11"/>
      <c r="D227" s="7">
        <v>-398.3</v>
      </c>
      <c r="E227" s="2"/>
      <c r="F227" s="6">
        <f t="shared" si="49"/>
        <v>-9.9357222133914416E-5</v>
      </c>
      <c r="G227" s="2"/>
      <c r="H227" s="7"/>
      <c r="I227" s="2"/>
      <c r="J227" s="6">
        <f t="shared" si="50"/>
        <v>0</v>
      </c>
      <c r="K227" s="2"/>
      <c r="L227" s="7">
        <f t="shared" si="51"/>
        <v>-398.3</v>
      </c>
      <c r="M227" s="2"/>
      <c r="N227" s="6">
        <f t="shared" si="52"/>
        <v>0</v>
      </c>
      <c r="O227" s="11"/>
      <c r="P227" s="7">
        <v>-1647.86</v>
      </c>
      <c r="Q227" s="2"/>
      <c r="R227" s="6">
        <f t="shared" si="53"/>
        <v>-1.6928953501254334E-4</v>
      </c>
      <c r="S227" s="2"/>
      <c r="T227" s="7"/>
      <c r="U227" s="2"/>
      <c r="V227" s="6">
        <f t="shared" si="54"/>
        <v>0</v>
      </c>
      <c r="W227" s="2"/>
      <c r="X227" s="7">
        <f t="shared" si="55"/>
        <v>-1647.86</v>
      </c>
      <c r="Y227" s="2"/>
      <c r="Z227" s="6">
        <f t="shared" si="56"/>
        <v>0</v>
      </c>
    </row>
    <row r="228" spans="1:26" s="26" customFormat="1" outlineLevel="1" collapsed="1" x14ac:dyDescent="0.25">
      <c r="A228" s="27"/>
      <c r="B228" s="13" t="str">
        <f>CONCATENATE("     ","Donations                                         ")</f>
        <v xml:space="preserve">     Donations                                         </v>
      </c>
      <c r="C228" s="13"/>
      <c r="D228" s="1">
        <f>SUM(OSRRefD22_7x_0)</f>
        <v>20424.36</v>
      </c>
      <c r="E228" s="1"/>
      <c r="F228" s="5">
        <f t="shared" ref="F228:F231" si="57">IF(D$12=0,0,D228/D$12)</f>
        <v>5.0949226047276829E-3</v>
      </c>
      <c r="G228" s="1"/>
      <c r="H228" s="1">
        <f>SUM(OSRRefH22_7x_0)</f>
        <v>18555</v>
      </c>
      <c r="I228" s="1"/>
      <c r="J228" s="5">
        <f t="shared" ref="J228:J231" si="58">IF(H$12=0,0,H228/H$12)</f>
        <v>4.5308386325823881E-3</v>
      </c>
      <c r="K228" s="1"/>
      <c r="L228" s="1">
        <f t="shared" ref="L228:L231" si="59">+D228-H228</f>
        <v>1869.3600000000006</v>
      </c>
      <c r="M228" s="1"/>
      <c r="N228" s="5">
        <f t="shared" ref="N228:N231" si="60">IF(H228=0,0,L228/H228)</f>
        <v>0.10074696847210997</v>
      </c>
      <c r="O228" s="13"/>
      <c r="P228" s="1">
        <f>SUM(OSRRefP22_7x_0)</f>
        <v>31822.09</v>
      </c>
      <c r="Q228" s="1"/>
      <c r="R228" s="5">
        <f t="shared" ref="R228:R231" si="61">IF(P$12=0,0,P228/P$12)</f>
        <v>3.26917749033735E-3</v>
      </c>
      <c r="S228" s="1"/>
      <c r="T228" s="1">
        <f>SUM(OSRRefT22_7x_0)</f>
        <v>29987</v>
      </c>
      <c r="U228" s="1"/>
      <c r="V228" s="5">
        <f t="shared" ref="V228:V231" si="62">IF(T$12=0,0,T228/T$12)</f>
        <v>2.9469726799491486E-3</v>
      </c>
      <c r="W228" s="1"/>
      <c r="X228" s="1">
        <f t="shared" ref="X228:X231" si="63">+P228-T228</f>
        <v>1835.0900000000001</v>
      </c>
      <c r="Y228" s="1"/>
      <c r="Z228" s="5">
        <f t="shared" ref="Z228:Z231" si="64">IF(T228=0,0,X228/T228)</f>
        <v>6.1196185013505856E-2</v>
      </c>
    </row>
    <row r="229" spans="1:26" s="24" customFormat="1" hidden="1" outlineLevel="2" x14ac:dyDescent="0.25">
      <c r="A229" s="25"/>
      <c r="B229" s="11" t="str">
        <f>CONCATENATE("          ", "6395", " - ", "DONATION-OFF CAMPUS")</f>
        <v xml:space="preserve">          6395 - DONATION-OFF CAMPUS</v>
      </c>
      <c r="C229" s="11"/>
      <c r="D229" s="7"/>
      <c r="E229" s="2"/>
      <c r="F229" s="6">
        <f t="shared" si="57"/>
        <v>0</v>
      </c>
      <c r="G229" s="2"/>
      <c r="H229" s="7">
        <v>1025</v>
      </c>
      <c r="I229" s="2"/>
      <c r="J229" s="6">
        <f t="shared" si="58"/>
        <v>2.502888492803529E-4</v>
      </c>
      <c r="K229" s="2"/>
      <c r="L229" s="7">
        <f t="shared" si="59"/>
        <v>-1025</v>
      </c>
      <c r="M229" s="2"/>
      <c r="N229" s="6">
        <f t="shared" si="60"/>
        <v>-1</v>
      </c>
      <c r="O229" s="11"/>
      <c r="P229" s="7"/>
      <c r="Q229" s="2"/>
      <c r="R229" s="6">
        <f t="shared" si="61"/>
        <v>0</v>
      </c>
      <c r="S229" s="2"/>
      <c r="T229" s="7">
        <v>3150</v>
      </c>
      <c r="U229" s="2"/>
      <c r="V229" s="6">
        <f t="shared" si="62"/>
        <v>3.0956627678126582E-4</v>
      </c>
      <c r="W229" s="2"/>
      <c r="X229" s="7">
        <f t="shared" si="63"/>
        <v>-3150</v>
      </c>
      <c r="Y229" s="2"/>
      <c r="Z229" s="6">
        <f t="shared" si="64"/>
        <v>-1</v>
      </c>
    </row>
    <row r="230" spans="1:26" s="24" customFormat="1" hidden="1" outlineLevel="2" x14ac:dyDescent="0.25">
      <c r="A230" s="25"/>
      <c r="B230" s="11" t="str">
        <f>CONCATENATE("          ", "6396", " - ", "COUPONS-CHARTROOM")</f>
        <v xml:space="preserve">          6396 - COUPONS-CHARTROOM</v>
      </c>
      <c r="C230" s="11"/>
      <c r="D230" s="7"/>
      <c r="E230" s="2"/>
      <c r="F230" s="6">
        <f t="shared" si="57"/>
        <v>0</v>
      </c>
      <c r="G230" s="2"/>
      <c r="H230" s="7">
        <v>100</v>
      </c>
      <c r="I230" s="2"/>
      <c r="J230" s="6">
        <f t="shared" si="58"/>
        <v>2.441842432003443E-5</v>
      </c>
      <c r="K230" s="2"/>
      <c r="L230" s="7">
        <f t="shared" si="59"/>
        <v>-100</v>
      </c>
      <c r="M230" s="2"/>
      <c r="N230" s="6">
        <f t="shared" si="60"/>
        <v>-1</v>
      </c>
      <c r="O230" s="11"/>
      <c r="P230" s="7"/>
      <c r="Q230" s="2"/>
      <c r="R230" s="6">
        <f t="shared" si="61"/>
        <v>0</v>
      </c>
      <c r="S230" s="2"/>
      <c r="T230" s="7">
        <v>300</v>
      </c>
      <c r="U230" s="2"/>
      <c r="V230" s="6">
        <f t="shared" si="62"/>
        <v>2.9482502550596742E-5</v>
      </c>
      <c r="W230" s="2"/>
      <c r="X230" s="7">
        <f t="shared" si="63"/>
        <v>-300</v>
      </c>
      <c r="Y230" s="2"/>
      <c r="Z230" s="6">
        <f t="shared" si="64"/>
        <v>-1</v>
      </c>
    </row>
    <row r="231" spans="1:26" s="24" customFormat="1" hidden="1" outlineLevel="2" x14ac:dyDescent="0.25">
      <c r="A231" s="25"/>
      <c r="B231" s="11" t="str">
        <f>CONCATENATE("          ", "6399", " - ", "DONATION-ON CAMPUS")</f>
        <v xml:space="preserve">          6399 - DONATION-ON CAMPUS</v>
      </c>
      <c r="C231" s="11"/>
      <c r="D231" s="7">
        <v>20424.36</v>
      </c>
      <c r="E231" s="2"/>
      <c r="F231" s="6">
        <f t="shared" si="57"/>
        <v>5.0949226047276829E-3</v>
      </c>
      <c r="G231" s="2"/>
      <c r="H231" s="7">
        <v>17430</v>
      </c>
      <c r="I231" s="2"/>
      <c r="J231" s="6">
        <f t="shared" si="58"/>
        <v>4.256131358982001E-3</v>
      </c>
      <c r="K231" s="2"/>
      <c r="L231" s="7">
        <f t="shared" si="59"/>
        <v>2994.3600000000006</v>
      </c>
      <c r="M231" s="2"/>
      <c r="N231" s="6">
        <f t="shared" si="60"/>
        <v>0.17179345955249573</v>
      </c>
      <c r="O231" s="11"/>
      <c r="P231" s="7">
        <v>31822.09</v>
      </c>
      <c r="Q231" s="2"/>
      <c r="R231" s="6">
        <f t="shared" si="61"/>
        <v>3.26917749033735E-3</v>
      </c>
      <c r="S231" s="2"/>
      <c r="T231" s="7">
        <v>26537</v>
      </c>
      <c r="U231" s="2"/>
      <c r="V231" s="6">
        <f t="shared" si="62"/>
        <v>2.6079239006172859E-3</v>
      </c>
      <c r="W231" s="2"/>
      <c r="X231" s="7">
        <f t="shared" si="63"/>
        <v>5285.09</v>
      </c>
      <c r="Y231" s="2"/>
      <c r="Z231" s="6">
        <f t="shared" si="64"/>
        <v>0.19915928703319893</v>
      </c>
    </row>
    <row r="232" spans="1:26" s="26" customFormat="1" outlineLevel="1" collapsed="1" x14ac:dyDescent="0.25">
      <c r="A232" s="27"/>
      <c r="B232" s="13" t="str">
        <f>CONCATENATE("     ","Employees' Appreciation                           ")</f>
        <v xml:space="preserve">     Employees' Appreciation                           </v>
      </c>
      <c r="C232" s="13"/>
      <c r="D232" s="1">
        <f>SUM(OSRRefD22_8x_0)</f>
        <v>953.58</v>
      </c>
      <c r="E232" s="1"/>
      <c r="F232" s="5">
        <f t="shared" ref="F232:F238" si="65">IF(D$12=0,0,D232/D$12)</f>
        <v>2.3787361255952325E-4</v>
      </c>
      <c r="G232" s="1"/>
      <c r="H232" s="1">
        <f>SUM(OSRRefH22_8x_0)</f>
        <v>1660</v>
      </c>
      <c r="I232" s="1"/>
      <c r="J232" s="5">
        <f t="shared" ref="J232:J238" si="66">IF(H$12=0,0,H232/H$12)</f>
        <v>4.0534584371257153E-4</v>
      </c>
      <c r="K232" s="1"/>
      <c r="L232" s="1">
        <f t="shared" ref="L232:L238" si="67">+D232-H232</f>
        <v>-706.42</v>
      </c>
      <c r="M232" s="1"/>
      <c r="N232" s="5">
        <f t="shared" ref="N232:N238" si="68">IF(H232=0,0,L232/H232)</f>
        <v>-0.42555421686746986</v>
      </c>
      <c r="O232" s="13"/>
      <c r="P232" s="1">
        <f>SUM(OSRRefP22_8x_0)</f>
        <v>1917.23</v>
      </c>
      <c r="Q232" s="1"/>
      <c r="R232" s="5">
        <f t="shared" ref="R232:R238" si="69">IF(P$12=0,0,P232/P$12)</f>
        <v>1.9696271237368374E-4</v>
      </c>
      <c r="S232" s="1"/>
      <c r="T232" s="1">
        <f>SUM(OSRRefT22_8x_0)</f>
        <v>5255</v>
      </c>
      <c r="U232" s="1"/>
      <c r="V232" s="5">
        <f t="shared" ref="V232:V238" si="70">IF(T$12=0,0,T232/T$12)</f>
        <v>5.1643516967795299E-4</v>
      </c>
      <c r="W232" s="1"/>
      <c r="X232" s="1">
        <f t="shared" ref="X232:X238" si="71">+P232-T232</f>
        <v>-3337.77</v>
      </c>
      <c r="Y232" s="1"/>
      <c r="Z232" s="5">
        <f t="shared" ref="Z232:Z238" si="72">IF(T232=0,0,X232/T232)</f>
        <v>-0.63516079923882018</v>
      </c>
    </row>
    <row r="233" spans="1:26" s="24" customFormat="1" hidden="1" outlineLevel="2" x14ac:dyDescent="0.25">
      <c r="A233" s="25"/>
      <c r="B233" s="11" t="str">
        <f>CONCATENATE("          ", "6277", " - ", "EMPLOYEE APPRECIATION")</f>
        <v xml:space="preserve">          6277 - EMPLOYEE APPRECIATION</v>
      </c>
      <c r="C233" s="11"/>
      <c r="D233" s="7">
        <v>953.58</v>
      </c>
      <c r="E233" s="2"/>
      <c r="F233" s="6">
        <f t="shared" si="65"/>
        <v>2.3787361255952325E-4</v>
      </c>
      <c r="G233" s="2"/>
      <c r="H233" s="7">
        <v>1660</v>
      </c>
      <c r="I233" s="2"/>
      <c r="J233" s="6">
        <f t="shared" si="66"/>
        <v>4.0534584371257153E-4</v>
      </c>
      <c r="K233" s="2"/>
      <c r="L233" s="7">
        <f t="shared" si="67"/>
        <v>-706.42</v>
      </c>
      <c r="M233" s="2"/>
      <c r="N233" s="6">
        <f t="shared" si="68"/>
        <v>-0.42555421686746986</v>
      </c>
      <c r="O233" s="11"/>
      <c r="P233" s="7">
        <v>1917.23</v>
      </c>
      <c r="Q233" s="2"/>
      <c r="R233" s="6">
        <f t="shared" si="69"/>
        <v>1.9696271237368374E-4</v>
      </c>
      <c r="S233" s="2"/>
      <c r="T233" s="7">
        <v>5255</v>
      </c>
      <c r="U233" s="2"/>
      <c r="V233" s="6">
        <f t="shared" si="70"/>
        <v>5.1643516967795299E-4</v>
      </c>
      <c r="W233" s="2"/>
      <c r="X233" s="7">
        <f t="shared" si="71"/>
        <v>-3337.77</v>
      </c>
      <c r="Y233" s="2"/>
      <c r="Z233" s="6">
        <f t="shared" si="72"/>
        <v>-0.63516079923882018</v>
      </c>
    </row>
    <row r="234" spans="1:26" s="26" customFormat="1" outlineLevel="1" collapsed="1" x14ac:dyDescent="0.25">
      <c r="A234" s="27"/>
      <c r="B234" s="13" t="str">
        <f>CONCATENATE("     ","Equipment Rental                                  ")</f>
        <v xml:space="preserve">     Equipment Rental                                  </v>
      </c>
      <c r="C234" s="13"/>
      <c r="D234" s="1">
        <f>SUM(OSRRefD22_9x_0)</f>
        <v>2100.9499999999998</v>
      </c>
      <c r="E234" s="1"/>
      <c r="F234" s="5">
        <f t="shared" si="65"/>
        <v>5.2408876686479402E-4</v>
      </c>
      <c r="G234" s="1"/>
      <c r="H234" s="1">
        <f>SUM(OSRRefH22_9x_0)</f>
        <v>5775</v>
      </c>
      <c r="I234" s="1"/>
      <c r="J234" s="5">
        <f t="shared" si="66"/>
        <v>1.4101640044819883E-3</v>
      </c>
      <c r="K234" s="1"/>
      <c r="L234" s="1">
        <f t="shared" si="67"/>
        <v>-3674.05</v>
      </c>
      <c r="M234" s="1"/>
      <c r="N234" s="5">
        <f t="shared" si="68"/>
        <v>-0.63619913419913421</v>
      </c>
      <c r="O234" s="13"/>
      <c r="P234" s="1">
        <f>SUM(OSRRefP22_9x_0)</f>
        <v>11853.94</v>
      </c>
      <c r="Q234" s="1"/>
      <c r="R234" s="5">
        <f t="shared" si="69"/>
        <v>1.2177903406033208E-3</v>
      </c>
      <c r="S234" s="1"/>
      <c r="T234" s="1">
        <f>SUM(OSRRefT22_9x_0)</f>
        <v>16820</v>
      </c>
      <c r="U234" s="1"/>
      <c r="V234" s="5">
        <f t="shared" si="70"/>
        <v>1.6529856430034574E-3</v>
      </c>
      <c r="W234" s="1"/>
      <c r="X234" s="1">
        <f t="shared" si="71"/>
        <v>-4966.0599999999995</v>
      </c>
      <c r="Y234" s="1"/>
      <c r="Z234" s="5">
        <f t="shared" si="72"/>
        <v>-0.29524732461355524</v>
      </c>
    </row>
    <row r="235" spans="1:26" s="24" customFormat="1" hidden="1" outlineLevel="2" x14ac:dyDescent="0.25">
      <c r="A235" s="25"/>
      <c r="B235" s="11" t="str">
        <f>CONCATENATE("          ", "6351", " - ", "EQUIPMENT RENTAL")</f>
        <v xml:space="preserve">          6351 - EQUIPMENT RENTAL</v>
      </c>
      <c r="C235" s="11"/>
      <c r="D235" s="7">
        <v>2100.9499999999998</v>
      </c>
      <c r="E235" s="2"/>
      <c r="F235" s="6">
        <f t="shared" si="65"/>
        <v>5.2408876686479402E-4</v>
      </c>
      <c r="G235" s="2"/>
      <c r="H235" s="7">
        <v>5775</v>
      </c>
      <c r="I235" s="2"/>
      <c r="J235" s="6">
        <f t="shared" si="66"/>
        <v>1.4101640044819883E-3</v>
      </c>
      <c r="K235" s="2"/>
      <c r="L235" s="7">
        <f t="shared" si="67"/>
        <v>-3674.05</v>
      </c>
      <c r="M235" s="2"/>
      <c r="N235" s="6">
        <f t="shared" si="68"/>
        <v>-0.63619913419913421</v>
      </c>
      <c r="O235" s="11"/>
      <c r="P235" s="7">
        <v>11853.94</v>
      </c>
      <c r="Q235" s="2"/>
      <c r="R235" s="6">
        <f t="shared" si="69"/>
        <v>1.2177903406033208E-3</v>
      </c>
      <c r="S235" s="2"/>
      <c r="T235" s="7">
        <v>16820</v>
      </c>
      <c r="U235" s="2"/>
      <c r="V235" s="6">
        <f t="shared" si="70"/>
        <v>1.6529856430034574E-3</v>
      </c>
      <c r="W235" s="2"/>
      <c r="X235" s="7">
        <f t="shared" si="71"/>
        <v>-4966.0599999999995</v>
      </c>
      <c r="Y235" s="2"/>
      <c r="Z235" s="6">
        <f t="shared" si="72"/>
        <v>-0.29524732461355524</v>
      </c>
    </row>
    <row r="236" spans="1:26" s="26" customFormat="1" outlineLevel="1" collapsed="1" x14ac:dyDescent="0.25">
      <c r="A236" s="27"/>
      <c r="B236" s="13" t="str">
        <f>CONCATENATE("     ","Freight out/Postage                               ")</f>
        <v xml:space="preserve">     Freight out/Postage                               </v>
      </c>
      <c r="C236" s="13"/>
      <c r="D236" s="1">
        <f>SUM(OSRRefD22_10x_0)</f>
        <v>9459.39</v>
      </c>
      <c r="E236" s="1"/>
      <c r="F236" s="5">
        <f t="shared" si="65"/>
        <v>2.3596754041710485E-3</v>
      </c>
      <c r="G236" s="1"/>
      <c r="H236" s="1">
        <f>SUM(OSRRefH22_10x_0)</f>
        <v>-20974</v>
      </c>
      <c r="I236" s="1"/>
      <c r="J236" s="5">
        <f t="shared" si="66"/>
        <v>-5.1215203168840217E-3</v>
      </c>
      <c r="K236" s="1"/>
      <c r="L236" s="1">
        <f t="shared" si="67"/>
        <v>30433.39</v>
      </c>
      <c r="M236" s="1"/>
      <c r="N236" s="5">
        <f t="shared" si="68"/>
        <v>-1.4510055306570038</v>
      </c>
      <c r="O236" s="13"/>
      <c r="P236" s="1">
        <f>SUM(OSRRefP22_10x_0)</f>
        <v>-5559.8000000000011</v>
      </c>
      <c r="Q236" s="1"/>
      <c r="R236" s="5">
        <f t="shared" si="69"/>
        <v>-5.7117470947940885E-4</v>
      </c>
      <c r="S236" s="1"/>
      <c r="T236" s="1">
        <f>SUM(OSRRefT22_10x_0)</f>
        <v>-23822</v>
      </c>
      <c r="U236" s="1"/>
      <c r="V236" s="5">
        <f t="shared" si="70"/>
        <v>-2.3411072525343856E-3</v>
      </c>
      <c r="W236" s="1"/>
      <c r="X236" s="1">
        <f t="shared" si="71"/>
        <v>18262.199999999997</v>
      </c>
      <c r="Y236" s="1"/>
      <c r="Z236" s="5">
        <f t="shared" si="72"/>
        <v>-0.7666106959952983</v>
      </c>
    </row>
    <row r="237" spans="1:26" s="24" customFormat="1" hidden="1" outlineLevel="2" x14ac:dyDescent="0.25">
      <c r="A237" s="25"/>
      <c r="B237" s="11" t="str">
        <f>CONCATENATE("          ", "6305", " - ", "FREIGHT OUT")</f>
        <v xml:space="preserve">          6305 - FREIGHT OUT</v>
      </c>
      <c r="C237" s="11"/>
      <c r="D237" s="7">
        <v>10687.83</v>
      </c>
      <c r="E237" s="2"/>
      <c r="F237" s="6">
        <f t="shared" si="65"/>
        <v>2.6661137319596144E-3</v>
      </c>
      <c r="G237" s="2"/>
      <c r="H237" s="7">
        <v>-21025</v>
      </c>
      <c r="I237" s="2"/>
      <c r="J237" s="6">
        <f t="shared" si="66"/>
        <v>-5.1339737132872392E-3</v>
      </c>
      <c r="K237" s="2"/>
      <c r="L237" s="7">
        <f t="shared" si="67"/>
        <v>31712.83</v>
      </c>
      <c r="M237" s="2"/>
      <c r="N237" s="6">
        <f t="shared" si="68"/>
        <v>-1.5083391200951248</v>
      </c>
      <c r="O237" s="11"/>
      <c r="P237" s="7">
        <v>15082.24</v>
      </c>
      <c r="Q237" s="2"/>
      <c r="R237" s="6">
        <f t="shared" si="69"/>
        <v>1.5494431544837435E-3</v>
      </c>
      <c r="S237" s="2"/>
      <c r="T237" s="7">
        <v>-23975</v>
      </c>
      <c r="U237" s="2"/>
      <c r="V237" s="6">
        <f t="shared" si="70"/>
        <v>-2.3561433288351898E-3</v>
      </c>
      <c r="W237" s="2"/>
      <c r="X237" s="7">
        <f t="shared" si="71"/>
        <v>39057.24</v>
      </c>
      <c r="Y237" s="2"/>
      <c r="Z237" s="6">
        <f t="shared" si="72"/>
        <v>-1.629081960375391</v>
      </c>
    </row>
    <row r="238" spans="1:26" s="24" customFormat="1" hidden="1" outlineLevel="2" x14ac:dyDescent="0.25">
      <c r="A238" s="25"/>
      <c r="B238" s="11" t="str">
        <f>CONCATENATE("          ", "6307", " - ", "POSTAGE")</f>
        <v xml:space="preserve">          6307 - POSTAGE</v>
      </c>
      <c r="C238" s="11"/>
      <c r="D238" s="7">
        <v>-1228.44</v>
      </c>
      <c r="E238" s="2"/>
      <c r="F238" s="6">
        <f t="shared" si="65"/>
        <v>-3.0643832778856595E-4</v>
      </c>
      <c r="G238" s="2"/>
      <c r="H238" s="7">
        <v>51</v>
      </c>
      <c r="I238" s="2"/>
      <c r="J238" s="6">
        <f t="shared" si="66"/>
        <v>1.2453396403217559E-5</v>
      </c>
      <c r="K238" s="2"/>
      <c r="L238" s="7">
        <f t="shared" si="67"/>
        <v>-1279.44</v>
      </c>
      <c r="M238" s="2"/>
      <c r="N238" s="6">
        <f t="shared" si="68"/>
        <v>-25.087058823529414</v>
      </c>
      <c r="O238" s="11"/>
      <c r="P238" s="7">
        <v>-20642.04</v>
      </c>
      <c r="Q238" s="2"/>
      <c r="R238" s="6">
        <f t="shared" si="69"/>
        <v>-2.1206178639631523E-3</v>
      </c>
      <c r="S238" s="2"/>
      <c r="T238" s="7">
        <v>153</v>
      </c>
      <c r="U238" s="2"/>
      <c r="V238" s="6">
        <f t="shared" si="70"/>
        <v>1.503607630080434E-5</v>
      </c>
      <c r="W238" s="2"/>
      <c r="X238" s="7">
        <f t="shared" si="71"/>
        <v>-20795.04</v>
      </c>
      <c r="Y238" s="2"/>
      <c r="Z238" s="6">
        <f t="shared" si="72"/>
        <v>-135.91529411764705</v>
      </c>
    </row>
    <row r="239" spans="1:26" s="26" customFormat="1" outlineLevel="1" collapsed="1" x14ac:dyDescent="0.25">
      <c r="A239" s="27"/>
      <c r="B239" s="13" t="str">
        <f>CONCATENATE("     ","General                                           ")</f>
        <v xml:space="preserve">     General                                           </v>
      </c>
      <c r="C239" s="13"/>
      <c r="D239" s="1">
        <f>SUM(OSRRefD22_11x_0)</f>
        <v>6380.97</v>
      </c>
      <c r="E239" s="1"/>
      <c r="F239" s="5">
        <f t="shared" ref="F239:F241" si="73">IF(D$12=0,0,D239/D$12)</f>
        <v>1.591753587044549E-3</v>
      </c>
      <c r="G239" s="1"/>
      <c r="H239" s="1">
        <f>SUM(OSRRefH22_11x_0)</f>
        <v>6618</v>
      </c>
      <c r="I239" s="1"/>
      <c r="J239" s="5">
        <f t="shared" ref="J239:J241" si="74">IF(H$12=0,0,H239/H$12)</f>
        <v>1.6160113214998785E-3</v>
      </c>
      <c r="K239" s="1"/>
      <c r="L239" s="1">
        <f t="shared" ref="L239:L241" si="75">+D239-H239</f>
        <v>-237.02999999999975</v>
      </c>
      <c r="M239" s="1"/>
      <c r="N239" s="5">
        <f t="shared" ref="N239:N241" si="76">IF(H239=0,0,L239/H239)</f>
        <v>-3.5815956482320901E-2</v>
      </c>
      <c r="O239" s="13"/>
      <c r="P239" s="1">
        <f>SUM(OSRRefP22_11x_0)</f>
        <v>24775.769999999997</v>
      </c>
      <c r="Q239" s="1"/>
      <c r="R239" s="5">
        <f t="shared" ref="R239:R241" si="77">IF(P$12=0,0,P239/P$12)</f>
        <v>2.5452881815674392E-3</v>
      </c>
      <c r="S239" s="1"/>
      <c r="T239" s="1">
        <f>SUM(OSRRefT22_11x_0)</f>
        <v>29970</v>
      </c>
      <c r="U239" s="1"/>
      <c r="V239" s="5">
        <f t="shared" ref="V239:V241" si="78">IF(T$12=0,0,T239/T$12)</f>
        <v>2.9453020048046145E-3</v>
      </c>
      <c r="W239" s="1"/>
      <c r="X239" s="1">
        <f t="shared" ref="X239:X241" si="79">+P239-T239</f>
        <v>-5194.2300000000032</v>
      </c>
      <c r="Y239" s="1"/>
      <c r="Z239" s="5">
        <f t="shared" ref="Z239:Z241" si="80">IF(T239=0,0,X239/T239)</f>
        <v>-0.17331431431431443</v>
      </c>
    </row>
    <row r="240" spans="1:26" s="24" customFormat="1" hidden="1" outlineLevel="2" x14ac:dyDescent="0.25">
      <c r="A240" s="25"/>
      <c r="B240" s="11" t="str">
        <f>CONCATENATE("          ", "6269", " - ", "ENTERTAINMENT")</f>
        <v xml:space="preserve">          6269 - ENTERTAINMENT</v>
      </c>
      <c r="C240" s="11"/>
      <c r="D240" s="7">
        <v>1050</v>
      </c>
      <c r="E240" s="2"/>
      <c r="F240" s="6">
        <f t="shared" si="73"/>
        <v>2.6192589314740178E-4</v>
      </c>
      <c r="G240" s="2"/>
      <c r="H240" s="7">
        <v>900</v>
      </c>
      <c r="I240" s="2"/>
      <c r="J240" s="6">
        <f t="shared" si="74"/>
        <v>2.1976581888030985E-4</v>
      </c>
      <c r="K240" s="2"/>
      <c r="L240" s="7">
        <f t="shared" si="75"/>
        <v>150</v>
      </c>
      <c r="M240" s="2"/>
      <c r="N240" s="6">
        <f t="shared" si="76"/>
        <v>0.16666666666666666</v>
      </c>
      <c r="O240" s="11"/>
      <c r="P240" s="7">
        <v>3650</v>
      </c>
      <c r="Q240" s="2"/>
      <c r="R240" s="6">
        <f t="shared" si="77"/>
        <v>3.7497530299648223E-4</v>
      </c>
      <c r="S240" s="2"/>
      <c r="T240" s="7">
        <v>2400</v>
      </c>
      <c r="U240" s="2"/>
      <c r="V240" s="6">
        <f t="shared" si="78"/>
        <v>2.3586002040477393E-4</v>
      </c>
      <c r="W240" s="2"/>
      <c r="X240" s="7">
        <f t="shared" si="79"/>
        <v>1250</v>
      </c>
      <c r="Y240" s="2"/>
      <c r="Z240" s="6">
        <f t="shared" si="80"/>
        <v>0.52083333333333337</v>
      </c>
    </row>
    <row r="241" spans="1:26" s="24" customFormat="1" hidden="1" outlineLevel="2" x14ac:dyDescent="0.25">
      <c r="A241" s="25"/>
      <c r="B241" s="11" t="str">
        <f>CONCATENATE("          ", "6279", " - ", "GENERAL EXPENSE")</f>
        <v xml:space="preserve">          6279 - GENERAL EXPENSE</v>
      </c>
      <c r="C241" s="11"/>
      <c r="D241" s="7">
        <v>5330.97</v>
      </c>
      <c r="E241" s="2"/>
      <c r="F241" s="6">
        <f t="shared" si="73"/>
        <v>1.3298276938971472E-3</v>
      </c>
      <c r="G241" s="2"/>
      <c r="H241" s="7">
        <v>5718</v>
      </c>
      <c r="I241" s="2"/>
      <c r="J241" s="6">
        <f t="shared" si="74"/>
        <v>1.3962455026195687E-3</v>
      </c>
      <c r="K241" s="2"/>
      <c r="L241" s="7">
        <f t="shared" si="75"/>
        <v>-387.02999999999975</v>
      </c>
      <c r="M241" s="2"/>
      <c r="N241" s="6">
        <f t="shared" si="76"/>
        <v>-6.7686253934942237E-2</v>
      </c>
      <c r="O241" s="11"/>
      <c r="P241" s="7">
        <v>21125.769999999997</v>
      </c>
      <c r="Q241" s="2"/>
      <c r="R241" s="6">
        <f t="shared" si="77"/>
        <v>2.1703128785709571E-3</v>
      </c>
      <c r="S241" s="2"/>
      <c r="T241" s="7">
        <v>27570</v>
      </c>
      <c r="U241" s="2"/>
      <c r="V241" s="6">
        <f t="shared" si="78"/>
        <v>2.7094419843998407E-3</v>
      </c>
      <c r="W241" s="2"/>
      <c r="X241" s="7">
        <f t="shared" si="79"/>
        <v>-6444.2300000000032</v>
      </c>
      <c r="Y241" s="2"/>
      <c r="Z241" s="6">
        <f t="shared" si="80"/>
        <v>-0.2337406601378311</v>
      </c>
    </row>
    <row r="242" spans="1:26" s="26" customFormat="1" outlineLevel="1" collapsed="1" x14ac:dyDescent="0.25">
      <c r="A242" s="27"/>
      <c r="B242" s="13" t="str">
        <f>CONCATENATE("     ","Insurance                                         ")</f>
        <v xml:space="preserve">     Insurance                                         </v>
      </c>
      <c r="C242" s="13"/>
      <c r="D242" s="1">
        <f>SUM(OSRRefD22_12x_0)</f>
        <v>8563.32</v>
      </c>
      <c r="E242" s="1"/>
      <c r="F242" s="5">
        <f t="shared" ref="F242:F258" si="81">IF(D$12=0,0,D242/D$12)</f>
        <v>2.136147846959056E-3</v>
      </c>
      <c r="G242" s="1"/>
      <c r="H242" s="1">
        <f>SUM(OSRRefH22_12x_0)</f>
        <v>8081</v>
      </c>
      <c r="I242" s="1"/>
      <c r="J242" s="5">
        <f t="shared" ref="J242:J258" si="82">IF(H$12=0,0,H242/H$12)</f>
        <v>1.9732528693019824E-3</v>
      </c>
      <c r="K242" s="1"/>
      <c r="L242" s="1">
        <f t="shared" ref="L242:L258" si="83">+D242-H242</f>
        <v>482.31999999999971</v>
      </c>
      <c r="M242" s="1"/>
      <c r="N242" s="5">
        <f t="shared" ref="N242:N258" si="84">IF(H242=0,0,L242/H242)</f>
        <v>5.9685682465041419E-2</v>
      </c>
      <c r="O242" s="13"/>
      <c r="P242" s="1">
        <f>SUM(OSRRefP22_12x_0)</f>
        <v>25689.96</v>
      </c>
      <c r="Q242" s="1"/>
      <c r="R242" s="5">
        <f t="shared" ref="R242:R258" si="85">IF(P$12=0,0,P242/P$12)</f>
        <v>2.6392056260184952E-3</v>
      </c>
      <c r="S242" s="1"/>
      <c r="T242" s="1">
        <f>SUM(OSRRefT22_12x_0)</f>
        <v>24243</v>
      </c>
      <c r="U242" s="1"/>
      <c r="V242" s="5">
        <f t="shared" ref="V242:V258" si="86">IF(T$12=0,0,T242/T$12)</f>
        <v>2.3824810311137228E-3</v>
      </c>
      <c r="W242" s="1"/>
      <c r="X242" s="1">
        <f t="shared" ref="X242:X258" si="87">+P242-T242</f>
        <v>1446.9599999999991</v>
      </c>
      <c r="Y242" s="1"/>
      <c r="Z242" s="5">
        <f t="shared" ref="Z242:Z258" si="88">IF(T242=0,0,X242/T242)</f>
        <v>5.9685682465041419E-2</v>
      </c>
    </row>
    <row r="243" spans="1:26" s="24" customFormat="1" hidden="1" outlineLevel="2" x14ac:dyDescent="0.25">
      <c r="A243" s="25"/>
      <c r="B243" s="11" t="str">
        <f>CONCATENATE("          ", "6314", " - ", "LIABILITY INSURANCE")</f>
        <v xml:space="preserve">          6314 - LIABILITY INSURANCE</v>
      </c>
      <c r="C243" s="11"/>
      <c r="D243" s="7">
        <v>8563.32</v>
      </c>
      <c r="E243" s="2"/>
      <c r="F243" s="6">
        <f t="shared" si="81"/>
        <v>2.136147846959056E-3</v>
      </c>
      <c r="G243" s="2"/>
      <c r="H243" s="7">
        <v>8081</v>
      </c>
      <c r="I243" s="2"/>
      <c r="J243" s="6">
        <f t="shared" si="82"/>
        <v>1.9732528693019824E-3</v>
      </c>
      <c r="K243" s="2"/>
      <c r="L243" s="7">
        <f t="shared" si="83"/>
        <v>482.31999999999971</v>
      </c>
      <c r="M243" s="2"/>
      <c r="N243" s="6">
        <f t="shared" si="84"/>
        <v>5.9685682465041419E-2</v>
      </c>
      <c r="O243" s="11"/>
      <c r="P243" s="7">
        <v>25689.96</v>
      </c>
      <c r="Q243" s="2"/>
      <c r="R243" s="6">
        <f t="shared" si="85"/>
        <v>2.6392056260184952E-3</v>
      </c>
      <c r="S243" s="2"/>
      <c r="T243" s="7">
        <v>24243</v>
      </c>
      <c r="U243" s="2"/>
      <c r="V243" s="6">
        <f t="shared" si="86"/>
        <v>2.3824810311137228E-3</v>
      </c>
      <c r="W243" s="2"/>
      <c r="X243" s="7">
        <f t="shared" si="87"/>
        <v>1446.9599999999991</v>
      </c>
      <c r="Y243" s="2"/>
      <c r="Z243" s="6">
        <f t="shared" si="88"/>
        <v>5.9685682465041419E-2</v>
      </c>
    </row>
    <row r="244" spans="1:26" s="26" customFormat="1" outlineLevel="1" collapsed="1" x14ac:dyDescent="0.25">
      <c r="A244" s="27"/>
      <c r="B244" s="13" t="str">
        <f>CONCATENATE("     ","Interest                                          ")</f>
        <v xml:space="preserve">     Interest                                          </v>
      </c>
      <c r="C244" s="13"/>
      <c r="D244" s="1">
        <f>SUM(OSRRefD22_13x_0)</f>
        <v>11740</v>
      </c>
      <c r="E244" s="1"/>
      <c r="F244" s="5">
        <f t="shared" si="81"/>
        <v>2.9285809386195207E-3</v>
      </c>
      <c r="G244" s="1"/>
      <c r="H244" s="1">
        <f>SUM(OSRRefH22_13x_0)</f>
        <v>11929</v>
      </c>
      <c r="I244" s="1"/>
      <c r="J244" s="5">
        <f t="shared" si="82"/>
        <v>2.912873837136907E-3</v>
      </c>
      <c r="K244" s="1"/>
      <c r="L244" s="1">
        <f t="shared" si="83"/>
        <v>-189</v>
      </c>
      <c r="M244" s="1"/>
      <c r="N244" s="5">
        <f t="shared" si="84"/>
        <v>-1.5843742141000924E-2</v>
      </c>
      <c r="O244" s="13"/>
      <c r="P244" s="1">
        <f>SUM(OSRRefP22_13x_0)</f>
        <v>35220</v>
      </c>
      <c r="Q244" s="1"/>
      <c r="R244" s="5">
        <f t="shared" si="85"/>
        <v>3.6182548415167408E-3</v>
      </c>
      <c r="S244" s="1"/>
      <c r="T244" s="1">
        <f>SUM(OSRRefT22_13x_0)</f>
        <v>35787</v>
      </c>
      <c r="U244" s="1"/>
      <c r="V244" s="5">
        <f t="shared" si="86"/>
        <v>3.5169677292606854E-3</v>
      </c>
      <c r="W244" s="1"/>
      <c r="X244" s="1">
        <f t="shared" si="87"/>
        <v>-567</v>
      </c>
      <c r="Y244" s="1"/>
      <c r="Z244" s="5">
        <f t="shared" si="88"/>
        <v>-1.5843742141000924E-2</v>
      </c>
    </row>
    <row r="245" spans="1:26" s="24" customFormat="1" hidden="1" outlineLevel="2" x14ac:dyDescent="0.25">
      <c r="A245" s="25"/>
      <c r="B245" s="11" t="str">
        <f>CONCATENATE("          ", "6401", " - ", "INTEREST EXPENSE")</f>
        <v xml:space="preserve">          6401 - INTEREST EXPENSE</v>
      </c>
      <c r="C245" s="11"/>
      <c r="D245" s="7">
        <v>11740</v>
      </c>
      <c r="E245" s="2"/>
      <c r="F245" s="6">
        <f t="shared" si="81"/>
        <v>2.9285809386195207E-3</v>
      </c>
      <c r="G245" s="2"/>
      <c r="H245" s="7">
        <v>11929</v>
      </c>
      <c r="I245" s="2"/>
      <c r="J245" s="6">
        <f t="shared" si="82"/>
        <v>2.912873837136907E-3</v>
      </c>
      <c r="K245" s="2"/>
      <c r="L245" s="7">
        <f t="shared" si="83"/>
        <v>-189</v>
      </c>
      <c r="M245" s="2"/>
      <c r="N245" s="6">
        <f t="shared" si="84"/>
        <v>-1.5843742141000924E-2</v>
      </c>
      <c r="O245" s="11"/>
      <c r="P245" s="7">
        <v>35220</v>
      </c>
      <c r="Q245" s="2"/>
      <c r="R245" s="6">
        <f t="shared" si="85"/>
        <v>3.6182548415167408E-3</v>
      </c>
      <c r="S245" s="2"/>
      <c r="T245" s="7">
        <v>35787</v>
      </c>
      <c r="U245" s="2"/>
      <c r="V245" s="6">
        <f t="shared" si="86"/>
        <v>3.5169677292606854E-3</v>
      </c>
      <c r="W245" s="2"/>
      <c r="X245" s="7">
        <f t="shared" si="87"/>
        <v>-567</v>
      </c>
      <c r="Y245" s="2"/>
      <c r="Z245" s="6">
        <f t="shared" si="88"/>
        <v>-1.5843742141000924E-2</v>
      </c>
    </row>
    <row r="246" spans="1:26" s="26" customFormat="1" outlineLevel="1" collapsed="1" x14ac:dyDescent="0.25">
      <c r="A246" s="27"/>
      <c r="B246" s="13" t="str">
        <f>CONCATENATE("     ","Inventory Adjustment                              ")</f>
        <v xml:space="preserve">     Inventory Adjustment                              </v>
      </c>
      <c r="C246" s="13"/>
      <c r="D246" s="1">
        <f>SUM(OSRRefD22_14x_0)</f>
        <v>4250</v>
      </c>
      <c r="E246" s="1"/>
      <c r="F246" s="5">
        <f t="shared" si="81"/>
        <v>1.0601762341680549E-3</v>
      </c>
      <c r="G246" s="1"/>
      <c r="H246" s="1">
        <f>SUM(OSRRefH22_14x_0)</f>
        <v>4250</v>
      </c>
      <c r="I246" s="1"/>
      <c r="J246" s="5">
        <f t="shared" si="82"/>
        <v>1.0377830336014632E-3</v>
      </c>
      <c r="K246" s="1"/>
      <c r="L246" s="1">
        <f t="shared" si="83"/>
        <v>0</v>
      </c>
      <c r="M246" s="1"/>
      <c r="N246" s="5">
        <f t="shared" si="84"/>
        <v>0</v>
      </c>
      <c r="O246" s="13"/>
      <c r="P246" s="1">
        <f>SUM(OSRRefP22_14x_0)</f>
        <v>12650</v>
      </c>
      <c r="Q246" s="1"/>
      <c r="R246" s="5">
        <f t="shared" si="85"/>
        <v>1.2995719405220548E-3</v>
      </c>
      <c r="S246" s="1"/>
      <c r="T246" s="1">
        <f>SUM(OSRRefT22_14x_0)</f>
        <v>12650</v>
      </c>
      <c r="U246" s="1"/>
      <c r="V246" s="5">
        <f t="shared" si="86"/>
        <v>1.2431788575501628E-3</v>
      </c>
      <c r="W246" s="1"/>
      <c r="X246" s="1">
        <f t="shared" si="87"/>
        <v>0</v>
      </c>
      <c r="Y246" s="1"/>
      <c r="Z246" s="5">
        <f t="shared" si="88"/>
        <v>0</v>
      </c>
    </row>
    <row r="247" spans="1:26" s="24" customFormat="1" hidden="1" outlineLevel="2" x14ac:dyDescent="0.25">
      <c r="A247" s="25"/>
      <c r="B247" s="11" t="str">
        <f>CONCATENATE("          ", "6408", " - ", "INVENTORY ADJUSTMENT")</f>
        <v xml:space="preserve">          6408 - INVENTORY ADJUSTMENT</v>
      </c>
      <c r="C247" s="11"/>
      <c r="D247" s="7">
        <v>4250</v>
      </c>
      <c r="E247" s="2"/>
      <c r="F247" s="6">
        <f t="shared" si="81"/>
        <v>1.0601762341680549E-3</v>
      </c>
      <c r="G247" s="2"/>
      <c r="H247" s="7">
        <v>4250</v>
      </c>
      <c r="I247" s="2"/>
      <c r="J247" s="6">
        <f t="shared" si="82"/>
        <v>1.0377830336014632E-3</v>
      </c>
      <c r="K247" s="2"/>
      <c r="L247" s="7">
        <f t="shared" si="83"/>
        <v>0</v>
      </c>
      <c r="M247" s="2"/>
      <c r="N247" s="6">
        <f t="shared" si="84"/>
        <v>0</v>
      </c>
      <c r="O247" s="11"/>
      <c r="P247" s="7">
        <v>12650</v>
      </c>
      <c r="Q247" s="2"/>
      <c r="R247" s="6">
        <f t="shared" si="85"/>
        <v>1.2995719405220548E-3</v>
      </c>
      <c r="S247" s="2"/>
      <c r="T247" s="7">
        <v>12650</v>
      </c>
      <c r="U247" s="2"/>
      <c r="V247" s="6">
        <f t="shared" si="86"/>
        <v>1.2431788575501628E-3</v>
      </c>
      <c r="W247" s="2"/>
      <c r="X247" s="7">
        <f t="shared" si="87"/>
        <v>0</v>
      </c>
      <c r="Y247" s="2"/>
      <c r="Z247" s="6">
        <f t="shared" si="88"/>
        <v>0</v>
      </c>
    </row>
    <row r="248" spans="1:26" s="26" customFormat="1" outlineLevel="1" collapsed="1" x14ac:dyDescent="0.25">
      <c r="A248" s="27"/>
      <c r="B248" s="13" t="str">
        <f>CONCATENATE("     ","Professional Services                             ")</f>
        <v xml:space="preserve">     Professional Services                             </v>
      </c>
      <c r="C248" s="13"/>
      <c r="D248" s="1">
        <f>SUM(OSRRefD22_15x_0)</f>
        <v>0</v>
      </c>
      <c r="E248" s="1"/>
      <c r="F248" s="5">
        <f t="shared" si="81"/>
        <v>0</v>
      </c>
      <c r="G248" s="1"/>
      <c r="H248" s="1">
        <f>SUM(OSRRefH22_15x_0)</f>
        <v>1415</v>
      </c>
      <c r="I248" s="1"/>
      <c r="J248" s="5">
        <f t="shared" si="82"/>
        <v>3.4552070412848716E-4</v>
      </c>
      <c r="K248" s="1"/>
      <c r="L248" s="1">
        <f t="shared" si="83"/>
        <v>-1415</v>
      </c>
      <c r="M248" s="1"/>
      <c r="N248" s="5">
        <f t="shared" si="84"/>
        <v>-1</v>
      </c>
      <c r="O248" s="13"/>
      <c r="P248" s="1">
        <f>SUM(OSRRefP22_15x_0)</f>
        <v>6283.41</v>
      </c>
      <c r="Q248" s="1"/>
      <c r="R248" s="5">
        <f t="shared" si="85"/>
        <v>6.4551330646606196E-4</v>
      </c>
      <c r="S248" s="1"/>
      <c r="T248" s="1">
        <f>SUM(OSRRefT22_15x_0)</f>
        <v>6645</v>
      </c>
      <c r="U248" s="1"/>
      <c r="V248" s="5">
        <f t="shared" si="86"/>
        <v>6.5303743149571782E-4</v>
      </c>
      <c r="W248" s="1"/>
      <c r="X248" s="1">
        <f t="shared" si="87"/>
        <v>-361.59000000000015</v>
      </c>
      <c r="Y248" s="1"/>
      <c r="Z248" s="5">
        <f t="shared" si="88"/>
        <v>-5.4415349887133202E-2</v>
      </c>
    </row>
    <row r="249" spans="1:26" s="24" customFormat="1" hidden="1" outlineLevel="2" x14ac:dyDescent="0.25">
      <c r="A249" s="25"/>
      <c r="B249" s="11" t="str">
        <f>CONCATENATE("          ", "6336", " - ", "PROFESSIONAL SERVICES")</f>
        <v xml:space="preserve">          6336 - PROFESSIONAL SERVICES</v>
      </c>
      <c r="C249" s="11"/>
      <c r="D249" s="7"/>
      <c r="E249" s="2"/>
      <c r="F249" s="6">
        <f t="shared" si="81"/>
        <v>0</v>
      </c>
      <c r="G249" s="2"/>
      <c r="H249" s="7">
        <v>1415</v>
      </c>
      <c r="I249" s="2"/>
      <c r="J249" s="6">
        <f t="shared" si="82"/>
        <v>3.4552070412848716E-4</v>
      </c>
      <c r="K249" s="2"/>
      <c r="L249" s="7">
        <f t="shared" si="83"/>
        <v>-1415</v>
      </c>
      <c r="M249" s="2"/>
      <c r="N249" s="6">
        <f t="shared" si="84"/>
        <v>-1</v>
      </c>
      <c r="O249" s="11"/>
      <c r="P249" s="7">
        <v>6283.41</v>
      </c>
      <c r="Q249" s="2"/>
      <c r="R249" s="6">
        <f t="shared" si="85"/>
        <v>6.4551330646606196E-4</v>
      </c>
      <c r="S249" s="2"/>
      <c r="T249" s="7">
        <v>6645</v>
      </c>
      <c r="U249" s="2"/>
      <c r="V249" s="6">
        <f t="shared" si="86"/>
        <v>6.5303743149571782E-4</v>
      </c>
      <c r="W249" s="2"/>
      <c r="X249" s="7">
        <f t="shared" si="87"/>
        <v>-361.59000000000015</v>
      </c>
      <c r="Y249" s="2"/>
      <c r="Z249" s="6">
        <f t="shared" si="88"/>
        <v>-5.4415349887133202E-2</v>
      </c>
    </row>
    <row r="250" spans="1:26" s="26" customFormat="1" outlineLevel="1" collapsed="1" x14ac:dyDescent="0.25">
      <c r="A250" s="27"/>
      <c r="B250" s="13" t="str">
        <f>CONCATENATE("     ","R/H Commissions                                   ")</f>
        <v xml:space="preserve">     R/H Commissions                                   </v>
      </c>
      <c r="C250" s="13"/>
      <c r="D250" s="1">
        <f>SUM(OSRRefD22_16x_0)</f>
        <v>115888.45000000001</v>
      </c>
      <c r="E250" s="1"/>
      <c r="F250" s="5">
        <f t="shared" si="81"/>
        <v>2.8908748354017161E-2</v>
      </c>
      <c r="G250" s="1"/>
      <c r="H250" s="1">
        <f>SUM(OSRRefH22_16x_0)</f>
        <v>119869</v>
      </c>
      <c r="I250" s="1"/>
      <c r="J250" s="5">
        <f t="shared" si="82"/>
        <v>2.9270121048182069E-2</v>
      </c>
      <c r="K250" s="1"/>
      <c r="L250" s="1">
        <f t="shared" si="83"/>
        <v>-3980.5499999999884</v>
      </c>
      <c r="M250" s="1"/>
      <c r="N250" s="5">
        <f t="shared" si="84"/>
        <v>-3.320750152249529E-2</v>
      </c>
      <c r="O250" s="13"/>
      <c r="P250" s="1">
        <f>SUM(OSRRefP22_16x_0)</f>
        <v>187921.28</v>
      </c>
      <c r="Q250" s="1"/>
      <c r="R250" s="5">
        <f t="shared" si="85"/>
        <v>1.9305709289722403E-2</v>
      </c>
      <c r="S250" s="1"/>
      <c r="T250" s="1">
        <f>SUM(OSRRefT22_16x_0)</f>
        <v>197593</v>
      </c>
      <c r="U250" s="1"/>
      <c r="V250" s="5">
        <f t="shared" si="86"/>
        <v>1.9418453754933541E-2</v>
      </c>
      <c r="W250" s="1"/>
      <c r="X250" s="1">
        <f t="shared" si="87"/>
        <v>-9671.7200000000012</v>
      </c>
      <c r="Y250" s="1"/>
      <c r="Z250" s="5">
        <f t="shared" si="88"/>
        <v>-4.8947685393713344E-2</v>
      </c>
    </row>
    <row r="251" spans="1:26" s="24" customFormat="1" hidden="1" outlineLevel="2" x14ac:dyDescent="0.25">
      <c r="A251" s="25"/>
      <c r="B251" s="11" t="str">
        <f>CONCATENATE("          ", "6387", " - ", "COMMISSION DUE HOUSING")</f>
        <v xml:space="preserve">          6387 - COMMISSION DUE HOUSING</v>
      </c>
      <c r="C251" s="11"/>
      <c r="D251" s="7">
        <v>115888.45000000001</v>
      </c>
      <c r="E251" s="2"/>
      <c r="F251" s="6">
        <f t="shared" si="81"/>
        <v>2.8908748354017161E-2</v>
      </c>
      <c r="G251" s="2"/>
      <c r="H251" s="7">
        <v>119869</v>
      </c>
      <c r="I251" s="2"/>
      <c r="J251" s="6">
        <f t="shared" si="82"/>
        <v>2.9270121048182069E-2</v>
      </c>
      <c r="K251" s="2"/>
      <c r="L251" s="7">
        <f t="shared" si="83"/>
        <v>-3980.5499999999884</v>
      </c>
      <c r="M251" s="2"/>
      <c r="N251" s="6">
        <f t="shared" si="84"/>
        <v>-3.320750152249529E-2</v>
      </c>
      <c r="O251" s="11"/>
      <c r="P251" s="7">
        <v>187921.28</v>
      </c>
      <c r="Q251" s="2"/>
      <c r="R251" s="6">
        <f t="shared" si="85"/>
        <v>1.9305709289722403E-2</v>
      </c>
      <c r="S251" s="2"/>
      <c r="T251" s="7">
        <v>197593</v>
      </c>
      <c r="U251" s="2"/>
      <c r="V251" s="6">
        <f t="shared" si="86"/>
        <v>1.9418453754933541E-2</v>
      </c>
      <c r="W251" s="2"/>
      <c r="X251" s="7">
        <f t="shared" si="87"/>
        <v>-9671.7200000000012</v>
      </c>
      <c r="Y251" s="2"/>
      <c r="Z251" s="6">
        <f t="shared" si="88"/>
        <v>-4.8947685393713344E-2</v>
      </c>
    </row>
    <row r="252" spans="1:26" s="26" customFormat="1" outlineLevel="1" collapsed="1" x14ac:dyDescent="0.25">
      <c r="A252" s="27"/>
      <c r="B252" s="13" t="str">
        <f>CONCATENATE("     ","Rent                                              ")</f>
        <v xml:space="preserve">     Rent                                              </v>
      </c>
      <c r="C252" s="13"/>
      <c r="D252" s="1">
        <f>SUM(OSRRefD22_17x_0)</f>
        <v>9900</v>
      </c>
      <c r="E252" s="1"/>
      <c r="F252" s="5">
        <f t="shared" si="81"/>
        <v>2.4695869925326452E-3</v>
      </c>
      <c r="G252" s="1"/>
      <c r="H252" s="1">
        <f>SUM(OSRRefH22_17x_0)</f>
        <v>10200</v>
      </c>
      <c r="I252" s="1"/>
      <c r="J252" s="5">
        <f t="shared" si="82"/>
        <v>2.4906792806435119E-3</v>
      </c>
      <c r="K252" s="1"/>
      <c r="L252" s="1">
        <f t="shared" si="83"/>
        <v>-300</v>
      </c>
      <c r="M252" s="1"/>
      <c r="N252" s="5">
        <f t="shared" si="84"/>
        <v>-2.9411764705882353E-2</v>
      </c>
      <c r="O252" s="13"/>
      <c r="P252" s="1">
        <f>SUM(OSRRefP22_17x_0)</f>
        <v>29700</v>
      </c>
      <c r="Q252" s="1"/>
      <c r="R252" s="5">
        <f t="shared" si="85"/>
        <v>3.0511689038343896E-3</v>
      </c>
      <c r="S252" s="1"/>
      <c r="T252" s="1">
        <f>SUM(OSRRefT22_17x_0)</f>
        <v>30600</v>
      </c>
      <c r="U252" s="1"/>
      <c r="V252" s="5">
        <f t="shared" si="86"/>
        <v>3.0072152601608678E-3</v>
      </c>
      <c r="W252" s="1"/>
      <c r="X252" s="1">
        <f t="shared" si="87"/>
        <v>-900</v>
      </c>
      <c r="Y252" s="1"/>
      <c r="Z252" s="5">
        <f t="shared" si="88"/>
        <v>-2.9411764705882353E-2</v>
      </c>
    </row>
    <row r="253" spans="1:26" s="24" customFormat="1" hidden="1" outlineLevel="2" x14ac:dyDescent="0.25">
      <c r="A253" s="25"/>
      <c r="B253" s="11" t="str">
        <f>CONCATENATE("          ", "6273", " - ", "RENT")</f>
        <v xml:space="preserve">          6273 - RENT</v>
      </c>
      <c r="C253" s="11"/>
      <c r="D253" s="7">
        <v>9900</v>
      </c>
      <c r="E253" s="2"/>
      <c r="F253" s="6">
        <f t="shared" si="81"/>
        <v>2.4695869925326452E-3</v>
      </c>
      <c r="G253" s="2"/>
      <c r="H253" s="7">
        <v>10200</v>
      </c>
      <c r="I253" s="2"/>
      <c r="J253" s="6">
        <f t="shared" si="82"/>
        <v>2.4906792806435119E-3</v>
      </c>
      <c r="K253" s="2"/>
      <c r="L253" s="7">
        <f t="shared" si="83"/>
        <v>-300</v>
      </c>
      <c r="M253" s="2"/>
      <c r="N253" s="6">
        <f t="shared" si="84"/>
        <v>-2.9411764705882353E-2</v>
      </c>
      <c r="O253" s="11"/>
      <c r="P253" s="7">
        <v>29700</v>
      </c>
      <c r="Q253" s="2"/>
      <c r="R253" s="6">
        <f t="shared" si="85"/>
        <v>3.0511689038343896E-3</v>
      </c>
      <c r="S253" s="2"/>
      <c r="T253" s="7">
        <v>30600</v>
      </c>
      <c r="U253" s="2"/>
      <c r="V253" s="6">
        <f t="shared" si="86"/>
        <v>3.0072152601608678E-3</v>
      </c>
      <c r="W253" s="2"/>
      <c r="X253" s="7">
        <f t="shared" si="87"/>
        <v>-900</v>
      </c>
      <c r="Y253" s="2"/>
      <c r="Z253" s="6">
        <f t="shared" si="88"/>
        <v>-2.9411764705882353E-2</v>
      </c>
    </row>
    <row r="254" spans="1:26" s="26" customFormat="1" outlineLevel="1" collapsed="1" x14ac:dyDescent="0.25">
      <c r="A254" s="27"/>
      <c r="B254" s="13" t="str">
        <f>CONCATENATE("     ","Repair and Maintenance                            ")</f>
        <v xml:space="preserve">     Repair and Maintenance                            </v>
      </c>
      <c r="C254" s="13"/>
      <c r="D254" s="1">
        <f>SUM(OSRRefD22_18x_0)</f>
        <v>55329.440000000002</v>
      </c>
      <c r="E254" s="1"/>
      <c r="F254" s="5">
        <f t="shared" si="81"/>
        <v>1.3802107608900551E-2</v>
      </c>
      <c r="G254" s="1"/>
      <c r="H254" s="1">
        <f>SUM(OSRRefH22_18x_0)</f>
        <v>38812</v>
      </c>
      <c r="I254" s="1"/>
      <c r="J254" s="5">
        <f t="shared" si="82"/>
        <v>9.4772788470917635E-3</v>
      </c>
      <c r="K254" s="1"/>
      <c r="L254" s="1">
        <f t="shared" si="83"/>
        <v>16517.440000000002</v>
      </c>
      <c r="M254" s="1"/>
      <c r="N254" s="5">
        <f t="shared" si="84"/>
        <v>0.42557559517674953</v>
      </c>
      <c r="O254" s="13"/>
      <c r="P254" s="1">
        <f>SUM(OSRRefP22_18x_0)</f>
        <v>143839.06</v>
      </c>
      <c r="Q254" s="1"/>
      <c r="R254" s="5">
        <f t="shared" si="85"/>
        <v>1.477701235787101E-2</v>
      </c>
      <c r="S254" s="1"/>
      <c r="T254" s="1">
        <f>SUM(OSRRefT22_18x_0)</f>
        <v>295966</v>
      </c>
      <c r="U254" s="1"/>
      <c r="V254" s="5">
        <f t="shared" si="86"/>
        <v>2.908606116629972E-2</v>
      </c>
      <c r="W254" s="1"/>
      <c r="X254" s="1">
        <f t="shared" si="87"/>
        <v>-152126.94</v>
      </c>
      <c r="Y254" s="1"/>
      <c r="Z254" s="5">
        <f t="shared" si="88"/>
        <v>-0.5140014055668557</v>
      </c>
    </row>
    <row r="255" spans="1:26" s="24" customFormat="1" hidden="1" outlineLevel="2" x14ac:dyDescent="0.25">
      <c r="A255" s="25"/>
      <c r="B255" s="11" t="str">
        <f>CONCATENATE("          ", "6371", " - ", "COMPUTER SOFTWARE MAINTENANCE")</f>
        <v xml:space="preserve">          6371 - COMPUTER SOFTWARE MAINTENANCE</v>
      </c>
      <c r="C255" s="11"/>
      <c r="D255" s="7">
        <v>22684.510000000002</v>
      </c>
      <c r="E255" s="2"/>
      <c r="F255" s="6">
        <f t="shared" si="81"/>
        <v>5.6587243260582554E-3</v>
      </c>
      <c r="G255" s="2"/>
      <c r="H255" s="7">
        <v>1547</v>
      </c>
      <c r="I255" s="2"/>
      <c r="J255" s="6">
        <f t="shared" si="82"/>
        <v>3.7775302423093262E-4</v>
      </c>
      <c r="K255" s="2"/>
      <c r="L255" s="7">
        <f t="shared" si="83"/>
        <v>21137.510000000002</v>
      </c>
      <c r="M255" s="2"/>
      <c r="N255" s="6">
        <f t="shared" si="84"/>
        <v>13.66354880413704</v>
      </c>
      <c r="O255" s="11"/>
      <c r="P255" s="7">
        <v>31172.76</v>
      </c>
      <c r="Q255" s="2"/>
      <c r="R255" s="6">
        <f t="shared" si="85"/>
        <v>3.2024698975990739E-3</v>
      </c>
      <c r="S255" s="2"/>
      <c r="T255" s="7">
        <v>178676</v>
      </c>
      <c r="U255" s="2"/>
      <c r="V255" s="6">
        <f t="shared" si="86"/>
        <v>1.7559385419101414E-2</v>
      </c>
      <c r="W255" s="2"/>
      <c r="X255" s="7">
        <f t="shared" si="87"/>
        <v>-147503.24</v>
      </c>
      <c r="Y255" s="2"/>
      <c r="Z255" s="6">
        <f t="shared" si="88"/>
        <v>-0.82553471087331254</v>
      </c>
    </row>
    <row r="256" spans="1:26" s="24" customFormat="1" hidden="1" outlineLevel="2" x14ac:dyDescent="0.25">
      <c r="A256" s="25"/>
      <c r="B256" s="11" t="str">
        <f>CONCATENATE("          ", "6372", " - ", "COMPUTER HARDWARE MAINTENANCE")</f>
        <v xml:space="preserve">          6372 - COMPUTER HARDWARE MAINTENANCE</v>
      </c>
      <c r="C256" s="11"/>
      <c r="D256" s="7"/>
      <c r="E256" s="2"/>
      <c r="F256" s="6">
        <f t="shared" si="81"/>
        <v>0</v>
      </c>
      <c r="G256" s="2"/>
      <c r="H256" s="7">
        <v>2070</v>
      </c>
      <c r="I256" s="2"/>
      <c r="J256" s="6">
        <f t="shared" si="82"/>
        <v>5.0546138342471268E-4</v>
      </c>
      <c r="K256" s="2"/>
      <c r="L256" s="7">
        <f t="shared" si="83"/>
        <v>-2070</v>
      </c>
      <c r="M256" s="2"/>
      <c r="N256" s="6">
        <f t="shared" si="84"/>
        <v>-1</v>
      </c>
      <c r="O256" s="11"/>
      <c r="P256" s="7"/>
      <c r="Q256" s="2"/>
      <c r="R256" s="6">
        <f t="shared" si="85"/>
        <v>0</v>
      </c>
      <c r="S256" s="2"/>
      <c r="T256" s="7">
        <v>6270</v>
      </c>
      <c r="U256" s="2"/>
      <c r="V256" s="6">
        <f t="shared" si="86"/>
        <v>6.1618430330747189E-4</v>
      </c>
      <c r="W256" s="2"/>
      <c r="X256" s="7">
        <f t="shared" si="87"/>
        <v>-6270</v>
      </c>
      <c r="Y256" s="2"/>
      <c r="Z256" s="6">
        <f t="shared" si="88"/>
        <v>-1</v>
      </c>
    </row>
    <row r="257" spans="1:26" s="24" customFormat="1" hidden="1" outlineLevel="2" x14ac:dyDescent="0.25">
      <c r="A257" s="25"/>
      <c r="B257" s="11" t="str">
        <f>CONCATENATE("          ", "6373", " - ", "MAINTENANCE CONTRACTS")</f>
        <v xml:space="preserve">          6373 - MAINTENANCE CONTRACTS</v>
      </c>
      <c r="C257" s="11"/>
      <c r="D257" s="7">
        <v>15398.86</v>
      </c>
      <c r="E257" s="2"/>
      <c r="F257" s="6">
        <f t="shared" si="81"/>
        <v>3.8412953894779046E-3</v>
      </c>
      <c r="G257" s="2"/>
      <c r="H257" s="7">
        <v>9643</v>
      </c>
      <c r="I257" s="2"/>
      <c r="J257" s="6">
        <f t="shared" si="82"/>
        <v>2.3546686571809202E-3</v>
      </c>
      <c r="K257" s="2"/>
      <c r="L257" s="7">
        <f t="shared" si="83"/>
        <v>5755.8600000000006</v>
      </c>
      <c r="M257" s="2"/>
      <c r="N257" s="6">
        <f t="shared" si="84"/>
        <v>0.5968951571087836</v>
      </c>
      <c r="O257" s="11"/>
      <c r="P257" s="7">
        <v>43894.71</v>
      </c>
      <c r="Q257" s="2"/>
      <c r="R257" s="6">
        <f t="shared" si="85"/>
        <v>4.509433474573347E-3</v>
      </c>
      <c r="S257" s="2"/>
      <c r="T257" s="7">
        <v>30058</v>
      </c>
      <c r="U257" s="2"/>
      <c r="V257" s="6">
        <f t="shared" si="86"/>
        <v>2.9539502055527895E-3</v>
      </c>
      <c r="W257" s="2"/>
      <c r="X257" s="7">
        <f t="shared" si="87"/>
        <v>13836.71</v>
      </c>
      <c r="Y257" s="2"/>
      <c r="Z257" s="6">
        <f t="shared" si="88"/>
        <v>0.4603336882028079</v>
      </c>
    </row>
    <row r="258" spans="1:26" s="24" customFormat="1" hidden="1" outlineLevel="2" x14ac:dyDescent="0.25">
      <c r="A258" s="25"/>
      <c r="B258" s="11" t="str">
        <f>CONCATENATE("          ", "6375", " - ", "OUTSIDE REPAIRS &amp; MAINTENANCE")</f>
        <v xml:space="preserve">          6375 - OUTSIDE REPAIRS &amp; MAINTENANCE</v>
      </c>
      <c r="C258" s="11"/>
      <c r="D258" s="7">
        <v>17246.070000000003</v>
      </c>
      <c r="E258" s="2"/>
      <c r="F258" s="6">
        <f t="shared" si="81"/>
        <v>4.3020878933643925E-3</v>
      </c>
      <c r="G258" s="2"/>
      <c r="H258" s="7">
        <v>25552</v>
      </c>
      <c r="I258" s="2"/>
      <c r="J258" s="6">
        <f t="shared" si="82"/>
        <v>6.2393957822551973E-3</v>
      </c>
      <c r="K258" s="2"/>
      <c r="L258" s="7">
        <f t="shared" si="83"/>
        <v>-8305.9299999999967</v>
      </c>
      <c r="M258" s="2"/>
      <c r="N258" s="6">
        <f t="shared" si="84"/>
        <v>-0.32505987789605495</v>
      </c>
      <c r="O258" s="11"/>
      <c r="P258" s="7">
        <v>68771.59</v>
      </c>
      <c r="Q258" s="2"/>
      <c r="R258" s="6">
        <f t="shared" si="85"/>
        <v>7.0651089856985875E-3</v>
      </c>
      <c r="S258" s="2"/>
      <c r="T258" s="7">
        <v>80962</v>
      </c>
      <c r="U258" s="2"/>
      <c r="V258" s="6">
        <f t="shared" si="86"/>
        <v>7.9565412383380447E-3</v>
      </c>
      <c r="W258" s="2"/>
      <c r="X258" s="7">
        <f t="shared" si="87"/>
        <v>-12190.410000000003</v>
      </c>
      <c r="Y258" s="2"/>
      <c r="Z258" s="6">
        <f t="shared" si="88"/>
        <v>-0.15056952644450489</v>
      </c>
    </row>
    <row r="259" spans="1:26" s="26" customFormat="1" outlineLevel="1" collapsed="1" x14ac:dyDescent="0.25">
      <c r="A259" s="27"/>
      <c r="B259" s="13" t="str">
        <f>CONCATENATE("     ","Royalty &amp; Commissions                             ")</f>
        <v xml:space="preserve">     Royalty &amp; Commissions                             </v>
      </c>
      <c r="C259" s="13"/>
      <c r="D259" s="1">
        <f>SUM(OSRRefD22_19x_0)</f>
        <v>42816</v>
      </c>
      <c r="E259" s="1"/>
      <c r="F259" s="5">
        <f t="shared" ref="F259:F263" si="89">IF(D$12=0,0,D259/D$12)</f>
        <v>1.0680589562856339E-2</v>
      </c>
      <c r="G259" s="1"/>
      <c r="H259" s="1">
        <f>SUM(OSRRefH22_19x_0)</f>
        <v>43686</v>
      </c>
      <c r="I259" s="1"/>
      <c r="J259" s="5">
        <f t="shared" ref="J259:J263" si="90">IF(H$12=0,0,H259/H$12)</f>
        <v>1.0667432848450242E-2</v>
      </c>
      <c r="K259" s="1"/>
      <c r="L259" s="1">
        <f t="shared" ref="L259:L263" si="91">+D259-H259</f>
        <v>-870</v>
      </c>
      <c r="M259" s="1"/>
      <c r="N259" s="5">
        <f t="shared" ref="N259:N263" si="92">IF(H259=0,0,L259/H259)</f>
        <v>-1.9914846861694823E-2</v>
      </c>
      <c r="O259" s="13"/>
      <c r="P259" s="1">
        <f>SUM(OSRRefP22_19x_0)</f>
        <v>85389.66</v>
      </c>
      <c r="Q259" s="1"/>
      <c r="R259" s="5">
        <f t="shared" ref="R259:R263" si="93">IF(P$12=0,0,P259/P$12)</f>
        <v>8.7723325017168771E-3</v>
      </c>
      <c r="S259" s="1"/>
      <c r="T259" s="1">
        <f>SUM(OSRRefT22_19x_0)</f>
        <v>105076</v>
      </c>
      <c r="U259" s="1"/>
      <c r="V259" s="5">
        <f t="shared" ref="V259:V263" si="94">IF(T$12=0,0,T259/T$12)</f>
        <v>1.0326344793355011E-2</v>
      </c>
      <c r="W259" s="1"/>
      <c r="X259" s="1">
        <f t="shared" ref="X259:X263" si="95">+P259-T259</f>
        <v>-19686.339999999997</v>
      </c>
      <c r="Y259" s="1"/>
      <c r="Z259" s="5">
        <f t="shared" ref="Z259:Z263" si="96">IF(T259=0,0,X259/T259)</f>
        <v>-0.18735334424606948</v>
      </c>
    </row>
    <row r="260" spans="1:26" s="24" customFormat="1" hidden="1" outlineLevel="2" x14ac:dyDescent="0.25">
      <c r="A260" s="25"/>
      <c r="B260" s="11" t="str">
        <f>CONCATENATE("          ", "6252", " - ", "ROYALTY DUE CSTV")</f>
        <v xml:space="preserve">          6252 - ROYALTY DUE CSTV</v>
      </c>
      <c r="C260" s="11"/>
      <c r="D260" s="7"/>
      <c r="E260" s="2"/>
      <c r="F260" s="6">
        <f t="shared" si="89"/>
        <v>0</v>
      </c>
      <c r="G260" s="2"/>
      <c r="H260" s="7">
        <v>1085</v>
      </c>
      <c r="I260" s="2"/>
      <c r="J260" s="6">
        <f t="shared" si="90"/>
        <v>2.6493990387237355E-4</v>
      </c>
      <c r="K260" s="2"/>
      <c r="L260" s="7">
        <f t="shared" si="91"/>
        <v>-1085</v>
      </c>
      <c r="M260" s="2"/>
      <c r="N260" s="6">
        <f t="shared" si="92"/>
        <v>-1</v>
      </c>
      <c r="O260" s="11"/>
      <c r="P260" s="7"/>
      <c r="Q260" s="2"/>
      <c r="R260" s="6">
        <f t="shared" si="93"/>
        <v>0</v>
      </c>
      <c r="S260" s="2"/>
      <c r="T260" s="7">
        <v>3255</v>
      </c>
      <c r="U260" s="2"/>
      <c r="V260" s="6">
        <f t="shared" si="94"/>
        <v>3.1988515267397465E-4</v>
      </c>
      <c r="W260" s="2"/>
      <c r="X260" s="7">
        <f t="shared" si="95"/>
        <v>-3255</v>
      </c>
      <c r="Y260" s="2"/>
      <c r="Z260" s="6">
        <f t="shared" si="96"/>
        <v>-1</v>
      </c>
    </row>
    <row r="261" spans="1:26" s="24" customFormat="1" hidden="1" outlineLevel="2" x14ac:dyDescent="0.25">
      <c r="A261" s="25"/>
      <c r="B261" s="11" t="str">
        <f>CONCATENATE("          ", "6253", " - ", "ROYALTY DUE ATHLETICS-LRG")</f>
        <v xml:space="preserve">          6253 - ROYALTY DUE ATHLETICS-LRG</v>
      </c>
      <c r="C261" s="11"/>
      <c r="D261" s="7"/>
      <c r="E261" s="2"/>
      <c r="F261" s="6">
        <f t="shared" si="89"/>
        <v>0</v>
      </c>
      <c r="G261" s="2"/>
      <c r="H261" s="7">
        <v>6700</v>
      </c>
      <c r="I261" s="2"/>
      <c r="J261" s="6">
        <f t="shared" si="90"/>
        <v>1.6360344294423068E-3</v>
      </c>
      <c r="K261" s="2"/>
      <c r="L261" s="7">
        <f t="shared" si="91"/>
        <v>-6700</v>
      </c>
      <c r="M261" s="2"/>
      <c r="N261" s="6">
        <f t="shared" si="92"/>
        <v>-1</v>
      </c>
      <c r="O261" s="11"/>
      <c r="P261" s="7">
        <v>4366.95</v>
      </c>
      <c r="Q261" s="2"/>
      <c r="R261" s="6">
        <f t="shared" si="93"/>
        <v>4.4862969847136655E-4</v>
      </c>
      <c r="S261" s="2"/>
      <c r="T261" s="7">
        <v>20100</v>
      </c>
      <c r="U261" s="2"/>
      <c r="V261" s="6">
        <f t="shared" si="94"/>
        <v>1.9753276708899818E-3</v>
      </c>
      <c r="W261" s="2"/>
      <c r="X261" s="7">
        <f t="shared" si="95"/>
        <v>-15733.05</v>
      </c>
      <c r="Y261" s="2"/>
      <c r="Z261" s="6">
        <f t="shared" si="96"/>
        <v>-0.78273880597014922</v>
      </c>
    </row>
    <row r="262" spans="1:26" s="24" customFormat="1" hidden="1" outlineLevel="2" x14ac:dyDescent="0.25">
      <c r="A262" s="25"/>
      <c r="B262" s="11" t="str">
        <f>CONCATENATE("          ", "6254", " - ", "ROYALTY &amp; COMMISSIONS")</f>
        <v xml:space="preserve">          6254 - ROYALTY &amp; COMMISSIONS</v>
      </c>
      <c r="C262" s="11"/>
      <c r="D262" s="7">
        <v>15852.8</v>
      </c>
      <c r="E262" s="2"/>
      <c r="F262" s="6">
        <f t="shared" si="89"/>
        <v>3.9545321894163153E-3</v>
      </c>
      <c r="G262" s="2"/>
      <c r="H262" s="7">
        <v>11700</v>
      </c>
      <c r="I262" s="2"/>
      <c r="J262" s="6">
        <f t="shared" si="90"/>
        <v>2.8569556454440281E-3</v>
      </c>
      <c r="K262" s="2"/>
      <c r="L262" s="7">
        <f t="shared" si="91"/>
        <v>4152.7999999999993</v>
      </c>
      <c r="M262" s="2"/>
      <c r="N262" s="6">
        <f t="shared" si="92"/>
        <v>0.35494017094017088</v>
      </c>
      <c r="O262" s="11"/>
      <c r="P262" s="7">
        <v>40946.93</v>
      </c>
      <c r="Q262" s="2"/>
      <c r="R262" s="6">
        <f t="shared" si="93"/>
        <v>4.2065993105549994E-3</v>
      </c>
      <c r="S262" s="2"/>
      <c r="T262" s="7">
        <v>39217</v>
      </c>
      <c r="U262" s="2"/>
      <c r="V262" s="6">
        <f t="shared" si="94"/>
        <v>3.8540510084225082E-3</v>
      </c>
      <c r="W262" s="2"/>
      <c r="X262" s="7">
        <f t="shared" si="95"/>
        <v>1729.9300000000003</v>
      </c>
      <c r="Y262" s="2"/>
      <c r="Z262" s="6">
        <f t="shared" si="96"/>
        <v>4.4111737256801904E-2</v>
      </c>
    </row>
    <row r="263" spans="1:26" s="24" customFormat="1" hidden="1" outlineLevel="2" x14ac:dyDescent="0.25">
      <c r="A263" s="25"/>
      <c r="B263" s="11" t="str">
        <f>CONCATENATE("          ", "6259", " - ", "ROYALTY &amp; COMMISSIONS")</f>
        <v xml:space="preserve">          6259 - ROYALTY &amp; COMMISSIONS</v>
      </c>
      <c r="C263" s="11"/>
      <c r="D263" s="7">
        <v>26963.200000000001</v>
      </c>
      <c r="E263" s="2"/>
      <c r="F263" s="6">
        <f t="shared" si="89"/>
        <v>6.7260573734400225E-3</v>
      </c>
      <c r="G263" s="2"/>
      <c r="H263" s="7">
        <v>24201</v>
      </c>
      <c r="I263" s="2"/>
      <c r="J263" s="6">
        <f t="shared" si="90"/>
        <v>5.909502869691532E-3</v>
      </c>
      <c r="K263" s="2"/>
      <c r="L263" s="7">
        <f t="shared" si="91"/>
        <v>2762.2000000000007</v>
      </c>
      <c r="M263" s="2"/>
      <c r="N263" s="6">
        <f t="shared" si="92"/>
        <v>0.11413577951324329</v>
      </c>
      <c r="O263" s="11"/>
      <c r="P263" s="7">
        <v>40075.78</v>
      </c>
      <c r="Q263" s="2"/>
      <c r="R263" s="6">
        <f t="shared" si="93"/>
        <v>4.1171034926905103E-3</v>
      </c>
      <c r="S263" s="2"/>
      <c r="T263" s="7">
        <v>42504</v>
      </c>
      <c r="U263" s="2"/>
      <c r="V263" s="6">
        <f t="shared" si="94"/>
        <v>4.177080961368547E-3</v>
      </c>
      <c r="W263" s="2"/>
      <c r="X263" s="7">
        <f t="shared" si="95"/>
        <v>-2428.2200000000012</v>
      </c>
      <c r="Y263" s="2"/>
      <c r="Z263" s="6">
        <f t="shared" si="96"/>
        <v>-5.7129211368341828E-2</v>
      </c>
    </row>
    <row r="264" spans="1:26" s="26" customFormat="1" outlineLevel="1" collapsed="1" x14ac:dyDescent="0.25">
      <c r="A264" s="27"/>
      <c r="B264" s="13" t="str">
        <f>CONCATENATE("     ","Services                                          ")</f>
        <v xml:space="preserve">     Services                                          </v>
      </c>
      <c r="C264" s="13"/>
      <c r="D264" s="1">
        <f>SUM(OSRRefD22_20x_0)</f>
        <v>46414.92</v>
      </c>
      <c r="E264" s="1"/>
      <c r="F264" s="5">
        <f t="shared" ref="F264:F270" si="97">IF(D$12=0,0,D264/D$12)</f>
        <v>1.1578351787014479E-2</v>
      </c>
      <c r="G264" s="1"/>
      <c r="H264" s="1">
        <f>SUM(OSRRefH22_20x_0)</f>
        <v>46892.5</v>
      </c>
      <c r="I264" s="1"/>
      <c r="J264" s="5">
        <f t="shared" ref="J264:J270" si="98">IF(H$12=0,0,H264/H$12)</f>
        <v>1.1450409624272144E-2</v>
      </c>
      <c r="K264" s="1"/>
      <c r="L264" s="1">
        <f t="shared" ref="L264:L270" si="99">+D264-H264</f>
        <v>-477.58000000000175</v>
      </c>
      <c r="M264" s="1"/>
      <c r="N264" s="5">
        <f t="shared" ref="N264:N270" si="100">IF(H264=0,0,L264/H264)</f>
        <v>-1.0184571093458479E-2</v>
      </c>
      <c r="O264" s="13"/>
      <c r="P264" s="1">
        <f>SUM(OSRRefP22_20x_0)</f>
        <v>135922.57</v>
      </c>
      <c r="Q264" s="1"/>
      <c r="R264" s="5">
        <f t="shared" ref="R264:R270" si="101">IF(P$12=0,0,P264/P$12)</f>
        <v>1.3963727909537142E-2</v>
      </c>
      <c r="S264" s="1"/>
      <c r="T264" s="1">
        <f>SUM(OSRRefT22_20x_0)</f>
        <v>134510.5</v>
      </c>
      <c r="U264" s="1"/>
      <c r="V264" s="5">
        <f t="shared" ref="V264:V270" si="102">IF(T$12=0,0,T264/T$12)</f>
        <v>1.3219020531106811E-2</v>
      </c>
      <c r="W264" s="1"/>
      <c r="X264" s="1">
        <f t="shared" ref="X264:X270" si="103">+P264-T264</f>
        <v>1412.070000000007</v>
      </c>
      <c r="Y264" s="1"/>
      <c r="Z264" s="5">
        <f t="shared" ref="Z264:Z270" si="104">IF(T264=0,0,X264/T264)</f>
        <v>1.0497842175889666E-2</v>
      </c>
    </row>
    <row r="265" spans="1:26" s="24" customFormat="1" hidden="1" outlineLevel="2" x14ac:dyDescent="0.25">
      <c r="A265" s="25"/>
      <c r="B265" s="11" t="str">
        <f>CONCATENATE("          ", "6281", " - ", "STORAGE FEE")</f>
        <v xml:space="preserve">          6281 - STORAGE FEE</v>
      </c>
      <c r="C265" s="11"/>
      <c r="D265" s="7"/>
      <c r="E265" s="2"/>
      <c r="F265" s="6">
        <f t="shared" si="97"/>
        <v>0</v>
      </c>
      <c r="G265" s="2"/>
      <c r="H265" s="7"/>
      <c r="I265" s="2"/>
      <c r="J265" s="6">
        <f t="shared" si="98"/>
        <v>0</v>
      </c>
      <c r="K265" s="2"/>
      <c r="L265" s="7">
        <f t="shared" si="99"/>
        <v>0</v>
      </c>
      <c r="M265" s="2"/>
      <c r="N265" s="6">
        <f t="shared" si="100"/>
        <v>0</v>
      </c>
      <c r="O265" s="11"/>
      <c r="P265" s="7"/>
      <c r="Q265" s="2"/>
      <c r="R265" s="6">
        <f t="shared" si="101"/>
        <v>0</v>
      </c>
      <c r="S265" s="2"/>
      <c r="T265" s="7">
        <v>0</v>
      </c>
      <c r="U265" s="2"/>
      <c r="V265" s="6">
        <f t="shared" si="102"/>
        <v>0</v>
      </c>
      <c r="W265" s="2"/>
      <c r="X265" s="7">
        <f t="shared" si="103"/>
        <v>0</v>
      </c>
      <c r="Y265" s="2"/>
      <c r="Z265" s="6">
        <f t="shared" si="104"/>
        <v>0</v>
      </c>
    </row>
    <row r="266" spans="1:26" s="24" customFormat="1" hidden="1" outlineLevel="2" x14ac:dyDescent="0.25">
      <c r="A266" s="25"/>
      <c r="B266" s="11" t="str">
        <f>CONCATENATE("          ", "6282", " - ", "JANITORIAL/EXTERMINATOR EXPENS")</f>
        <v xml:space="preserve">          6282 - JANITORIAL/EXTERMINATOR EXPENS</v>
      </c>
      <c r="C266" s="11"/>
      <c r="D266" s="7">
        <v>3658.11</v>
      </c>
      <c r="E266" s="2"/>
      <c r="F266" s="6">
        <f t="shared" si="97"/>
        <v>9.125273609347066E-4</v>
      </c>
      <c r="G266" s="2"/>
      <c r="H266" s="7">
        <v>3691</v>
      </c>
      <c r="I266" s="2"/>
      <c r="J266" s="6">
        <f t="shared" si="98"/>
        <v>9.0128404165247078E-4</v>
      </c>
      <c r="K266" s="2"/>
      <c r="L266" s="7">
        <f t="shared" si="99"/>
        <v>-32.889999999999873</v>
      </c>
      <c r="M266" s="2"/>
      <c r="N266" s="6">
        <f t="shared" si="100"/>
        <v>-8.9108642644269501E-3</v>
      </c>
      <c r="O266" s="11"/>
      <c r="P266" s="7">
        <v>11561.77</v>
      </c>
      <c r="Q266" s="2"/>
      <c r="R266" s="6">
        <f t="shared" si="101"/>
        <v>1.1877748517604488E-3</v>
      </c>
      <c r="S266" s="2"/>
      <c r="T266" s="7">
        <v>10054</v>
      </c>
      <c r="U266" s="2"/>
      <c r="V266" s="6">
        <f t="shared" si="102"/>
        <v>9.8805693547899891E-4</v>
      </c>
      <c r="W266" s="2"/>
      <c r="X266" s="7">
        <f t="shared" si="103"/>
        <v>1507.7700000000004</v>
      </c>
      <c r="Y266" s="2"/>
      <c r="Z266" s="6">
        <f t="shared" si="104"/>
        <v>0.14996717724288844</v>
      </c>
    </row>
    <row r="267" spans="1:26" s="24" customFormat="1" hidden="1" outlineLevel="2" x14ac:dyDescent="0.25">
      <c r="A267" s="25"/>
      <c r="B267" s="11" t="str">
        <f>CONCATENATE("          ", "6283", " - ", "PLANT SERVICE")</f>
        <v xml:space="preserve">          6283 - PLANT SERVICE</v>
      </c>
      <c r="C267" s="11"/>
      <c r="D267" s="7">
        <v>380.44</v>
      </c>
      <c r="E267" s="2"/>
      <c r="F267" s="6">
        <f t="shared" si="97"/>
        <v>9.4901987418092893E-5</v>
      </c>
      <c r="G267" s="2"/>
      <c r="H267" s="7">
        <v>245</v>
      </c>
      <c r="I267" s="2"/>
      <c r="J267" s="6">
        <f t="shared" si="98"/>
        <v>5.9825139584084353E-5</v>
      </c>
      <c r="K267" s="2"/>
      <c r="L267" s="7">
        <f t="shared" si="99"/>
        <v>135.44</v>
      </c>
      <c r="M267" s="2"/>
      <c r="N267" s="6">
        <f t="shared" si="100"/>
        <v>0.55281632653061219</v>
      </c>
      <c r="O267" s="11"/>
      <c r="P267" s="7">
        <v>1141.32</v>
      </c>
      <c r="Q267" s="2"/>
      <c r="R267" s="6">
        <f t="shared" si="101"/>
        <v>1.1725118159340961E-4</v>
      </c>
      <c r="S267" s="2"/>
      <c r="T267" s="7">
        <v>700</v>
      </c>
      <c r="U267" s="2"/>
      <c r="V267" s="6">
        <f t="shared" si="102"/>
        <v>6.8792505951392396E-5</v>
      </c>
      <c r="W267" s="2"/>
      <c r="X267" s="7">
        <f t="shared" si="103"/>
        <v>441.31999999999994</v>
      </c>
      <c r="Y267" s="2"/>
      <c r="Z267" s="6">
        <f t="shared" si="104"/>
        <v>0.63045714285714272</v>
      </c>
    </row>
    <row r="268" spans="1:26" s="24" customFormat="1" hidden="1" outlineLevel="2" x14ac:dyDescent="0.25">
      <c r="A268" s="25"/>
      <c r="B268" s="11" t="str">
        <f>CONCATENATE("          ", "6284", " - ", "TRASH REMOVAL EXPENSE")</f>
        <v xml:space="preserve">          6284 - TRASH REMOVAL EXPENSE</v>
      </c>
      <c r="C268" s="11"/>
      <c r="D268" s="7">
        <v>994.82</v>
      </c>
      <c r="E268" s="2"/>
      <c r="F268" s="6">
        <f t="shared" si="97"/>
        <v>2.4816106382942693E-4</v>
      </c>
      <c r="G268" s="2"/>
      <c r="H268" s="7">
        <v>4227.5</v>
      </c>
      <c r="I268" s="2"/>
      <c r="J268" s="6">
        <f t="shared" si="98"/>
        <v>1.0322888881294555E-3</v>
      </c>
      <c r="K268" s="2"/>
      <c r="L268" s="7">
        <f t="shared" si="99"/>
        <v>-3232.68</v>
      </c>
      <c r="M268" s="2"/>
      <c r="N268" s="6">
        <f t="shared" si="100"/>
        <v>-0.7646788882318154</v>
      </c>
      <c r="O268" s="11"/>
      <c r="P268" s="7">
        <v>5700.46</v>
      </c>
      <c r="Q268" s="2"/>
      <c r="R268" s="6">
        <f t="shared" si="101"/>
        <v>5.8562512759433624E-4</v>
      </c>
      <c r="S268" s="2"/>
      <c r="T268" s="7">
        <v>12782.5</v>
      </c>
      <c r="U268" s="2"/>
      <c r="V268" s="6">
        <f t="shared" si="102"/>
        <v>1.2562002961766764E-3</v>
      </c>
      <c r="W268" s="2"/>
      <c r="X268" s="7">
        <f t="shared" si="103"/>
        <v>-7082.04</v>
      </c>
      <c r="Y268" s="2"/>
      <c r="Z268" s="6">
        <f t="shared" si="104"/>
        <v>-0.55404185409739881</v>
      </c>
    </row>
    <row r="269" spans="1:26" s="24" customFormat="1" hidden="1" outlineLevel="2" x14ac:dyDescent="0.25">
      <c r="A269" s="25"/>
      <c r="B269" s="11" t="str">
        <f>CONCATENATE("          ", "6285", " - ", "JANITORIAL SERVICES")</f>
        <v xml:space="preserve">          6285 - JANITORIAL SERVICES</v>
      </c>
      <c r="C269" s="11"/>
      <c r="D269" s="7">
        <v>32138.240000000002</v>
      </c>
      <c r="E269" s="2"/>
      <c r="F269" s="6">
        <f t="shared" si="97"/>
        <v>8.0169878249386223E-3</v>
      </c>
      <c r="G269" s="2"/>
      <c r="H269" s="7">
        <v>29629</v>
      </c>
      <c r="I269" s="2"/>
      <c r="J269" s="6">
        <f t="shared" si="98"/>
        <v>7.2349349417830016E-3</v>
      </c>
      <c r="K269" s="2"/>
      <c r="L269" s="7">
        <f t="shared" si="99"/>
        <v>2509.2400000000016</v>
      </c>
      <c r="M269" s="2"/>
      <c r="N269" s="6">
        <f t="shared" si="100"/>
        <v>8.4688649633804777E-2</v>
      </c>
      <c r="O269" s="11"/>
      <c r="P269" s="7">
        <v>91238.7</v>
      </c>
      <c r="Q269" s="2"/>
      <c r="R269" s="6">
        <f t="shared" si="101"/>
        <v>9.3732216924671628E-3</v>
      </c>
      <c r="S269" s="2"/>
      <c r="T269" s="7">
        <v>86593</v>
      </c>
      <c r="U269" s="2"/>
      <c r="V269" s="6">
        <f t="shared" si="102"/>
        <v>8.5099278112127467E-3</v>
      </c>
      <c r="W269" s="2"/>
      <c r="X269" s="7">
        <f t="shared" si="103"/>
        <v>4645.6999999999971</v>
      </c>
      <c r="Y269" s="2"/>
      <c r="Z269" s="6">
        <f t="shared" si="104"/>
        <v>5.3649833127389017E-2</v>
      </c>
    </row>
    <row r="270" spans="1:26" s="24" customFormat="1" hidden="1" outlineLevel="2" x14ac:dyDescent="0.25">
      <c r="A270" s="25"/>
      <c r="B270" s="11" t="str">
        <f>CONCATENATE("          ", "6286", " - ", "LAUNDRY EXPENSE")</f>
        <v xml:space="preserve">          6286 - LAUNDRY EXPENSE</v>
      </c>
      <c r="C270" s="11"/>
      <c r="D270" s="7">
        <v>9243.31</v>
      </c>
      <c r="E270" s="2"/>
      <c r="F270" s="6">
        <f t="shared" si="97"/>
        <v>2.305773549893629E-3</v>
      </c>
      <c r="G270" s="2"/>
      <c r="H270" s="7">
        <v>9100</v>
      </c>
      <c r="I270" s="2"/>
      <c r="J270" s="6">
        <f t="shared" si="98"/>
        <v>2.2220766131231329E-3</v>
      </c>
      <c r="K270" s="2"/>
      <c r="L270" s="7">
        <f t="shared" si="99"/>
        <v>143.30999999999949</v>
      </c>
      <c r="M270" s="2"/>
      <c r="N270" s="6">
        <f t="shared" si="100"/>
        <v>1.5748351648351592E-2</v>
      </c>
      <c r="O270" s="11"/>
      <c r="P270" s="7">
        <v>26280.32</v>
      </c>
      <c r="Q270" s="2"/>
      <c r="R270" s="6">
        <f t="shared" si="101"/>
        <v>2.699855056121784E-3</v>
      </c>
      <c r="S270" s="2"/>
      <c r="T270" s="7">
        <v>24381</v>
      </c>
      <c r="U270" s="2"/>
      <c r="V270" s="6">
        <f t="shared" si="102"/>
        <v>2.3960429822869975E-3</v>
      </c>
      <c r="W270" s="2"/>
      <c r="X270" s="7">
        <f t="shared" si="103"/>
        <v>1899.3199999999997</v>
      </c>
      <c r="Y270" s="2"/>
      <c r="Z270" s="6">
        <f t="shared" si="104"/>
        <v>7.7901644723350136E-2</v>
      </c>
    </row>
    <row r="271" spans="1:26" s="26" customFormat="1" outlineLevel="1" collapsed="1" x14ac:dyDescent="0.25">
      <c r="A271" s="27"/>
      <c r="B271" s="13" t="str">
        <f>CONCATENATE("     ","Subscriptions &amp; Dues                              ")</f>
        <v xml:space="preserve">     Subscriptions &amp; Dues                              </v>
      </c>
      <c r="C271" s="13"/>
      <c r="D271" s="1">
        <f>SUM(OSRRefD22_21x_0)</f>
        <v>1337.8</v>
      </c>
      <c r="E271" s="1"/>
      <c r="F271" s="5">
        <f t="shared" ref="F271:F273" si="105">IF(D$12=0,0,D271/D$12)</f>
        <v>3.3371853319294676E-4</v>
      </c>
      <c r="G271" s="1"/>
      <c r="H271" s="1">
        <f>SUM(OSRRefH22_21x_0)</f>
        <v>2089</v>
      </c>
      <c r="I271" s="1"/>
      <c r="J271" s="5">
        <f t="shared" ref="J271:J273" si="106">IF(H$12=0,0,H271/H$12)</f>
        <v>5.1010088404551928E-4</v>
      </c>
      <c r="K271" s="1"/>
      <c r="L271" s="1">
        <f t="shared" ref="L271:L273" si="107">+D271-H271</f>
        <v>-751.2</v>
      </c>
      <c r="M271" s="1"/>
      <c r="N271" s="5">
        <f t="shared" ref="N271:N273" si="108">IF(H271=0,0,L271/H271)</f>
        <v>-0.35959789372905698</v>
      </c>
      <c r="O271" s="13"/>
      <c r="P271" s="1">
        <f>SUM(OSRRefP22_21x_0)</f>
        <v>-1468.9700000000003</v>
      </c>
      <c r="Q271" s="1"/>
      <c r="R271" s="5">
        <f t="shared" ref="R271:R273" si="109">IF(P$12=0,0,P271/P$12)</f>
        <v>-1.5091163584732674E-4</v>
      </c>
      <c r="S271" s="1"/>
      <c r="T271" s="1">
        <f>SUM(OSRRefT22_21x_0)</f>
        <v>6937</v>
      </c>
      <c r="U271" s="1"/>
      <c r="V271" s="5">
        <f t="shared" ref="V271:V273" si="110">IF(T$12=0,0,T271/T$12)</f>
        <v>6.8173373397829873E-4</v>
      </c>
      <c r="W271" s="1"/>
      <c r="X271" s="1">
        <f t="shared" ref="X271:X273" si="111">+P271-T271</f>
        <v>-8405.9700000000012</v>
      </c>
      <c r="Y271" s="1"/>
      <c r="Z271" s="5">
        <f t="shared" ref="Z271:Z273" si="112">IF(T271=0,0,X271/T271)</f>
        <v>-1.2117586853106532</v>
      </c>
    </row>
    <row r="272" spans="1:26" s="24" customFormat="1" hidden="1" outlineLevel="2" x14ac:dyDescent="0.25">
      <c r="A272" s="25"/>
      <c r="B272" s="11" t="str">
        <f>CONCATENATE("          ", "6258", " - ", "MEMBERSHIP DUES")</f>
        <v xml:space="preserve">          6258 - MEMBERSHIP DUES</v>
      </c>
      <c r="C272" s="11"/>
      <c r="D272" s="7">
        <v>250</v>
      </c>
      <c r="E272" s="2"/>
      <c r="F272" s="6">
        <f t="shared" si="105"/>
        <v>6.2363307892238519E-5</v>
      </c>
      <c r="G272" s="2"/>
      <c r="H272" s="7">
        <v>1300</v>
      </c>
      <c r="I272" s="2"/>
      <c r="J272" s="6">
        <f t="shared" si="106"/>
        <v>3.1743951616044759E-4</v>
      </c>
      <c r="K272" s="2"/>
      <c r="L272" s="7">
        <f t="shared" si="107"/>
        <v>-1050</v>
      </c>
      <c r="M272" s="2"/>
      <c r="N272" s="6">
        <f t="shared" si="108"/>
        <v>-0.80769230769230771</v>
      </c>
      <c r="O272" s="11"/>
      <c r="P272" s="7">
        <v>-4091.15</v>
      </c>
      <c r="Q272" s="2"/>
      <c r="R272" s="6">
        <f t="shared" si="109"/>
        <v>-4.2029594817919407E-4</v>
      </c>
      <c r="S272" s="2"/>
      <c r="T272" s="7">
        <v>3695</v>
      </c>
      <c r="U272" s="2"/>
      <c r="V272" s="6">
        <f t="shared" si="110"/>
        <v>3.631261564148499E-4</v>
      </c>
      <c r="W272" s="2"/>
      <c r="X272" s="7">
        <f t="shared" si="111"/>
        <v>-7786.15</v>
      </c>
      <c r="Y272" s="2"/>
      <c r="Z272" s="6">
        <f t="shared" si="112"/>
        <v>-2.1072124492557509</v>
      </c>
    </row>
    <row r="273" spans="1:26" s="24" customFormat="1" hidden="1" outlineLevel="2" x14ac:dyDescent="0.25">
      <c r="A273" s="25"/>
      <c r="B273" s="11" t="str">
        <f>CONCATENATE("          ", "6275", " - ", "SUBSCRIPTIONS")</f>
        <v xml:space="preserve">          6275 - SUBSCRIPTIONS</v>
      </c>
      <c r="C273" s="11"/>
      <c r="D273" s="7">
        <v>1087.8</v>
      </c>
      <c r="E273" s="2"/>
      <c r="F273" s="6">
        <f t="shared" si="105"/>
        <v>2.7135522530070825E-4</v>
      </c>
      <c r="G273" s="2"/>
      <c r="H273" s="7">
        <v>789</v>
      </c>
      <c r="I273" s="2"/>
      <c r="J273" s="6">
        <f t="shared" si="106"/>
        <v>1.9266136788507164E-4</v>
      </c>
      <c r="K273" s="2"/>
      <c r="L273" s="7">
        <f t="shared" si="107"/>
        <v>298.79999999999995</v>
      </c>
      <c r="M273" s="2"/>
      <c r="N273" s="6">
        <f t="shared" si="108"/>
        <v>0.37870722433460069</v>
      </c>
      <c r="O273" s="11"/>
      <c r="P273" s="7">
        <v>2622.18</v>
      </c>
      <c r="Q273" s="2"/>
      <c r="R273" s="6">
        <f t="shared" si="109"/>
        <v>2.693843123318673E-4</v>
      </c>
      <c r="S273" s="2"/>
      <c r="T273" s="7">
        <v>3242</v>
      </c>
      <c r="U273" s="2"/>
      <c r="V273" s="6">
        <f t="shared" si="110"/>
        <v>3.1860757756344883E-4</v>
      </c>
      <c r="W273" s="2"/>
      <c r="X273" s="7">
        <f t="shared" si="111"/>
        <v>-619.82000000000016</v>
      </c>
      <c r="Y273" s="2"/>
      <c r="Z273" s="6">
        <f t="shared" si="112"/>
        <v>-0.19118445404071566</v>
      </c>
    </row>
    <row r="274" spans="1:26" s="26" customFormat="1" outlineLevel="1" collapsed="1" x14ac:dyDescent="0.25">
      <c r="A274" s="27"/>
      <c r="B274" s="13" t="str">
        <f>CONCATENATE("     ","Supplies                                          ")</f>
        <v xml:space="preserve">     Supplies                                          </v>
      </c>
      <c r="C274" s="13"/>
      <c r="D274" s="1">
        <f>SUM(OSRRefD22_22x_0)</f>
        <v>82233.450000000012</v>
      </c>
      <c r="E274" s="1"/>
      <c r="F274" s="5">
        <f t="shared" ref="F274:F284" si="113">IF(D$12=0,0,D274/D$12)</f>
        <v>2.0513399845564009E-2</v>
      </c>
      <c r="G274" s="1"/>
      <c r="H274" s="1">
        <f>SUM(OSRRefH22_22x_0)</f>
        <v>71388</v>
      </c>
      <c r="I274" s="1"/>
      <c r="J274" s="5">
        <f t="shared" ref="J274:J284" si="114">IF(H$12=0,0,H274/H$12)</f>
        <v>1.7431824753586178E-2</v>
      </c>
      <c r="K274" s="1"/>
      <c r="L274" s="1">
        <f t="shared" ref="L274:L284" si="115">+D274-H274</f>
        <v>10845.450000000012</v>
      </c>
      <c r="M274" s="1"/>
      <c r="N274" s="5">
        <f t="shared" ref="N274:N284" si="116">IF(H274=0,0,L274/H274)</f>
        <v>0.15192259203227448</v>
      </c>
      <c r="O274" s="13"/>
      <c r="P274" s="1">
        <f>SUM(OSRRefP22_22x_0)</f>
        <v>213810.63999999998</v>
      </c>
      <c r="Q274" s="1"/>
      <c r="R274" s="5">
        <f t="shared" ref="R274:R284" si="117">IF(P$12=0,0,P274/P$12)</f>
        <v>2.1965399867910077E-2</v>
      </c>
      <c r="S274" s="1"/>
      <c r="T274" s="1">
        <f>SUM(OSRRefT22_22x_0)</f>
        <v>212485.33000000002</v>
      </c>
      <c r="U274" s="1"/>
      <c r="V274" s="5">
        <f t="shared" ref="V274:V284" si="118">IF(T$12=0,0,T274/T$12)</f>
        <v>2.0881997612297972E-2</v>
      </c>
      <c r="W274" s="1"/>
      <c r="X274" s="1">
        <f t="shared" ref="X274:X284" si="119">+P274-T274</f>
        <v>1325.3099999999686</v>
      </c>
      <c r="Y274" s="1"/>
      <c r="Z274" s="5">
        <f t="shared" ref="Z274:Z284" si="120">IF(T274=0,0,X274/T274)</f>
        <v>6.2371835269755729E-3</v>
      </c>
    </row>
    <row r="275" spans="1:26" s="24" customFormat="1" hidden="1" outlineLevel="2" x14ac:dyDescent="0.25">
      <c r="A275" s="25"/>
      <c r="B275" s="11" t="str">
        <f>CONCATENATE("          ", "6234", " - ", "EXPENDABLE SUPPLIES &amp; EQUIPMEN")</f>
        <v xml:space="preserve">          6234 - EXPENDABLE SUPPLIES &amp; EQUIPMEN</v>
      </c>
      <c r="C275" s="11"/>
      <c r="D275" s="7">
        <v>7670.09</v>
      </c>
      <c r="E275" s="2"/>
      <c r="F275" s="6">
        <f t="shared" si="113"/>
        <v>1.9133287369247191E-3</v>
      </c>
      <c r="G275" s="2"/>
      <c r="H275" s="7">
        <v>8000</v>
      </c>
      <c r="I275" s="2"/>
      <c r="J275" s="6">
        <f t="shared" si="114"/>
        <v>1.9534739456027544E-3</v>
      </c>
      <c r="K275" s="2"/>
      <c r="L275" s="7">
        <f t="shared" si="115"/>
        <v>-329.90999999999985</v>
      </c>
      <c r="M275" s="2"/>
      <c r="N275" s="6">
        <f t="shared" si="116"/>
        <v>-4.1238749999999984E-2</v>
      </c>
      <c r="O275" s="11"/>
      <c r="P275" s="7">
        <v>10863.7</v>
      </c>
      <c r="Q275" s="2"/>
      <c r="R275" s="6">
        <f t="shared" si="117"/>
        <v>1.1160600545651737E-3</v>
      </c>
      <c r="S275" s="2"/>
      <c r="T275" s="7">
        <v>28800</v>
      </c>
      <c r="U275" s="2"/>
      <c r="V275" s="6">
        <f t="shared" si="118"/>
        <v>2.8303202448572875E-3</v>
      </c>
      <c r="W275" s="2"/>
      <c r="X275" s="7">
        <f t="shared" si="119"/>
        <v>-17936.3</v>
      </c>
      <c r="Y275" s="2"/>
      <c r="Z275" s="6">
        <f t="shared" si="120"/>
        <v>-0.62278819444444444</v>
      </c>
    </row>
    <row r="276" spans="1:26" s="24" customFormat="1" hidden="1" outlineLevel="2" x14ac:dyDescent="0.25">
      <c r="A276" s="25"/>
      <c r="B276" s="11" t="str">
        <f>CONCATENATE("          ", "6237", " - ", "JANITORIAL SUPPLIES")</f>
        <v xml:space="preserve">          6237 - JANITORIAL SUPPLIES</v>
      </c>
      <c r="C276" s="11"/>
      <c r="D276" s="7">
        <v>12438.17</v>
      </c>
      <c r="E276" s="2"/>
      <c r="F276" s="6">
        <f t="shared" si="113"/>
        <v>3.1027417013040175E-3</v>
      </c>
      <c r="G276" s="2"/>
      <c r="H276" s="7">
        <v>14641</v>
      </c>
      <c r="I276" s="2"/>
      <c r="J276" s="6">
        <f t="shared" si="114"/>
        <v>3.5751015046962408E-3</v>
      </c>
      <c r="K276" s="2"/>
      <c r="L276" s="7">
        <f t="shared" si="115"/>
        <v>-2202.83</v>
      </c>
      <c r="M276" s="2"/>
      <c r="N276" s="6">
        <f t="shared" si="116"/>
        <v>-0.15045625298818385</v>
      </c>
      <c r="O276" s="11"/>
      <c r="P276" s="7">
        <v>37501.420000000006</v>
      </c>
      <c r="Q276" s="2"/>
      <c r="R276" s="6">
        <f t="shared" si="117"/>
        <v>3.8526318704926962E-3</v>
      </c>
      <c r="S276" s="2"/>
      <c r="T276" s="7">
        <v>42938</v>
      </c>
      <c r="U276" s="2"/>
      <c r="V276" s="6">
        <f t="shared" si="118"/>
        <v>4.2197323150584103E-3</v>
      </c>
      <c r="W276" s="2"/>
      <c r="X276" s="7">
        <f t="shared" si="119"/>
        <v>-5436.5799999999945</v>
      </c>
      <c r="Y276" s="2"/>
      <c r="Z276" s="6">
        <f t="shared" si="120"/>
        <v>-0.12661465368671093</v>
      </c>
    </row>
    <row r="277" spans="1:26" s="24" customFormat="1" hidden="1" outlineLevel="2" x14ac:dyDescent="0.25">
      <c r="A277" s="25"/>
      <c r="B277" s="11" t="str">
        <f>CONCATENATE("          ", "6239", " - ", "KITCHEN SUPPLIES")</f>
        <v xml:space="preserve">          6239 - KITCHEN SUPPLIES</v>
      </c>
      <c r="C277" s="11"/>
      <c r="D277" s="7">
        <v>16957.86</v>
      </c>
      <c r="E277" s="2"/>
      <c r="F277" s="6">
        <f t="shared" si="113"/>
        <v>4.2301929774939042E-3</v>
      </c>
      <c r="G277" s="2"/>
      <c r="H277" s="7">
        <v>7050</v>
      </c>
      <c r="I277" s="2"/>
      <c r="J277" s="6">
        <f t="shared" si="114"/>
        <v>1.7214989145624272E-3</v>
      </c>
      <c r="K277" s="2"/>
      <c r="L277" s="7">
        <f t="shared" si="115"/>
        <v>9907.86</v>
      </c>
      <c r="M277" s="2"/>
      <c r="N277" s="6">
        <f t="shared" si="116"/>
        <v>1.4053702127659575</v>
      </c>
      <c r="O277" s="11"/>
      <c r="P277" s="7">
        <v>33175.129999999997</v>
      </c>
      <c r="Q277" s="2"/>
      <c r="R277" s="6">
        <f t="shared" si="117"/>
        <v>3.4081792941637497E-3</v>
      </c>
      <c r="S277" s="2"/>
      <c r="T277" s="7">
        <v>28616</v>
      </c>
      <c r="U277" s="2"/>
      <c r="V277" s="6">
        <f t="shared" si="118"/>
        <v>2.8122376432929215E-3</v>
      </c>
      <c r="W277" s="2"/>
      <c r="X277" s="7">
        <f t="shared" si="119"/>
        <v>4559.1299999999974</v>
      </c>
      <c r="Y277" s="2"/>
      <c r="Z277" s="6">
        <f t="shared" si="120"/>
        <v>0.15932100922560796</v>
      </c>
    </row>
    <row r="278" spans="1:26" s="24" customFormat="1" hidden="1" outlineLevel="2" x14ac:dyDescent="0.25">
      <c r="A278" s="25"/>
      <c r="B278" s="11" t="str">
        <f>CONCATENATE("          ", "6241", " - ", "OFFICE EXPENSE")</f>
        <v xml:space="preserve">          6241 - OFFICE EXPENSE</v>
      </c>
      <c r="C278" s="11"/>
      <c r="D278" s="7">
        <v>10026.39</v>
      </c>
      <c r="E278" s="2"/>
      <c r="F278" s="6">
        <f t="shared" si="113"/>
        <v>2.5011153864706454E-3</v>
      </c>
      <c r="G278" s="2"/>
      <c r="H278" s="7">
        <v>4064</v>
      </c>
      <c r="I278" s="2"/>
      <c r="J278" s="6">
        <f t="shared" si="114"/>
        <v>9.9236476436619916E-4</v>
      </c>
      <c r="K278" s="2"/>
      <c r="L278" s="7">
        <f t="shared" si="115"/>
        <v>5962.3899999999994</v>
      </c>
      <c r="M278" s="2"/>
      <c r="N278" s="6">
        <f t="shared" si="116"/>
        <v>1.467123523622047</v>
      </c>
      <c r="O278" s="11"/>
      <c r="P278" s="7">
        <v>61189.170000000006</v>
      </c>
      <c r="Q278" s="2"/>
      <c r="R278" s="6">
        <f t="shared" si="117"/>
        <v>6.2861445372200718E-3</v>
      </c>
      <c r="S278" s="2"/>
      <c r="T278" s="7">
        <v>11264.25</v>
      </c>
      <c r="U278" s="2"/>
      <c r="V278" s="6">
        <f t="shared" si="118"/>
        <v>1.1069942645185312E-3</v>
      </c>
      <c r="W278" s="2"/>
      <c r="X278" s="7">
        <f t="shared" si="119"/>
        <v>49924.920000000006</v>
      </c>
      <c r="Y278" s="2"/>
      <c r="Z278" s="6">
        <f t="shared" si="120"/>
        <v>4.4321566016379261</v>
      </c>
    </row>
    <row r="279" spans="1:26" s="24" customFormat="1" hidden="1" outlineLevel="2" x14ac:dyDescent="0.25">
      <c r="A279" s="25"/>
      <c r="B279" s="11" t="str">
        <f>CONCATENATE("          ", "6243", " - ", "PAPER SUPPLIES")</f>
        <v xml:space="preserve">          6243 - PAPER SUPPLIES</v>
      </c>
      <c r="C279" s="11"/>
      <c r="D279" s="7">
        <v>10742.08</v>
      </c>
      <c r="E279" s="2"/>
      <c r="F279" s="6">
        <f t="shared" si="113"/>
        <v>2.6796465697722302E-3</v>
      </c>
      <c r="G279" s="2"/>
      <c r="H279" s="7">
        <v>12254</v>
      </c>
      <c r="I279" s="2"/>
      <c r="J279" s="6">
        <f t="shared" si="114"/>
        <v>2.9922337161770191E-3</v>
      </c>
      <c r="K279" s="2"/>
      <c r="L279" s="7">
        <f t="shared" si="115"/>
        <v>-1511.92</v>
      </c>
      <c r="M279" s="2"/>
      <c r="N279" s="6">
        <f t="shared" si="116"/>
        <v>-0.12338175289701322</v>
      </c>
      <c r="O279" s="11"/>
      <c r="P279" s="7">
        <v>30475.699999999997</v>
      </c>
      <c r="Q279" s="2"/>
      <c r="R279" s="6">
        <f t="shared" si="117"/>
        <v>3.1308588606931212E-3</v>
      </c>
      <c r="S279" s="2"/>
      <c r="T279" s="7">
        <v>31458</v>
      </c>
      <c r="U279" s="2"/>
      <c r="V279" s="6">
        <f t="shared" si="118"/>
        <v>3.0915352174555747E-3</v>
      </c>
      <c r="W279" s="2"/>
      <c r="X279" s="7">
        <f t="shared" si="119"/>
        <v>-982.30000000000291</v>
      </c>
      <c r="Y279" s="2"/>
      <c r="Z279" s="6">
        <f t="shared" si="120"/>
        <v>-3.1225761332570504E-2</v>
      </c>
    </row>
    <row r="280" spans="1:26" s="24" customFormat="1" hidden="1" outlineLevel="2" x14ac:dyDescent="0.25">
      <c r="A280" s="25"/>
      <c r="B280" s="11" t="str">
        <f>CONCATENATE("          ", "6244", " - ", "SAFETY SUPPLY EXPENSE")</f>
        <v xml:space="preserve">          6244 - SAFETY SUPPLY EXPENSE</v>
      </c>
      <c r="C280" s="11"/>
      <c r="D280" s="7"/>
      <c r="E280" s="2"/>
      <c r="F280" s="6">
        <f t="shared" si="113"/>
        <v>0</v>
      </c>
      <c r="G280" s="2"/>
      <c r="H280" s="7">
        <v>235</v>
      </c>
      <c r="I280" s="2"/>
      <c r="J280" s="6">
        <f t="shared" si="114"/>
        <v>5.7383297152080912E-5</v>
      </c>
      <c r="K280" s="2"/>
      <c r="L280" s="7">
        <f t="shared" si="115"/>
        <v>-235</v>
      </c>
      <c r="M280" s="2"/>
      <c r="N280" s="6">
        <f t="shared" si="116"/>
        <v>-1</v>
      </c>
      <c r="O280" s="11"/>
      <c r="P280" s="7"/>
      <c r="Q280" s="2"/>
      <c r="R280" s="6">
        <f t="shared" si="117"/>
        <v>0</v>
      </c>
      <c r="S280" s="2"/>
      <c r="T280" s="7">
        <v>735</v>
      </c>
      <c r="U280" s="2"/>
      <c r="V280" s="6">
        <f t="shared" si="118"/>
        <v>7.2232131248962025E-5</v>
      </c>
      <c r="W280" s="2"/>
      <c r="X280" s="7">
        <f t="shared" si="119"/>
        <v>-735</v>
      </c>
      <c r="Y280" s="2"/>
      <c r="Z280" s="6">
        <f t="shared" si="120"/>
        <v>-1</v>
      </c>
    </row>
    <row r="281" spans="1:26" s="24" customFormat="1" hidden="1" outlineLevel="2" x14ac:dyDescent="0.25">
      <c r="A281" s="25"/>
      <c r="B281" s="11" t="str">
        <f>CONCATENATE("          ", "6245", " - ", "PRINTING")</f>
        <v xml:space="preserve">          6245 - PRINTING</v>
      </c>
      <c r="C281" s="11"/>
      <c r="D281" s="7">
        <v>439.54</v>
      </c>
      <c r="E281" s="2"/>
      <c r="F281" s="6">
        <f t="shared" si="113"/>
        <v>1.0964467340381808E-4</v>
      </c>
      <c r="G281" s="2"/>
      <c r="H281" s="7">
        <v>310</v>
      </c>
      <c r="I281" s="2"/>
      <c r="J281" s="6">
        <f t="shared" si="114"/>
        <v>7.5697115392106735E-5</v>
      </c>
      <c r="K281" s="2"/>
      <c r="L281" s="7">
        <f t="shared" si="115"/>
        <v>129.54000000000002</v>
      </c>
      <c r="M281" s="2"/>
      <c r="N281" s="6">
        <f t="shared" si="116"/>
        <v>0.41787096774193555</v>
      </c>
      <c r="O281" s="11"/>
      <c r="P281" s="7">
        <v>6918.57</v>
      </c>
      <c r="Q281" s="2"/>
      <c r="R281" s="6">
        <f t="shared" si="117"/>
        <v>7.1076517316503345E-4</v>
      </c>
      <c r="S281" s="2"/>
      <c r="T281" s="7">
        <v>1870</v>
      </c>
      <c r="U281" s="2"/>
      <c r="V281" s="6">
        <f t="shared" si="118"/>
        <v>1.837742658987197E-4</v>
      </c>
      <c r="W281" s="2"/>
      <c r="X281" s="7">
        <f t="shared" si="119"/>
        <v>5048.57</v>
      </c>
      <c r="Y281" s="2"/>
      <c r="Z281" s="6">
        <f t="shared" si="120"/>
        <v>2.6997700534759357</v>
      </c>
    </row>
    <row r="282" spans="1:26" s="24" customFormat="1" hidden="1" outlineLevel="2" x14ac:dyDescent="0.25">
      <c r="A282" s="25"/>
      <c r="B282" s="11" t="str">
        <f>CONCATENATE("          ", "6246", " - ", "REPLACEMENTS")</f>
        <v xml:space="preserve">          6246 - REPLACEMENTS</v>
      </c>
      <c r="C282" s="11"/>
      <c r="D282" s="7"/>
      <c r="E282" s="2"/>
      <c r="F282" s="6">
        <f t="shared" si="113"/>
        <v>0</v>
      </c>
      <c r="G282" s="2"/>
      <c r="H282" s="7"/>
      <c r="I282" s="2"/>
      <c r="J282" s="6">
        <f t="shared" si="114"/>
        <v>0</v>
      </c>
      <c r="K282" s="2"/>
      <c r="L282" s="7">
        <f t="shared" si="115"/>
        <v>0</v>
      </c>
      <c r="M282" s="2"/>
      <c r="N282" s="6">
        <f t="shared" si="116"/>
        <v>0</v>
      </c>
      <c r="O282" s="11"/>
      <c r="P282" s="7"/>
      <c r="Q282" s="2"/>
      <c r="R282" s="6">
        <f t="shared" si="117"/>
        <v>0</v>
      </c>
      <c r="S282" s="2"/>
      <c r="T282" s="7">
        <v>2400</v>
      </c>
      <c r="U282" s="2"/>
      <c r="V282" s="6">
        <f t="shared" si="118"/>
        <v>2.3586002040477393E-4</v>
      </c>
      <c r="W282" s="2"/>
      <c r="X282" s="7">
        <f t="shared" si="119"/>
        <v>-2400</v>
      </c>
      <c r="Y282" s="2"/>
      <c r="Z282" s="6">
        <f t="shared" si="120"/>
        <v>-1</v>
      </c>
    </row>
    <row r="283" spans="1:26" s="24" customFormat="1" hidden="1" outlineLevel="2" x14ac:dyDescent="0.25">
      <c r="A283" s="25"/>
      <c r="B283" s="11" t="str">
        <f>CONCATENATE("          ", "6247", " - ", "STORE SUPPLIES")</f>
        <v xml:space="preserve">          6247 - STORE SUPPLIES</v>
      </c>
      <c r="C283" s="11"/>
      <c r="D283" s="7">
        <v>23289.969999999998</v>
      </c>
      <c r="E283" s="2"/>
      <c r="F283" s="6">
        <f t="shared" si="113"/>
        <v>5.8097582796439928E-3</v>
      </c>
      <c r="G283" s="2"/>
      <c r="H283" s="7">
        <v>23259</v>
      </c>
      <c r="I283" s="2"/>
      <c r="J283" s="6">
        <f t="shared" si="114"/>
        <v>5.6794813125968079E-3</v>
      </c>
      <c r="K283" s="2"/>
      <c r="L283" s="7">
        <f t="shared" si="115"/>
        <v>30.969999999997526</v>
      </c>
      <c r="M283" s="2"/>
      <c r="N283" s="6">
        <f t="shared" si="116"/>
        <v>1.3315275807213348E-3</v>
      </c>
      <c r="O283" s="11"/>
      <c r="P283" s="7">
        <v>34798.870000000003</v>
      </c>
      <c r="Q283" s="2"/>
      <c r="R283" s="6">
        <f t="shared" si="117"/>
        <v>3.5749909101877252E-3</v>
      </c>
      <c r="S283" s="2"/>
      <c r="T283" s="7">
        <v>48379.08</v>
      </c>
      <c r="U283" s="2"/>
      <c r="V283" s="6">
        <f t="shared" si="118"/>
        <v>4.7544544983184134E-3</v>
      </c>
      <c r="W283" s="2"/>
      <c r="X283" s="7">
        <f t="shared" si="119"/>
        <v>-13580.21</v>
      </c>
      <c r="Y283" s="2"/>
      <c r="Z283" s="6">
        <f t="shared" si="120"/>
        <v>-0.28070418040194228</v>
      </c>
    </row>
    <row r="284" spans="1:26" s="24" customFormat="1" hidden="1" outlineLevel="2" x14ac:dyDescent="0.25">
      <c r="A284" s="25"/>
      <c r="B284" s="11" t="str">
        <f>CONCATENATE("          ", "6248", " - ", "UNIFORMS")</f>
        <v xml:space="preserve">          6248 - UNIFORMS</v>
      </c>
      <c r="C284" s="11"/>
      <c r="D284" s="7">
        <v>669.35</v>
      </c>
      <c r="E284" s="2"/>
      <c r="F284" s="6">
        <f t="shared" si="113"/>
        <v>1.6697152055067941E-4</v>
      </c>
      <c r="G284" s="2"/>
      <c r="H284" s="7">
        <v>1575</v>
      </c>
      <c r="I284" s="2"/>
      <c r="J284" s="6">
        <f t="shared" si="114"/>
        <v>3.8459018304054228E-4</v>
      </c>
      <c r="K284" s="2"/>
      <c r="L284" s="7">
        <f t="shared" si="115"/>
        <v>-905.65</v>
      </c>
      <c r="M284" s="2"/>
      <c r="N284" s="6">
        <f t="shared" si="116"/>
        <v>-0.57501587301587298</v>
      </c>
      <c r="O284" s="11"/>
      <c r="P284" s="7">
        <v>-1111.92</v>
      </c>
      <c r="Q284" s="2"/>
      <c r="R284" s="6">
        <f t="shared" si="117"/>
        <v>-1.1423083257749276E-4</v>
      </c>
      <c r="S284" s="2"/>
      <c r="T284" s="7">
        <v>16025</v>
      </c>
      <c r="U284" s="2"/>
      <c r="V284" s="6">
        <f t="shared" si="118"/>
        <v>1.5748570112443761E-3</v>
      </c>
      <c r="W284" s="2"/>
      <c r="X284" s="7">
        <f t="shared" si="119"/>
        <v>-17136.919999999998</v>
      </c>
      <c r="Y284" s="2"/>
      <c r="Z284" s="6">
        <f t="shared" si="120"/>
        <v>-1.0693865834633385</v>
      </c>
    </row>
    <row r="285" spans="1:26" s="26" customFormat="1" outlineLevel="1" collapsed="1" x14ac:dyDescent="0.25">
      <c r="A285" s="27"/>
      <c r="B285" s="13" t="str">
        <f>CONCATENATE("     ","Telephone/Data Lines                              ")</f>
        <v xml:space="preserve">     Telephone/Data Lines                              </v>
      </c>
      <c r="C285" s="13"/>
      <c r="D285" s="1">
        <f>SUM(OSRRefD22_23x_0)</f>
        <v>10736.25</v>
      </c>
      <c r="E285" s="1"/>
      <c r="F285" s="5">
        <f t="shared" ref="F285:F287" si="121">IF(D$12=0,0,D285/D$12)</f>
        <v>2.6781922574321835E-3</v>
      </c>
      <c r="G285" s="1"/>
      <c r="H285" s="1">
        <f>SUM(OSRRefH22_23x_0)</f>
        <v>8246</v>
      </c>
      <c r="I285" s="1"/>
      <c r="J285" s="5">
        <f t="shared" ref="J285:J287" si="122">IF(H$12=0,0,H285/H$12)</f>
        <v>2.0135432694300391E-3</v>
      </c>
      <c r="K285" s="1"/>
      <c r="L285" s="1">
        <f t="shared" ref="L285:L287" si="123">+D285-H285</f>
        <v>2490.25</v>
      </c>
      <c r="M285" s="1"/>
      <c r="N285" s="5">
        <f t="shared" ref="N285:N287" si="124">IF(H285=0,0,L285/H285)</f>
        <v>0.30199490662139217</v>
      </c>
      <c r="O285" s="13"/>
      <c r="P285" s="1">
        <f>SUM(OSRRefP22_23x_0)</f>
        <v>18963.969999999998</v>
      </c>
      <c r="Q285" s="1"/>
      <c r="R285" s="5">
        <f t="shared" ref="R285:R287" si="125">IF(P$12=0,0,P285/P$12)</f>
        <v>1.9482247662373146E-3</v>
      </c>
      <c r="S285" s="1"/>
      <c r="T285" s="1">
        <f>SUM(OSRRefT22_23x_0)</f>
        <v>20148</v>
      </c>
      <c r="U285" s="1"/>
      <c r="V285" s="5">
        <f t="shared" ref="V285:V287" si="126">IF(T$12=0,0,T285/T$12)</f>
        <v>1.9800448712980773E-3</v>
      </c>
      <c r="W285" s="1"/>
      <c r="X285" s="1">
        <f t="shared" ref="X285:X287" si="127">+P285-T285</f>
        <v>-1184.0300000000025</v>
      </c>
      <c r="Y285" s="1"/>
      <c r="Z285" s="5">
        <f t="shared" ref="Z285:Z287" si="128">IF(T285=0,0,X285/T285)</f>
        <v>-5.876662696049248E-2</v>
      </c>
    </row>
    <row r="286" spans="1:26" s="24" customFormat="1" hidden="1" outlineLevel="2" x14ac:dyDescent="0.25">
      <c r="A286" s="25"/>
      <c r="B286" s="11" t="str">
        <f>CONCATENATE("          ", "6303", " - ", "DATA PHONE LINES")</f>
        <v xml:space="preserve">          6303 - DATA PHONE LINES</v>
      </c>
      <c r="C286" s="11"/>
      <c r="D286" s="7">
        <v>295</v>
      </c>
      <c r="E286" s="2"/>
      <c r="F286" s="6">
        <f t="shared" si="121"/>
        <v>7.3588703312841452E-5</v>
      </c>
      <c r="G286" s="2"/>
      <c r="H286" s="7">
        <v>2728</v>
      </c>
      <c r="I286" s="2"/>
      <c r="J286" s="6">
        <f t="shared" si="122"/>
        <v>6.6613461545053925E-4</v>
      </c>
      <c r="K286" s="2"/>
      <c r="L286" s="7">
        <f t="shared" si="123"/>
        <v>-2433</v>
      </c>
      <c r="M286" s="2"/>
      <c r="N286" s="6">
        <f t="shared" si="124"/>
        <v>-0.89186217008797652</v>
      </c>
      <c r="O286" s="11"/>
      <c r="P286" s="7">
        <v>885</v>
      </c>
      <c r="Q286" s="2"/>
      <c r="R286" s="6">
        <f t="shared" si="125"/>
        <v>9.0918669356681301E-5</v>
      </c>
      <c r="S286" s="2"/>
      <c r="T286" s="7">
        <v>5859</v>
      </c>
      <c r="U286" s="2"/>
      <c r="V286" s="6">
        <f t="shared" si="126"/>
        <v>5.7579327481315445E-4</v>
      </c>
      <c r="W286" s="2"/>
      <c r="X286" s="7">
        <f t="shared" si="127"/>
        <v>-4974</v>
      </c>
      <c r="Y286" s="2"/>
      <c r="Z286" s="6">
        <f t="shared" si="128"/>
        <v>-0.84895033282130061</v>
      </c>
    </row>
    <row r="287" spans="1:26" s="24" customFormat="1" hidden="1" outlineLevel="2" x14ac:dyDescent="0.25">
      <c r="A287" s="25"/>
      <c r="B287" s="11" t="str">
        <f>CONCATENATE("          ", "6309", " - ", "TELEPHONE")</f>
        <v xml:space="preserve">          6309 - TELEPHONE</v>
      </c>
      <c r="C287" s="11"/>
      <c r="D287" s="7">
        <v>10441.25</v>
      </c>
      <c r="E287" s="2"/>
      <c r="F287" s="6">
        <f t="shared" si="121"/>
        <v>2.6046035541193416E-3</v>
      </c>
      <c r="G287" s="2"/>
      <c r="H287" s="7">
        <v>5518</v>
      </c>
      <c r="I287" s="2"/>
      <c r="J287" s="6">
        <f t="shared" si="122"/>
        <v>1.3474086539794999E-3</v>
      </c>
      <c r="K287" s="2"/>
      <c r="L287" s="7">
        <f t="shared" si="123"/>
        <v>4923.25</v>
      </c>
      <c r="M287" s="2"/>
      <c r="N287" s="6">
        <f t="shared" si="124"/>
        <v>0.89221638274737225</v>
      </c>
      <c r="O287" s="11"/>
      <c r="P287" s="7">
        <v>18078.969999999998</v>
      </c>
      <c r="Q287" s="2"/>
      <c r="R287" s="6">
        <f t="shared" si="125"/>
        <v>1.8573060968806333E-3</v>
      </c>
      <c r="S287" s="2"/>
      <c r="T287" s="7">
        <v>14289</v>
      </c>
      <c r="U287" s="2"/>
      <c r="V287" s="6">
        <f t="shared" si="126"/>
        <v>1.4042515964849229E-3</v>
      </c>
      <c r="W287" s="2"/>
      <c r="X287" s="7">
        <f t="shared" si="127"/>
        <v>3789.9699999999975</v>
      </c>
      <c r="Y287" s="2"/>
      <c r="Z287" s="6">
        <f t="shared" si="128"/>
        <v>0.26523689551403162</v>
      </c>
    </row>
    <row r="288" spans="1:26" s="26" customFormat="1" outlineLevel="1" collapsed="1" x14ac:dyDescent="0.25">
      <c r="A288" s="27"/>
      <c r="B288" s="13" t="str">
        <f>CONCATENATE("     ","Training                                          ")</f>
        <v xml:space="preserve">     Training                                          </v>
      </c>
      <c r="C288" s="13"/>
      <c r="D288" s="1">
        <f>SUM(OSRRefD22_24x_0)</f>
        <v>-4279.59</v>
      </c>
      <c r="E288" s="1"/>
      <c r="F288" s="5">
        <f t="shared" ref="F288:F293" si="129">IF(D$12=0,0,D288/D$12)</f>
        <v>-1.0675575552901802E-3</v>
      </c>
      <c r="G288" s="1"/>
      <c r="H288" s="1">
        <f>SUM(OSRRefH22_24x_0)</f>
        <v>2975</v>
      </c>
      <c r="I288" s="1"/>
      <c r="J288" s="5">
        <f t="shared" ref="J288:J293" si="130">IF(H$12=0,0,H288/H$12)</f>
        <v>7.2644812352102434E-4</v>
      </c>
      <c r="K288" s="1"/>
      <c r="L288" s="1">
        <f t="shared" ref="L288:L293" si="131">+D288-H288</f>
        <v>-7254.59</v>
      </c>
      <c r="M288" s="1"/>
      <c r="N288" s="5">
        <f t="shared" ref="N288:N293" si="132">IF(H288=0,0,L288/H288)</f>
        <v>-2.4385176470588235</v>
      </c>
      <c r="O288" s="13"/>
      <c r="P288" s="1">
        <f>SUM(OSRRefP22_24x_0)</f>
        <v>7483.06</v>
      </c>
      <c r="Q288" s="1"/>
      <c r="R288" s="5">
        <f t="shared" ref="R288:R293" si="133">IF(P$12=0,0,P288/P$12)</f>
        <v>7.6875690160023468E-4</v>
      </c>
      <c r="S288" s="1"/>
      <c r="T288" s="1">
        <f>SUM(OSRRefT22_24x_0)</f>
        <v>17963</v>
      </c>
      <c r="U288" s="1"/>
      <c r="V288" s="5">
        <f t="shared" ref="V288:V293" si="134">IF(T$12=0,0,T288/T$12)</f>
        <v>1.7653139777212309E-3</v>
      </c>
      <c r="W288" s="1"/>
      <c r="X288" s="1">
        <f t="shared" ref="X288:X293" si="135">+P288-T288</f>
        <v>-10479.939999999999</v>
      </c>
      <c r="Y288" s="1"/>
      <c r="Z288" s="5">
        <f t="shared" ref="Z288:Z293" si="136">IF(T288=0,0,X288/T288)</f>
        <v>-0.58341813728219105</v>
      </c>
    </row>
    <row r="289" spans="1:26" s="24" customFormat="1" hidden="1" outlineLevel="2" x14ac:dyDescent="0.25">
      <c r="A289" s="25"/>
      <c r="B289" s="11" t="str">
        <f>CONCATENATE("          ", "6376", " - ", "TRAINING")</f>
        <v xml:space="preserve">          6376 - TRAINING</v>
      </c>
      <c r="C289" s="11"/>
      <c r="D289" s="7">
        <v>-4279.59</v>
      </c>
      <c r="E289" s="2"/>
      <c r="F289" s="6">
        <f t="shared" si="129"/>
        <v>-1.0675575552901802E-3</v>
      </c>
      <c r="G289" s="2"/>
      <c r="H289" s="7">
        <v>2975</v>
      </c>
      <c r="I289" s="2"/>
      <c r="J289" s="6">
        <f t="shared" si="130"/>
        <v>7.2644812352102434E-4</v>
      </c>
      <c r="K289" s="2"/>
      <c r="L289" s="7">
        <f t="shared" si="131"/>
        <v>-7254.59</v>
      </c>
      <c r="M289" s="2"/>
      <c r="N289" s="6">
        <f t="shared" si="132"/>
        <v>-2.4385176470588235</v>
      </c>
      <c r="O289" s="11"/>
      <c r="P289" s="7">
        <v>7483.06</v>
      </c>
      <c r="Q289" s="2"/>
      <c r="R289" s="6">
        <f t="shared" si="133"/>
        <v>7.6875690160023468E-4</v>
      </c>
      <c r="S289" s="2"/>
      <c r="T289" s="7">
        <v>17963</v>
      </c>
      <c r="U289" s="2"/>
      <c r="V289" s="6">
        <f t="shared" si="134"/>
        <v>1.7653139777212309E-3</v>
      </c>
      <c r="W289" s="2"/>
      <c r="X289" s="7">
        <f t="shared" si="135"/>
        <v>-10479.939999999999</v>
      </c>
      <c r="Y289" s="2"/>
      <c r="Z289" s="6">
        <f t="shared" si="136"/>
        <v>-0.58341813728219105</v>
      </c>
    </row>
    <row r="290" spans="1:26" s="26" customFormat="1" outlineLevel="1" collapsed="1" x14ac:dyDescent="0.25">
      <c r="A290" s="27"/>
      <c r="B290" s="13" t="str">
        <f>CONCATENATE("     ","Travel                                            ")</f>
        <v xml:space="preserve">     Travel                                            </v>
      </c>
      <c r="C290" s="13"/>
      <c r="D290" s="1">
        <f>SUM(OSRRefD22_25x_0)</f>
        <v>457.65</v>
      </c>
      <c r="E290" s="1"/>
      <c r="F290" s="5">
        <f t="shared" si="129"/>
        <v>1.1416227142753183E-4</v>
      </c>
      <c r="G290" s="1"/>
      <c r="H290" s="1">
        <f>SUM(OSRRefH22_25x_0)</f>
        <v>1010</v>
      </c>
      <c r="I290" s="1"/>
      <c r="J290" s="5">
        <f t="shared" si="130"/>
        <v>2.4662608563234774E-4</v>
      </c>
      <c r="K290" s="1"/>
      <c r="L290" s="1">
        <f t="shared" si="131"/>
        <v>-552.35</v>
      </c>
      <c r="M290" s="1"/>
      <c r="N290" s="5">
        <f t="shared" si="132"/>
        <v>-0.54688118811881192</v>
      </c>
      <c r="O290" s="13"/>
      <c r="P290" s="1">
        <f>SUM(OSRRefP22_25x_0)</f>
        <v>3403.45</v>
      </c>
      <c r="Q290" s="1"/>
      <c r="R290" s="5">
        <f t="shared" si="133"/>
        <v>3.4964649177626777E-4</v>
      </c>
      <c r="S290" s="1"/>
      <c r="T290" s="1">
        <f>SUM(OSRRefT22_25x_0)</f>
        <v>7740</v>
      </c>
      <c r="U290" s="1"/>
      <c r="V290" s="5">
        <f t="shared" si="134"/>
        <v>7.6064856580539597E-4</v>
      </c>
      <c r="W290" s="1"/>
      <c r="X290" s="1">
        <f t="shared" si="135"/>
        <v>-4336.55</v>
      </c>
      <c r="Y290" s="1"/>
      <c r="Z290" s="5">
        <f t="shared" si="136"/>
        <v>-0.56027777777777776</v>
      </c>
    </row>
    <row r="291" spans="1:26" s="24" customFormat="1" hidden="1" outlineLevel="2" x14ac:dyDescent="0.25">
      <c r="A291" s="25"/>
      <c r="B291" s="11" t="str">
        <f>CONCATENATE("          ", "6292", " - ", "TRAVEL/CONFERENCE")</f>
        <v xml:space="preserve">          6292 - TRAVEL/CONFERENCE</v>
      </c>
      <c r="C291" s="11"/>
      <c r="D291" s="7">
        <v>91.13</v>
      </c>
      <c r="E291" s="2"/>
      <c r="F291" s="6">
        <f t="shared" si="129"/>
        <v>2.2732672992878783E-5</v>
      </c>
      <c r="G291" s="2"/>
      <c r="H291" s="7">
        <v>800</v>
      </c>
      <c r="I291" s="2"/>
      <c r="J291" s="6">
        <f t="shared" si="130"/>
        <v>1.9534739456027544E-4</v>
      </c>
      <c r="K291" s="2"/>
      <c r="L291" s="7">
        <f t="shared" si="131"/>
        <v>-708.87</v>
      </c>
      <c r="M291" s="2"/>
      <c r="N291" s="6">
        <f t="shared" si="132"/>
        <v>-0.88608750000000003</v>
      </c>
      <c r="O291" s="11"/>
      <c r="P291" s="7">
        <v>2575.87</v>
      </c>
      <c r="Q291" s="2"/>
      <c r="R291" s="6">
        <f t="shared" si="133"/>
        <v>2.6462674896699965E-4</v>
      </c>
      <c r="S291" s="2"/>
      <c r="T291" s="7">
        <v>6600</v>
      </c>
      <c r="U291" s="2"/>
      <c r="V291" s="6">
        <f t="shared" si="134"/>
        <v>6.4861505611312831E-4</v>
      </c>
      <c r="W291" s="2"/>
      <c r="X291" s="7">
        <f t="shared" si="135"/>
        <v>-4024.13</v>
      </c>
      <c r="Y291" s="2"/>
      <c r="Z291" s="6">
        <f t="shared" si="136"/>
        <v>-0.60971666666666668</v>
      </c>
    </row>
    <row r="292" spans="1:26" s="24" customFormat="1" hidden="1" outlineLevel="2" x14ac:dyDescent="0.25">
      <c r="A292" s="25"/>
      <c r="B292" s="11" t="str">
        <f>CONCATENATE("          ", "6294", " - ", "TRAVEL OPERATIONAL")</f>
        <v xml:space="preserve">          6294 - TRAVEL OPERATIONAL</v>
      </c>
      <c r="C292" s="11"/>
      <c r="D292" s="7">
        <v>33.43</v>
      </c>
      <c r="E292" s="2"/>
      <c r="F292" s="6">
        <f t="shared" si="129"/>
        <v>8.3392215313501346E-6</v>
      </c>
      <c r="G292" s="2"/>
      <c r="H292" s="7">
        <v>100</v>
      </c>
      <c r="I292" s="2"/>
      <c r="J292" s="6">
        <f t="shared" si="130"/>
        <v>2.441842432003443E-5</v>
      </c>
      <c r="K292" s="2"/>
      <c r="L292" s="7">
        <f t="shared" si="131"/>
        <v>-66.569999999999993</v>
      </c>
      <c r="M292" s="2"/>
      <c r="N292" s="6">
        <f t="shared" si="132"/>
        <v>-0.66569999999999996</v>
      </c>
      <c r="O292" s="11"/>
      <c r="P292" s="7">
        <v>147.59</v>
      </c>
      <c r="Q292" s="2"/>
      <c r="R292" s="6">
        <f t="shared" si="133"/>
        <v>1.5162357525822141E-5</v>
      </c>
      <c r="S292" s="2"/>
      <c r="T292" s="7">
        <v>360</v>
      </c>
      <c r="U292" s="2"/>
      <c r="V292" s="6">
        <f t="shared" si="134"/>
        <v>3.537900306071609E-5</v>
      </c>
      <c r="W292" s="2"/>
      <c r="X292" s="7">
        <f t="shared" si="135"/>
        <v>-212.41</v>
      </c>
      <c r="Y292" s="2"/>
      <c r="Z292" s="6">
        <f t="shared" si="136"/>
        <v>-0.59002777777777782</v>
      </c>
    </row>
    <row r="293" spans="1:26" s="24" customFormat="1" hidden="1" outlineLevel="2" x14ac:dyDescent="0.25">
      <c r="A293" s="25"/>
      <c r="B293" s="11" t="str">
        <f>CONCATENATE("          ", "6298", " - ", "VEHICLE MILEAGE")</f>
        <v xml:space="preserve">          6298 - VEHICLE MILEAGE</v>
      </c>
      <c r="C293" s="11"/>
      <c r="D293" s="7">
        <v>333.09</v>
      </c>
      <c r="E293" s="2"/>
      <c r="F293" s="6">
        <f t="shared" si="129"/>
        <v>8.3090376903302912E-5</v>
      </c>
      <c r="G293" s="2"/>
      <c r="H293" s="7">
        <v>110</v>
      </c>
      <c r="I293" s="2"/>
      <c r="J293" s="6">
        <f t="shared" si="130"/>
        <v>2.6860266752037872E-5</v>
      </c>
      <c r="K293" s="2"/>
      <c r="L293" s="7">
        <f t="shared" si="131"/>
        <v>223.08999999999997</v>
      </c>
      <c r="M293" s="2"/>
      <c r="N293" s="6">
        <f t="shared" si="132"/>
        <v>2.0280909090909089</v>
      </c>
      <c r="O293" s="11"/>
      <c r="P293" s="7">
        <v>679.99</v>
      </c>
      <c r="Q293" s="2"/>
      <c r="R293" s="6">
        <f t="shared" si="133"/>
        <v>6.9857385283446008E-5</v>
      </c>
      <c r="S293" s="2"/>
      <c r="T293" s="7">
        <v>780</v>
      </c>
      <c r="U293" s="2"/>
      <c r="V293" s="6">
        <f t="shared" si="134"/>
        <v>7.6654506631551532E-5</v>
      </c>
      <c r="W293" s="2"/>
      <c r="X293" s="7">
        <f t="shared" si="135"/>
        <v>-100.00999999999999</v>
      </c>
      <c r="Y293" s="2"/>
      <c r="Z293" s="6">
        <f t="shared" si="136"/>
        <v>-0.1282179487179487</v>
      </c>
    </row>
    <row r="294" spans="1:26" s="26" customFormat="1" outlineLevel="1" collapsed="1" x14ac:dyDescent="0.25">
      <c r="A294" s="27"/>
      <c r="B294" s="13" t="str">
        <f>CONCATENATE("     ","Utilities                                         ")</f>
        <v xml:space="preserve">     Utilities                                         </v>
      </c>
      <c r="C294" s="13"/>
      <c r="D294" s="1">
        <f>SUM(OSRRefD22_26x_0)</f>
        <v>23914.02</v>
      </c>
      <c r="E294" s="1"/>
      <c r="F294" s="5">
        <f t="shared" ref="F294:F295" si="137">IF(D$12=0,0,D294/D$12)</f>
        <v>5.9654295688045993E-3</v>
      </c>
      <c r="G294" s="1"/>
      <c r="H294" s="1">
        <f>SUM(OSRRefH22_26x_0)</f>
        <v>23671</v>
      </c>
      <c r="I294" s="1"/>
      <c r="J294" s="5">
        <f t="shared" ref="J294:J295" si="138">IF(H$12=0,0,H294/H$12)</f>
        <v>5.7800852207953498E-3</v>
      </c>
      <c r="K294" s="1"/>
      <c r="L294" s="1">
        <f t="shared" ref="L294:L295" si="139">+D294-H294</f>
        <v>243.02000000000044</v>
      </c>
      <c r="M294" s="1"/>
      <c r="N294" s="5">
        <f t="shared" ref="N294:N295" si="140">IF(H294=0,0,L294/H294)</f>
        <v>1.0266570909551791E-2</v>
      </c>
      <c r="O294" s="13"/>
      <c r="P294" s="1">
        <f>SUM(OSRRefP22_26x_0)</f>
        <v>43350.92</v>
      </c>
      <c r="Q294" s="1"/>
      <c r="R294" s="5">
        <f t="shared" ref="R294:R295" si="141">IF(P$12=0,0,P294/P$12)</f>
        <v>4.4535683184044553E-3</v>
      </c>
      <c r="S294" s="1"/>
      <c r="T294" s="1">
        <f>SUM(OSRRefT22_26x_0)</f>
        <v>75969</v>
      </c>
      <c r="U294" s="1"/>
      <c r="V294" s="5">
        <f t="shared" ref="V294:V295" si="142">IF(T$12=0,0,T294/T$12)</f>
        <v>7.4658541208876134E-3</v>
      </c>
      <c r="W294" s="1"/>
      <c r="X294" s="1">
        <f t="shared" ref="X294:X295" si="143">+P294-T294</f>
        <v>-32618.080000000002</v>
      </c>
      <c r="Y294" s="1"/>
      <c r="Z294" s="5">
        <f t="shared" ref="Z294:Z295" si="144">IF(T294=0,0,X294/T294)</f>
        <v>-0.42936039700404116</v>
      </c>
    </row>
    <row r="295" spans="1:26" s="24" customFormat="1" hidden="1" outlineLevel="2" x14ac:dyDescent="0.25">
      <c r="A295" s="25"/>
      <c r="B295" s="11" t="str">
        <f>CONCATENATE("          ", "6274", " - ", "UTILITIES")</f>
        <v xml:space="preserve">          6274 - UTILITIES</v>
      </c>
      <c r="C295" s="11"/>
      <c r="D295" s="7">
        <v>23914.02</v>
      </c>
      <c r="E295" s="2"/>
      <c r="F295" s="6">
        <f t="shared" si="137"/>
        <v>5.9654295688045993E-3</v>
      </c>
      <c r="G295" s="2"/>
      <c r="H295" s="7">
        <v>23671</v>
      </c>
      <c r="I295" s="2"/>
      <c r="J295" s="6">
        <f t="shared" si="138"/>
        <v>5.7800852207953498E-3</v>
      </c>
      <c r="K295" s="2"/>
      <c r="L295" s="7">
        <f t="shared" si="139"/>
        <v>243.02000000000044</v>
      </c>
      <c r="M295" s="2"/>
      <c r="N295" s="6">
        <f t="shared" si="140"/>
        <v>1.0266570909551791E-2</v>
      </c>
      <c r="O295" s="11"/>
      <c r="P295" s="7">
        <v>43350.92</v>
      </c>
      <c r="Q295" s="2"/>
      <c r="R295" s="6">
        <f t="shared" si="141"/>
        <v>4.4535683184044553E-3</v>
      </c>
      <c r="S295" s="2"/>
      <c r="T295" s="7">
        <v>75969</v>
      </c>
      <c r="U295" s="2"/>
      <c r="V295" s="6">
        <f t="shared" si="142"/>
        <v>7.4658541208876134E-3</v>
      </c>
      <c r="W295" s="2"/>
      <c r="X295" s="7">
        <f t="shared" si="143"/>
        <v>-32618.080000000002</v>
      </c>
      <c r="Y295" s="2"/>
      <c r="Z295" s="6">
        <f t="shared" si="144"/>
        <v>-0.42936039700404116</v>
      </c>
    </row>
    <row r="296" spans="1:26" s="63" customFormat="1" x14ac:dyDescent="0.25">
      <c r="A296" s="36"/>
      <c r="B296" s="36"/>
      <c r="C296" s="36"/>
      <c r="D296" s="1"/>
      <c r="E296" s="1"/>
      <c r="F296" s="5"/>
      <c r="G296" s="1"/>
      <c r="H296" s="1"/>
      <c r="I296" s="1"/>
      <c r="J296" s="5"/>
      <c r="K296" s="1"/>
      <c r="L296" s="1"/>
      <c r="M296" s="1"/>
      <c r="N296" s="5"/>
      <c r="O296" s="36"/>
      <c r="P296" s="1"/>
      <c r="Q296" s="1"/>
      <c r="R296" s="5"/>
      <c r="S296" s="1"/>
      <c r="T296" s="1"/>
      <c r="U296" s="1"/>
      <c r="V296" s="5"/>
      <c r="W296" s="1"/>
      <c r="X296" s="1"/>
      <c r="Y296" s="1"/>
      <c r="Z296" s="5"/>
    </row>
    <row r="297" spans="1:26" s="23" customFormat="1" collapsed="1" x14ac:dyDescent="0.25">
      <c r="A297" s="10"/>
      <c r="B297" s="28" t="s">
        <v>0</v>
      </c>
      <c r="C297" s="10"/>
      <c r="D297" s="4">
        <f>SUM(OSRRefD25x_0)</f>
        <v>368424.33</v>
      </c>
      <c r="E297" s="4"/>
      <c r="F297" s="12">
        <f t="shared" ref="F297:F307" si="145">IF(D$12=0,0,D297/D$12)</f>
        <v>9.1904639707126756E-2</v>
      </c>
      <c r="G297" s="4"/>
      <c r="H297" s="4">
        <f>SUM(OSRRefH25x_0)</f>
        <v>348679</v>
      </c>
      <c r="I297" s="4"/>
      <c r="J297" s="12">
        <f t="shared" ref="J297:J307" si="146">IF(H$12=0,0,H297/H$12)</f>
        <v>8.5141917734852843E-2</v>
      </c>
      <c r="K297" s="4"/>
      <c r="L297" s="4">
        <f t="shared" ref="L297:L307" si="147">+D297-H297</f>
        <v>19745.330000000016</v>
      </c>
      <c r="M297" s="4"/>
      <c r="N297" s="12">
        <f t="shared" ref="N297:N307" si="148">IF(H297=0,0,L297/H297)</f>
        <v>5.6628962455439004E-2</v>
      </c>
      <c r="O297" s="10"/>
      <c r="P297" s="4">
        <f>SUM(OSRRefP25x_0)</f>
        <v>556401.30000000005</v>
      </c>
      <c r="Q297" s="4"/>
      <c r="R297" s="12">
        <f t="shared" ref="R297:R307" si="149">IF(P$12=0,0,P297/P$12)</f>
        <v>5.716075234387305E-2</v>
      </c>
      <c r="S297" s="4"/>
      <c r="T297" s="4">
        <f>SUM(OSRRefT25x_0)</f>
        <v>531817</v>
      </c>
      <c r="U297" s="4"/>
      <c r="V297" s="12">
        <f t="shared" ref="V297:V307" si="150">IF(T$12=0,0,T297/T$12)</f>
        <v>5.2264320196502359E-2</v>
      </c>
      <c r="W297" s="4"/>
      <c r="X297" s="4">
        <f t="shared" ref="X297:X307" si="151">+P297-T297</f>
        <v>24584.300000000047</v>
      </c>
      <c r="Y297" s="4"/>
      <c r="Z297" s="12">
        <f t="shared" ref="Z297:Z307" si="152">IF(T297=0,0,X297/T297)</f>
        <v>4.6226991615537012E-2</v>
      </c>
    </row>
    <row r="298" spans="1:26" s="24" customFormat="1" hidden="1" outlineLevel="1" x14ac:dyDescent="0.25">
      <c r="A298" s="46"/>
      <c r="B298" s="11" t="str">
        <f>CONCATENATE("          ", "4098", " - ", "TAXABLE SALES-GRAD RENTALS")</f>
        <v xml:space="preserve">          4098 - TAXABLE SALES-GRAD RENTALS</v>
      </c>
      <c r="C298" s="11"/>
      <c r="D298" s="2">
        <f>0</f>
        <v>0</v>
      </c>
      <c r="E298" s="2"/>
      <c r="F298" s="19">
        <f t="shared" si="145"/>
        <v>0</v>
      </c>
      <c r="G298" s="2"/>
      <c r="H298" s="2"/>
      <c r="I298" s="2"/>
      <c r="J298" s="19">
        <f t="shared" si="146"/>
        <v>0</v>
      </c>
      <c r="K298" s="2"/>
      <c r="L298" s="2">
        <f t="shared" si="147"/>
        <v>0</v>
      </c>
      <c r="M298" s="2"/>
      <c r="N298" s="19">
        <f t="shared" si="148"/>
        <v>0</v>
      </c>
      <c r="O298" s="11"/>
      <c r="P298" s="2">
        <f>--1626.85</f>
        <v>1626.85</v>
      </c>
      <c r="Q298" s="2"/>
      <c r="R298" s="19">
        <f t="shared" si="149"/>
        <v>1.6713111552871975E-4</v>
      </c>
      <c r="S298" s="2"/>
      <c r="T298" s="2"/>
      <c r="U298" s="2"/>
      <c r="V298" s="19">
        <f t="shared" si="150"/>
        <v>0</v>
      </c>
      <c r="W298" s="2"/>
      <c r="X298" s="2">
        <f t="shared" si="151"/>
        <v>1626.85</v>
      </c>
      <c r="Y298" s="2"/>
      <c r="Z298" s="19">
        <f t="shared" si="152"/>
        <v>0</v>
      </c>
    </row>
    <row r="299" spans="1:26" s="24" customFormat="1" hidden="1" outlineLevel="1" x14ac:dyDescent="0.25">
      <c r="A299" s="46"/>
      <c r="B299" s="11" t="str">
        <f>CONCATENATE("          ", "4187", " - ", "NON-TAXABLE SALES-COMPUTER REP")</f>
        <v xml:space="preserve">          4187 - NON-TAXABLE SALES-COMPUTER REP</v>
      </c>
      <c r="C299" s="11"/>
      <c r="D299" s="2">
        <f>--4892.54</f>
        <v>4892.54</v>
      </c>
      <c r="E299" s="2"/>
      <c r="F299" s="19">
        <f t="shared" si="145"/>
        <v>1.2204599135803706E-3</v>
      </c>
      <c r="G299" s="2"/>
      <c r="H299" s="2"/>
      <c r="I299" s="2"/>
      <c r="J299" s="19">
        <f t="shared" si="146"/>
        <v>0</v>
      </c>
      <c r="K299" s="2"/>
      <c r="L299" s="2">
        <f t="shared" si="147"/>
        <v>4892.54</v>
      </c>
      <c r="M299" s="2"/>
      <c r="N299" s="19">
        <f t="shared" si="148"/>
        <v>0</v>
      </c>
      <c r="O299" s="11"/>
      <c r="P299" s="2">
        <f>--7374.8</f>
        <v>7374.8</v>
      </c>
      <c r="Q299" s="2"/>
      <c r="R299" s="19">
        <f t="shared" si="149"/>
        <v>7.5763503138039925E-4</v>
      </c>
      <c r="S299" s="2"/>
      <c r="T299" s="2"/>
      <c r="U299" s="2"/>
      <c r="V299" s="19">
        <f t="shared" si="150"/>
        <v>0</v>
      </c>
      <c r="W299" s="2"/>
      <c r="X299" s="2">
        <f t="shared" si="151"/>
        <v>7374.8</v>
      </c>
      <c r="Y299" s="2"/>
      <c r="Z299" s="19">
        <f t="shared" si="152"/>
        <v>0</v>
      </c>
    </row>
    <row r="300" spans="1:26" s="24" customFormat="1" hidden="1" outlineLevel="1" x14ac:dyDescent="0.25">
      <c r="A300" s="46"/>
      <c r="B300" s="11" t="str">
        <f>CONCATENATE("          ", "4197", " - ", "NON-TAXABLE SALES-RETURNED CHE")</f>
        <v xml:space="preserve">          4197 - NON-TAXABLE SALES-RETURNED CHE</v>
      </c>
      <c r="C300" s="11"/>
      <c r="D300" s="2">
        <f>0</f>
        <v>0</v>
      </c>
      <c r="E300" s="2"/>
      <c r="F300" s="19">
        <f t="shared" si="145"/>
        <v>0</v>
      </c>
      <c r="G300" s="2"/>
      <c r="H300" s="2"/>
      <c r="I300" s="2"/>
      <c r="J300" s="19">
        <f t="shared" si="146"/>
        <v>0</v>
      </c>
      <c r="K300" s="2"/>
      <c r="L300" s="2">
        <f t="shared" si="147"/>
        <v>0</v>
      </c>
      <c r="M300" s="2"/>
      <c r="N300" s="19">
        <f t="shared" si="148"/>
        <v>0</v>
      </c>
      <c r="O300" s="11"/>
      <c r="P300" s="2">
        <f>--30</f>
        <v>30</v>
      </c>
      <c r="Q300" s="2"/>
      <c r="R300" s="19">
        <f t="shared" si="149"/>
        <v>3.0819887917519086E-6</v>
      </c>
      <c r="S300" s="2"/>
      <c r="T300" s="2"/>
      <c r="U300" s="2"/>
      <c r="V300" s="19">
        <f t="shared" si="150"/>
        <v>0</v>
      </c>
      <c r="W300" s="2"/>
      <c r="X300" s="2">
        <f t="shared" si="151"/>
        <v>30</v>
      </c>
      <c r="Y300" s="2"/>
      <c r="Z300" s="19">
        <f t="shared" si="152"/>
        <v>0</v>
      </c>
    </row>
    <row r="301" spans="1:26" s="24" customFormat="1" hidden="1" outlineLevel="1" x14ac:dyDescent="0.25">
      <c r="A301" s="46"/>
      <c r="B301" s="11" t="str">
        <f>CONCATENATE("          ", "4198", " - ", "NON-TAXABLE SALES-GRAD RENTALS")</f>
        <v xml:space="preserve">          4198 - NON-TAXABLE SALES-GRAD RENTALS</v>
      </c>
      <c r="C301" s="11"/>
      <c r="D301" s="2">
        <f>--30</f>
        <v>30</v>
      </c>
      <c r="E301" s="2"/>
      <c r="F301" s="19">
        <f t="shared" si="145"/>
        <v>7.4835969470686222E-6</v>
      </c>
      <c r="G301" s="2"/>
      <c r="H301" s="2"/>
      <c r="I301" s="2"/>
      <c r="J301" s="19">
        <f t="shared" si="146"/>
        <v>0</v>
      </c>
      <c r="K301" s="2"/>
      <c r="L301" s="2">
        <f t="shared" si="147"/>
        <v>30</v>
      </c>
      <c r="M301" s="2"/>
      <c r="N301" s="19">
        <f t="shared" si="148"/>
        <v>0</v>
      </c>
      <c r="O301" s="11"/>
      <c r="P301" s="2">
        <f>--495</f>
        <v>495</v>
      </c>
      <c r="Q301" s="2"/>
      <c r="R301" s="19">
        <f t="shared" si="149"/>
        <v>5.0852815063906491E-5</v>
      </c>
      <c r="S301" s="2"/>
      <c r="T301" s="2"/>
      <c r="U301" s="2"/>
      <c r="V301" s="19">
        <f t="shared" si="150"/>
        <v>0</v>
      </c>
      <c r="W301" s="2"/>
      <c r="X301" s="2">
        <f t="shared" si="151"/>
        <v>495</v>
      </c>
      <c r="Y301" s="2"/>
      <c r="Z301" s="19">
        <f t="shared" si="152"/>
        <v>0</v>
      </c>
    </row>
    <row r="302" spans="1:26" s="24" customFormat="1" hidden="1" outlineLevel="1" x14ac:dyDescent="0.25">
      <c r="A302" s="46"/>
      <c r="B302" s="11" t="str">
        <f>CONCATENATE("          ", "4387", " - ", "SALES RETURN NON TAXABLE-COMPU")</f>
        <v xml:space="preserve">          4387 - SALES RETURN NON TAXABLE-COMPU</v>
      </c>
      <c r="C302" s="11"/>
      <c r="D302" s="2">
        <f>-2989.2</f>
        <v>-2989.2</v>
      </c>
      <c r="E302" s="2"/>
      <c r="F302" s="19">
        <f t="shared" si="145"/>
        <v>-7.4566559980591746E-4</v>
      </c>
      <c r="G302" s="2"/>
      <c r="H302" s="2"/>
      <c r="I302" s="2"/>
      <c r="J302" s="19">
        <f t="shared" si="146"/>
        <v>0</v>
      </c>
      <c r="K302" s="2"/>
      <c r="L302" s="2">
        <f t="shared" si="147"/>
        <v>-2989.2</v>
      </c>
      <c r="M302" s="2"/>
      <c r="N302" s="19">
        <f t="shared" si="148"/>
        <v>0</v>
      </c>
      <c r="O302" s="11"/>
      <c r="P302" s="2">
        <f>-6440.7</f>
        <v>-6440.7</v>
      </c>
      <c r="Q302" s="2"/>
      <c r="R302" s="19">
        <f t="shared" si="149"/>
        <v>-6.6167217370121723E-4</v>
      </c>
      <c r="S302" s="2"/>
      <c r="T302" s="2"/>
      <c r="U302" s="2"/>
      <c r="V302" s="19">
        <f t="shared" si="150"/>
        <v>0</v>
      </c>
      <c r="W302" s="2"/>
      <c r="X302" s="2">
        <f t="shared" si="151"/>
        <v>-6440.7</v>
      </c>
      <c r="Y302" s="2"/>
      <c r="Z302" s="19">
        <f t="shared" si="152"/>
        <v>0</v>
      </c>
    </row>
    <row r="303" spans="1:26" s="24" customFormat="1" hidden="1" outlineLevel="1" x14ac:dyDescent="0.25">
      <c r="A303" s="46"/>
      <c r="B303" s="11" t="str">
        <f>CONCATENATE("          ", "9150", " - ", "MISC. INCOME")</f>
        <v xml:space="preserve">          9150 - MISC. INCOME</v>
      </c>
      <c r="C303" s="11"/>
      <c r="D303" s="2">
        <f>--63872.04</f>
        <v>63872.04</v>
      </c>
      <c r="E303" s="2"/>
      <c r="F303" s="19">
        <f t="shared" si="145"/>
        <v>1.5933086784901497E-2</v>
      </c>
      <c r="G303" s="2"/>
      <c r="H303" s="2">
        <v>45175</v>
      </c>
      <c r="I303" s="2"/>
      <c r="J303" s="19">
        <f t="shared" si="146"/>
        <v>1.1031023186575553E-2</v>
      </c>
      <c r="K303" s="2"/>
      <c r="L303" s="2">
        <f t="shared" si="147"/>
        <v>18697.04</v>
      </c>
      <c r="M303" s="2"/>
      <c r="N303" s="19">
        <f t="shared" si="148"/>
        <v>0.41388024349750968</v>
      </c>
      <c r="O303" s="11"/>
      <c r="P303" s="2">
        <f>--212176.77</f>
        <v>212176.77</v>
      </c>
      <c r="Q303" s="2"/>
      <c r="R303" s="19">
        <f t="shared" si="149"/>
        <v>2.1797547567004086E-2</v>
      </c>
      <c r="S303" s="2"/>
      <c r="T303" s="2">
        <v>155619</v>
      </c>
      <c r="U303" s="2"/>
      <c r="V303" s="19">
        <f t="shared" si="150"/>
        <v>1.5293458548071048E-2</v>
      </c>
      <c r="W303" s="2"/>
      <c r="X303" s="2">
        <f t="shared" si="151"/>
        <v>56557.76999999999</v>
      </c>
      <c r="Y303" s="2"/>
      <c r="Z303" s="19">
        <f t="shared" si="152"/>
        <v>0.3634374337323848</v>
      </c>
    </row>
    <row r="304" spans="1:26" s="24" customFormat="1" hidden="1" outlineLevel="1" x14ac:dyDescent="0.25">
      <c r="A304" s="46"/>
      <c r="B304" s="11" t="str">
        <f>CONCATENATE("          ", "9151", " - ", "MISC. INCOME")</f>
        <v xml:space="preserve">          9151 - MISC. INCOME</v>
      </c>
      <c r="C304" s="11"/>
      <c r="D304" s="2">
        <f>--83458.02</f>
        <v>83458.02</v>
      </c>
      <c r="E304" s="2"/>
      <c r="F304" s="19">
        <f t="shared" si="145"/>
        <v>2.0818872789346403E-2</v>
      </c>
      <c r="G304" s="2"/>
      <c r="H304" s="2">
        <v>212204</v>
      </c>
      <c r="I304" s="2"/>
      <c r="J304" s="19">
        <f t="shared" si="146"/>
        <v>5.1816873144085861E-2</v>
      </c>
      <c r="K304" s="2"/>
      <c r="L304" s="2">
        <f t="shared" si="147"/>
        <v>-128745.98</v>
      </c>
      <c r="M304" s="2"/>
      <c r="N304" s="19">
        <f t="shared" si="148"/>
        <v>-0.60670854460801871</v>
      </c>
      <c r="O304" s="11"/>
      <c r="P304" s="2">
        <f>--83193.51</f>
        <v>83193.509999999995</v>
      </c>
      <c r="Q304" s="2"/>
      <c r="R304" s="19">
        <f t="shared" si="149"/>
        <v>8.5467155122166769E-3</v>
      </c>
      <c r="S304" s="2"/>
      <c r="T304" s="2">
        <v>244498</v>
      </c>
      <c r="U304" s="2"/>
      <c r="V304" s="19">
        <f t="shared" si="150"/>
        <v>2.4028043028719342E-2</v>
      </c>
      <c r="W304" s="2"/>
      <c r="X304" s="2">
        <f t="shared" si="151"/>
        <v>-161304.49</v>
      </c>
      <c r="Y304" s="2"/>
      <c r="Z304" s="19">
        <f t="shared" si="152"/>
        <v>-0.65973746206512929</v>
      </c>
    </row>
    <row r="305" spans="1:26" s="24" customFormat="1" hidden="1" outlineLevel="1" x14ac:dyDescent="0.25">
      <c r="A305" s="46"/>
      <c r="B305" s="11" t="str">
        <f>CONCATENATE("          ", "9152", " - ", "MISC. INCOME")</f>
        <v xml:space="preserve">          9152 - MISC. INCOME</v>
      </c>
      <c r="C305" s="11"/>
      <c r="D305" s="2">
        <f>--633.59</f>
        <v>633.59</v>
      </c>
      <c r="E305" s="2"/>
      <c r="F305" s="19">
        <f t="shared" si="145"/>
        <v>1.5805107298977363E-4</v>
      </c>
      <c r="G305" s="2"/>
      <c r="H305" s="2"/>
      <c r="I305" s="2"/>
      <c r="J305" s="19">
        <f t="shared" si="146"/>
        <v>0</v>
      </c>
      <c r="K305" s="2"/>
      <c r="L305" s="2">
        <f t="shared" si="147"/>
        <v>633.59</v>
      </c>
      <c r="M305" s="2"/>
      <c r="N305" s="19">
        <f t="shared" si="148"/>
        <v>0</v>
      </c>
      <c r="O305" s="11"/>
      <c r="P305" s="2">
        <f>--641.02</f>
        <v>641.02</v>
      </c>
      <c r="Q305" s="2"/>
      <c r="R305" s="19">
        <f t="shared" si="149"/>
        <v>6.5853881842960275E-5</v>
      </c>
      <c r="S305" s="2"/>
      <c r="T305" s="2"/>
      <c r="U305" s="2"/>
      <c r="V305" s="19">
        <f t="shared" si="150"/>
        <v>0</v>
      </c>
      <c r="W305" s="2"/>
      <c r="X305" s="2">
        <f t="shared" si="151"/>
        <v>641.02</v>
      </c>
      <c r="Y305" s="2"/>
      <c r="Z305" s="19">
        <f t="shared" si="152"/>
        <v>0</v>
      </c>
    </row>
    <row r="306" spans="1:26" s="24" customFormat="1" hidden="1" outlineLevel="1" x14ac:dyDescent="0.25">
      <c r="A306" s="46"/>
      <c r="B306" s="11" t="str">
        <f>CONCATENATE("          ", "9160", " - ", "MISC. INCOME")</f>
        <v xml:space="preserve">          9160 - MISC. INCOME</v>
      </c>
      <c r="C306" s="11"/>
      <c r="D306" s="2">
        <f>--20000</f>
        <v>20000</v>
      </c>
      <c r="E306" s="2"/>
      <c r="F306" s="19">
        <f t="shared" si="145"/>
        <v>4.9890646313790815E-3</v>
      </c>
      <c r="G306" s="2"/>
      <c r="H306" s="2">
        <v>91300</v>
      </c>
      <c r="I306" s="2"/>
      <c r="J306" s="19">
        <f t="shared" si="146"/>
        <v>2.2294021404191434E-2</v>
      </c>
      <c r="K306" s="2"/>
      <c r="L306" s="2">
        <f t="shared" si="147"/>
        <v>-71300</v>
      </c>
      <c r="M306" s="2"/>
      <c r="N306" s="19">
        <f t="shared" si="148"/>
        <v>-0.78094194961664842</v>
      </c>
      <c r="O306" s="11"/>
      <c r="P306" s="2">
        <f>--52143.27</f>
        <v>52143.27</v>
      </c>
      <c r="Q306" s="2"/>
      <c r="R306" s="19">
        <f t="shared" si="149"/>
        <v>5.3568324568431178E-3</v>
      </c>
      <c r="S306" s="2"/>
      <c r="T306" s="2">
        <v>131700</v>
      </c>
      <c r="U306" s="2"/>
      <c r="V306" s="19">
        <f t="shared" si="150"/>
        <v>1.2942818619711971E-2</v>
      </c>
      <c r="W306" s="2"/>
      <c r="X306" s="2">
        <f t="shared" si="151"/>
        <v>-79556.73000000001</v>
      </c>
      <c r="Y306" s="2"/>
      <c r="Z306" s="19">
        <f t="shared" si="152"/>
        <v>-0.60407539863325743</v>
      </c>
    </row>
    <row r="307" spans="1:26" s="24" customFormat="1" hidden="1" outlineLevel="1" x14ac:dyDescent="0.25">
      <c r="A307" s="46"/>
      <c r="B307" s="11" t="str">
        <f>CONCATENATE("          ", "9165", " - ", "OTHER INCOME")</f>
        <v xml:space="preserve">          9165 - OTHER INCOME</v>
      </c>
      <c r="C307" s="11"/>
      <c r="D307" s="2">
        <f>--198527.34</f>
        <v>198527.34</v>
      </c>
      <c r="E307" s="2"/>
      <c r="F307" s="19">
        <f t="shared" si="145"/>
        <v>4.9523286517788478E-2</v>
      </c>
      <c r="G307" s="2"/>
      <c r="H307" s="2"/>
      <c r="I307" s="2"/>
      <c r="J307" s="19">
        <f t="shared" si="146"/>
        <v>0</v>
      </c>
      <c r="K307" s="2"/>
      <c r="L307" s="2">
        <f t="shared" si="147"/>
        <v>198527.34</v>
      </c>
      <c r="M307" s="2"/>
      <c r="N307" s="19">
        <f t="shared" si="148"/>
        <v>0</v>
      </c>
      <c r="O307" s="11"/>
      <c r="P307" s="2">
        <f>--205160.78</f>
        <v>205160.78</v>
      </c>
      <c r="Q307" s="2"/>
      <c r="R307" s="19">
        <f t="shared" si="149"/>
        <v>2.107677414890264E-2</v>
      </c>
      <c r="S307" s="2"/>
      <c r="T307" s="2"/>
      <c r="U307" s="2"/>
      <c r="V307" s="19">
        <f t="shared" si="150"/>
        <v>0</v>
      </c>
      <c r="W307" s="2"/>
      <c r="X307" s="2">
        <f t="shared" si="151"/>
        <v>205160.78</v>
      </c>
      <c r="Y307" s="2"/>
      <c r="Z307" s="19">
        <f t="shared" si="152"/>
        <v>0</v>
      </c>
    </row>
    <row r="308" spans="1:26" x14ac:dyDescent="0.25">
      <c r="A308" s="9"/>
      <c r="B308" s="10"/>
      <c r="C308" s="10"/>
      <c r="D308" s="3"/>
      <c r="E308" s="3"/>
      <c r="F308" s="8"/>
      <c r="G308" s="3"/>
      <c r="H308" s="3"/>
      <c r="I308" s="3"/>
      <c r="J308" s="8"/>
      <c r="K308" s="3"/>
      <c r="L308" s="3"/>
      <c r="M308" s="3"/>
      <c r="N308" s="8"/>
      <c r="O308" s="10"/>
      <c r="P308" s="3"/>
      <c r="Q308" s="3"/>
      <c r="R308" s="8"/>
      <c r="S308" s="3"/>
      <c r="T308" s="3"/>
      <c r="U308" s="3"/>
      <c r="V308" s="8"/>
      <c r="W308" s="3"/>
      <c r="X308" s="3"/>
      <c r="Y308" s="3"/>
      <c r="Z308" s="8"/>
    </row>
    <row r="309" spans="1:26" s="23" customFormat="1" x14ac:dyDescent="0.25">
      <c r="A309" s="10"/>
      <c r="B309" s="29" t="s">
        <v>3</v>
      </c>
      <c r="C309" s="29"/>
      <c r="D309" s="22">
        <f>+D188-D190+D297</f>
        <v>1084302.6999999981</v>
      </c>
      <c r="E309" s="14"/>
      <c r="F309" s="20">
        <f>IF(D$12=0,0,D309/D$12)</f>
        <v>0.27048281251394168</v>
      </c>
      <c r="G309" s="14"/>
      <c r="H309" s="22">
        <f>+H188-H190+H297</f>
        <v>1211670.4814480674</v>
      </c>
      <c r="I309" s="14"/>
      <c r="J309" s="20">
        <f>IF(H$12=0,0,H309/H$12)</f>
        <v>0.29587083952059312</v>
      </c>
      <c r="K309" s="15"/>
      <c r="L309" s="22">
        <f>+D309-H309</f>
        <v>-127367.78144806926</v>
      </c>
      <c r="M309" s="15"/>
      <c r="N309" s="20">
        <f>IF(H309=0,0,L309/H309)</f>
        <v>-0.10511750793487354</v>
      </c>
      <c r="O309" s="28"/>
      <c r="P309" s="22">
        <f>+P188-P190+P297</f>
        <v>1001613.6799999971</v>
      </c>
      <c r="Q309" s="14"/>
      <c r="R309" s="20">
        <f>IF(P$12=0,0,P309/P$12)</f>
        <v>0.10289873784751247</v>
      </c>
      <c r="S309" s="14"/>
      <c r="T309" s="22">
        <f>+T188-T190+T297</f>
        <v>1285901.542864752</v>
      </c>
      <c r="U309" s="14"/>
      <c r="V309" s="20">
        <f>IF(T$12=0,0,T309/T$12)</f>
        <v>0.12637198505775446</v>
      </c>
      <c r="W309" s="15"/>
      <c r="X309" s="22">
        <f>+P309-T309</f>
        <v>-284287.86286475486</v>
      </c>
      <c r="Y309" s="15"/>
      <c r="Z309" s="20">
        <f>IF(T309=0,0,X309/T309)</f>
        <v>-0.22108058306813586</v>
      </c>
    </row>
    <row r="310" spans="1:26" x14ac:dyDescent="0.25">
      <c r="A310" s="9"/>
      <c r="B310" s="10"/>
      <c r="C310" s="9"/>
      <c r="D310" s="3"/>
      <c r="E310" s="3"/>
      <c r="F310" s="8"/>
      <c r="G310" s="3"/>
      <c r="H310" s="3"/>
      <c r="I310" s="3"/>
      <c r="J310" s="8"/>
      <c r="K310" s="3"/>
      <c r="L310" s="3"/>
      <c r="M310" s="3"/>
      <c r="N310" s="8"/>
      <c r="P310" s="3"/>
      <c r="Q310" s="3"/>
      <c r="R310" s="8"/>
      <c r="S310" s="3"/>
      <c r="T310" s="3"/>
      <c r="U310" s="3"/>
      <c r="V310" s="8"/>
      <c r="W310" s="3"/>
      <c r="X310" s="3"/>
      <c r="Y310" s="3"/>
      <c r="Z310" s="8"/>
    </row>
    <row r="311" spans="1:26" s="23" customFormat="1" x14ac:dyDescent="0.25">
      <c r="A311" s="52"/>
      <c r="B311" s="10" t="s">
        <v>14</v>
      </c>
      <c r="C311" s="10"/>
      <c r="D311" s="4">
        <v>331728.94</v>
      </c>
      <c r="E311" s="4"/>
      <c r="F311" s="12">
        <f>IF(D$12=0,0,D311/D$12)</f>
        <v>8.2750856087943678E-2</v>
      </c>
      <c r="G311" s="4"/>
      <c r="H311" s="4">
        <v>299598</v>
      </c>
      <c r="I311" s="4"/>
      <c r="J311" s="12">
        <f>IF(H$12=0,0,H311/H$12)</f>
        <v>7.3157110894336755E-2</v>
      </c>
      <c r="K311" s="4"/>
      <c r="L311" s="4">
        <f>+D311-H311</f>
        <v>32130.940000000002</v>
      </c>
      <c r="M311" s="4"/>
      <c r="N311" s="12">
        <f>IF(H311=0,0,L311/H311)</f>
        <v>0.10724684410443328</v>
      </c>
      <c r="O311" s="10"/>
      <c r="P311" s="4">
        <v>1045557.7999999999</v>
      </c>
      <c r="Q311" s="4"/>
      <c r="R311" s="12">
        <f>IF(P$12=0,0,P311/P$12)</f>
        <v>0.10741324735762611</v>
      </c>
      <c r="S311" s="4"/>
      <c r="T311" s="4">
        <v>1287050</v>
      </c>
      <c r="U311" s="4"/>
      <c r="V311" s="12">
        <f>IF(T$12=0,0,T311/T$12)</f>
        <v>0.12648484969248514</v>
      </c>
      <c r="W311" s="4"/>
      <c r="X311" s="4">
        <f>+P311-T311</f>
        <v>-241492.20000000007</v>
      </c>
      <c r="Y311" s="4"/>
      <c r="Z311" s="12">
        <f>IF(T311=0,0,X311/T311)</f>
        <v>-0.18763233751602507</v>
      </c>
    </row>
    <row r="312" spans="1:26" x14ac:dyDescent="0.25">
      <c r="A312" s="9"/>
      <c r="B312" s="10"/>
      <c r="C312" s="10"/>
      <c r="D312" s="3"/>
      <c r="E312" s="3"/>
      <c r="F312" s="8"/>
      <c r="G312" s="3"/>
      <c r="H312" s="3"/>
      <c r="I312" s="3"/>
      <c r="J312" s="8"/>
      <c r="K312" s="3"/>
      <c r="L312" s="3"/>
      <c r="M312" s="3"/>
      <c r="N312" s="8"/>
      <c r="O312" s="10"/>
      <c r="P312" s="3"/>
      <c r="Q312" s="3"/>
      <c r="R312" s="8"/>
      <c r="S312" s="3"/>
      <c r="T312" s="3"/>
      <c r="U312" s="3"/>
      <c r="V312" s="8"/>
      <c r="W312" s="3"/>
      <c r="X312" s="3"/>
      <c r="Y312" s="3"/>
      <c r="Z312" s="8"/>
    </row>
    <row r="313" spans="1:26" s="23" customFormat="1" ht="15.75" thickBot="1" x14ac:dyDescent="0.3">
      <c r="A313" s="10"/>
      <c r="B313" s="29" t="s">
        <v>4</v>
      </c>
      <c r="C313" s="29"/>
      <c r="D313" s="35">
        <f>+D309-D311</f>
        <v>752573.75999999815</v>
      </c>
      <c r="E313" s="14"/>
      <c r="F313" s="32">
        <f>IF(D$12=0,0,D313/D$12)</f>
        <v>0.18773195642599802</v>
      </c>
      <c r="G313" s="14"/>
      <c r="H313" s="35">
        <f>+H309-H311</f>
        <v>912072.48144806735</v>
      </c>
      <c r="I313" s="14"/>
      <c r="J313" s="32">
        <f>IF(H$12=0,0,H313/H$12)</f>
        <v>0.22271372862625638</v>
      </c>
      <c r="K313" s="15"/>
      <c r="L313" s="35">
        <f>D313-H313</f>
        <v>-159498.72144806921</v>
      </c>
      <c r="M313" s="15"/>
      <c r="N313" s="32">
        <f>IF(H313=0,0,L313/H313)</f>
        <v>-0.17487505071399409</v>
      </c>
      <c r="O313" s="28"/>
      <c r="P313" s="35">
        <f>+P309-P311</f>
        <v>-43944.120000002789</v>
      </c>
      <c r="Q313" s="14"/>
      <c r="R313" s="32">
        <f>IF(P$12=0,0,P313/P$12)</f>
        <v>-4.5145095101136491E-3</v>
      </c>
      <c r="S313" s="14"/>
      <c r="T313" s="35">
        <f>+T309-T311</f>
        <v>-1148.4571352479979</v>
      </c>
      <c r="U313" s="14"/>
      <c r="V313" s="32">
        <f>IF(T$12=0,0,T313/T$12)</f>
        <v>-1.128646347306671E-4</v>
      </c>
      <c r="W313" s="15"/>
      <c r="X313" s="35">
        <f>P313-T313</f>
        <v>-42795.662864754791</v>
      </c>
      <c r="Y313" s="15"/>
      <c r="Z313" s="32">
        <f>IF(T313=0,0,X313/T313)</f>
        <v>37.263613548374614</v>
      </c>
    </row>
    <row r="314" spans="1:26" ht="15.75" thickTop="1" x14ac:dyDescent="0.25">
      <c r="A314" s="9"/>
      <c r="B314" s="9"/>
      <c r="C314" s="9"/>
      <c r="D314" s="3"/>
      <c r="E314" s="3"/>
      <c r="F314" s="8"/>
      <c r="G314" s="3"/>
      <c r="H314" s="3"/>
      <c r="I314" s="3"/>
      <c r="J314" s="8"/>
      <c r="K314" s="3"/>
      <c r="L314" s="3"/>
      <c r="M314" s="3"/>
      <c r="N314" s="8"/>
      <c r="P314" s="3"/>
      <c r="Q314" s="3"/>
      <c r="R314" s="8"/>
      <c r="S314" s="3"/>
      <c r="T314" s="3"/>
      <c r="U314" s="3"/>
      <c r="V314" s="8"/>
      <c r="W314" s="3"/>
      <c r="X314" s="3"/>
      <c r="Y314" s="3"/>
      <c r="Z314" s="8"/>
    </row>
    <row r="315" spans="1:26" s="23" customFormat="1" x14ac:dyDescent="0.25">
      <c r="A315" s="52"/>
      <c r="B315" s="10" t="s">
        <v>2</v>
      </c>
      <c r="C315" s="10"/>
      <c r="D315" s="4">
        <f>--83075.9</f>
        <v>83075.899999999994</v>
      </c>
      <c r="E315" s="4"/>
      <c r="F315" s="12">
        <f t="shared" ref="F315:F316" si="153">IF(D$12=0,0,D315/D$12)</f>
        <v>2.0723551720499271E-2</v>
      </c>
      <c r="G315" s="4"/>
      <c r="H315" s="4">
        <f>--25000</f>
        <v>25000</v>
      </c>
      <c r="I315" s="4"/>
      <c r="J315" s="12">
        <f t="shared" ref="J315:J316" si="154">IF(H$12=0,0,H315/H$12)</f>
        <v>6.1046060800086076E-3</v>
      </c>
      <c r="K315" s="4"/>
      <c r="L315" s="4">
        <f t="shared" ref="L315:L316" si="155">+D315-H315</f>
        <v>58075.899999999994</v>
      </c>
      <c r="M315" s="4"/>
      <c r="N315" s="12">
        <f t="shared" ref="N315:N316" si="156">IF(H315=0,0,L315/H315)</f>
        <v>2.3230359999999997</v>
      </c>
      <c r="O315" s="10"/>
      <c r="P315" s="4">
        <f>-97529.91</f>
        <v>-97529.91</v>
      </c>
      <c r="Q315" s="4"/>
      <c r="R315" s="12">
        <f t="shared" ref="R315:R316" si="157">IF(P$12=0,0,P315/P$12)</f>
        <v>-1.001953631601908E-2</v>
      </c>
      <c r="S315" s="4"/>
      <c r="T315" s="4">
        <f>--75000</f>
        <v>75000</v>
      </c>
      <c r="U315" s="4"/>
      <c r="V315" s="12">
        <f t="shared" ref="V315:V316" si="158">IF(T$12=0,0,T315/T$12)</f>
        <v>7.3706256376491856E-3</v>
      </c>
      <c r="W315" s="4"/>
      <c r="X315" s="4">
        <f t="shared" ref="X315:X316" si="159">+P315-T315</f>
        <v>-172529.91</v>
      </c>
      <c r="Y315" s="4"/>
      <c r="Z315" s="12">
        <f t="shared" ref="Z315:Z316" si="160">IF(T315=0,0,X315/T315)</f>
        <v>-2.3003988</v>
      </c>
    </row>
    <row r="316" spans="1:26" s="23" customFormat="1" x14ac:dyDescent="0.25">
      <c r="A316" s="52"/>
      <c r="B316" s="10" t="s">
        <v>1</v>
      </c>
      <c r="C316" s="10"/>
      <c r="D316" s="4">
        <f>--19950.21</f>
        <v>19950.21</v>
      </c>
      <c r="E316" s="4"/>
      <c r="F316" s="12">
        <f t="shared" si="153"/>
        <v>4.9766443549792636E-3</v>
      </c>
      <c r="G316" s="4"/>
      <c r="H316" s="4">
        <f>--20000</f>
        <v>20000</v>
      </c>
      <c r="I316" s="4"/>
      <c r="J316" s="12">
        <f t="shared" si="154"/>
        <v>4.8836848640068861E-3</v>
      </c>
      <c r="K316" s="4"/>
      <c r="L316" s="4">
        <f t="shared" si="155"/>
        <v>-49.790000000000873</v>
      </c>
      <c r="M316" s="4"/>
      <c r="N316" s="12">
        <f t="shared" si="156"/>
        <v>-2.4895000000000438E-3</v>
      </c>
      <c r="O316" s="10"/>
      <c r="P316" s="4">
        <f>--51771.16</f>
        <v>51771.16</v>
      </c>
      <c r="Q316" s="4"/>
      <c r="R316" s="12">
        <f t="shared" si="157"/>
        <v>5.3186044951998249E-3</v>
      </c>
      <c r="S316" s="4"/>
      <c r="T316" s="4">
        <f>--70000</f>
        <v>70000</v>
      </c>
      <c r="U316" s="4"/>
      <c r="V316" s="12">
        <f t="shared" si="158"/>
        <v>6.8792505951392399E-3</v>
      </c>
      <c r="W316" s="4"/>
      <c r="X316" s="4">
        <f t="shared" si="159"/>
        <v>-18228.839999999997</v>
      </c>
      <c r="Y316" s="4"/>
      <c r="Z316" s="12">
        <f t="shared" si="160"/>
        <v>-0.26041199999999998</v>
      </c>
    </row>
    <row r="317" spans="1:26" x14ac:dyDescent="0.25">
      <c r="A317" s="9"/>
      <c r="B317" s="9"/>
      <c r="C317" s="9"/>
      <c r="D317" s="3"/>
      <c r="E317" s="3"/>
      <c r="F317" s="8"/>
      <c r="G317" s="3"/>
      <c r="H317" s="3"/>
      <c r="I317" s="3"/>
      <c r="J317" s="8"/>
      <c r="K317" s="3"/>
      <c r="L317" s="3"/>
      <c r="M317" s="3"/>
      <c r="N317" s="8"/>
      <c r="P317" s="3"/>
      <c r="Q317" s="3"/>
      <c r="R317" s="8"/>
      <c r="S317" s="3"/>
      <c r="T317" s="3"/>
      <c r="U317" s="3"/>
      <c r="V317" s="8"/>
      <c r="W317" s="3"/>
      <c r="X317" s="3"/>
      <c r="Y317" s="3"/>
      <c r="Z317" s="8"/>
    </row>
    <row r="318" spans="1:26" s="23" customFormat="1" ht="15.75" thickBot="1" x14ac:dyDescent="0.3">
      <c r="A318" s="10"/>
      <c r="B318" s="29" t="s">
        <v>5</v>
      </c>
      <c r="C318" s="29"/>
      <c r="D318" s="30">
        <f>SUM(D313:D317)</f>
        <v>855599.86999999813</v>
      </c>
      <c r="E318" s="14"/>
      <c r="F318" s="31">
        <f>IF(D$12=0,0,D318/D$12)</f>
        <v>0.21343215250147654</v>
      </c>
      <c r="G318" s="14"/>
      <c r="H318" s="30">
        <f>SUM(H313:H317)</f>
        <v>957072.48144806735</v>
      </c>
      <c r="I318" s="14"/>
      <c r="J318" s="31">
        <f>IF(H$12=0,0,H318/H$12)</f>
        <v>0.2337020195702719</v>
      </c>
      <c r="K318" s="15"/>
      <c r="L318" s="30">
        <f>+D318-H318</f>
        <v>-101472.61144806922</v>
      </c>
      <c r="M318" s="15"/>
      <c r="N318" s="31">
        <f>IF(H318=0,0,L318/H318)</f>
        <v>-0.10602395682147228</v>
      </c>
      <c r="O318" s="28"/>
      <c r="P318" s="30">
        <f>SUM(P313:P317)</f>
        <v>-89702.870000002789</v>
      </c>
      <c r="Q318" s="14"/>
      <c r="R318" s="31">
        <f>IF(P$12=0,0,P318/P$12)</f>
        <v>-9.2154413309329039E-3</v>
      </c>
      <c r="S318" s="14"/>
      <c r="T318" s="30">
        <f>SUM(T313:T317)</f>
        <v>143851.542864752</v>
      </c>
      <c r="U318" s="14"/>
      <c r="V318" s="31">
        <f>IF(T$12=0,0,T318/T$12)</f>
        <v>1.4137011598057759E-2</v>
      </c>
      <c r="W318" s="15"/>
      <c r="X318" s="30">
        <f>+P318-T318</f>
        <v>-233554.41286475479</v>
      </c>
      <c r="Y318" s="15"/>
      <c r="Z318" s="31">
        <f>IF(T318=0,0,X318/T318)</f>
        <v>-1.6235794779367829</v>
      </c>
    </row>
    <row r="319" spans="1:26" ht="15.75" thickTop="1" x14ac:dyDescent="0.25">
      <c r="A319" s="9"/>
      <c r="C319" s="9"/>
      <c r="D319" s="18"/>
      <c r="E319" s="18"/>
      <c r="G319" s="18"/>
      <c r="H319" s="18"/>
      <c r="I319" s="18"/>
      <c r="J319" s="43"/>
      <c r="K319" s="18"/>
      <c r="L319" s="18"/>
      <c r="M319" s="18"/>
      <c r="P319" s="18"/>
      <c r="Q319" s="18"/>
      <c r="R319" s="43"/>
      <c r="S319" s="18"/>
      <c r="T319" s="18"/>
      <c r="U319" s="18"/>
      <c r="V319" s="43"/>
      <c r="W319" s="18"/>
      <c r="X319" s="18"/>
    </row>
    <row r="320" spans="1:26" x14ac:dyDescent="0.25">
      <c r="A320" s="9"/>
      <c r="B320" s="53">
        <v>43756.451686956018</v>
      </c>
      <c r="D320" s="18"/>
      <c r="E320" s="18"/>
      <c r="G320" s="18"/>
      <c r="H320" s="18"/>
      <c r="I320" s="18"/>
      <c r="J320" s="43"/>
      <c r="K320" s="18"/>
      <c r="L320" s="18"/>
      <c r="M320" s="18"/>
      <c r="P320" s="18"/>
      <c r="Q320" s="18"/>
      <c r="R320" s="43"/>
      <c r="S320" s="18"/>
      <c r="T320" s="18"/>
      <c r="U320" s="18"/>
      <c r="V320" s="43"/>
      <c r="W320" s="18"/>
      <c r="X320" s="18"/>
    </row>
    <row r="321" spans="1:24" x14ac:dyDescent="0.25">
      <c r="A321" s="9"/>
      <c r="B321" s="55" t="s">
        <v>314</v>
      </c>
      <c r="D321" s="18"/>
      <c r="E321" s="18"/>
      <c r="G321" s="18"/>
      <c r="H321" s="18"/>
      <c r="I321" s="18"/>
      <c r="J321" s="43"/>
      <c r="K321" s="18"/>
      <c r="L321" s="18"/>
      <c r="M321" s="18"/>
      <c r="P321" s="18"/>
      <c r="Q321" s="18"/>
      <c r="R321" s="43"/>
      <c r="S321" s="18"/>
      <c r="T321" s="18"/>
      <c r="U321" s="18"/>
      <c r="V321" s="43"/>
      <c r="W321" s="18"/>
      <c r="X321" s="18"/>
    </row>
    <row r="322" spans="1:24" x14ac:dyDescent="0.25">
      <c r="A322" s="9"/>
      <c r="B322" s="56"/>
      <c r="D322" s="18"/>
      <c r="E322" s="18"/>
      <c r="G322" s="18"/>
      <c r="H322" s="18"/>
      <c r="I322" s="18"/>
      <c r="J322" s="43"/>
      <c r="K322" s="18"/>
      <c r="L322" s="18"/>
      <c r="M322" s="18"/>
      <c r="P322" s="18"/>
      <c r="Q322" s="18"/>
      <c r="R322" s="43"/>
      <c r="S322" s="18"/>
      <c r="T322" s="18"/>
      <c r="U322" s="18"/>
      <c r="V322" s="43"/>
      <c r="W322" s="18"/>
      <c r="X322" s="18"/>
    </row>
    <row r="323" spans="1:24" x14ac:dyDescent="0.25">
      <c r="D323" s="18"/>
      <c r="E323" s="18"/>
      <c r="G323" s="18"/>
      <c r="H323" s="18"/>
      <c r="I323" s="18"/>
      <c r="J323" s="43"/>
      <c r="K323" s="18"/>
      <c r="L323" s="18"/>
      <c r="M323" s="18"/>
      <c r="P323" s="18"/>
      <c r="Q323" s="18"/>
      <c r="R323" s="43"/>
      <c r="S323" s="18"/>
      <c r="T323" s="18"/>
      <c r="U323" s="18"/>
      <c r="V323" s="43"/>
      <c r="W323" s="18"/>
      <c r="X323" s="18"/>
    </row>
  </sheetData>
  <pageMargins left="0.25" right="0.25" top="0.75" bottom="0.75" header="0.3" footer="0.3"/>
  <pageSetup scale="55" fitToWidth="2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">
        <v>301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5"/>
      <c r="L31" s="35" t="e">
        <f ca="1">D31-H31</f>
        <v>#NAME?</v>
      </c>
      <c r="M31" s="15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5"/>
      <c r="X31" s="35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8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">
        <v>301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5"/>
      <c r="L31" s="35" t="e">
        <f ca="1">D31-H31</f>
        <v>#NAME?</v>
      </c>
      <c r="M31" s="15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5"/>
      <c r="X31" s="35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8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">
        <v>302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5"/>
      <c r="L31" s="35" t="e">
        <f ca="1">D31-H31</f>
        <v>#NAME?</v>
      </c>
      <c r="M31" s="15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5"/>
      <c r="X31" s="35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8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">
        <v>302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5"/>
      <c r="L31" s="35" t="e">
        <f ca="1">D31-H31</f>
        <v>#NAME?</v>
      </c>
      <c r="M31" s="15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5"/>
      <c r="X31" s="35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8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">
        <v>298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5"/>
      <c r="L31" s="35" t="e">
        <f ca="1">D31-H31</f>
        <v>#NAME?</v>
      </c>
      <c r="M31" s="15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5"/>
      <c r="X31" s="35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8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">
        <v>298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5"/>
      <c r="L31" s="35" t="e">
        <f ca="1">D31-H31</f>
        <v>#NAME?</v>
      </c>
      <c r="M31" s="15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5"/>
      <c r="X31" s="35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8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">
        <v>311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5"/>
      <c r="L31" s="35" t="e">
        <f ca="1">D31-H31</f>
        <v>#NAME?</v>
      </c>
      <c r="M31" s="15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5"/>
      <c r="X31" s="35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8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">
        <v>311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5"/>
      <c r="L31" s="35" t="e">
        <f ca="1">D31-H31</f>
        <v>#NAME?</v>
      </c>
      <c r="M31" s="15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5"/>
      <c r="X31" s="35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8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3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str">
        <f>CONCATENATE("Period ",RIGHT(202003,2),", ",2020)</f>
        <v>Period 03, 2020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43736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">
        <v>299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SUM(0)</f>
        <v>0</v>
      </c>
      <c r="E18" s="21"/>
      <c r="F18" s="33">
        <f>IF(D$12=0,0,D18/D$12)</f>
        <v>0</v>
      </c>
      <c r="G18" s="21"/>
      <c r="H18" s="21">
        <f>SUM(0)</f>
        <v>0</v>
      </c>
      <c r="I18" s="21"/>
      <c r="J18" s="33">
        <f>IF(H$12=0,0,H18/H$12)</f>
        <v>0</v>
      </c>
      <c r="K18" s="4"/>
      <c r="L18" s="21">
        <f>+D18-H18</f>
        <v>0</v>
      </c>
      <c r="M18" s="4"/>
      <c r="N18" s="33">
        <f>IF(H18=0,0,L18/H18)</f>
        <v>0</v>
      </c>
      <c r="O18" s="10"/>
      <c r="P18" s="21">
        <f>SUM(0)</f>
        <v>0</v>
      </c>
      <c r="Q18" s="21"/>
      <c r="R18" s="33">
        <f>IF(P$12=0,0,P18/P$12)</f>
        <v>0</v>
      </c>
      <c r="S18" s="21"/>
      <c r="T18" s="21">
        <f>SUM(0)</f>
        <v>0</v>
      </c>
      <c r="U18" s="21"/>
      <c r="V18" s="33">
        <f>IF(T$12=0,0,T18/T$12)</f>
        <v>0</v>
      </c>
      <c r="W18" s="4"/>
      <c r="X18" s="21">
        <f>+P18-T18</f>
        <v>0</v>
      </c>
      <c r="Y18" s="4"/>
      <c r="Z18" s="33">
        <f>IF(T18=0,0,X18/T18)</f>
        <v>0</v>
      </c>
    </row>
    <row r="19" spans="1:26" s="63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3</v>
      </c>
      <c r="C22" s="29"/>
      <c r="D22" s="22">
        <f>+D16-D18+D20</f>
        <v>0</v>
      </c>
      <c r="E22" s="14"/>
      <c r="F22" s="20">
        <f>IF(D$12=0,0,D22/D$12)</f>
        <v>0</v>
      </c>
      <c r="G22" s="14"/>
      <c r="H22" s="22">
        <f>+H16-H18+H20</f>
        <v>0</v>
      </c>
      <c r="I22" s="14"/>
      <c r="J22" s="20">
        <f>IF(H$12=0,0,H22/H$12)</f>
        <v>0</v>
      </c>
      <c r="K22" s="15"/>
      <c r="L22" s="22">
        <f>+D22-H22</f>
        <v>0</v>
      </c>
      <c r="M22" s="15"/>
      <c r="N22" s="20">
        <f>IF(H22=0,0,L22/H22)</f>
        <v>0</v>
      </c>
      <c r="O22" s="28"/>
      <c r="P22" s="22">
        <f>+P16-P18+P20</f>
        <v>0</v>
      </c>
      <c r="Q22" s="14"/>
      <c r="R22" s="20">
        <f>IF(P$12=0,0,P22/P$12)</f>
        <v>0</v>
      </c>
      <c r="S22" s="14"/>
      <c r="T22" s="22">
        <f>+T16-T18+T20</f>
        <v>0</v>
      </c>
      <c r="U22" s="14"/>
      <c r="V22" s="20">
        <f>IF(T$12=0,0,T22/T$12)</f>
        <v>0</v>
      </c>
      <c r="W22" s="15"/>
      <c r="X22" s="22">
        <f>+P22-T22</f>
        <v>0</v>
      </c>
      <c r="Y22" s="15"/>
      <c r="Z22" s="20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14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9" t="s">
        <v>4</v>
      </c>
      <c r="C26" s="29"/>
      <c r="D26" s="35">
        <f>+D22-D24</f>
        <v>0</v>
      </c>
      <c r="E26" s="14"/>
      <c r="F26" s="32">
        <f>IF(D$12=0,0,D26/D$12)</f>
        <v>0</v>
      </c>
      <c r="G26" s="14"/>
      <c r="H26" s="35">
        <f>+H22-H24</f>
        <v>0</v>
      </c>
      <c r="I26" s="14"/>
      <c r="J26" s="32">
        <f>IF(H$12=0,0,H26/H$12)</f>
        <v>0</v>
      </c>
      <c r="K26" s="15"/>
      <c r="L26" s="35">
        <f>D26-H26</f>
        <v>0</v>
      </c>
      <c r="M26" s="15"/>
      <c r="N26" s="32">
        <f>IF(H26=0,0,L26/H26)</f>
        <v>0</v>
      </c>
      <c r="O26" s="28"/>
      <c r="P26" s="35">
        <f>+P22-P24</f>
        <v>0</v>
      </c>
      <c r="Q26" s="14"/>
      <c r="R26" s="32">
        <f>IF(P$12=0,0,P26/P$12)</f>
        <v>0</v>
      </c>
      <c r="S26" s="14"/>
      <c r="T26" s="35">
        <f>+T22-T24</f>
        <v>0</v>
      </c>
      <c r="U26" s="14"/>
      <c r="V26" s="32">
        <f>IF(T$12=0,0,T26/T$12)</f>
        <v>0</v>
      </c>
      <c r="W26" s="15"/>
      <c r="X26" s="35">
        <f>P26-T26</f>
        <v>0</v>
      </c>
      <c r="Y26" s="15"/>
      <c r="Z26" s="32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2"/>
      <c r="B28" s="10" t="s">
        <v>2</v>
      </c>
      <c r="C28" s="10"/>
      <c r="D28" s="4">
        <f>--83075.9</f>
        <v>83075.899999999994</v>
      </c>
      <c r="E28" s="4"/>
      <c r="F28" s="12">
        <f t="shared" ref="F28:F29" si="0">IF(D$12=0,0,D28/D$12)</f>
        <v>0</v>
      </c>
      <c r="G28" s="4"/>
      <c r="H28" s="4">
        <f>--25000</f>
        <v>25000</v>
      </c>
      <c r="I28" s="4"/>
      <c r="J28" s="12">
        <f t="shared" ref="J28:J29" si="1">IF(H$12=0,0,H28/H$12)</f>
        <v>0</v>
      </c>
      <c r="K28" s="4"/>
      <c r="L28" s="4">
        <f t="shared" ref="L28:L29" si="2">+D28-H28</f>
        <v>58075.899999999994</v>
      </c>
      <c r="M28" s="4"/>
      <c r="N28" s="12">
        <f t="shared" ref="N28:N29" si="3">IF(H28=0,0,L28/H28)</f>
        <v>2.3230359999999997</v>
      </c>
      <c r="O28" s="10"/>
      <c r="P28" s="4">
        <f>-97529.91</f>
        <v>-97529.91</v>
      </c>
      <c r="Q28" s="4"/>
      <c r="R28" s="12">
        <f t="shared" ref="R28:R29" si="4">IF(P$12=0,0,P28/P$12)</f>
        <v>0</v>
      </c>
      <c r="S28" s="4"/>
      <c r="T28" s="4">
        <f>--75000</f>
        <v>75000</v>
      </c>
      <c r="U28" s="4"/>
      <c r="V28" s="12">
        <f t="shared" ref="V28:V29" si="5">IF(T$12=0,0,T28/T$12)</f>
        <v>0</v>
      </c>
      <c r="W28" s="4"/>
      <c r="X28" s="4">
        <f t="shared" ref="X28:X29" si="6">+P28-T28</f>
        <v>-172529.91</v>
      </c>
      <c r="Y28" s="4"/>
      <c r="Z28" s="12">
        <f t="shared" ref="Z28:Z29" si="7">IF(T28=0,0,X28/T28)</f>
        <v>-2.3003988</v>
      </c>
    </row>
    <row r="29" spans="1:26" s="23" customFormat="1" x14ac:dyDescent="0.25">
      <c r="A29" s="52"/>
      <c r="B29" s="10" t="s">
        <v>1</v>
      </c>
      <c r="C29" s="10"/>
      <c r="D29" s="4">
        <f>--19950.21</f>
        <v>19950.21</v>
      </c>
      <c r="E29" s="4"/>
      <c r="F29" s="12">
        <f t="shared" si="0"/>
        <v>0</v>
      </c>
      <c r="G29" s="4"/>
      <c r="H29" s="4">
        <f>--20000</f>
        <v>20000</v>
      </c>
      <c r="I29" s="4"/>
      <c r="J29" s="12">
        <f t="shared" si="1"/>
        <v>0</v>
      </c>
      <c r="K29" s="4"/>
      <c r="L29" s="4">
        <f t="shared" si="2"/>
        <v>-49.790000000000873</v>
      </c>
      <c r="M29" s="4"/>
      <c r="N29" s="12">
        <f t="shared" si="3"/>
        <v>-2.4895000000000438E-3</v>
      </c>
      <c r="O29" s="10"/>
      <c r="P29" s="4">
        <f>--51771.16</f>
        <v>51771.16</v>
      </c>
      <c r="Q29" s="4"/>
      <c r="R29" s="12">
        <f t="shared" si="4"/>
        <v>0</v>
      </c>
      <c r="S29" s="4"/>
      <c r="T29" s="4">
        <f>--70000</f>
        <v>70000</v>
      </c>
      <c r="U29" s="4"/>
      <c r="V29" s="12">
        <f t="shared" si="5"/>
        <v>0</v>
      </c>
      <c r="W29" s="4"/>
      <c r="X29" s="4">
        <f t="shared" si="6"/>
        <v>-18228.839999999997</v>
      </c>
      <c r="Y29" s="4"/>
      <c r="Z29" s="12">
        <f t="shared" si="7"/>
        <v>-0.26041199999999998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5</v>
      </c>
      <c r="C31" s="29"/>
      <c r="D31" s="30">
        <f>SUM(D26:D30)</f>
        <v>103026.10999999999</v>
      </c>
      <c r="E31" s="14"/>
      <c r="F31" s="31">
        <f>IF(D$12=0,0,D31/D$12)</f>
        <v>0</v>
      </c>
      <c r="G31" s="14"/>
      <c r="H31" s="30">
        <f>SUM(H26:H30)</f>
        <v>45000</v>
      </c>
      <c r="I31" s="14"/>
      <c r="J31" s="31">
        <f>IF(H$12=0,0,H31/H$12)</f>
        <v>0</v>
      </c>
      <c r="K31" s="15"/>
      <c r="L31" s="30">
        <f>+D31-H31</f>
        <v>58026.109999999986</v>
      </c>
      <c r="M31" s="15"/>
      <c r="N31" s="31">
        <f>IF(H31=0,0,L31/H31)</f>
        <v>1.2894691111111107</v>
      </c>
      <c r="O31" s="28"/>
      <c r="P31" s="30">
        <f>SUM(P26:P30)</f>
        <v>-45758.75</v>
      </c>
      <c r="Q31" s="14"/>
      <c r="R31" s="31">
        <f>IF(P$12=0,0,P31/P$12)</f>
        <v>0</v>
      </c>
      <c r="S31" s="14"/>
      <c r="T31" s="30">
        <f>SUM(T26:T30)</f>
        <v>145000</v>
      </c>
      <c r="U31" s="14"/>
      <c r="V31" s="31">
        <f>IF(T$12=0,0,T31/T$12)</f>
        <v>0</v>
      </c>
      <c r="W31" s="15"/>
      <c r="X31" s="30">
        <f>+P31-T31</f>
        <v>-190758.75</v>
      </c>
      <c r="Y31" s="15"/>
      <c r="Z31" s="31">
        <f>IF(T31=0,0,X31/T31)</f>
        <v>-1.3155775862068966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25">
      <c r="A33" s="9"/>
      <c r="B33" s="53">
        <v>43756.451719097226</v>
      </c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25">
      <c r="A34" s="9"/>
      <c r="B34" s="55" t="s">
        <v>314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25">
      <c r="A35" s="9"/>
      <c r="B35" s="56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25"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str">
        <f>CONCATENATE("Period ",RIGHT(202003,2),", ",2020)</f>
        <v>Period 03, 2020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43736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tr">
        <f>CONCATENATE("Department ","100", " - ", "Corporate")</f>
        <v>Department 100 - Corporate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SUM(0)</f>
        <v>0</v>
      </c>
      <c r="E18" s="21"/>
      <c r="F18" s="33">
        <f>IF(D$12=0,0,D18/D$12)</f>
        <v>0</v>
      </c>
      <c r="G18" s="21"/>
      <c r="H18" s="21">
        <f>SUM(0)</f>
        <v>0</v>
      </c>
      <c r="I18" s="21"/>
      <c r="J18" s="33">
        <f>IF(H$12=0,0,H18/H$12)</f>
        <v>0</v>
      </c>
      <c r="K18" s="4"/>
      <c r="L18" s="21">
        <f>+D18-H18</f>
        <v>0</v>
      </c>
      <c r="M18" s="4"/>
      <c r="N18" s="33">
        <f>IF(H18=0,0,L18/H18)</f>
        <v>0</v>
      </c>
      <c r="O18" s="10"/>
      <c r="P18" s="21">
        <f>SUM(0)</f>
        <v>0</v>
      </c>
      <c r="Q18" s="21"/>
      <c r="R18" s="33">
        <f>IF(P$12=0,0,P18/P$12)</f>
        <v>0</v>
      </c>
      <c r="S18" s="21"/>
      <c r="T18" s="21">
        <f>SUM(0)</f>
        <v>0</v>
      </c>
      <c r="U18" s="21"/>
      <c r="V18" s="33">
        <f>IF(T$12=0,0,T18/T$12)</f>
        <v>0</v>
      </c>
      <c r="W18" s="4"/>
      <c r="X18" s="21">
        <f>+P18-T18</f>
        <v>0</v>
      </c>
      <c r="Y18" s="4"/>
      <c r="Z18" s="33">
        <f>IF(T18=0,0,X18/T18)</f>
        <v>0</v>
      </c>
    </row>
    <row r="19" spans="1:26" s="63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3</v>
      </c>
      <c r="C22" s="29"/>
      <c r="D22" s="22">
        <f>+D16-D18+D20</f>
        <v>0</v>
      </c>
      <c r="E22" s="14"/>
      <c r="F22" s="20">
        <f>IF(D$12=0,0,D22/D$12)</f>
        <v>0</v>
      </c>
      <c r="G22" s="14"/>
      <c r="H22" s="22">
        <f>+H16-H18+H20</f>
        <v>0</v>
      </c>
      <c r="I22" s="14"/>
      <c r="J22" s="20">
        <f>IF(H$12=0,0,H22/H$12)</f>
        <v>0</v>
      </c>
      <c r="K22" s="15"/>
      <c r="L22" s="22">
        <f>+D22-H22</f>
        <v>0</v>
      </c>
      <c r="M22" s="15"/>
      <c r="N22" s="20">
        <f>IF(H22=0,0,L22/H22)</f>
        <v>0</v>
      </c>
      <c r="O22" s="28"/>
      <c r="P22" s="22">
        <f>+P16-P18+P20</f>
        <v>0</v>
      </c>
      <c r="Q22" s="14"/>
      <c r="R22" s="20">
        <f>IF(P$12=0,0,P22/P$12)</f>
        <v>0</v>
      </c>
      <c r="S22" s="14"/>
      <c r="T22" s="22">
        <f>+T16-T18+T20</f>
        <v>0</v>
      </c>
      <c r="U22" s="14"/>
      <c r="V22" s="20">
        <f>IF(T$12=0,0,T22/T$12)</f>
        <v>0</v>
      </c>
      <c r="W22" s="15"/>
      <c r="X22" s="22">
        <f>+P22-T22</f>
        <v>0</v>
      </c>
      <c r="Y22" s="15"/>
      <c r="Z22" s="20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14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9" t="s">
        <v>4</v>
      </c>
      <c r="C26" s="29"/>
      <c r="D26" s="35">
        <f>+D22-D24</f>
        <v>0</v>
      </c>
      <c r="E26" s="14"/>
      <c r="F26" s="32">
        <f>IF(D$12=0,0,D26/D$12)</f>
        <v>0</v>
      </c>
      <c r="G26" s="14"/>
      <c r="H26" s="35">
        <f>+H22-H24</f>
        <v>0</v>
      </c>
      <c r="I26" s="14"/>
      <c r="J26" s="32">
        <f>IF(H$12=0,0,H26/H$12)</f>
        <v>0</v>
      </c>
      <c r="K26" s="15"/>
      <c r="L26" s="35">
        <f>D26-H26</f>
        <v>0</v>
      </c>
      <c r="M26" s="15"/>
      <c r="N26" s="32">
        <f>IF(H26=0,0,L26/H26)</f>
        <v>0</v>
      </c>
      <c r="O26" s="28"/>
      <c r="P26" s="35">
        <f>+P22-P24</f>
        <v>0</v>
      </c>
      <c r="Q26" s="14"/>
      <c r="R26" s="32">
        <f>IF(P$12=0,0,P26/P$12)</f>
        <v>0</v>
      </c>
      <c r="S26" s="14"/>
      <c r="T26" s="35">
        <f>+T22-T24</f>
        <v>0</v>
      </c>
      <c r="U26" s="14"/>
      <c r="V26" s="32">
        <f>IF(T$12=0,0,T26/T$12)</f>
        <v>0</v>
      </c>
      <c r="W26" s="15"/>
      <c r="X26" s="35">
        <f>P26-T26</f>
        <v>0</v>
      </c>
      <c r="Y26" s="15"/>
      <c r="Z26" s="32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2"/>
      <c r="B28" s="10" t="s">
        <v>2</v>
      </c>
      <c r="C28" s="10"/>
      <c r="D28" s="4">
        <f>--83075.9</f>
        <v>83075.899999999994</v>
      </c>
      <c r="E28" s="4"/>
      <c r="F28" s="12">
        <f t="shared" ref="F28:F29" si="0">IF(D$12=0,0,D28/D$12)</f>
        <v>0</v>
      </c>
      <c r="G28" s="4"/>
      <c r="H28" s="4">
        <f>--25000</f>
        <v>25000</v>
      </c>
      <c r="I28" s="4"/>
      <c r="J28" s="12">
        <f t="shared" ref="J28:J29" si="1">IF(H$12=0,0,H28/H$12)</f>
        <v>0</v>
      </c>
      <c r="K28" s="4"/>
      <c r="L28" s="4">
        <f t="shared" ref="L28:L29" si="2">+D28-H28</f>
        <v>58075.899999999994</v>
      </c>
      <c r="M28" s="4"/>
      <c r="N28" s="12">
        <f t="shared" ref="N28:N29" si="3">IF(H28=0,0,L28/H28)</f>
        <v>2.3230359999999997</v>
      </c>
      <c r="O28" s="10"/>
      <c r="P28" s="4">
        <f>-97529.91</f>
        <v>-97529.91</v>
      </c>
      <c r="Q28" s="4"/>
      <c r="R28" s="12">
        <f t="shared" ref="R28:R29" si="4">IF(P$12=0,0,P28/P$12)</f>
        <v>0</v>
      </c>
      <c r="S28" s="4"/>
      <c r="T28" s="4">
        <f>--75000</f>
        <v>75000</v>
      </c>
      <c r="U28" s="4"/>
      <c r="V28" s="12">
        <f t="shared" ref="V28:V29" si="5">IF(T$12=0,0,T28/T$12)</f>
        <v>0</v>
      </c>
      <c r="W28" s="4"/>
      <c r="X28" s="4">
        <f t="shared" ref="X28:X29" si="6">+P28-T28</f>
        <v>-172529.91</v>
      </c>
      <c r="Y28" s="4"/>
      <c r="Z28" s="12">
        <f t="shared" ref="Z28:Z29" si="7">IF(T28=0,0,X28/T28)</f>
        <v>-2.3003988</v>
      </c>
    </row>
    <row r="29" spans="1:26" s="23" customFormat="1" x14ac:dyDescent="0.25">
      <c r="A29" s="52"/>
      <c r="B29" s="10" t="s">
        <v>1</v>
      </c>
      <c r="C29" s="10"/>
      <c r="D29" s="4">
        <f>--19950.21</f>
        <v>19950.21</v>
      </c>
      <c r="E29" s="4"/>
      <c r="F29" s="12">
        <f t="shared" si="0"/>
        <v>0</v>
      </c>
      <c r="G29" s="4"/>
      <c r="H29" s="4">
        <f>--20000</f>
        <v>20000</v>
      </c>
      <c r="I29" s="4"/>
      <c r="J29" s="12">
        <f t="shared" si="1"/>
        <v>0</v>
      </c>
      <c r="K29" s="4"/>
      <c r="L29" s="4">
        <f t="shared" si="2"/>
        <v>-49.790000000000873</v>
      </c>
      <c r="M29" s="4"/>
      <c r="N29" s="12">
        <f t="shared" si="3"/>
        <v>-2.4895000000000438E-3</v>
      </c>
      <c r="O29" s="10"/>
      <c r="P29" s="4">
        <f>--51771.16</f>
        <v>51771.16</v>
      </c>
      <c r="Q29" s="4"/>
      <c r="R29" s="12">
        <f t="shared" si="4"/>
        <v>0</v>
      </c>
      <c r="S29" s="4"/>
      <c r="T29" s="4">
        <f>--70000</f>
        <v>70000</v>
      </c>
      <c r="U29" s="4"/>
      <c r="V29" s="12">
        <f t="shared" si="5"/>
        <v>0</v>
      </c>
      <c r="W29" s="4"/>
      <c r="X29" s="4">
        <f t="shared" si="6"/>
        <v>-18228.839999999997</v>
      </c>
      <c r="Y29" s="4"/>
      <c r="Z29" s="12">
        <f t="shared" si="7"/>
        <v>-0.26041199999999998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5</v>
      </c>
      <c r="C31" s="29"/>
      <c r="D31" s="30">
        <f>SUM(D26:D30)</f>
        <v>103026.10999999999</v>
      </c>
      <c r="E31" s="14"/>
      <c r="F31" s="31">
        <f>IF(D$12=0,0,D31/D$12)</f>
        <v>0</v>
      </c>
      <c r="G31" s="14"/>
      <c r="H31" s="30">
        <f>SUM(H26:H30)</f>
        <v>45000</v>
      </c>
      <c r="I31" s="14"/>
      <c r="J31" s="31">
        <f>IF(H$12=0,0,H31/H$12)</f>
        <v>0</v>
      </c>
      <c r="K31" s="15"/>
      <c r="L31" s="30">
        <f>+D31-H31</f>
        <v>58026.109999999986</v>
      </c>
      <c r="M31" s="15"/>
      <c r="N31" s="31">
        <f>IF(H31=0,0,L31/H31)</f>
        <v>1.2894691111111107</v>
      </c>
      <c r="O31" s="28"/>
      <c r="P31" s="30">
        <f>SUM(P26:P30)</f>
        <v>-45758.75</v>
      </c>
      <c r="Q31" s="14"/>
      <c r="R31" s="31">
        <f>IF(P$12=0,0,P31/P$12)</f>
        <v>0</v>
      </c>
      <c r="S31" s="14"/>
      <c r="T31" s="30">
        <f>SUM(T26:T30)</f>
        <v>145000</v>
      </c>
      <c r="U31" s="14"/>
      <c r="V31" s="31">
        <f>IF(T$12=0,0,T31/T$12)</f>
        <v>0</v>
      </c>
      <c r="W31" s="15"/>
      <c r="X31" s="30">
        <f>+P31-T31</f>
        <v>-190758.75</v>
      </c>
      <c r="Y31" s="15"/>
      <c r="Z31" s="31">
        <f>IF(T31=0,0,X31/T31)</f>
        <v>-1.3155775862068966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25">
      <c r="A33" s="9"/>
      <c r="B33" s="53">
        <v>43756.452039317126</v>
      </c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25">
      <c r="A34" s="9"/>
      <c r="B34" s="55" t="s">
        <v>314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25">
      <c r="A35" s="9"/>
      <c r="B35" s="56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25"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">
        <v>297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5"/>
      <c r="L31" s="35" t="e">
        <f ca="1">D31-H31</f>
        <v>#NAME?</v>
      </c>
      <c r="M31" s="15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5"/>
      <c r="X31" s="35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8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1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str">
        <f>CONCATENATE("Period ",RIGHT(202003,2),", ",2020)</f>
        <v>Period 03, 2020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43736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">
        <v>300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331728.94</v>
      </c>
      <c r="E18" s="21"/>
      <c r="F18" s="33">
        <f t="shared" ref="F18:F30" si="0">IF(D$12=0,0,D18/D$12)</f>
        <v>0</v>
      </c>
      <c r="G18" s="21"/>
      <c r="H18" s="21">
        <f>SUM(OSRRefH22x_0)</f>
        <v>299598.75540137431</v>
      </c>
      <c r="I18" s="21"/>
      <c r="J18" s="33">
        <f t="shared" ref="J18:J30" si="1">IF(H$12=0,0,H18/H$12)</f>
        <v>0</v>
      </c>
      <c r="K18" s="4"/>
      <c r="L18" s="21">
        <f t="shared" ref="L18:L30" si="2">+D18-H18</f>
        <v>32130.184598625696</v>
      </c>
      <c r="M18" s="4"/>
      <c r="N18" s="33">
        <f t="shared" ref="N18:N30" si="3">IF(H18=0,0,L18/H18)</f>
        <v>0.1072440523178432</v>
      </c>
      <c r="O18" s="10"/>
      <c r="P18" s="21">
        <f>SUM(OSRRefP22x_0)</f>
        <v>1045557.8000000003</v>
      </c>
      <c r="Q18" s="21"/>
      <c r="R18" s="33">
        <f t="shared" ref="R18:R30" si="4">IF(P$12=0,0,P18/P$12)</f>
        <v>0</v>
      </c>
      <c r="S18" s="21"/>
      <c r="T18" s="21">
        <f>SUM(OSRRefT22x_0)</f>
        <v>1287051.3509725244</v>
      </c>
      <c r="U18" s="21"/>
      <c r="V18" s="33">
        <f t="shared" ref="V18:V30" si="5">IF(T$12=0,0,T18/T$12)</f>
        <v>0</v>
      </c>
      <c r="W18" s="4"/>
      <c r="X18" s="21">
        <f t="shared" ref="X18:X30" si="6">+P18-T18</f>
        <v>-241493.5509725241</v>
      </c>
      <c r="Y18" s="4"/>
      <c r="Z18" s="33">
        <f t="shared" ref="Z18:Z30" si="7">IF(T18=0,0,X18/T18)</f>
        <v>-0.18763319022978084</v>
      </c>
    </row>
    <row r="19" spans="1:26" s="26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97769.17</v>
      </c>
      <c r="E19" s="1"/>
      <c r="F19" s="5">
        <f t="shared" si="0"/>
        <v>0</v>
      </c>
      <c r="G19" s="1"/>
      <c r="H19" s="1">
        <f>SUM(OSRRefH22_0x_0)</f>
        <v>98035.555244451389</v>
      </c>
      <c r="I19" s="1"/>
      <c r="J19" s="5">
        <f t="shared" si="1"/>
        <v>0</v>
      </c>
      <c r="K19" s="1"/>
      <c r="L19" s="1">
        <f t="shared" si="2"/>
        <v>-266.38524445139046</v>
      </c>
      <c r="M19" s="1"/>
      <c r="N19" s="5">
        <f t="shared" si="3"/>
        <v>-2.717230945315295E-3</v>
      </c>
      <c r="O19" s="13"/>
      <c r="P19" s="1">
        <f>SUM(OSRRefP22_0x_0)</f>
        <v>287283.41000000003</v>
      </c>
      <c r="Q19" s="1"/>
      <c r="R19" s="5">
        <f t="shared" si="4"/>
        <v>0</v>
      </c>
      <c r="S19" s="1"/>
      <c r="T19" s="1">
        <f>SUM(OSRRefT22_0x_0)</f>
        <v>304654.64521252475</v>
      </c>
      <c r="U19" s="1"/>
      <c r="V19" s="5">
        <f t="shared" si="5"/>
        <v>0</v>
      </c>
      <c r="W19" s="1"/>
      <c r="X19" s="1">
        <f t="shared" si="6"/>
        <v>-17371.235212524713</v>
      </c>
      <c r="Y19" s="1"/>
      <c r="Z19" s="5">
        <f t="shared" si="7"/>
        <v>-5.7019433268140955E-2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7">
        <v>7944.9</v>
      </c>
      <c r="E20" s="2"/>
      <c r="F20" s="6">
        <f t="shared" si="0"/>
        <v>0</v>
      </c>
      <c r="G20" s="2"/>
      <c r="H20" s="7">
        <v>9635.3835262052253</v>
      </c>
      <c r="I20" s="2"/>
      <c r="J20" s="6">
        <f t="shared" si="1"/>
        <v>0</v>
      </c>
      <c r="K20" s="2"/>
      <c r="L20" s="7">
        <f t="shared" si="2"/>
        <v>-1690.4835262052256</v>
      </c>
      <c r="M20" s="2"/>
      <c r="N20" s="6">
        <f t="shared" si="3"/>
        <v>-0.17544538020802597</v>
      </c>
      <c r="O20" s="11"/>
      <c r="P20" s="7">
        <v>26890.91</v>
      </c>
      <c r="Q20" s="2"/>
      <c r="R20" s="6">
        <f t="shared" si="4"/>
        <v>0</v>
      </c>
      <c r="S20" s="2"/>
      <c r="T20" s="7">
        <v>31087.417285917003</v>
      </c>
      <c r="U20" s="2"/>
      <c r="V20" s="6">
        <f t="shared" si="5"/>
        <v>0</v>
      </c>
      <c r="W20" s="2"/>
      <c r="X20" s="7">
        <f t="shared" si="6"/>
        <v>-4196.5072859170032</v>
      </c>
      <c r="Y20" s="2"/>
      <c r="Z20" s="6">
        <f t="shared" si="7"/>
        <v>-0.13499054126371812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7">
        <v>701.22</v>
      </c>
      <c r="E21" s="2"/>
      <c r="F21" s="6">
        <f t="shared" si="0"/>
        <v>0</v>
      </c>
      <c r="G21" s="2"/>
      <c r="H21" s="7">
        <v>743.7473023876928</v>
      </c>
      <c r="I21" s="2"/>
      <c r="J21" s="6">
        <f t="shared" si="1"/>
        <v>0</v>
      </c>
      <c r="K21" s="2"/>
      <c r="L21" s="7">
        <f t="shared" si="2"/>
        <v>-42.527302387692771</v>
      </c>
      <c r="M21" s="2"/>
      <c r="N21" s="6">
        <f t="shared" si="3"/>
        <v>-5.7179773628979948E-2</v>
      </c>
      <c r="O21" s="11"/>
      <c r="P21" s="7">
        <v>2102.29</v>
      </c>
      <c r="Q21" s="2"/>
      <c r="R21" s="6">
        <f t="shared" si="4"/>
        <v>0</v>
      </c>
      <c r="S21" s="2"/>
      <c r="T21" s="7">
        <v>2412.0150677600018</v>
      </c>
      <c r="U21" s="2"/>
      <c r="V21" s="6">
        <f t="shared" si="5"/>
        <v>0</v>
      </c>
      <c r="W21" s="2"/>
      <c r="X21" s="7">
        <f t="shared" si="6"/>
        <v>-309.72506776000182</v>
      </c>
      <c r="Y21" s="2"/>
      <c r="Z21" s="6">
        <f t="shared" si="7"/>
        <v>-0.12840925908793693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7">
        <v>22318.809999999998</v>
      </c>
      <c r="E22" s="2"/>
      <c r="F22" s="6">
        <f t="shared" si="0"/>
        <v>0</v>
      </c>
      <c r="G22" s="2"/>
      <c r="H22" s="7">
        <v>26690.038461538461</v>
      </c>
      <c r="I22" s="2"/>
      <c r="J22" s="6">
        <f t="shared" si="1"/>
        <v>0</v>
      </c>
      <c r="K22" s="2"/>
      <c r="L22" s="7">
        <f t="shared" si="2"/>
        <v>-4371.2284615384633</v>
      </c>
      <c r="M22" s="2"/>
      <c r="N22" s="6">
        <f t="shared" si="3"/>
        <v>-0.16377752575507146</v>
      </c>
      <c r="O22" s="11"/>
      <c r="P22" s="7">
        <v>68360.53</v>
      </c>
      <c r="Q22" s="2"/>
      <c r="R22" s="6">
        <f t="shared" si="4"/>
        <v>0</v>
      </c>
      <c r="S22" s="2"/>
      <c r="T22" s="7">
        <v>81932.307692307688</v>
      </c>
      <c r="U22" s="2"/>
      <c r="V22" s="6">
        <f t="shared" si="5"/>
        <v>0</v>
      </c>
      <c r="W22" s="2"/>
      <c r="X22" s="7">
        <f t="shared" si="6"/>
        <v>-13571.777692307689</v>
      </c>
      <c r="Y22" s="2"/>
      <c r="Z22" s="6">
        <f t="shared" si="7"/>
        <v>-0.16564622765509987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7">
        <v>332.94</v>
      </c>
      <c r="E23" s="2"/>
      <c r="F23" s="6">
        <f t="shared" si="0"/>
        <v>0</v>
      </c>
      <c r="G23" s="2"/>
      <c r="H23" s="7">
        <v>362.24591512000001</v>
      </c>
      <c r="I23" s="2"/>
      <c r="J23" s="6">
        <f t="shared" si="1"/>
        <v>0</v>
      </c>
      <c r="K23" s="2"/>
      <c r="L23" s="7">
        <f t="shared" si="2"/>
        <v>-29.305915120000009</v>
      </c>
      <c r="M23" s="2"/>
      <c r="N23" s="6">
        <f t="shared" si="3"/>
        <v>-8.0900608942110319E-2</v>
      </c>
      <c r="O23" s="11"/>
      <c r="P23" s="7">
        <v>982.28</v>
      </c>
      <c r="Q23" s="2"/>
      <c r="R23" s="6">
        <f t="shared" si="4"/>
        <v>0</v>
      </c>
      <c r="S23" s="2"/>
      <c r="T23" s="7">
        <v>1173.3505391399999</v>
      </c>
      <c r="U23" s="2"/>
      <c r="V23" s="6">
        <f t="shared" si="5"/>
        <v>0</v>
      </c>
      <c r="W23" s="2"/>
      <c r="X23" s="7">
        <f t="shared" si="6"/>
        <v>-191.07053913999994</v>
      </c>
      <c r="Y23" s="2"/>
      <c r="Z23" s="6">
        <f t="shared" si="7"/>
        <v>-0.16284182157536989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7">
        <v>8345.31</v>
      </c>
      <c r="E24" s="2"/>
      <c r="F24" s="6">
        <f t="shared" si="0"/>
        <v>0</v>
      </c>
      <c r="G24" s="2"/>
      <c r="H24" s="7">
        <v>8097.1122453538474</v>
      </c>
      <c r="I24" s="2"/>
      <c r="J24" s="6">
        <f t="shared" si="1"/>
        <v>0</v>
      </c>
      <c r="K24" s="2"/>
      <c r="L24" s="7">
        <f t="shared" si="2"/>
        <v>248.19775464615213</v>
      </c>
      <c r="M24" s="2"/>
      <c r="N24" s="6">
        <f t="shared" si="3"/>
        <v>3.0652626161699673E-2</v>
      </c>
      <c r="O24" s="11"/>
      <c r="P24" s="7">
        <v>24478.27</v>
      </c>
      <c r="Q24" s="2"/>
      <c r="R24" s="6">
        <f t="shared" si="4"/>
        <v>0</v>
      </c>
      <c r="S24" s="2"/>
      <c r="T24" s="7">
        <v>26315.614797400009</v>
      </c>
      <c r="U24" s="2"/>
      <c r="V24" s="6">
        <f t="shared" si="5"/>
        <v>0</v>
      </c>
      <c r="W24" s="2"/>
      <c r="X24" s="7">
        <f t="shared" si="6"/>
        <v>-1837.3447974000082</v>
      </c>
      <c r="Y24" s="2"/>
      <c r="Z24" s="6">
        <f t="shared" si="7"/>
        <v>-6.9819565742448034E-2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7">
        <v>1971.94</v>
      </c>
      <c r="E25" s="2"/>
      <c r="F25" s="6">
        <f t="shared" si="0"/>
        <v>0</v>
      </c>
      <c r="G25" s="2"/>
      <c r="H25" s="7">
        <v>500</v>
      </c>
      <c r="I25" s="2"/>
      <c r="J25" s="6">
        <f t="shared" si="1"/>
        <v>0</v>
      </c>
      <c r="K25" s="2"/>
      <c r="L25" s="7">
        <f t="shared" si="2"/>
        <v>1471.94</v>
      </c>
      <c r="M25" s="2"/>
      <c r="N25" s="6">
        <f t="shared" si="3"/>
        <v>2.9438800000000001</v>
      </c>
      <c r="O25" s="11"/>
      <c r="P25" s="7">
        <v>1971.94</v>
      </c>
      <c r="Q25" s="2"/>
      <c r="R25" s="6">
        <f t="shared" si="4"/>
        <v>0</v>
      </c>
      <c r="S25" s="2"/>
      <c r="T25" s="7">
        <v>1500</v>
      </c>
      <c r="U25" s="2"/>
      <c r="V25" s="6">
        <f t="shared" si="5"/>
        <v>0</v>
      </c>
      <c r="W25" s="2"/>
      <c r="X25" s="7">
        <f t="shared" si="6"/>
        <v>471.94000000000005</v>
      </c>
      <c r="Y25" s="2"/>
      <c r="Z25" s="6">
        <f t="shared" si="7"/>
        <v>0.31462666666666672</v>
      </c>
    </row>
    <row r="26" spans="1:26" s="24" customFormat="1" hidden="1" outlineLevel="2" x14ac:dyDescent="0.25">
      <c r="A26" s="25"/>
      <c r="B26" s="11" t="str">
        <f>CONCATENATE("          ", "6117", " - ", "RETIREMENT STAFF HOURLY")</f>
        <v xml:space="preserve">          6117 - RETIREMENT STAFF HOURLY</v>
      </c>
      <c r="C26" s="11"/>
      <c r="D26" s="7">
        <v>1194.0999999999999</v>
      </c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1194.0999999999999</v>
      </c>
      <c r="M26" s="2"/>
      <c r="N26" s="6">
        <f t="shared" si="3"/>
        <v>0</v>
      </c>
      <c r="O26" s="11"/>
      <c r="P26" s="7">
        <v>2634.87</v>
      </c>
      <c r="Q26" s="2"/>
      <c r="R26" s="6">
        <f t="shared" si="4"/>
        <v>0</v>
      </c>
      <c r="S26" s="2"/>
      <c r="T26" s="7"/>
      <c r="U26" s="2"/>
      <c r="V26" s="6">
        <f t="shared" si="5"/>
        <v>0</v>
      </c>
      <c r="W26" s="2"/>
      <c r="X26" s="7">
        <f t="shared" si="6"/>
        <v>2634.87</v>
      </c>
      <c r="Y26" s="2"/>
      <c r="Z26" s="6">
        <f t="shared" si="7"/>
        <v>0</v>
      </c>
    </row>
    <row r="27" spans="1:26" s="24" customFormat="1" hidden="1" outlineLevel="2" x14ac:dyDescent="0.25">
      <c r="A27" s="25"/>
      <c r="B27" s="11" t="str">
        <f>CONCATENATE("          ", "6118", " - ", "VACATION")</f>
        <v xml:space="preserve">          6118 - VACATION</v>
      </c>
      <c r="C27" s="11"/>
      <c r="D27" s="7">
        <v>8862.1</v>
      </c>
      <c r="E27" s="2"/>
      <c r="F27" s="6">
        <f t="shared" si="0"/>
        <v>0</v>
      </c>
      <c r="G27" s="2"/>
      <c r="H27" s="7">
        <v>6830.8805984615401</v>
      </c>
      <c r="I27" s="2"/>
      <c r="J27" s="6">
        <f t="shared" si="1"/>
        <v>0</v>
      </c>
      <c r="K27" s="2"/>
      <c r="L27" s="7">
        <f t="shared" si="2"/>
        <v>2031.2194015384603</v>
      </c>
      <c r="M27" s="2"/>
      <c r="N27" s="6">
        <f t="shared" si="3"/>
        <v>0.29735835259599386</v>
      </c>
      <c r="O27" s="11"/>
      <c r="P27" s="7">
        <v>31385.75</v>
      </c>
      <c r="Q27" s="2"/>
      <c r="R27" s="6">
        <f t="shared" si="4"/>
        <v>0</v>
      </c>
      <c r="S27" s="2"/>
      <c r="T27" s="7">
        <v>22231.905695000009</v>
      </c>
      <c r="U27" s="2"/>
      <c r="V27" s="6">
        <f t="shared" si="5"/>
        <v>0</v>
      </c>
      <c r="W27" s="2"/>
      <c r="X27" s="7">
        <f t="shared" si="6"/>
        <v>9153.8443049999914</v>
      </c>
      <c r="Y27" s="2"/>
      <c r="Z27" s="6">
        <f t="shared" si="7"/>
        <v>0.41174357387899074</v>
      </c>
    </row>
    <row r="28" spans="1:26" s="24" customFormat="1" hidden="1" outlineLevel="2" x14ac:dyDescent="0.25">
      <c r="A28" s="25"/>
      <c r="B28" s="11" t="str">
        <f>CONCATENATE("          ", "6119", " - ", "SICK LEAVE")</f>
        <v xml:space="preserve">          6119 - SICK LEAVE</v>
      </c>
      <c r="C28" s="11"/>
      <c r="D28" s="7">
        <v>13176.97</v>
      </c>
      <c r="E28" s="2"/>
      <c r="F28" s="6">
        <f t="shared" si="0"/>
        <v>0</v>
      </c>
      <c r="G28" s="2"/>
      <c r="H28" s="7">
        <v>4826.1471953846158</v>
      </c>
      <c r="I28" s="2"/>
      <c r="J28" s="6">
        <f t="shared" si="1"/>
        <v>0</v>
      </c>
      <c r="K28" s="2"/>
      <c r="L28" s="7">
        <f t="shared" si="2"/>
        <v>8350.8228046153836</v>
      </c>
      <c r="M28" s="2"/>
      <c r="N28" s="6">
        <f t="shared" si="3"/>
        <v>1.7303290733862235</v>
      </c>
      <c r="O28" s="11"/>
      <c r="P28" s="7">
        <v>32988.590000000004</v>
      </c>
      <c r="Q28" s="2"/>
      <c r="R28" s="6">
        <f t="shared" si="4"/>
        <v>0</v>
      </c>
      <c r="S28" s="2"/>
      <c r="T28" s="7">
        <v>15652.034135000011</v>
      </c>
      <c r="U28" s="2"/>
      <c r="V28" s="6">
        <f t="shared" si="5"/>
        <v>0</v>
      </c>
      <c r="W28" s="2"/>
      <c r="X28" s="7">
        <f t="shared" si="6"/>
        <v>17336.555864999995</v>
      </c>
      <c r="Y28" s="2"/>
      <c r="Z28" s="6">
        <f t="shared" si="7"/>
        <v>1.1076231827423102</v>
      </c>
    </row>
    <row r="29" spans="1:26" s="24" customFormat="1" hidden="1" outlineLevel="2" x14ac:dyDescent="0.25">
      <c r="A29" s="25"/>
      <c r="B29" s="11" t="str">
        <f>CONCATENATE("          ", "6120", " - ", "RETIREES HEALTH INSURANCE")</f>
        <v xml:space="preserve">          6120 - RETIREES HEALTH INSURANCE</v>
      </c>
      <c r="C29" s="11"/>
      <c r="D29" s="7">
        <v>30468.499999999996</v>
      </c>
      <c r="E29" s="2"/>
      <c r="F29" s="6">
        <f t="shared" si="0"/>
        <v>0</v>
      </c>
      <c r="G29" s="2"/>
      <c r="H29" s="7">
        <v>39000</v>
      </c>
      <c r="I29" s="2"/>
      <c r="J29" s="6">
        <f t="shared" si="1"/>
        <v>0</v>
      </c>
      <c r="K29" s="2"/>
      <c r="L29" s="7">
        <f t="shared" si="2"/>
        <v>-8531.5000000000036</v>
      </c>
      <c r="M29" s="2"/>
      <c r="N29" s="6">
        <f t="shared" si="3"/>
        <v>-0.21875641025641035</v>
      </c>
      <c r="O29" s="11"/>
      <c r="P29" s="7">
        <v>88296.639999999999</v>
      </c>
      <c r="Q29" s="2"/>
      <c r="R29" s="6">
        <f t="shared" si="4"/>
        <v>0</v>
      </c>
      <c r="S29" s="2"/>
      <c r="T29" s="7">
        <v>118300</v>
      </c>
      <c r="U29" s="2"/>
      <c r="V29" s="6">
        <f t="shared" si="5"/>
        <v>0</v>
      </c>
      <c r="W29" s="2"/>
      <c r="X29" s="7">
        <f t="shared" si="6"/>
        <v>-30003.360000000001</v>
      </c>
      <c r="Y29" s="2"/>
      <c r="Z29" s="6">
        <f t="shared" si="7"/>
        <v>-0.25362096365173287</v>
      </c>
    </row>
    <row r="30" spans="1:26" s="24" customFormat="1" hidden="1" outlineLevel="2" x14ac:dyDescent="0.25">
      <c r="A30" s="25"/>
      <c r="B30" s="11" t="str">
        <f>CONCATENATE("          ", "6156", " - ", "EMPLOYEE MEALS")</f>
        <v xml:space="preserve">          6156 - EMPLOYEE MEALS</v>
      </c>
      <c r="C30" s="11"/>
      <c r="D30" s="7">
        <v>2452.38</v>
      </c>
      <c r="E30" s="2"/>
      <c r="F30" s="6">
        <f t="shared" si="0"/>
        <v>0</v>
      </c>
      <c r="G30" s="2"/>
      <c r="H30" s="7">
        <v>1350</v>
      </c>
      <c r="I30" s="2"/>
      <c r="J30" s="6">
        <f t="shared" si="1"/>
        <v>0</v>
      </c>
      <c r="K30" s="2"/>
      <c r="L30" s="7">
        <f t="shared" si="2"/>
        <v>1102.3800000000001</v>
      </c>
      <c r="M30" s="2"/>
      <c r="N30" s="6">
        <f t="shared" si="3"/>
        <v>0.81657777777777785</v>
      </c>
      <c r="O30" s="11"/>
      <c r="P30" s="7">
        <v>7191.34</v>
      </c>
      <c r="Q30" s="2"/>
      <c r="R30" s="6">
        <f t="shared" si="4"/>
        <v>0</v>
      </c>
      <c r="S30" s="2"/>
      <c r="T30" s="7">
        <v>4050</v>
      </c>
      <c r="U30" s="2"/>
      <c r="V30" s="6">
        <f t="shared" si="5"/>
        <v>0</v>
      </c>
      <c r="W30" s="2"/>
      <c r="X30" s="7">
        <f t="shared" si="6"/>
        <v>3141.34</v>
      </c>
      <c r="Y30" s="2"/>
      <c r="Z30" s="6">
        <f t="shared" si="7"/>
        <v>0.7756395061728395</v>
      </c>
    </row>
    <row r="31" spans="1:26" s="26" customFormat="1" outlineLevel="1" collapsed="1" x14ac:dyDescent="0.25">
      <c r="A31" s="27"/>
      <c r="B31" s="13" t="str">
        <f>CONCATENATE("     ","*Payroll                                          ")</f>
        <v xml:space="preserve">     *Payroll                                          </v>
      </c>
      <c r="C31" s="13"/>
      <c r="D31" s="1">
        <f>SUM(OSRRefD22_1x_0)</f>
        <v>103127.95000000001</v>
      </c>
      <c r="E31" s="1"/>
      <c r="F31" s="5">
        <f t="shared" ref="F31:F41" si="8">IF(D$12=0,0,D31/D$12)</f>
        <v>0</v>
      </c>
      <c r="G31" s="1"/>
      <c r="H31" s="1">
        <f>SUM(OSRRefH22_1x_0)</f>
        <v>129315.20015692296</v>
      </c>
      <c r="I31" s="1"/>
      <c r="J31" s="5">
        <f t="shared" ref="J31:J41" si="9">IF(H$12=0,0,H31/H$12)</f>
        <v>0</v>
      </c>
      <c r="K31" s="1"/>
      <c r="L31" s="1">
        <f t="shared" ref="L31:L41" si="10">+D31-H31</f>
        <v>-26187.25015692295</v>
      </c>
      <c r="M31" s="1"/>
      <c r="N31" s="5">
        <f t="shared" ref="N31:N41" si="11">IF(H31=0,0,L31/H31)</f>
        <v>-0.20250713083338179</v>
      </c>
      <c r="O31" s="13"/>
      <c r="P31" s="1">
        <f>SUM(OSRRefP22_1x_0)</f>
        <v>360753.74</v>
      </c>
      <c r="Q31" s="1"/>
      <c r="R31" s="5">
        <f t="shared" ref="R31:R41" si="12">IF(P$12=0,0,P31/P$12)</f>
        <v>0</v>
      </c>
      <c r="S31" s="1"/>
      <c r="T31" s="1">
        <f>SUM(OSRRefT22_1x_0)</f>
        <v>418490.70575999975</v>
      </c>
      <c r="U31" s="1"/>
      <c r="V31" s="5">
        <f t="shared" ref="V31:V41" si="13">IF(T$12=0,0,T31/T$12)</f>
        <v>0</v>
      </c>
      <c r="W31" s="1"/>
      <c r="X31" s="1">
        <f t="shared" ref="X31:X41" si="14">+P31-T31</f>
        <v>-57736.965759999759</v>
      </c>
      <c r="Y31" s="1"/>
      <c r="Z31" s="5">
        <f t="shared" ref="Z31:Z41" si="15">IF(T31=0,0,X31/T31)</f>
        <v>-0.13796475038829498</v>
      </c>
    </row>
    <row r="32" spans="1:26" s="24" customFormat="1" hidden="1" outlineLevel="2" x14ac:dyDescent="0.25">
      <c r="A32" s="25"/>
      <c r="B32" s="11" t="str">
        <f>CONCATENATE("          ", "6001", " - ", "ADMINISTRATIVE SALARIES")</f>
        <v xml:space="preserve">          6001 - ADMINISTRATIVE SALARIES</v>
      </c>
      <c r="C32" s="11"/>
      <c r="D32" s="7">
        <v>14580.08</v>
      </c>
      <c r="E32" s="2"/>
      <c r="F32" s="6">
        <f t="shared" si="8"/>
        <v>0</v>
      </c>
      <c r="G32" s="2"/>
      <c r="H32" s="7">
        <v>42696.154864615339</v>
      </c>
      <c r="I32" s="2"/>
      <c r="J32" s="6">
        <f t="shared" si="9"/>
        <v>0</v>
      </c>
      <c r="K32" s="2"/>
      <c r="L32" s="7">
        <f t="shared" si="10"/>
        <v>-28116.074864615337</v>
      </c>
      <c r="M32" s="2"/>
      <c r="N32" s="6">
        <f t="shared" si="11"/>
        <v>-0.6585153851387372</v>
      </c>
      <c r="O32" s="11"/>
      <c r="P32" s="7">
        <v>83523.490000000005</v>
      </c>
      <c r="Q32" s="2"/>
      <c r="R32" s="6">
        <f t="shared" si="12"/>
        <v>0</v>
      </c>
      <c r="S32" s="2"/>
      <c r="T32" s="7">
        <v>138762.50330999988</v>
      </c>
      <c r="U32" s="2"/>
      <c r="V32" s="6">
        <f t="shared" si="13"/>
        <v>0</v>
      </c>
      <c r="W32" s="2"/>
      <c r="X32" s="7">
        <f t="shared" si="14"/>
        <v>-55239.013309999878</v>
      </c>
      <c r="Y32" s="2"/>
      <c r="Z32" s="6">
        <f t="shared" si="15"/>
        <v>-0.39808314200410577</v>
      </c>
    </row>
    <row r="33" spans="1:26" s="24" customFormat="1" hidden="1" outlineLevel="2" x14ac:dyDescent="0.25">
      <c r="A33" s="25"/>
      <c r="B33" s="11" t="str">
        <f>CONCATENATE("          ", "6002", " - ", "STAFF SALARIES")</f>
        <v xml:space="preserve">          6002 - STAFF SALARIES</v>
      </c>
      <c r="C33" s="11"/>
      <c r="D33" s="7">
        <v>45134.74</v>
      </c>
      <c r="E33" s="2"/>
      <c r="F33" s="6">
        <f t="shared" si="8"/>
        <v>0</v>
      </c>
      <c r="G33" s="2"/>
      <c r="H33" s="7">
        <v>44196.157492307611</v>
      </c>
      <c r="I33" s="2"/>
      <c r="J33" s="6">
        <f t="shared" si="9"/>
        <v>0</v>
      </c>
      <c r="K33" s="2"/>
      <c r="L33" s="7">
        <f t="shared" si="10"/>
        <v>938.58250769238657</v>
      </c>
      <c r="M33" s="2"/>
      <c r="N33" s="6">
        <f t="shared" si="11"/>
        <v>2.1236744571193726E-2</v>
      </c>
      <c r="O33" s="11"/>
      <c r="P33" s="7">
        <v>138380.83000000002</v>
      </c>
      <c r="Q33" s="2"/>
      <c r="R33" s="6">
        <f t="shared" si="12"/>
        <v>0</v>
      </c>
      <c r="S33" s="2"/>
      <c r="T33" s="7">
        <v>143637.51184999981</v>
      </c>
      <c r="U33" s="2"/>
      <c r="V33" s="6">
        <f t="shared" si="13"/>
        <v>0</v>
      </c>
      <c r="W33" s="2"/>
      <c r="X33" s="7">
        <f t="shared" si="14"/>
        <v>-5256.6818499997898</v>
      </c>
      <c r="Y33" s="2"/>
      <c r="Z33" s="6">
        <f t="shared" si="15"/>
        <v>-3.6596859568893997E-2</v>
      </c>
    </row>
    <row r="34" spans="1:26" s="24" customFormat="1" hidden="1" outlineLevel="2" x14ac:dyDescent="0.25">
      <c r="A34" s="25"/>
      <c r="B34" s="11" t="str">
        <f>CONCATENATE("          ", "6003", " - ", "STAFF HOURLY-9 MONTH")</f>
        <v xml:space="preserve">          6003 - STAFF HOURLY-9 MONTH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25">
      <c r="A35" s="25"/>
      <c r="B35" s="11" t="str">
        <f>CONCATENATE("          ", "6004", " - ", "STAFF HOURLY")</f>
        <v xml:space="preserve">          6004 - STAFF HOURLY</v>
      </c>
      <c r="C35" s="11"/>
      <c r="D35" s="7">
        <v>20525.670000000002</v>
      </c>
      <c r="E35" s="2"/>
      <c r="F35" s="6">
        <f t="shared" si="8"/>
        <v>0</v>
      </c>
      <c r="G35" s="2"/>
      <c r="H35" s="7">
        <v>22426.787800000002</v>
      </c>
      <c r="I35" s="2"/>
      <c r="J35" s="6">
        <f t="shared" si="9"/>
        <v>0</v>
      </c>
      <c r="K35" s="2"/>
      <c r="L35" s="7">
        <f t="shared" si="10"/>
        <v>-1901.1178</v>
      </c>
      <c r="M35" s="2"/>
      <c r="N35" s="6">
        <f t="shared" si="11"/>
        <v>-8.4769955329938057E-2</v>
      </c>
      <c r="O35" s="11"/>
      <c r="P35" s="7">
        <v>61551.810000000005</v>
      </c>
      <c r="Q35" s="2"/>
      <c r="R35" s="6">
        <f t="shared" si="12"/>
        <v>0</v>
      </c>
      <c r="S35" s="2"/>
      <c r="T35" s="7">
        <v>73515.540599999993</v>
      </c>
      <c r="U35" s="2"/>
      <c r="V35" s="6">
        <f t="shared" si="13"/>
        <v>0</v>
      </c>
      <c r="W35" s="2"/>
      <c r="X35" s="7">
        <f t="shared" si="14"/>
        <v>-11963.730599999988</v>
      </c>
      <c r="Y35" s="2"/>
      <c r="Z35" s="6">
        <f t="shared" si="15"/>
        <v>-0.16273743622583101</v>
      </c>
    </row>
    <row r="36" spans="1:26" s="24" customFormat="1" hidden="1" outlineLevel="2" x14ac:dyDescent="0.25">
      <c r="A36" s="25"/>
      <c r="B36" s="11" t="str">
        <f>CONCATENATE("          ", "6005", " - ", "TEMPORARY WAGES-HOURLY")</f>
        <v xml:space="preserve">          6005 - TEMPORARY WAGES-HOURLY</v>
      </c>
      <c r="C36" s="11"/>
      <c r="D36" s="7">
        <v>9262.5</v>
      </c>
      <c r="E36" s="2"/>
      <c r="F36" s="6">
        <f t="shared" si="8"/>
        <v>0</v>
      </c>
      <c r="G36" s="2"/>
      <c r="H36" s="7">
        <v>7192</v>
      </c>
      <c r="I36" s="2"/>
      <c r="J36" s="6">
        <f t="shared" si="9"/>
        <v>0</v>
      </c>
      <c r="K36" s="2"/>
      <c r="L36" s="7">
        <f t="shared" si="10"/>
        <v>2070.5</v>
      </c>
      <c r="M36" s="2"/>
      <c r="N36" s="6">
        <f t="shared" si="11"/>
        <v>0.2878893214682981</v>
      </c>
      <c r="O36" s="11"/>
      <c r="P36" s="7">
        <v>27799.18</v>
      </c>
      <c r="Q36" s="2"/>
      <c r="R36" s="6">
        <f t="shared" si="12"/>
        <v>0</v>
      </c>
      <c r="S36" s="2"/>
      <c r="T36" s="7">
        <v>23374</v>
      </c>
      <c r="U36" s="2"/>
      <c r="V36" s="6">
        <f t="shared" si="13"/>
        <v>0</v>
      </c>
      <c r="W36" s="2"/>
      <c r="X36" s="7">
        <f t="shared" si="14"/>
        <v>4425.18</v>
      </c>
      <c r="Y36" s="2"/>
      <c r="Z36" s="6">
        <f t="shared" si="15"/>
        <v>0.18932061264653036</v>
      </c>
    </row>
    <row r="37" spans="1:26" s="24" customFormat="1" hidden="1" outlineLevel="2" x14ac:dyDescent="0.25">
      <c r="A37" s="25"/>
      <c r="B37" s="11" t="str">
        <f>CONCATENATE("          ", "6006", " - ", "TEMPORARY PART TIME")</f>
        <v xml:space="preserve">          6006 - TEMPORARY PART TIME</v>
      </c>
      <c r="C37" s="11"/>
      <c r="D37" s="7">
        <v>498.75</v>
      </c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498.75</v>
      </c>
      <c r="M37" s="2"/>
      <c r="N37" s="6">
        <f t="shared" si="11"/>
        <v>0</v>
      </c>
      <c r="O37" s="11"/>
      <c r="P37" s="7">
        <v>2361.4299999999998</v>
      </c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2361.4299999999998</v>
      </c>
      <c r="Y37" s="2"/>
      <c r="Z37" s="6">
        <f t="shared" si="15"/>
        <v>0</v>
      </c>
    </row>
    <row r="38" spans="1:26" s="24" customFormat="1" hidden="1" outlineLevel="2" x14ac:dyDescent="0.25">
      <c r="A38" s="25"/>
      <c r="B38" s="11" t="str">
        <f>CONCATENATE("          ", "6007", " - ", "STUDENT HOURLY")</f>
        <v xml:space="preserve">          6007 - STUDENT HOURLY</v>
      </c>
      <c r="C38" s="11"/>
      <c r="D38" s="7">
        <v>11631.83</v>
      </c>
      <c r="E38" s="2"/>
      <c r="F38" s="6">
        <f t="shared" si="8"/>
        <v>0</v>
      </c>
      <c r="G38" s="2"/>
      <c r="H38" s="7">
        <v>6530</v>
      </c>
      <c r="I38" s="2"/>
      <c r="J38" s="6">
        <f t="shared" si="9"/>
        <v>0</v>
      </c>
      <c r="K38" s="2"/>
      <c r="L38" s="7">
        <f t="shared" si="10"/>
        <v>5101.83</v>
      </c>
      <c r="M38" s="2"/>
      <c r="N38" s="6">
        <f t="shared" si="11"/>
        <v>0.7812909647779479</v>
      </c>
      <c r="O38" s="11"/>
      <c r="P38" s="7">
        <v>42159.43</v>
      </c>
      <c r="Q38" s="2"/>
      <c r="R38" s="6">
        <f t="shared" si="12"/>
        <v>0</v>
      </c>
      <c r="S38" s="2"/>
      <c r="T38" s="7">
        <v>17432.5</v>
      </c>
      <c r="U38" s="2"/>
      <c r="V38" s="6">
        <f t="shared" si="13"/>
        <v>0</v>
      </c>
      <c r="W38" s="2"/>
      <c r="X38" s="7">
        <f t="shared" si="14"/>
        <v>24726.93</v>
      </c>
      <c r="Y38" s="2"/>
      <c r="Z38" s="6">
        <f t="shared" si="15"/>
        <v>1.4184385486877957</v>
      </c>
    </row>
    <row r="39" spans="1:26" s="24" customFormat="1" hidden="1" outlineLevel="2" x14ac:dyDescent="0.25">
      <c r="A39" s="25"/>
      <c r="B39" s="11" t="str">
        <f>CONCATENATE("          ", "6008", " - ", "STUDENT HOURLY-FICA EXEMPT")</f>
        <v xml:space="preserve">          6008 - STUDENT HOURLY-FICA EXEMPT</v>
      </c>
      <c r="C39" s="11"/>
      <c r="D39" s="7">
        <v>1494.38</v>
      </c>
      <c r="E39" s="2"/>
      <c r="F39" s="6">
        <f t="shared" si="8"/>
        <v>0</v>
      </c>
      <c r="G39" s="2"/>
      <c r="H39" s="7">
        <v>6274.1</v>
      </c>
      <c r="I39" s="2"/>
      <c r="J39" s="6">
        <f t="shared" si="9"/>
        <v>0</v>
      </c>
      <c r="K39" s="2"/>
      <c r="L39" s="7">
        <f t="shared" si="10"/>
        <v>-4779.72</v>
      </c>
      <c r="M39" s="2"/>
      <c r="N39" s="6">
        <f t="shared" si="11"/>
        <v>-0.76181763121403867</v>
      </c>
      <c r="O39" s="11"/>
      <c r="P39" s="7">
        <v>4977.57</v>
      </c>
      <c r="Q39" s="2"/>
      <c r="R39" s="6">
        <f t="shared" si="12"/>
        <v>0</v>
      </c>
      <c r="S39" s="2"/>
      <c r="T39" s="7">
        <v>21768.649999999998</v>
      </c>
      <c r="U39" s="2"/>
      <c r="V39" s="6">
        <f t="shared" si="13"/>
        <v>0</v>
      </c>
      <c r="W39" s="2"/>
      <c r="X39" s="7">
        <f t="shared" si="14"/>
        <v>-16791.079999999998</v>
      </c>
      <c r="Y39" s="2"/>
      <c r="Z39" s="6">
        <f t="shared" si="15"/>
        <v>-0.77134227432569313</v>
      </c>
    </row>
    <row r="40" spans="1:26" s="24" customFormat="1" hidden="1" outlineLevel="2" x14ac:dyDescent="0.25">
      <c r="A40" s="25"/>
      <c r="B40" s="11" t="str">
        <f>CONCATENATE("          ", "6009", " - ", "TEMPORARY-SEASONAL")</f>
        <v xml:space="preserve">          6009 - TEMPORARY-SEASONAL</v>
      </c>
      <c r="C40" s="11"/>
      <c r="D40" s="7"/>
      <c r="E40" s="2"/>
      <c r="F40" s="6">
        <f t="shared" si="8"/>
        <v>0</v>
      </c>
      <c r="G40" s="2"/>
      <c r="H40" s="7">
        <v>0</v>
      </c>
      <c r="I40" s="2"/>
      <c r="J40" s="6">
        <f t="shared" si="9"/>
        <v>0</v>
      </c>
      <c r="K40" s="2"/>
      <c r="L40" s="7">
        <f t="shared" si="10"/>
        <v>0</v>
      </c>
      <c r="M40" s="2"/>
      <c r="N40" s="6">
        <f t="shared" si="11"/>
        <v>0</v>
      </c>
      <c r="O40" s="11"/>
      <c r="P40" s="7"/>
      <c r="Q40" s="2"/>
      <c r="R40" s="6">
        <f t="shared" si="12"/>
        <v>0</v>
      </c>
      <c r="S40" s="2"/>
      <c r="T40" s="7">
        <v>0</v>
      </c>
      <c r="U40" s="2"/>
      <c r="V40" s="6">
        <f t="shared" si="13"/>
        <v>0</v>
      </c>
      <c r="W40" s="2"/>
      <c r="X40" s="7">
        <f t="shared" si="14"/>
        <v>0</v>
      </c>
      <c r="Y40" s="2"/>
      <c r="Z40" s="6">
        <f t="shared" si="15"/>
        <v>0</v>
      </c>
    </row>
    <row r="41" spans="1:26" s="24" customFormat="1" hidden="1" outlineLevel="2" x14ac:dyDescent="0.25">
      <c r="A41" s="25"/>
      <c r="B41" s="11" t="str">
        <f>CONCATENATE("          ", "6010", " - ", "GRATUITY")</f>
        <v xml:space="preserve">          6010 - GRATUITY</v>
      </c>
      <c r="C41" s="11"/>
      <c r="D41" s="7"/>
      <c r="E41" s="2"/>
      <c r="F41" s="6">
        <f t="shared" si="8"/>
        <v>0</v>
      </c>
      <c r="G41" s="2"/>
      <c r="H41" s="7">
        <v>0</v>
      </c>
      <c r="I41" s="2"/>
      <c r="J41" s="6">
        <f t="shared" si="9"/>
        <v>0</v>
      </c>
      <c r="K41" s="2"/>
      <c r="L41" s="7">
        <f t="shared" si="10"/>
        <v>0</v>
      </c>
      <c r="M41" s="2"/>
      <c r="N41" s="6">
        <f t="shared" si="11"/>
        <v>0</v>
      </c>
      <c r="O41" s="11"/>
      <c r="P41" s="7"/>
      <c r="Q41" s="2"/>
      <c r="R41" s="6">
        <f t="shared" si="12"/>
        <v>0</v>
      </c>
      <c r="S41" s="2"/>
      <c r="T41" s="7">
        <v>0</v>
      </c>
      <c r="U41" s="2"/>
      <c r="V41" s="6">
        <f t="shared" si="13"/>
        <v>0</v>
      </c>
      <c r="W41" s="2"/>
      <c r="X41" s="7">
        <f t="shared" si="14"/>
        <v>0</v>
      </c>
      <c r="Y41" s="2"/>
      <c r="Z41" s="6">
        <f t="shared" si="15"/>
        <v>0</v>
      </c>
    </row>
    <row r="42" spans="1:26" s="26" customFormat="1" outlineLevel="1" collapsed="1" x14ac:dyDescent="0.25">
      <c r="A42" s="27"/>
      <c r="B42" s="13" t="str">
        <f>CONCATENATE("     ","Advertising/Promo                                 ")</f>
        <v xml:space="preserve">     Advertising/Promo                                 </v>
      </c>
      <c r="C42" s="13"/>
      <c r="D42" s="1">
        <f>SUM(OSRRefD22_2x_0)</f>
        <v>-445.73</v>
      </c>
      <c r="E42" s="1"/>
      <c r="F42" s="5">
        <f t="shared" ref="F42:F52" si="16">IF(D$12=0,0,D42/D$12)</f>
        <v>0</v>
      </c>
      <c r="G42" s="1"/>
      <c r="H42" s="1">
        <f>SUM(OSRRefH22_2x_0)</f>
        <v>285</v>
      </c>
      <c r="I42" s="1"/>
      <c r="J42" s="5">
        <f t="shared" ref="J42:J52" si="17">IF(H$12=0,0,H42/H$12)</f>
        <v>0</v>
      </c>
      <c r="K42" s="1"/>
      <c r="L42" s="1">
        <f t="shared" ref="L42:L52" si="18">+D42-H42</f>
        <v>-730.73</v>
      </c>
      <c r="M42" s="1"/>
      <c r="N42" s="5">
        <f t="shared" ref="N42:N52" si="19">IF(H42=0,0,L42/H42)</f>
        <v>-2.563964912280702</v>
      </c>
      <c r="O42" s="13"/>
      <c r="P42" s="1">
        <f>SUM(OSRRefP22_2x_0)</f>
        <v>-2404.3200000000002</v>
      </c>
      <c r="Q42" s="1"/>
      <c r="R42" s="5">
        <f t="shared" ref="R42:R52" si="20">IF(P$12=0,0,P42/P$12)</f>
        <v>0</v>
      </c>
      <c r="S42" s="1"/>
      <c r="T42" s="1">
        <f>SUM(OSRRefT22_2x_0)</f>
        <v>805</v>
      </c>
      <c r="U42" s="1"/>
      <c r="V42" s="5">
        <f t="shared" ref="V42:V52" si="21">IF(T$12=0,0,T42/T$12)</f>
        <v>0</v>
      </c>
      <c r="W42" s="1"/>
      <c r="X42" s="1">
        <f t="shared" ref="X42:X52" si="22">+P42-T42</f>
        <v>-3209.32</v>
      </c>
      <c r="Y42" s="1"/>
      <c r="Z42" s="5">
        <f t="shared" ref="Z42:Z52" si="23">IF(T42=0,0,X42/T42)</f>
        <v>-3.9867329192546586</v>
      </c>
    </row>
    <row r="43" spans="1:26" s="24" customFormat="1" hidden="1" outlineLevel="2" x14ac:dyDescent="0.25">
      <c r="A43" s="25"/>
      <c r="B43" s="11" t="str">
        <f>CONCATENATE("          ", "6362", " - ", "ADVERTISING EXPENSE")</f>
        <v xml:space="preserve">          6362 - ADVERTISING EXPENSE</v>
      </c>
      <c r="C43" s="11"/>
      <c r="D43" s="7">
        <v>-445.73</v>
      </c>
      <c r="E43" s="2"/>
      <c r="F43" s="6">
        <f t="shared" si="16"/>
        <v>0</v>
      </c>
      <c r="G43" s="2"/>
      <c r="H43" s="7">
        <v>285</v>
      </c>
      <c r="I43" s="2"/>
      <c r="J43" s="6">
        <f t="shared" si="17"/>
        <v>0</v>
      </c>
      <c r="K43" s="2"/>
      <c r="L43" s="7">
        <f t="shared" si="18"/>
        <v>-730.73</v>
      </c>
      <c r="M43" s="2"/>
      <c r="N43" s="6">
        <f t="shared" si="19"/>
        <v>-2.563964912280702</v>
      </c>
      <c r="O43" s="11"/>
      <c r="P43" s="7">
        <v>-2404.3200000000002</v>
      </c>
      <c r="Q43" s="2"/>
      <c r="R43" s="6">
        <f t="shared" si="20"/>
        <v>0</v>
      </c>
      <c r="S43" s="2"/>
      <c r="T43" s="7">
        <v>805</v>
      </c>
      <c r="U43" s="2"/>
      <c r="V43" s="6">
        <f t="shared" si="21"/>
        <v>0</v>
      </c>
      <c r="W43" s="2"/>
      <c r="X43" s="7">
        <f t="shared" si="22"/>
        <v>-3209.32</v>
      </c>
      <c r="Y43" s="2"/>
      <c r="Z43" s="6">
        <f t="shared" si="23"/>
        <v>-3.9867329192546586</v>
      </c>
    </row>
    <row r="44" spans="1:26" s="26" customFormat="1" outlineLevel="1" collapsed="1" x14ac:dyDescent="0.25">
      <c r="A44" s="27"/>
      <c r="B44" s="13" t="str">
        <f>CONCATENATE("     ","Bank/card Fees                                    ")</f>
        <v xml:space="preserve">     Bank/card Fees                                    </v>
      </c>
      <c r="C44" s="13"/>
      <c r="D44" s="1">
        <f>SUM(OSRRefD22_3x_0)</f>
        <v>3165.08</v>
      </c>
      <c r="E44" s="1"/>
      <c r="F44" s="5">
        <f t="shared" si="16"/>
        <v>0</v>
      </c>
      <c r="G44" s="1"/>
      <c r="H44" s="1">
        <f>SUM(OSRRefH22_3x_0)</f>
        <v>2000</v>
      </c>
      <c r="I44" s="1"/>
      <c r="J44" s="5">
        <f t="shared" si="17"/>
        <v>0</v>
      </c>
      <c r="K44" s="1"/>
      <c r="L44" s="1">
        <f t="shared" si="18"/>
        <v>1165.08</v>
      </c>
      <c r="M44" s="1"/>
      <c r="N44" s="5">
        <f t="shared" si="19"/>
        <v>0.58253999999999995</v>
      </c>
      <c r="O44" s="13"/>
      <c r="P44" s="1">
        <f>SUM(OSRRefP22_3x_0)</f>
        <v>6603.12</v>
      </c>
      <c r="Q44" s="1"/>
      <c r="R44" s="5">
        <f t="shared" si="20"/>
        <v>0</v>
      </c>
      <c r="S44" s="1"/>
      <c r="T44" s="1">
        <f>SUM(OSRRefT22_3x_0)</f>
        <v>18000</v>
      </c>
      <c r="U44" s="1"/>
      <c r="V44" s="5">
        <f t="shared" si="21"/>
        <v>0</v>
      </c>
      <c r="W44" s="1"/>
      <c r="X44" s="1">
        <f t="shared" si="22"/>
        <v>-11396.880000000001</v>
      </c>
      <c r="Y44" s="1"/>
      <c r="Z44" s="5">
        <f t="shared" si="23"/>
        <v>-0.63316000000000006</v>
      </c>
    </row>
    <row r="45" spans="1:26" s="24" customFormat="1" hidden="1" outlineLevel="2" x14ac:dyDescent="0.25">
      <c r="A45" s="25"/>
      <c r="B45" s="11" t="str">
        <f>CONCATENATE("          ", "6381", " - ", "BANK/CREDIT CARD FEES")</f>
        <v xml:space="preserve">          6381 - BANK/CREDIT CARD FEES</v>
      </c>
      <c r="C45" s="11"/>
      <c r="D45" s="7">
        <v>3165.08</v>
      </c>
      <c r="E45" s="2"/>
      <c r="F45" s="6">
        <f t="shared" si="16"/>
        <v>0</v>
      </c>
      <c r="G45" s="2"/>
      <c r="H45" s="7">
        <v>2000</v>
      </c>
      <c r="I45" s="2"/>
      <c r="J45" s="6">
        <f t="shared" si="17"/>
        <v>0</v>
      </c>
      <c r="K45" s="2"/>
      <c r="L45" s="7">
        <f t="shared" si="18"/>
        <v>1165.08</v>
      </c>
      <c r="M45" s="2"/>
      <c r="N45" s="6">
        <f t="shared" si="19"/>
        <v>0.58253999999999995</v>
      </c>
      <c r="O45" s="11"/>
      <c r="P45" s="7">
        <v>6603.12</v>
      </c>
      <c r="Q45" s="2"/>
      <c r="R45" s="6">
        <f t="shared" si="20"/>
        <v>0</v>
      </c>
      <c r="S45" s="2"/>
      <c r="T45" s="7">
        <v>18000</v>
      </c>
      <c r="U45" s="2"/>
      <c r="V45" s="6">
        <f t="shared" si="21"/>
        <v>0</v>
      </c>
      <c r="W45" s="2"/>
      <c r="X45" s="7">
        <f t="shared" si="22"/>
        <v>-11396.880000000001</v>
      </c>
      <c r="Y45" s="2"/>
      <c r="Z45" s="6">
        <f t="shared" si="23"/>
        <v>-0.63316000000000006</v>
      </c>
    </row>
    <row r="46" spans="1:26" s="26" customFormat="1" outlineLevel="1" collapsed="1" x14ac:dyDescent="0.25">
      <c r="A46" s="27"/>
      <c r="B46" s="13" t="str">
        <f>CONCATENATE("     ","Board                                             ")</f>
        <v xml:space="preserve">     Board                                             </v>
      </c>
      <c r="C46" s="13"/>
      <c r="D46" s="1">
        <f>SUM(OSRRefD22_4x_0)</f>
        <v>3527.11</v>
      </c>
      <c r="E46" s="1"/>
      <c r="F46" s="5">
        <f t="shared" si="16"/>
        <v>0</v>
      </c>
      <c r="G46" s="1"/>
      <c r="H46" s="1">
        <f>SUM(OSRRefH22_4x_0)</f>
        <v>3500</v>
      </c>
      <c r="I46" s="1"/>
      <c r="J46" s="5">
        <f t="shared" si="17"/>
        <v>0</v>
      </c>
      <c r="K46" s="1"/>
      <c r="L46" s="1">
        <f t="shared" si="18"/>
        <v>27.110000000000127</v>
      </c>
      <c r="M46" s="1"/>
      <c r="N46" s="5">
        <f t="shared" si="19"/>
        <v>7.7457142857143219E-3</v>
      </c>
      <c r="O46" s="13"/>
      <c r="P46" s="1">
        <f>SUM(OSRRefP22_4x_0)</f>
        <v>8441.7900000000009</v>
      </c>
      <c r="Q46" s="1"/>
      <c r="R46" s="5">
        <f t="shared" si="20"/>
        <v>0</v>
      </c>
      <c r="S46" s="1"/>
      <c r="T46" s="1">
        <f>SUM(OSRRefT22_4x_0)</f>
        <v>8200</v>
      </c>
      <c r="U46" s="1"/>
      <c r="V46" s="5">
        <f t="shared" si="21"/>
        <v>0</v>
      </c>
      <c r="W46" s="1"/>
      <c r="X46" s="1">
        <f t="shared" si="22"/>
        <v>241.79000000000087</v>
      </c>
      <c r="Y46" s="1"/>
      <c r="Z46" s="5">
        <f t="shared" si="23"/>
        <v>2.9486585365853767E-2</v>
      </c>
    </row>
    <row r="47" spans="1:26" s="24" customFormat="1" hidden="1" outlineLevel="2" x14ac:dyDescent="0.25">
      <c r="A47" s="25"/>
      <c r="B47" s="11" t="str">
        <f>CONCATENATE("          ", "6397", " - ", "BOARD EXPENSES")</f>
        <v xml:space="preserve">          6397 - BOARD EXPENSES</v>
      </c>
      <c r="C47" s="11"/>
      <c r="D47" s="7">
        <v>3527.11</v>
      </c>
      <c r="E47" s="2"/>
      <c r="F47" s="6">
        <f t="shared" si="16"/>
        <v>0</v>
      </c>
      <c r="G47" s="2"/>
      <c r="H47" s="7">
        <v>3500</v>
      </c>
      <c r="I47" s="2"/>
      <c r="J47" s="6">
        <f t="shared" si="17"/>
        <v>0</v>
      </c>
      <c r="K47" s="2"/>
      <c r="L47" s="7">
        <f t="shared" si="18"/>
        <v>27.110000000000127</v>
      </c>
      <c r="M47" s="2"/>
      <c r="N47" s="6">
        <f t="shared" si="19"/>
        <v>7.7457142857143219E-3</v>
      </c>
      <c r="O47" s="11"/>
      <c r="P47" s="7">
        <v>8441.7900000000009</v>
      </c>
      <c r="Q47" s="2"/>
      <c r="R47" s="6">
        <f t="shared" si="20"/>
        <v>0</v>
      </c>
      <c r="S47" s="2"/>
      <c r="T47" s="7">
        <v>8200</v>
      </c>
      <c r="U47" s="2"/>
      <c r="V47" s="6">
        <f t="shared" si="21"/>
        <v>0</v>
      </c>
      <c r="W47" s="2"/>
      <c r="X47" s="7">
        <f t="shared" si="22"/>
        <v>241.79000000000087</v>
      </c>
      <c r="Y47" s="2"/>
      <c r="Z47" s="6">
        <f t="shared" si="23"/>
        <v>2.9486585365853767E-2</v>
      </c>
    </row>
    <row r="48" spans="1:26" s="26" customFormat="1" outlineLevel="1" collapsed="1" x14ac:dyDescent="0.25">
      <c r="A48" s="27"/>
      <c r="B48" s="13" t="str">
        <f>CONCATENATE("     ","Depreciation                                      ")</f>
        <v xml:space="preserve">     Depreciation                                      </v>
      </c>
      <c r="C48" s="13"/>
      <c r="D48" s="1">
        <f>SUM(OSRRefD22_5x_0)</f>
        <v>8599.93</v>
      </c>
      <c r="E48" s="1"/>
      <c r="F48" s="5">
        <f t="shared" si="16"/>
        <v>0</v>
      </c>
      <c r="G48" s="1"/>
      <c r="H48" s="1">
        <f>SUM(OSRRefH22_5x_0)</f>
        <v>8593</v>
      </c>
      <c r="I48" s="1"/>
      <c r="J48" s="5">
        <f t="shared" si="17"/>
        <v>0</v>
      </c>
      <c r="K48" s="1"/>
      <c r="L48" s="1">
        <f t="shared" si="18"/>
        <v>6.930000000000291</v>
      </c>
      <c r="M48" s="1"/>
      <c r="N48" s="5">
        <f t="shared" si="19"/>
        <v>8.0647038286981159E-4</v>
      </c>
      <c r="O48" s="13"/>
      <c r="P48" s="1">
        <f>SUM(OSRRefP22_5x_0)</f>
        <v>25799.79</v>
      </c>
      <c r="Q48" s="1"/>
      <c r="R48" s="5">
        <f t="shared" si="20"/>
        <v>0</v>
      </c>
      <c r="S48" s="1"/>
      <c r="T48" s="1">
        <f>SUM(OSRRefT22_5x_0)</f>
        <v>25779</v>
      </c>
      <c r="U48" s="1"/>
      <c r="V48" s="5">
        <f t="shared" si="21"/>
        <v>0</v>
      </c>
      <c r="W48" s="1"/>
      <c r="X48" s="1">
        <f t="shared" si="22"/>
        <v>20.790000000000873</v>
      </c>
      <c r="Y48" s="1"/>
      <c r="Z48" s="5">
        <f t="shared" si="23"/>
        <v>8.0647038286981159E-4</v>
      </c>
    </row>
    <row r="49" spans="1:26" s="24" customFormat="1" hidden="1" outlineLevel="2" x14ac:dyDescent="0.25">
      <c r="A49" s="25"/>
      <c r="B49" s="11" t="str">
        <f>CONCATENATE("          ", "6322", " - ", "EQUIPMENT DEPRECIATION EXPENSE")</f>
        <v xml:space="preserve">          6322 - EQUIPMENT DEPRECIATION EXPENSE</v>
      </c>
      <c r="C49" s="11"/>
      <c r="D49" s="7">
        <v>8599.93</v>
      </c>
      <c r="E49" s="2"/>
      <c r="F49" s="6">
        <f t="shared" si="16"/>
        <v>0</v>
      </c>
      <c r="G49" s="2"/>
      <c r="H49" s="7">
        <v>8593</v>
      </c>
      <c r="I49" s="2"/>
      <c r="J49" s="6">
        <f t="shared" si="17"/>
        <v>0</v>
      </c>
      <c r="K49" s="2"/>
      <c r="L49" s="7">
        <f t="shared" si="18"/>
        <v>6.930000000000291</v>
      </c>
      <c r="M49" s="2"/>
      <c r="N49" s="6">
        <f t="shared" si="19"/>
        <v>8.0647038286981159E-4</v>
      </c>
      <c r="O49" s="11"/>
      <c r="P49" s="7">
        <v>25799.79</v>
      </c>
      <c r="Q49" s="2"/>
      <c r="R49" s="6">
        <f t="shared" si="20"/>
        <v>0</v>
      </c>
      <c r="S49" s="2"/>
      <c r="T49" s="7">
        <v>25779</v>
      </c>
      <c r="U49" s="2"/>
      <c r="V49" s="6">
        <f t="shared" si="21"/>
        <v>0</v>
      </c>
      <c r="W49" s="2"/>
      <c r="X49" s="7">
        <f t="shared" si="22"/>
        <v>20.790000000000873</v>
      </c>
      <c r="Y49" s="2"/>
      <c r="Z49" s="6">
        <f t="shared" si="23"/>
        <v>8.0647038286981159E-4</v>
      </c>
    </row>
    <row r="50" spans="1:26" s="26" customFormat="1" outlineLevel="1" collapsed="1" x14ac:dyDescent="0.25">
      <c r="A50" s="27"/>
      <c r="B50" s="13" t="str">
        <f>CONCATENATE("     ","Donations                                         ")</f>
        <v xml:space="preserve">     Donations                                         </v>
      </c>
      <c r="C50" s="13"/>
      <c r="D50" s="1">
        <f>SUM(OSRRefD22_6x_0)</f>
        <v>27575</v>
      </c>
      <c r="E50" s="1"/>
      <c r="F50" s="5">
        <f t="shared" si="16"/>
        <v>0</v>
      </c>
      <c r="G50" s="1"/>
      <c r="H50" s="1">
        <f>SUM(OSRRefH22_6x_0)</f>
        <v>3300</v>
      </c>
      <c r="I50" s="1"/>
      <c r="J50" s="5">
        <f t="shared" si="17"/>
        <v>0</v>
      </c>
      <c r="K50" s="1"/>
      <c r="L50" s="1">
        <f t="shared" si="18"/>
        <v>24275</v>
      </c>
      <c r="M50" s="1"/>
      <c r="N50" s="5">
        <f t="shared" si="19"/>
        <v>7.3560606060606064</v>
      </c>
      <c r="O50" s="13"/>
      <c r="P50" s="1">
        <f>SUM(OSRRefP22_6x_0)</f>
        <v>139243.59999999998</v>
      </c>
      <c r="Q50" s="1"/>
      <c r="R50" s="5">
        <f t="shared" si="20"/>
        <v>0</v>
      </c>
      <c r="S50" s="1"/>
      <c r="T50" s="1">
        <f>SUM(OSRRefT22_6x_0)</f>
        <v>329800</v>
      </c>
      <c r="U50" s="1"/>
      <c r="V50" s="5">
        <f t="shared" si="21"/>
        <v>0</v>
      </c>
      <c r="W50" s="1"/>
      <c r="X50" s="1">
        <f t="shared" si="22"/>
        <v>-190556.40000000002</v>
      </c>
      <c r="Y50" s="1"/>
      <c r="Z50" s="5">
        <f t="shared" si="23"/>
        <v>-0.57779381443298972</v>
      </c>
    </row>
    <row r="51" spans="1:26" s="24" customFormat="1" hidden="1" outlineLevel="2" x14ac:dyDescent="0.25">
      <c r="A51" s="25"/>
      <c r="B51" s="11" t="str">
        <f>CONCATENATE("          ", "6395", " - ", "DONATION-OFF CAMPUS")</f>
        <v xml:space="preserve">          6395 - DONATION-OFF CAMPUS</v>
      </c>
      <c r="C51" s="11"/>
      <c r="D51" s="7"/>
      <c r="E51" s="2"/>
      <c r="F51" s="6">
        <f t="shared" si="16"/>
        <v>0</v>
      </c>
      <c r="G51" s="2"/>
      <c r="H51" s="7">
        <v>800</v>
      </c>
      <c r="I51" s="2"/>
      <c r="J51" s="6">
        <f t="shared" si="17"/>
        <v>0</v>
      </c>
      <c r="K51" s="2"/>
      <c r="L51" s="7">
        <f t="shared" si="18"/>
        <v>-800</v>
      </c>
      <c r="M51" s="2"/>
      <c r="N51" s="6">
        <f t="shared" si="19"/>
        <v>-1</v>
      </c>
      <c r="O51" s="11"/>
      <c r="P51" s="7"/>
      <c r="Q51" s="2"/>
      <c r="R51" s="6">
        <f t="shared" si="20"/>
        <v>0</v>
      </c>
      <c r="S51" s="2"/>
      <c r="T51" s="7">
        <v>800</v>
      </c>
      <c r="U51" s="2"/>
      <c r="V51" s="6">
        <f t="shared" si="21"/>
        <v>0</v>
      </c>
      <c r="W51" s="2"/>
      <c r="X51" s="7">
        <f t="shared" si="22"/>
        <v>-800</v>
      </c>
      <c r="Y51" s="2"/>
      <c r="Z51" s="6">
        <f t="shared" si="23"/>
        <v>-1</v>
      </c>
    </row>
    <row r="52" spans="1:26" s="24" customFormat="1" hidden="1" outlineLevel="2" x14ac:dyDescent="0.25">
      <c r="A52" s="25"/>
      <c r="B52" s="11" t="str">
        <f>CONCATENATE("          ", "6399", " - ", "DONATION-ON CAMPUS")</f>
        <v xml:space="preserve">          6399 - DONATION-ON CAMPUS</v>
      </c>
      <c r="C52" s="11"/>
      <c r="D52" s="7">
        <v>27575</v>
      </c>
      <c r="E52" s="2"/>
      <c r="F52" s="6">
        <f t="shared" si="16"/>
        <v>0</v>
      </c>
      <c r="G52" s="2"/>
      <c r="H52" s="7">
        <v>2500</v>
      </c>
      <c r="I52" s="2"/>
      <c r="J52" s="6">
        <f t="shared" si="17"/>
        <v>0</v>
      </c>
      <c r="K52" s="2"/>
      <c r="L52" s="7">
        <f t="shared" si="18"/>
        <v>25075</v>
      </c>
      <c r="M52" s="2"/>
      <c r="N52" s="6">
        <f t="shared" si="19"/>
        <v>10.029999999999999</v>
      </c>
      <c r="O52" s="11"/>
      <c r="P52" s="7">
        <v>139243.59999999998</v>
      </c>
      <c r="Q52" s="2"/>
      <c r="R52" s="6">
        <f t="shared" si="20"/>
        <v>0</v>
      </c>
      <c r="S52" s="2"/>
      <c r="T52" s="7">
        <v>329000</v>
      </c>
      <c r="U52" s="2"/>
      <c r="V52" s="6">
        <f t="shared" si="21"/>
        <v>0</v>
      </c>
      <c r="W52" s="2"/>
      <c r="X52" s="7">
        <f t="shared" si="22"/>
        <v>-189756.40000000002</v>
      </c>
      <c r="Y52" s="2"/>
      <c r="Z52" s="6">
        <f t="shared" si="23"/>
        <v>-0.57676717325227966</v>
      </c>
    </row>
    <row r="53" spans="1:26" s="26" customFormat="1" outlineLevel="1" collapsed="1" x14ac:dyDescent="0.25">
      <c r="A53" s="27"/>
      <c r="B53" s="13" t="str">
        <f>CONCATENATE("     ","Employees' Appreciation                           ")</f>
        <v xml:space="preserve">     Employees' Appreciation                           </v>
      </c>
      <c r="C53" s="13"/>
      <c r="D53" s="1">
        <f>SUM(OSRRefD22_7x_0)</f>
        <v>438</v>
      </c>
      <c r="E53" s="1"/>
      <c r="F53" s="5">
        <f t="shared" ref="F53:F66" si="24">IF(D$12=0,0,D53/D$12)</f>
        <v>0</v>
      </c>
      <c r="G53" s="1"/>
      <c r="H53" s="1">
        <f>SUM(OSRRefH22_7x_0)</f>
        <v>1408</v>
      </c>
      <c r="I53" s="1"/>
      <c r="J53" s="5">
        <f t="shared" ref="J53:J66" si="25">IF(H$12=0,0,H53/H$12)</f>
        <v>0</v>
      </c>
      <c r="K53" s="1"/>
      <c r="L53" s="1">
        <f t="shared" ref="L53:L66" si="26">+D53-H53</f>
        <v>-970</v>
      </c>
      <c r="M53" s="1"/>
      <c r="N53" s="5">
        <f t="shared" ref="N53:N66" si="27">IF(H53=0,0,L53/H53)</f>
        <v>-0.68892045454545459</v>
      </c>
      <c r="O53" s="13"/>
      <c r="P53" s="1">
        <f>SUM(OSRRefP22_7x_0)</f>
        <v>11565.12</v>
      </c>
      <c r="Q53" s="1"/>
      <c r="R53" s="5">
        <f t="shared" ref="R53:R66" si="28">IF(P$12=0,0,P53/P$12)</f>
        <v>0</v>
      </c>
      <c r="S53" s="1"/>
      <c r="T53" s="1">
        <f>SUM(OSRRefT22_7x_0)</f>
        <v>13224</v>
      </c>
      <c r="U53" s="1"/>
      <c r="V53" s="5">
        <f t="shared" ref="V53:V66" si="29">IF(T$12=0,0,T53/T$12)</f>
        <v>0</v>
      </c>
      <c r="W53" s="1"/>
      <c r="X53" s="1">
        <f t="shared" ref="X53:X66" si="30">+P53-T53</f>
        <v>-1658.8799999999992</v>
      </c>
      <c r="Y53" s="1"/>
      <c r="Z53" s="5">
        <f t="shared" ref="Z53:Z66" si="31">IF(T53=0,0,X53/T53)</f>
        <v>-0.12544464609800357</v>
      </c>
    </row>
    <row r="54" spans="1:26" s="24" customFormat="1" hidden="1" outlineLevel="2" x14ac:dyDescent="0.25">
      <c r="A54" s="25"/>
      <c r="B54" s="11" t="str">
        <f>CONCATENATE("          ", "6277", " - ", "EMPLOYEE APPRECIATION")</f>
        <v xml:space="preserve">          6277 - EMPLOYEE APPRECIATION</v>
      </c>
      <c r="C54" s="11"/>
      <c r="D54" s="7">
        <v>438</v>
      </c>
      <c r="E54" s="2"/>
      <c r="F54" s="6">
        <f t="shared" si="24"/>
        <v>0</v>
      </c>
      <c r="G54" s="2"/>
      <c r="H54" s="7">
        <v>1408</v>
      </c>
      <c r="I54" s="2"/>
      <c r="J54" s="6">
        <f t="shared" si="25"/>
        <v>0</v>
      </c>
      <c r="K54" s="2"/>
      <c r="L54" s="7">
        <f t="shared" si="26"/>
        <v>-970</v>
      </c>
      <c r="M54" s="2"/>
      <c r="N54" s="6">
        <f t="shared" si="27"/>
        <v>-0.68892045454545459</v>
      </c>
      <c r="O54" s="11"/>
      <c r="P54" s="7">
        <v>11565.12</v>
      </c>
      <c r="Q54" s="2"/>
      <c r="R54" s="6">
        <f t="shared" si="28"/>
        <v>0</v>
      </c>
      <c r="S54" s="2"/>
      <c r="T54" s="7">
        <v>13224</v>
      </c>
      <c r="U54" s="2"/>
      <c r="V54" s="6">
        <f t="shared" si="29"/>
        <v>0</v>
      </c>
      <c r="W54" s="2"/>
      <c r="X54" s="7">
        <f t="shared" si="30"/>
        <v>-1658.8799999999992</v>
      </c>
      <c r="Y54" s="2"/>
      <c r="Z54" s="6">
        <f t="shared" si="31"/>
        <v>-0.12544464609800357</v>
      </c>
    </row>
    <row r="55" spans="1:26" s="26" customFormat="1" outlineLevel="1" collapsed="1" x14ac:dyDescent="0.25">
      <c r="A55" s="27"/>
      <c r="B55" s="13" t="str">
        <f>CONCATENATE("     ","Equipment Rental                                  ")</f>
        <v xml:space="preserve">     Equipment Rental                                  </v>
      </c>
      <c r="C55" s="13"/>
      <c r="D55" s="1">
        <f>SUM(OSRRefD22_8x_0)</f>
        <v>300.24</v>
      </c>
      <c r="E55" s="1"/>
      <c r="F55" s="5">
        <f t="shared" si="24"/>
        <v>0</v>
      </c>
      <c r="G55" s="1"/>
      <c r="H55" s="1">
        <f>SUM(OSRRefH22_8x_0)</f>
        <v>299</v>
      </c>
      <c r="I55" s="1"/>
      <c r="J55" s="5">
        <f t="shared" si="25"/>
        <v>0</v>
      </c>
      <c r="K55" s="1"/>
      <c r="L55" s="1">
        <f t="shared" si="26"/>
        <v>1.2400000000000091</v>
      </c>
      <c r="M55" s="1"/>
      <c r="N55" s="5">
        <f t="shared" si="27"/>
        <v>4.1471571906354816E-3</v>
      </c>
      <c r="O55" s="13"/>
      <c r="P55" s="1">
        <f>SUM(OSRRefP22_8x_0)</f>
        <v>900.72</v>
      </c>
      <c r="Q55" s="1"/>
      <c r="R55" s="5">
        <f t="shared" si="28"/>
        <v>0</v>
      </c>
      <c r="S55" s="1"/>
      <c r="T55" s="1">
        <f>SUM(OSRRefT22_8x_0)</f>
        <v>807</v>
      </c>
      <c r="U55" s="1"/>
      <c r="V55" s="5">
        <f t="shared" si="29"/>
        <v>0</v>
      </c>
      <c r="W55" s="1"/>
      <c r="X55" s="1">
        <f t="shared" si="30"/>
        <v>93.720000000000027</v>
      </c>
      <c r="Y55" s="1"/>
      <c r="Z55" s="5">
        <f t="shared" si="31"/>
        <v>0.11613382899628256</v>
      </c>
    </row>
    <row r="56" spans="1:26" s="24" customFormat="1" hidden="1" outlineLevel="2" x14ac:dyDescent="0.25">
      <c r="A56" s="25"/>
      <c r="B56" s="11" t="str">
        <f>CONCATENATE("          ", "6351", " - ", "EQUIPMENT RENTAL")</f>
        <v xml:space="preserve">          6351 - EQUIPMENT RENTAL</v>
      </c>
      <c r="C56" s="11"/>
      <c r="D56" s="7">
        <v>300.24</v>
      </c>
      <c r="E56" s="2"/>
      <c r="F56" s="6">
        <f t="shared" si="24"/>
        <v>0</v>
      </c>
      <c r="G56" s="2"/>
      <c r="H56" s="7">
        <v>299</v>
      </c>
      <c r="I56" s="2"/>
      <c r="J56" s="6">
        <f t="shared" si="25"/>
        <v>0</v>
      </c>
      <c r="K56" s="2"/>
      <c r="L56" s="7">
        <f t="shared" si="26"/>
        <v>1.2400000000000091</v>
      </c>
      <c r="M56" s="2"/>
      <c r="N56" s="6">
        <f t="shared" si="27"/>
        <v>4.1471571906354816E-3</v>
      </c>
      <c r="O56" s="11"/>
      <c r="P56" s="7">
        <v>900.72</v>
      </c>
      <c r="Q56" s="2"/>
      <c r="R56" s="6">
        <f t="shared" si="28"/>
        <v>0</v>
      </c>
      <c r="S56" s="2"/>
      <c r="T56" s="7">
        <v>807</v>
      </c>
      <c r="U56" s="2"/>
      <c r="V56" s="6">
        <f t="shared" si="29"/>
        <v>0</v>
      </c>
      <c r="W56" s="2"/>
      <c r="X56" s="7">
        <f t="shared" si="30"/>
        <v>93.720000000000027</v>
      </c>
      <c r="Y56" s="2"/>
      <c r="Z56" s="6">
        <f t="shared" si="31"/>
        <v>0.11613382899628256</v>
      </c>
    </row>
    <row r="57" spans="1:26" s="26" customFormat="1" outlineLevel="1" collapsed="1" x14ac:dyDescent="0.25">
      <c r="A57" s="27"/>
      <c r="B57" s="13" t="str">
        <f>CONCATENATE("     ","Freight out/Postage                               ")</f>
        <v xml:space="preserve">     Freight out/Postage                               </v>
      </c>
      <c r="C57" s="13"/>
      <c r="D57" s="1">
        <f>SUM(OSRRefD22_9x_0)</f>
        <v>263.60000000000002</v>
      </c>
      <c r="E57" s="1"/>
      <c r="F57" s="5">
        <f t="shared" si="24"/>
        <v>0</v>
      </c>
      <c r="G57" s="1"/>
      <c r="H57" s="1">
        <f>SUM(OSRRefH22_9x_0)</f>
        <v>245</v>
      </c>
      <c r="I57" s="1"/>
      <c r="J57" s="5">
        <f t="shared" si="25"/>
        <v>0</v>
      </c>
      <c r="K57" s="1"/>
      <c r="L57" s="1">
        <f t="shared" si="26"/>
        <v>18.600000000000023</v>
      </c>
      <c r="M57" s="1"/>
      <c r="N57" s="5">
        <f t="shared" si="27"/>
        <v>7.5918367346938867E-2</v>
      </c>
      <c r="O57" s="13"/>
      <c r="P57" s="1">
        <f>SUM(OSRRefP22_9x_0)</f>
        <v>611.1</v>
      </c>
      <c r="Q57" s="1"/>
      <c r="R57" s="5">
        <f t="shared" si="28"/>
        <v>0</v>
      </c>
      <c r="S57" s="1"/>
      <c r="T57" s="1">
        <f>SUM(OSRRefT22_9x_0)</f>
        <v>640</v>
      </c>
      <c r="U57" s="1"/>
      <c r="V57" s="5">
        <f t="shared" si="29"/>
        <v>0</v>
      </c>
      <c r="W57" s="1"/>
      <c r="X57" s="1">
        <f t="shared" si="30"/>
        <v>-28.899999999999977</v>
      </c>
      <c r="Y57" s="1"/>
      <c r="Z57" s="5">
        <f t="shared" si="31"/>
        <v>-4.5156249999999967E-2</v>
      </c>
    </row>
    <row r="58" spans="1:26" s="24" customFormat="1" hidden="1" outlineLevel="2" x14ac:dyDescent="0.25">
      <c r="A58" s="25"/>
      <c r="B58" s="11" t="str">
        <f>CONCATENATE("          ", "6307", " - ", "POSTAGE")</f>
        <v xml:space="preserve">          6307 - POSTAGE</v>
      </c>
      <c r="C58" s="11"/>
      <c r="D58" s="7">
        <v>263.60000000000002</v>
      </c>
      <c r="E58" s="2"/>
      <c r="F58" s="6">
        <f t="shared" si="24"/>
        <v>0</v>
      </c>
      <c r="G58" s="2"/>
      <c r="H58" s="7">
        <v>245</v>
      </c>
      <c r="I58" s="2"/>
      <c r="J58" s="6">
        <f t="shared" si="25"/>
        <v>0</v>
      </c>
      <c r="K58" s="2"/>
      <c r="L58" s="7">
        <f t="shared" si="26"/>
        <v>18.600000000000023</v>
      </c>
      <c r="M58" s="2"/>
      <c r="N58" s="6">
        <f t="shared" si="27"/>
        <v>7.5918367346938867E-2</v>
      </c>
      <c r="O58" s="11"/>
      <c r="P58" s="7">
        <v>611.1</v>
      </c>
      <c r="Q58" s="2"/>
      <c r="R58" s="6">
        <f t="shared" si="28"/>
        <v>0</v>
      </c>
      <c r="S58" s="2"/>
      <c r="T58" s="7">
        <v>640</v>
      </c>
      <c r="U58" s="2"/>
      <c r="V58" s="6">
        <f t="shared" si="29"/>
        <v>0</v>
      </c>
      <c r="W58" s="2"/>
      <c r="X58" s="7">
        <f t="shared" si="30"/>
        <v>-28.899999999999977</v>
      </c>
      <c r="Y58" s="2"/>
      <c r="Z58" s="6">
        <f t="shared" si="31"/>
        <v>-4.5156249999999967E-2</v>
      </c>
    </row>
    <row r="59" spans="1:26" s="26" customFormat="1" outlineLevel="1" collapsed="1" x14ac:dyDescent="0.25">
      <c r="A59" s="27"/>
      <c r="B59" s="13" t="str">
        <f>CONCATENATE("     ","General                                           ")</f>
        <v xml:space="preserve">     General                                           </v>
      </c>
      <c r="C59" s="13"/>
      <c r="D59" s="1">
        <f>SUM(OSRRefD22_10x_0)</f>
        <v>4153.0600000000004</v>
      </c>
      <c r="E59" s="1"/>
      <c r="F59" s="5">
        <f t="shared" si="24"/>
        <v>0</v>
      </c>
      <c r="G59" s="1"/>
      <c r="H59" s="1">
        <f>SUM(OSRRefH22_10x_0)</f>
        <v>2415</v>
      </c>
      <c r="I59" s="1"/>
      <c r="J59" s="5">
        <f t="shared" si="25"/>
        <v>0</v>
      </c>
      <c r="K59" s="1"/>
      <c r="L59" s="1">
        <f t="shared" si="26"/>
        <v>1738.0600000000004</v>
      </c>
      <c r="M59" s="1"/>
      <c r="N59" s="5">
        <f t="shared" si="27"/>
        <v>0.71969358178053844</v>
      </c>
      <c r="O59" s="13"/>
      <c r="P59" s="1">
        <f>SUM(OSRRefP22_10x_0)</f>
        <v>6433.68</v>
      </c>
      <c r="Q59" s="1"/>
      <c r="R59" s="5">
        <f t="shared" si="28"/>
        <v>0</v>
      </c>
      <c r="S59" s="1"/>
      <c r="T59" s="1">
        <f>SUM(OSRRefT22_10x_0)</f>
        <v>1855</v>
      </c>
      <c r="U59" s="1"/>
      <c r="V59" s="5">
        <f t="shared" si="29"/>
        <v>0</v>
      </c>
      <c r="W59" s="1"/>
      <c r="X59" s="1">
        <f t="shared" si="30"/>
        <v>4578.68</v>
      </c>
      <c r="Y59" s="1"/>
      <c r="Z59" s="5">
        <f t="shared" si="31"/>
        <v>2.4682911051212941</v>
      </c>
    </row>
    <row r="60" spans="1:26" s="24" customFormat="1" hidden="1" outlineLevel="2" x14ac:dyDescent="0.25">
      <c r="A60" s="25"/>
      <c r="B60" s="11" t="str">
        <f>CONCATENATE("          ", "6279", " - ", "GENERAL EXPENSE")</f>
        <v xml:space="preserve">          6279 - GENERAL EXPENSE</v>
      </c>
      <c r="C60" s="11"/>
      <c r="D60" s="7">
        <v>4153.0600000000004</v>
      </c>
      <c r="E60" s="2"/>
      <c r="F60" s="6">
        <f t="shared" si="24"/>
        <v>0</v>
      </c>
      <c r="G60" s="2"/>
      <c r="H60" s="7">
        <v>2415</v>
      </c>
      <c r="I60" s="2"/>
      <c r="J60" s="6">
        <f t="shared" si="25"/>
        <v>0</v>
      </c>
      <c r="K60" s="2"/>
      <c r="L60" s="7">
        <f t="shared" si="26"/>
        <v>1738.0600000000004</v>
      </c>
      <c r="M60" s="2"/>
      <c r="N60" s="6">
        <f t="shared" si="27"/>
        <v>0.71969358178053844</v>
      </c>
      <c r="O60" s="11"/>
      <c r="P60" s="7">
        <v>6433.68</v>
      </c>
      <c r="Q60" s="2"/>
      <c r="R60" s="6">
        <f t="shared" si="28"/>
        <v>0</v>
      </c>
      <c r="S60" s="2"/>
      <c r="T60" s="7">
        <v>1855</v>
      </c>
      <c r="U60" s="2"/>
      <c r="V60" s="6">
        <f t="shared" si="29"/>
        <v>0</v>
      </c>
      <c r="W60" s="2"/>
      <c r="X60" s="7">
        <f t="shared" si="30"/>
        <v>4578.68</v>
      </c>
      <c r="Y60" s="2"/>
      <c r="Z60" s="6">
        <f t="shared" si="31"/>
        <v>2.4682911051212941</v>
      </c>
    </row>
    <row r="61" spans="1:26" s="26" customFormat="1" outlineLevel="1" collapsed="1" x14ac:dyDescent="0.25">
      <c r="A61" s="27"/>
      <c r="B61" s="13" t="str">
        <f>CONCATENATE("     ","Insurance                                         ")</f>
        <v xml:space="preserve">     Insurance                                         </v>
      </c>
      <c r="C61" s="13"/>
      <c r="D61" s="1">
        <f>SUM(OSRRefD22_11x_0)</f>
        <v>393.67</v>
      </c>
      <c r="E61" s="1"/>
      <c r="F61" s="5">
        <f t="shared" si="24"/>
        <v>0</v>
      </c>
      <c r="G61" s="1"/>
      <c r="H61" s="1">
        <f>SUM(OSRRefH22_11x_0)</f>
        <v>380</v>
      </c>
      <c r="I61" s="1"/>
      <c r="J61" s="5">
        <f t="shared" si="25"/>
        <v>0</v>
      </c>
      <c r="K61" s="1"/>
      <c r="L61" s="1">
        <f t="shared" si="26"/>
        <v>13.670000000000016</v>
      </c>
      <c r="M61" s="1"/>
      <c r="N61" s="5">
        <f t="shared" si="27"/>
        <v>3.5973684210526359E-2</v>
      </c>
      <c r="O61" s="13"/>
      <c r="P61" s="1">
        <f>SUM(OSRRefP22_11x_0)</f>
        <v>1181.01</v>
      </c>
      <c r="Q61" s="1"/>
      <c r="R61" s="5">
        <f t="shared" si="28"/>
        <v>0</v>
      </c>
      <c r="S61" s="1"/>
      <c r="T61" s="1">
        <f>SUM(OSRRefT22_11x_0)</f>
        <v>1140</v>
      </c>
      <c r="U61" s="1"/>
      <c r="V61" s="5">
        <f t="shared" si="29"/>
        <v>0</v>
      </c>
      <c r="W61" s="1"/>
      <c r="X61" s="1">
        <f t="shared" si="30"/>
        <v>41.009999999999991</v>
      </c>
      <c r="Y61" s="1"/>
      <c r="Z61" s="5">
        <f t="shared" si="31"/>
        <v>3.597368421052631E-2</v>
      </c>
    </row>
    <row r="62" spans="1:26" s="24" customFormat="1" hidden="1" outlineLevel="2" x14ac:dyDescent="0.25">
      <c r="A62" s="25"/>
      <c r="B62" s="11" t="str">
        <f>CONCATENATE("          ", "6314", " - ", "LIABILITY INSURANCE")</f>
        <v xml:space="preserve">          6314 - LIABILITY INSURANCE</v>
      </c>
      <c r="C62" s="11"/>
      <c r="D62" s="7">
        <v>393.67</v>
      </c>
      <c r="E62" s="2"/>
      <c r="F62" s="6">
        <f t="shared" si="24"/>
        <v>0</v>
      </c>
      <c r="G62" s="2"/>
      <c r="H62" s="7">
        <v>380</v>
      </c>
      <c r="I62" s="2"/>
      <c r="J62" s="6">
        <f t="shared" si="25"/>
        <v>0</v>
      </c>
      <c r="K62" s="2"/>
      <c r="L62" s="7">
        <f t="shared" si="26"/>
        <v>13.670000000000016</v>
      </c>
      <c r="M62" s="2"/>
      <c r="N62" s="6">
        <f t="shared" si="27"/>
        <v>3.5973684210526359E-2</v>
      </c>
      <c r="O62" s="11"/>
      <c r="P62" s="7">
        <v>1181.01</v>
      </c>
      <c r="Q62" s="2"/>
      <c r="R62" s="6">
        <f t="shared" si="28"/>
        <v>0</v>
      </c>
      <c r="S62" s="2"/>
      <c r="T62" s="7">
        <v>1140</v>
      </c>
      <c r="U62" s="2"/>
      <c r="V62" s="6">
        <f t="shared" si="29"/>
        <v>0</v>
      </c>
      <c r="W62" s="2"/>
      <c r="X62" s="7">
        <f t="shared" si="30"/>
        <v>41.009999999999991</v>
      </c>
      <c r="Y62" s="2"/>
      <c r="Z62" s="6">
        <f t="shared" si="31"/>
        <v>3.597368421052631E-2</v>
      </c>
    </row>
    <row r="63" spans="1:26" s="26" customFormat="1" outlineLevel="1" collapsed="1" x14ac:dyDescent="0.25">
      <c r="A63" s="27"/>
      <c r="B63" s="13" t="str">
        <f>CONCATENATE("     ","Interest                                          ")</f>
        <v xml:space="preserve">     Interest                                          </v>
      </c>
      <c r="C63" s="13"/>
      <c r="D63" s="1">
        <f>SUM(OSRRefD22_12x_0)</f>
        <v>0</v>
      </c>
      <c r="E63" s="1"/>
      <c r="F63" s="5">
        <f t="shared" si="24"/>
        <v>0</v>
      </c>
      <c r="G63" s="1"/>
      <c r="H63" s="1">
        <f>SUM(OSRRefH22_12x_0)</f>
        <v>0</v>
      </c>
      <c r="I63" s="1"/>
      <c r="J63" s="5">
        <f t="shared" si="25"/>
        <v>0</v>
      </c>
      <c r="K63" s="1"/>
      <c r="L63" s="1">
        <f t="shared" si="26"/>
        <v>0</v>
      </c>
      <c r="M63" s="1"/>
      <c r="N63" s="5">
        <f t="shared" si="27"/>
        <v>0</v>
      </c>
      <c r="O63" s="13"/>
      <c r="P63" s="1">
        <f>SUM(OSRRefP22_12x_0)</f>
        <v>0</v>
      </c>
      <c r="Q63" s="1"/>
      <c r="R63" s="5">
        <f t="shared" si="28"/>
        <v>0</v>
      </c>
      <c r="S63" s="1"/>
      <c r="T63" s="1">
        <f>SUM(OSRRefT22_12x_0)</f>
        <v>0</v>
      </c>
      <c r="U63" s="1"/>
      <c r="V63" s="5">
        <f t="shared" si="29"/>
        <v>0</v>
      </c>
      <c r="W63" s="1"/>
      <c r="X63" s="1">
        <f t="shared" si="30"/>
        <v>0</v>
      </c>
      <c r="Y63" s="1"/>
      <c r="Z63" s="5">
        <f t="shared" si="31"/>
        <v>0</v>
      </c>
    </row>
    <row r="64" spans="1:26" s="24" customFormat="1" hidden="1" outlineLevel="2" x14ac:dyDescent="0.25">
      <c r="A64" s="25"/>
      <c r="B64" s="11" t="str">
        <f>CONCATENATE("          ", "6401", " - ", "INTEREST EXPENSE")</f>
        <v xml:space="preserve">          6401 - INTEREST EXPENSE</v>
      </c>
      <c r="C64" s="11"/>
      <c r="D64" s="7"/>
      <c r="E64" s="2"/>
      <c r="F64" s="6">
        <f t="shared" si="24"/>
        <v>0</v>
      </c>
      <c r="G64" s="2"/>
      <c r="H64" s="7">
        <v>0</v>
      </c>
      <c r="I64" s="2"/>
      <c r="J64" s="6">
        <f t="shared" si="25"/>
        <v>0</v>
      </c>
      <c r="K64" s="2"/>
      <c r="L64" s="7">
        <f t="shared" si="26"/>
        <v>0</v>
      </c>
      <c r="M64" s="2"/>
      <c r="N64" s="6">
        <f t="shared" si="27"/>
        <v>0</v>
      </c>
      <c r="O64" s="11"/>
      <c r="P64" s="7"/>
      <c r="Q64" s="2"/>
      <c r="R64" s="6">
        <f t="shared" si="28"/>
        <v>0</v>
      </c>
      <c r="S64" s="2"/>
      <c r="T64" s="7">
        <v>0</v>
      </c>
      <c r="U64" s="2"/>
      <c r="V64" s="6">
        <f t="shared" si="29"/>
        <v>0</v>
      </c>
      <c r="W64" s="2"/>
      <c r="X64" s="7">
        <f t="shared" si="30"/>
        <v>0</v>
      </c>
      <c r="Y64" s="2"/>
      <c r="Z64" s="6">
        <f t="shared" si="31"/>
        <v>0</v>
      </c>
    </row>
    <row r="65" spans="1:26" s="24" customFormat="1" hidden="1" outlineLevel="2" x14ac:dyDescent="0.25">
      <c r="A65" s="25"/>
      <c r="B65" s="11" t="str">
        <f>CONCATENATE("          ", "6402", " - ", "INTEREST EXPENSE BOND ISSUANCE")</f>
        <v xml:space="preserve">          6402 - INTEREST EXPENSE BOND ISSUANCE</v>
      </c>
      <c r="C65" s="11"/>
      <c r="D65" s="7"/>
      <c r="E65" s="2"/>
      <c r="F65" s="6">
        <f t="shared" si="24"/>
        <v>0</v>
      </c>
      <c r="G65" s="2"/>
      <c r="H65" s="7">
        <v>0</v>
      </c>
      <c r="I65" s="2"/>
      <c r="J65" s="6">
        <f t="shared" si="25"/>
        <v>0</v>
      </c>
      <c r="K65" s="2"/>
      <c r="L65" s="7">
        <f t="shared" si="26"/>
        <v>0</v>
      </c>
      <c r="M65" s="2"/>
      <c r="N65" s="6">
        <f t="shared" si="27"/>
        <v>0</v>
      </c>
      <c r="O65" s="11"/>
      <c r="P65" s="7"/>
      <c r="Q65" s="2"/>
      <c r="R65" s="6">
        <f t="shared" si="28"/>
        <v>0</v>
      </c>
      <c r="S65" s="2"/>
      <c r="T65" s="7">
        <v>0</v>
      </c>
      <c r="U65" s="2"/>
      <c r="V65" s="6">
        <f t="shared" si="29"/>
        <v>0</v>
      </c>
      <c r="W65" s="2"/>
      <c r="X65" s="7">
        <f t="shared" si="30"/>
        <v>0</v>
      </c>
      <c r="Y65" s="2"/>
      <c r="Z65" s="6">
        <f t="shared" si="31"/>
        <v>0</v>
      </c>
    </row>
    <row r="66" spans="1:26" s="24" customFormat="1" hidden="1" outlineLevel="2" x14ac:dyDescent="0.25">
      <c r="A66" s="25"/>
      <c r="B66" s="11" t="str">
        <f>CONCATENATE("          ", "6403", " - ", "INTEREST EXPENSE LEASE EQUIP")</f>
        <v xml:space="preserve">          6403 - INTEREST EXPENSE LEASE EQUIP</v>
      </c>
      <c r="C66" s="11"/>
      <c r="D66" s="7"/>
      <c r="E66" s="2"/>
      <c r="F66" s="6">
        <f t="shared" si="24"/>
        <v>0</v>
      </c>
      <c r="G66" s="2"/>
      <c r="H66" s="7">
        <v>0</v>
      </c>
      <c r="I66" s="2"/>
      <c r="J66" s="6">
        <f t="shared" si="25"/>
        <v>0</v>
      </c>
      <c r="K66" s="2"/>
      <c r="L66" s="7">
        <f t="shared" si="26"/>
        <v>0</v>
      </c>
      <c r="M66" s="2"/>
      <c r="N66" s="6">
        <f t="shared" si="27"/>
        <v>0</v>
      </c>
      <c r="O66" s="11"/>
      <c r="P66" s="7"/>
      <c r="Q66" s="2"/>
      <c r="R66" s="6">
        <f t="shared" si="28"/>
        <v>0</v>
      </c>
      <c r="S66" s="2"/>
      <c r="T66" s="7">
        <v>0</v>
      </c>
      <c r="U66" s="2"/>
      <c r="V66" s="6">
        <f t="shared" si="29"/>
        <v>0</v>
      </c>
      <c r="W66" s="2"/>
      <c r="X66" s="7">
        <f t="shared" si="30"/>
        <v>0</v>
      </c>
      <c r="Y66" s="2"/>
      <c r="Z66" s="6">
        <f t="shared" si="31"/>
        <v>0</v>
      </c>
    </row>
    <row r="67" spans="1:26" s="26" customFormat="1" outlineLevel="1" collapsed="1" x14ac:dyDescent="0.25">
      <c r="A67" s="27"/>
      <c r="B67" s="13" t="str">
        <f>CONCATENATE("     ","Professional Services                             ")</f>
        <v xml:space="preserve">     Professional Services                             </v>
      </c>
      <c r="C67" s="13"/>
      <c r="D67" s="1">
        <f>SUM(OSRRefD22_13x_0)</f>
        <v>45470.68</v>
      </c>
      <c r="E67" s="1"/>
      <c r="F67" s="5">
        <f t="shared" ref="F67:F71" si="32">IF(D$12=0,0,D67/D$12)</f>
        <v>0</v>
      </c>
      <c r="G67" s="1"/>
      <c r="H67" s="1">
        <f>SUM(OSRRefH22_13x_0)</f>
        <v>2933</v>
      </c>
      <c r="I67" s="1"/>
      <c r="J67" s="5">
        <f t="shared" ref="J67:J71" si="33">IF(H$12=0,0,H67/H$12)</f>
        <v>0</v>
      </c>
      <c r="K67" s="1"/>
      <c r="L67" s="1">
        <f t="shared" ref="L67:L71" si="34">+D67-H67</f>
        <v>42537.68</v>
      </c>
      <c r="M67" s="1"/>
      <c r="N67" s="5">
        <f t="shared" ref="N67:N71" si="35">IF(H67=0,0,L67/H67)</f>
        <v>14.503129901125128</v>
      </c>
      <c r="O67" s="13"/>
      <c r="P67" s="1">
        <f>SUM(OSRRefP22_13x_0)</f>
        <v>71060.92</v>
      </c>
      <c r="Q67" s="1"/>
      <c r="R67" s="5">
        <f t="shared" ref="R67:R71" si="36">IF(P$12=0,0,P67/P$12)</f>
        <v>0</v>
      </c>
      <c r="S67" s="1"/>
      <c r="T67" s="1">
        <f>SUM(OSRRefT22_13x_0)</f>
        <v>47799</v>
      </c>
      <c r="U67" s="1"/>
      <c r="V67" s="5">
        <f t="shared" ref="V67:V71" si="37">IF(T$12=0,0,T67/T$12)</f>
        <v>0</v>
      </c>
      <c r="W67" s="1"/>
      <c r="X67" s="1">
        <f t="shared" ref="X67:X71" si="38">+P67-T67</f>
        <v>23261.919999999998</v>
      </c>
      <c r="Y67" s="1"/>
      <c r="Z67" s="5">
        <f t="shared" ref="Z67:Z71" si="39">IF(T67=0,0,X67/T67)</f>
        <v>0.4866612272223268</v>
      </c>
    </row>
    <row r="68" spans="1:26" s="24" customFormat="1" hidden="1" outlineLevel="2" x14ac:dyDescent="0.25">
      <c r="A68" s="25"/>
      <c r="B68" s="11" t="str">
        <f>CONCATENATE("          ", "6331", " - ", "INDIRECT COSTS-AUXILIARY ORGAN")</f>
        <v xml:space="preserve">          6331 - INDIRECT COSTS-AUXILIARY ORGAN</v>
      </c>
      <c r="C68" s="11"/>
      <c r="D68" s="7">
        <v>12000</v>
      </c>
      <c r="E68" s="2"/>
      <c r="F68" s="6">
        <f t="shared" si="32"/>
        <v>0</v>
      </c>
      <c r="G68" s="2"/>
      <c r="H68" s="7"/>
      <c r="I68" s="2"/>
      <c r="J68" s="6">
        <f t="shared" si="33"/>
        <v>0</v>
      </c>
      <c r="K68" s="2"/>
      <c r="L68" s="7">
        <f t="shared" si="34"/>
        <v>12000</v>
      </c>
      <c r="M68" s="2"/>
      <c r="N68" s="6">
        <f t="shared" si="35"/>
        <v>0</v>
      </c>
      <c r="O68" s="11"/>
      <c r="P68" s="7">
        <v>23487</v>
      </c>
      <c r="Q68" s="2"/>
      <c r="R68" s="6">
        <f t="shared" si="36"/>
        <v>0</v>
      </c>
      <c r="S68" s="2"/>
      <c r="T68" s="7">
        <v>12500</v>
      </c>
      <c r="U68" s="2"/>
      <c r="V68" s="6">
        <f t="shared" si="37"/>
        <v>0</v>
      </c>
      <c r="W68" s="2"/>
      <c r="X68" s="7">
        <f t="shared" si="38"/>
        <v>10987</v>
      </c>
      <c r="Y68" s="2"/>
      <c r="Z68" s="6">
        <f t="shared" si="39"/>
        <v>0.87895999999999996</v>
      </c>
    </row>
    <row r="69" spans="1:26" s="24" customFormat="1" hidden="1" outlineLevel="2" x14ac:dyDescent="0.25">
      <c r="A69" s="25"/>
      <c r="B69" s="11" t="str">
        <f>CONCATENATE("          ", "6332", " - ", "CONSULTANT FEES")</f>
        <v xml:space="preserve">          6332 - CONSULTANT FEES</v>
      </c>
      <c r="C69" s="11"/>
      <c r="D69" s="7">
        <v>15062.24</v>
      </c>
      <c r="E69" s="2"/>
      <c r="F69" s="6">
        <f t="shared" si="32"/>
        <v>0</v>
      </c>
      <c r="G69" s="2"/>
      <c r="H69" s="7">
        <v>600</v>
      </c>
      <c r="I69" s="2"/>
      <c r="J69" s="6">
        <f t="shared" si="33"/>
        <v>0</v>
      </c>
      <c r="K69" s="2"/>
      <c r="L69" s="7">
        <f t="shared" si="34"/>
        <v>14462.24</v>
      </c>
      <c r="M69" s="2"/>
      <c r="N69" s="6">
        <f t="shared" si="35"/>
        <v>24.103733333333334</v>
      </c>
      <c r="O69" s="11"/>
      <c r="P69" s="7">
        <v>15144.74</v>
      </c>
      <c r="Q69" s="2"/>
      <c r="R69" s="6">
        <f t="shared" si="36"/>
        <v>0</v>
      </c>
      <c r="S69" s="2"/>
      <c r="T69" s="7">
        <v>1800</v>
      </c>
      <c r="U69" s="2"/>
      <c r="V69" s="6">
        <f t="shared" si="37"/>
        <v>0</v>
      </c>
      <c r="W69" s="2"/>
      <c r="X69" s="7">
        <f t="shared" si="38"/>
        <v>13344.74</v>
      </c>
      <c r="Y69" s="2"/>
      <c r="Z69" s="6">
        <f t="shared" si="39"/>
        <v>7.4137444444444442</v>
      </c>
    </row>
    <row r="70" spans="1:26" s="24" customFormat="1" hidden="1" outlineLevel="2" x14ac:dyDescent="0.25">
      <c r="A70" s="25"/>
      <c r="B70" s="11" t="str">
        <f>CONCATENATE("          ", "6334", " - ", "LEGAL COUNCIL EXPENSE")</f>
        <v xml:space="preserve">          6334 - LEGAL COUNCIL EXPENSE</v>
      </c>
      <c r="C70" s="11"/>
      <c r="D70" s="7">
        <v>11970</v>
      </c>
      <c r="E70" s="2"/>
      <c r="F70" s="6">
        <f t="shared" si="32"/>
        <v>0</v>
      </c>
      <c r="G70" s="2"/>
      <c r="H70" s="7">
        <v>2333</v>
      </c>
      <c r="I70" s="2"/>
      <c r="J70" s="6">
        <f t="shared" si="33"/>
        <v>0</v>
      </c>
      <c r="K70" s="2"/>
      <c r="L70" s="7">
        <f t="shared" si="34"/>
        <v>9637</v>
      </c>
      <c r="M70" s="2"/>
      <c r="N70" s="6">
        <f t="shared" si="35"/>
        <v>4.1307329618516935</v>
      </c>
      <c r="O70" s="11"/>
      <c r="P70" s="7">
        <v>18600</v>
      </c>
      <c r="Q70" s="2"/>
      <c r="R70" s="6">
        <f t="shared" si="36"/>
        <v>0</v>
      </c>
      <c r="S70" s="2"/>
      <c r="T70" s="7">
        <v>3999</v>
      </c>
      <c r="U70" s="2"/>
      <c r="V70" s="6">
        <f t="shared" si="37"/>
        <v>0</v>
      </c>
      <c r="W70" s="2"/>
      <c r="X70" s="7">
        <f t="shared" si="38"/>
        <v>14601</v>
      </c>
      <c r="Y70" s="2"/>
      <c r="Z70" s="6">
        <f t="shared" si="39"/>
        <v>3.6511627906976742</v>
      </c>
    </row>
    <row r="71" spans="1:26" s="24" customFormat="1" hidden="1" outlineLevel="2" x14ac:dyDescent="0.25">
      <c r="A71" s="25"/>
      <c r="B71" s="11" t="str">
        <f>CONCATENATE("          ", "6336", " - ", "PROFESSIONAL SERVICES")</f>
        <v xml:space="preserve">          6336 - PROFESSIONAL SERVICES</v>
      </c>
      <c r="C71" s="11"/>
      <c r="D71" s="7">
        <v>6438.44</v>
      </c>
      <c r="E71" s="2"/>
      <c r="F71" s="6">
        <f t="shared" si="32"/>
        <v>0</v>
      </c>
      <c r="G71" s="2"/>
      <c r="H71" s="7">
        <v>0</v>
      </c>
      <c r="I71" s="2"/>
      <c r="J71" s="6">
        <f t="shared" si="33"/>
        <v>0</v>
      </c>
      <c r="K71" s="2"/>
      <c r="L71" s="7">
        <f t="shared" si="34"/>
        <v>6438.44</v>
      </c>
      <c r="M71" s="2"/>
      <c r="N71" s="6">
        <f t="shared" si="35"/>
        <v>0</v>
      </c>
      <c r="O71" s="11"/>
      <c r="P71" s="7">
        <v>13829.18</v>
      </c>
      <c r="Q71" s="2"/>
      <c r="R71" s="6">
        <f t="shared" si="36"/>
        <v>0</v>
      </c>
      <c r="S71" s="2"/>
      <c r="T71" s="7">
        <v>29500</v>
      </c>
      <c r="U71" s="2"/>
      <c r="V71" s="6">
        <f t="shared" si="37"/>
        <v>0</v>
      </c>
      <c r="W71" s="2"/>
      <c r="X71" s="7">
        <f t="shared" si="38"/>
        <v>-15670.82</v>
      </c>
      <c r="Y71" s="2"/>
      <c r="Z71" s="6">
        <f t="shared" si="39"/>
        <v>-0.53121423728813555</v>
      </c>
    </row>
    <row r="72" spans="1:26" s="26" customFormat="1" outlineLevel="1" collapsed="1" x14ac:dyDescent="0.25">
      <c r="A72" s="27"/>
      <c r="B72" s="13" t="str">
        <f>CONCATENATE("     ","Repair and Maintenance                            ")</f>
        <v xml:space="preserve">     Repair and Maintenance                            </v>
      </c>
      <c r="C72" s="13"/>
      <c r="D72" s="1">
        <f>SUM(OSRRefD22_14x_0)</f>
        <v>24725.599999999999</v>
      </c>
      <c r="E72" s="1"/>
      <c r="F72" s="5">
        <f t="shared" ref="F72:F76" si="40">IF(D$12=0,0,D72/D$12)</f>
        <v>0</v>
      </c>
      <c r="G72" s="1"/>
      <c r="H72" s="1">
        <f>SUM(OSRRefH22_14x_0)</f>
        <v>31415</v>
      </c>
      <c r="I72" s="1"/>
      <c r="J72" s="5">
        <f t="shared" ref="J72:J76" si="41">IF(H$12=0,0,H72/H$12)</f>
        <v>0</v>
      </c>
      <c r="K72" s="1"/>
      <c r="L72" s="1">
        <f t="shared" ref="L72:L76" si="42">+D72-H72</f>
        <v>-6689.4000000000015</v>
      </c>
      <c r="M72" s="1"/>
      <c r="N72" s="5">
        <f t="shared" ref="N72:N76" si="43">IF(H72=0,0,L72/H72)</f>
        <v>-0.21293649530479075</v>
      </c>
      <c r="O72" s="13"/>
      <c r="P72" s="1">
        <f>SUM(OSRRefP22_14x_0)</f>
        <v>74684.02</v>
      </c>
      <c r="Q72" s="1"/>
      <c r="R72" s="5">
        <f t="shared" ref="R72:R76" si="44">IF(P$12=0,0,P72/P$12)</f>
        <v>0</v>
      </c>
      <c r="S72" s="1"/>
      <c r="T72" s="1">
        <f>SUM(OSRRefT22_14x_0)</f>
        <v>68225</v>
      </c>
      <c r="U72" s="1"/>
      <c r="V72" s="5">
        <f t="shared" ref="V72:V76" si="45">IF(T$12=0,0,T72/T$12)</f>
        <v>0</v>
      </c>
      <c r="W72" s="1"/>
      <c r="X72" s="1">
        <f t="shared" ref="X72:X76" si="46">+P72-T72</f>
        <v>6459.0200000000041</v>
      </c>
      <c r="Y72" s="1"/>
      <c r="Z72" s="5">
        <f t="shared" ref="Z72:Z76" si="47">IF(T72=0,0,X72/T72)</f>
        <v>9.4672334188347446E-2</v>
      </c>
    </row>
    <row r="73" spans="1:26" s="24" customFormat="1" hidden="1" outlineLevel="2" x14ac:dyDescent="0.25">
      <c r="A73" s="25"/>
      <c r="B73" s="11" t="str">
        <f>CONCATENATE("          ", "6371", " - ", "COMPUTER SOFTWARE MAINTENANCE")</f>
        <v xml:space="preserve">          6371 - COMPUTER SOFTWARE MAINTENANCE</v>
      </c>
      <c r="C73" s="11"/>
      <c r="D73" s="7">
        <v>11127.65</v>
      </c>
      <c r="E73" s="2"/>
      <c r="F73" s="6">
        <f t="shared" si="40"/>
        <v>0</v>
      </c>
      <c r="G73" s="2"/>
      <c r="H73" s="7">
        <v>14320</v>
      </c>
      <c r="I73" s="2"/>
      <c r="J73" s="6">
        <f t="shared" si="41"/>
        <v>0</v>
      </c>
      <c r="K73" s="2"/>
      <c r="L73" s="7">
        <f t="shared" si="42"/>
        <v>-3192.3500000000004</v>
      </c>
      <c r="M73" s="2"/>
      <c r="N73" s="6">
        <f t="shared" si="43"/>
        <v>-0.22292946927374305</v>
      </c>
      <c r="O73" s="11"/>
      <c r="P73" s="7">
        <v>31505.11</v>
      </c>
      <c r="Q73" s="2"/>
      <c r="R73" s="6">
        <f t="shared" si="44"/>
        <v>0</v>
      </c>
      <c r="S73" s="2"/>
      <c r="T73" s="7">
        <v>29040</v>
      </c>
      <c r="U73" s="2"/>
      <c r="V73" s="6">
        <f t="shared" si="45"/>
        <v>0</v>
      </c>
      <c r="W73" s="2"/>
      <c r="X73" s="7">
        <f t="shared" si="46"/>
        <v>2465.1100000000006</v>
      </c>
      <c r="Y73" s="2"/>
      <c r="Z73" s="6">
        <f t="shared" si="47"/>
        <v>8.4886707988980736E-2</v>
      </c>
    </row>
    <row r="74" spans="1:26" s="24" customFormat="1" hidden="1" outlineLevel="2" x14ac:dyDescent="0.25">
      <c r="A74" s="25"/>
      <c r="B74" s="11" t="str">
        <f>CONCATENATE("          ", "6372", " - ", "COMPUTER HARDWARE MAINTENANCE")</f>
        <v xml:space="preserve">          6372 - COMPUTER HARDWARE MAINTENANCE</v>
      </c>
      <c r="C74" s="11"/>
      <c r="D74" s="7"/>
      <c r="E74" s="2"/>
      <c r="F74" s="6">
        <f t="shared" si="40"/>
        <v>0</v>
      </c>
      <c r="G74" s="2"/>
      <c r="H74" s="7">
        <v>1000</v>
      </c>
      <c r="I74" s="2"/>
      <c r="J74" s="6">
        <f t="shared" si="41"/>
        <v>0</v>
      </c>
      <c r="K74" s="2"/>
      <c r="L74" s="7">
        <f t="shared" si="42"/>
        <v>-1000</v>
      </c>
      <c r="M74" s="2"/>
      <c r="N74" s="6">
        <f t="shared" si="43"/>
        <v>-1</v>
      </c>
      <c r="O74" s="11"/>
      <c r="P74" s="7"/>
      <c r="Q74" s="2"/>
      <c r="R74" s="6">
        <f t="shared" si="44"/>
        <v>0</v>
      </c>
      <c r="S74" s="2"/>
      <c r="T74" s="7">
        <v>2500</v>
      </c>
      <c r="U74" s="2"/>
      <c r="V74" s="6">
        <f t="shared" si="45"/>
        <v>0</v>
      </c>
      <c r="W74" s="2"/>
      <c r="X74" s="7">
        <f t="shared" si="46"/>
        <v>-2500</v>
      </c>
      <c r="Y74" s="2"/>
      <c r="Z74" s="6">
        <f t="shared" si="47"/>
        <v>-1</v>
      </c>
    </row>
    <row r="75" spans="1:26" s="24" customFormat="1" hidden="1" outlineLevel="2" x14ac:dyDescent="0.25">
      <c r="A75" s="25"/>
      <c r="B75" s="11" t="str">
        <f>CONCATENATE("          ", "6373", " - ", "MAINTENANCE CONTRACTS")</f>
        <v xml:space="preserve">          6373 - MAINTENANCE CONTRACTS</v>
      </c>
      <c r="C75" s="11"/>
      <c r="D75" s="7">
        <v>13544.27</v>
      </c>
      <c r="E75" s="2"/>
      <c r="F75" s="6">
        <f t="shared" si="40"/>
        <v>0</v>
      </c>
      <c r="G75" s="2"/>
      <c r="H75" s="7">
        <v>16095</v>
      </c>
      <c r="I75" s="2"/>
      <c r="J75" s="6">
        <f t="shared" si="41"/>
        <v>0</v>
      </c>
      <c r="K75" s="2"/>
      <c r="L75" s="7">
        <f t="shared" si="42"/>
        <v>-2550.7299999999996</v>
      </c>
      <c r="M75" s="2"/>
      <c r="N75" s="6">
        <f t="shared" si="43"/>
        <v>-0.15847965206585893</v>
      </c>
      <c r="O75" s="11"/>
      <c r="P75" s="7">
        <v>43005.8</v>
      </c>
      <c r="Q75" s="2"/>
      <c r="R75" s="6">
        <f t="shared" si="44"/>
        <v>0</v>
      </c>
      <c r="S75" s="2"/>
      <c r="T75" s="7">
        <v>36685</v>
      </c>
      <c r="U75" s="2"/>
      <c r="V75" s="6">
        <f t="shared" si="45"/>
        <v>0</v>
      </c>
      <c r="W75" s="2"/>
      <c r="X75" s="7">
        <f t="shared" si="46"/>
        <v>6320.8000000000029</v>
      </c>
      <c r="Y75" s="2"/>
      <c r="Z75" s="6">
        <f t="shared" si="47"/>
        <v>0.17229930489300813</v>
      </c>
    </row>
    <row r="76" spans="1:26" s="24" customFormat="1" hidden="1" outlineLevel="2" x14ac:dyDescent="0.25">
      <c r="A76" s="25"/>
      <c r="B76" s="11" t="str">
        <f>CONCATENATE("          ", "6375", " - ", "OUTSIDE REPAIRS &amp; MAINTENANCE")</f>
        <v xml:space="preserve">          6375 - OUTSIDE REPAIRS &amp; MAINTENANCE</v>
      </c>
      <c r="C76" s="11"/>
      <c r="D76" s="7">
        <v>53.68</v>
      </c>
      <c r="E76" s="2"/>
      <c r="F76" s="6">
        <f t="shared" si="40"/>
        <v>0</v>
      </c>
      <c r="G76" s="2"/>
      <c r="H76" s="7"/>
      <c r="I76" s="2"/>
      <c r="J76" s="6">
        <f t="shared" si="41"/>
        <v>0</v>
      </c>
      <c r="K76" s="2"/>
      <c r="L76" s="7">
        <f t="shared" si="42"/>
        <v>53.68</v>
      </c>
      <c r="M76" s="2"/>
      <c r="N76" s="6">
        <f t="shared" si="43"/>
        <v>0</v>
      </c>
      <c r="O76" s="11"/>
      <c r="P76" s="7">
        <v>173.11</v>
      </c>
      <c r="Q76" s="2"/>
      <c r="R76" s="6">
        <f t="shared" si="44"/>
        <v>0</v>
      </c>
      <c r="S76" s="2"/>
      <c r="T76" s="7"/>
      <c r="U76" s="2"/>
      <c r="V76" s="6">
        <f t="shared" si="45"/>
        <v>0</v>
      </c>
      <c r="W76" s="2"/>
      <c r="X76" s="7">
        <f t="shared" si="46"/>
        <v>173.11</v>
      </c>
      <c r="Y76" s="2"/>
      <c r="Z76" s="6">
        <f t="shared" si="47"/>
        <v>0</v>
      </c>
    </row>
    <row r="77" spans="1:26" s="26" customFormat="1" outlineLevel="1" collapsed="1" x14ac:dyDescent="0.25">
      <c r="A77" s="27"/>
      <c r="B77" s="13" t="str">
        <f>CONCATENATE("     ","Services                                          ")</f>
        <v xml:space="preserve">     Services                                          </v>
      </c>
      <c r="C77" s="13"/>
      <c r="D77" s="1">
        <f>SUM(OSRRefD22_15x_0)</f>
        <v>870.09</v>
      </c>
      <c r="E77" s="1"/>
      <c r="F77" s="5">
        <f t="shared" ref="F77:F79" si="48">IF(D$12=0,0,D77/D$12)</f>
        <v>0</v>
      </c>
      <c r="G77" s="1"/>
      <c r="H77" s="1">
        <f>SUM(OSRRefH22_15x_0)</f>
        <v>610</v>
      </c>
      <c r="I77" s="1"/>
      <c r="J77" s="5">
        <f t="shared" ref="J77:J79" si="49">IF(H$12=0,0,H77/H$12)</f>
        <v>0</v>
      </c>
      <c r="K77" s="1"/>
      <c r="L77" s="1">
        <f t="shared" ref="L77:L79" si="50">+D77-H77</f>
        <v>260.09000000000003</v>
      </c>
      <c r="M77" s="1"/>
      <c r="N77" s="5">
        <f t="shared" ref="N77:N79" si="51">IF(H77=0,0,L77/H77)</f>
        <v>0.42637704918032793</v>
      </c>
      <c r="O77" s="13"/>
      <c r="P77" s="1">
        <f>SUM(OSRRefP22_15x_0)</f>
        <v>3739.83</v>
      </c>
      <c r="Q77" s="1"/>
      <c r="R77" s="5">
        <f t="shared" ref="R77:R79" si="52">IF(P$12=0,0,P77/P$12)</f>
        <v>0</v>
      </c>
      <c r="S77" s="1"/>
      <c r="T77" s="1">
        <f>SUM(OSRRefT22_15x_0)</f>
        <v>1830</v>
      </c>
      <c r="U77" s="1"/>
      <c r="V77" s="5">
        <f t="shared" ref="V77:V79" si="53">IF(T$12=0,0,T77/T$12)</f>
        <v>0</v>
      </c>
      <c r="W77" s="1"/>
      <c r="X77" s="1">
        <f t="shared" ref="X77:X79" si="54">+P77-T77</f>
        <v>1909.83</v>
      </c>
      <c r="Y77" s="1"/>
      <c r="Z77" s="5">
        <f t="shared" ref="Z77:Z79" si="55">IF(T77=0,0,X77/T77)</f>
        <v>1.0436229508196722</v>
      </c>
    </row>
    <row r="78" spans="1:26" s="24" customFormat="1" hidden="1" outlineLevel="2" x14ac:dyDescent="0.25">
      <c r="A78" s="25"/>
      <c r="B78" s="11" t="str">
        <f>CONCATENATE("          ", "6281", " - ", "STORAGE FEE")</f>
        <v xml:space="preserve">          6281 - STORAGE FEE</v>
      </c>
      <c r="C78" s="11"/>
      <c r="D78" s="7">
        <v>856.83</v>
      </c>
      <c r="E78" s="2"/>
      <c r="F78" s="6">
        <f t="shared" si="48"/>
        <v>0</v>
      </c>
      <c r="G78" s="2"/>
      <c r="H78" s="7">
        <v>600</v>
      </c>
      <c r="I78" s="2"/>
      <c r="J78" s="6">
        <f t="shared" si="49"/>
        <v>0</v>
      </c>
      <c r="K78" s="2"/>
      <c r="L78" s="7">
        <f t="shared" si="50"/>
        <v>256.83000000000004</v>
      </c>
      <c r="M78" s="2"/>
      <c r="N78" s="6">
        <f t="shared" si="51"/>
        <v>0.42805000000000004</v>
      </c>
      <c r="O78" s="11"/>
      <c r="P78" s="7">
        <v>3713.31</v>
      </c>
      <c r="Q78" s="2"/>
      <c r="R78" s="6">
        <f t="shared" si="52"/>
        <v>0</v>
      </c>
      <c r="S78" s="2"/>
      <c r="T78" s="7">
        <v>1800</v>
      </c>
      <c r="U78" s="2"/>
      <c r="V78" s="6">
        <f t="shared" si="53"/>
        <v>0</v>
      </c>
      <c r="W78" s="2"/>
      <c r="X78" s="7">
        <f t="shared" si="54"/>
        <v>1913.31</v>
      </c>
      <c r="Y78" s="2"/>
      <c r="Z78" s="6">
        <f t="shared" si="55"/>
        <v>1.0629500000000001</v>
      </c>
    </row>
    <row r="79" spans="1:26" s="24" customFormat="1" hidden="1" outlineLevel="2" x14ac:dyDescent="0.25">
      <c r="A79" s="25"/>
      <c r="B79" s="11" t="str">
        <f>CONCATENATE("          ", "6286", " - ", "LAUNDRY EXPENSE")</f>
        <v xml:space="preserve">          6286 - LAUNDRY EXPENSE</v>
      </c>
      <c r="C79" s="11"/>
      <c r="D79" s="7">
        <v>13.26</v>
      </c>
      <c r="E79" s="2"/>
      <c r="F79" s="6">
        <f t="shared" si="48"/>
        <v>0</v>
      </c>
      <c r="G79" s="2"/>
      <c r="H79" s="7">
        <v>10</v>
      </c>
      <c r="I79" s="2"/>
      <c r="J79" s="6">
        <f t="shared" si="49"/>
        <v>0</v>
      </c>
      <c r="K79" s="2"/>
      <c r="L79" s="7">
        <f t="shared" si="50"/>
        <v>3.26</v>
      </c>
      <c r="M79" s="2"/>
      <c r="N79" s="6">
        <f t="shared" si="51"/>
        <v>0.32599999999999996</v>
      </c>
      <c r="O79" s="11"/>
      <c r="P79" s="7">
        <v>26.52</v>
      </c>
      <c r="Q79" s="2"/>
      <c r="R79" s="6">
        <f t="shared" si="52"/>
        <v>0</v>
      </c>
      <c r="S79" s="2"/>
      <c r="T79" s="7">
        <v>30</v>
      </c>
      <c r="U79" s="2"/>
      <c r="V79" s="6">
        <f t="shared" si="53"/>
        <v>0</v>
      </c>
      <c r="W79" s="2"/>
      <c r="X79" s="7">
        <f t="shared" si="54"/>
        <v>-3.4800000000000004</v>
      </c>
      <c r="Y79" s="2"/>
      <c r="Z79" s="6">
        <f t="shared" si="55"/>
        <v>-0.11600000000000002</v>
      </c>
    </row>
    <row r="80" spans="1:26" s="26" customFormat="1" outlineLevel="1" collapsed="1" x14ac:dyDescent="0.25">
      <c r="A80" s="27"/>
      <c r="B80" s="13" t="str">
        <f>CONCATENATE("     ","Subscriptions &amp; Dues                              ")</f>
        <v xml:space="preserve">     Subscriptions &amp; Dues                              </v>
      </c>
      <c r="C80" s="13"/>
      <c r="D80" s="1">
        <f>SUM(OSRRefD22_16x_0)</f>
        <v>39</v>
      </c>
      <c r="E80" s="1"/>
      <c r="F80" s="5">
        <f t="shared" ref="F80:F82" si="56">IF(D$12=0,0,D80/D$12)</f>
        <v>0</v>
      </c>
      <c r="G80" s="1"/>
      <c r="H80" s="1">
        <f>SUM(OSRRefH22_16x_0)</f>
        <v>100</v>
      </c>
      <c r="I80" s="1"/>
      <c r="J80" s="5">
        <f t="shared" ref="J80:J82" si="57">IF(H$12=0,0,H80/H$12)</f>
        <v>0</v>
      </c>
      <c r="K80" s="1"/>
      <c r="L80" s="1">
        <f t="shared" ref="L80:L82" si="58">+D80-H80</f>
        <v>-61</v>
      </c>
      <c r="M80" s="1"/>
      <c r="N80" s="5">
        <f t="shared" ref="N80:N82" si="59">IF(H80=0,0,L80/H80)</f>
        <v>-0.61</v>
      </c>
      <c r="O80" s="13"/>
      <c r="P80" s="1">
        <f>SUM(OSRRefP22_16x_0)</f>
        <v>1626</v>
      </c>
      <c r="Q80" s="1"/>
      <c r="R80" s="5">
        <f t="shared" ref="R80:R82" si="60">IF(P$12=0,0,P80/P$12)</f>
        <v>0</v>
      </c>
      <c r="S80" s="1"/>
      <c r="T80" s="1">
        <f>SUM(OSRRefT22_16x_0)</f>
        <v>2157</v>
      </c>
      <c r="U80" s="1"/>
      <c r="V80" s="5">
        <f t="shared" ref="V80:V82" si="61">IF(T$12=0,0,T80/T$12)</f>
        <v>0</v>
      </c>
      <c r="W80" s="1"/>
      <c r="X80" s="1">
        <f t="shared" ref="X80:X82" si="62">+P80-T80</f>
        <v>-531</v>
      </c>
      <c r="Y80" s="1"/>
      <c r="Z80" s="5">
        <f t="shared" ref="Z80:Z82" si="63">IF(T80=0,0,X80/T80)</f>
        <v>-0.24617524339360222</v>
      </c>
    </row>
    <row r="81" spans="1:26" s="24" customFormat="1" hidden="1" outlineLevel="2" x14ac:dyDescent="0.25">
      <c r="A81" s="25"/>
      <c r="B81" s="11" t="str">
        <f>CONCATENATE("          ", "6258", " - ", "MEMBERSHIP DUES")</f>
        <v xml:space="preserve">          6258 - MEMBERSHIP DUES</v>
      </c>
      <c r="C81" s="11"/>
      <c r="D81" s="7">
        <v>39</v>
      </c>
      <c r="E81" s="2"/>
      <c r="F81" s="6">
        <f t="shared" si="56"/>
        <v>0</v>
      </c>
      <c r="G81" s="2"/>
      <c r="H81" s="7"/>
      <c r="I81" s="2"/>
      <c r="J81" s="6">
        <f t="shared" si="57"/>
        <v>0</v>
      </c>
      <c r="K81" s="2"/>
      <c r="L81" s="7">
        <f t="shared" si="58"/>
        <v>39</v>
      </c>
      <c r="M81" s="2"/>
      <c r="N81" s="6">
        <f t="shared" si="59"/>
        <v>0</v>
      </c>
      <c r="O81" s="11"/>
      <c r="P81" s="7">
        <v>1626</v>
      </c>
      <c r="Q81" s="2"/>
      <c r="R81" s="6">
        <f t="shared" si="60"/>
        <v>0</v>
      </c>
      <c r="S81" s="2"/>
      <c r="T81" s="7">
        <v>1857</v>
      </c>
      <c r="U81" s="2"/>
      <c r="V81" s="6">
        <f t="shared" si="61"/>
        <v>0</v>
      </c>
      <c r="W81" s="2"/>
      <c r="X81" s="7">
        <f t="shared" si="62"/>
        <v>-231</v>
      </c>
      <c r="Y81" s="2"/>
      <c r="Z81" s="6">
        <f t="shared" si="63"/>
        <v>-0.12439418416801293</v>
      </c>
    </row>
    <row r="82" spans="1:26" s="24" customFormat="1" hidden="1" outlineLevel="2" x14ac:dyDescent="0.25">
      <c r="A82" s="25"/>
      <c r="B82" s="11" t="str">
        <f>CONCATENATE("          ", "6275", " - ", "SUBSCRIPTIONS")</f>
        <v xml:space="preserve">          6275 - SUBSCRIPTIONS</v>
      </c>
      <c r="C82" s="11"/>
      <c r="D82" s="7"/>
      <c r="E82" s="2"/>
      <c r="F82" s="6">
        <f t="shared" si="56"/>
        <v>0</v>
      </c>
      <c r="G82" s="2"/>
      <c r="H82" s="7">
        <v>100</v>
      </c>
      <c r="I82" s="2"/>
      <c r="J82" s="6">
        <f t="shared" si="57"/>
        <v>0</v>
      </c>
      <c r="K82" s="2"/>
      <c r="L82" s="7">
        <f t="shared" si="58"/>
        <v>-100</v>
      </c>
      <c r="M82" s="2"/>
      <c r="N82" s="6">
        <f t="shared" si="59"/>
        <v>-1</v>
      </c>
      <c r="O82" s="11"/>
      <c r="P82" s="7"/>
      <c r="Q82" s="2"/>
      <c r="R82" s="6">
        <f t="shared" si="60"/>
        <v>0</v>
      </c>
      <c r="S82" s="2"/>
      <c r="T82" s="7">
        <v>300</v>
      </c>
      <c r="U82" s="2"/>
      <c r="V82" s="6">
        <f t="shared" si="61"/>
        <v>0</v>
      </c>
      <c r="W82" s="2"/>
      <c r="X82" s="7">
        <f t="shared" si="62"/>
        <v>-300</v>
      </c>
      <c r="Y82" s="2"/>
      <c r="Z82" s="6">
        <f t="shared" si="63"/>
        <v>-1</v>
      </c>
    </row>
    <row r="83" spans="1:26" s="26" customFormat="1" outlineLevel="1" collapsed="1" x14ac:dyDescent="0.25">
      <c r="A83" s="27"/>
      <c r="B83" s="13" t="str">
        <f>CONCATENATE("     ","Supplies                                          ")</f>
        <v xml:space="preserve">     Supplies                                          </v>
      </c>
      <c r="C83" s="13"/>
      <c r="D83" s="1">
        <f>SUM(OSRRefD22_17x_0)</f>
        <v>8201.86</v>
      </c>
      <c r="E83" s="1"/>
      <c r="F83" s="5">
        <f t="shared" ref="F83:F87" si="64">IF(D$12=0,0,D83/D$12)</f>
        <v>0</v>
      </c>
      <c r="G83" s="1"/>
      <c r="H83" s="1">
        <f>SUM(OSRRefH22_17x_0)</f>
        <v>7102</v>
      </c>
      <c r="I83" s="1"/>
      <c r="J83" s="5">
        <f t="shared" ref="J83:J87" si="65">IF(H$12=0,0,H83/H$12)</f>
        <v>0</v>
      </c>
      <c r="K83" s="1"/>
      <c r="L83" s="1">
        <f t="shared" ref="L83:L87" si="66">+D83-H83</f>
        <v>1099.8600000000006</v>
      </c>
      <c r="M83" s="1"/>
      <c r="N83" s="5">
        <f t="shared" ref="N83:N87" si="67">IF(H83=0,0,L83/H83)</f>
        <v>0.15486623486341883</v>
      </c>
      <c r="O83" s="13"/>
      <c r="P83" s="1">
        <f>SUM(OSRRefP22_17x_0)</f>
        <v>28124.2</v>
      </c>
      <c r="Q83" s="1"/>
      <c r="R83" s="5">
        <f t="shared" ref="R83:R87" si="68">IF(P$12=0,0,P83/P$12)</f>
        <v>0</v>
      </c>
      <c r="S83" s="1"/>
      <c r="T83" s="1">
        <f>SUM(OSRRefT22_17x_0)</f>
        <v>16556</v>
      </c>
      <c r="U83" s="1"/>
      <c r="V83" s="5">
        <f t="shared" ref="V83:V87" si="69">IF(T$12=0,0,T83/T$12)</f>
        <v>0</v>
      </c>
      <c r="W83" s="1"/>
      <c r="X83" s="1">
        <f t="shared" ref="X83:X87" si="70">+P83-T83</f>
        <v>11568.2</v>
      </c>
      <c r="Y83" s="1"/>
      <c r="Z83" s="5">
        <f t="shared" ref="Z83:Z87" si="71">IF(T83=0,0,X83/T83)</f>
        <v>0.6987315776757671</v>
      </c>
    </row>
    <row r="84" spans="1:26" s="24" customFormat="1" hidden="1" outlineLevel="2" x14ac:dyDescent="0.25">
      <c r="A84" s="25"/>
      <c r="B84" s="11" t="str">
        <f>CONCATENATE("          ", "6234", " - ", "EXPENDABLE SUPPLIES &amp; EQUIPMEN")</f>
        <v xml:space="preserve">          6234 - EXPENDABLE SUPPLIES &amp; EQUIPMEN</v>
      </c>
      <c r="C84" s="11"/>
      <c r="D84" s="7">
        <v>217.02</v>
      </c>
      <c r="E84" s="2"/>
      <c r="F84" s="6">
        <f t="shared" si="64"/>
        <v>0</v>
      </c>
      <c r="G84" s="2"/>
      <c r="H84" s="7">
        <v>1000</v>
      </c>
      <c r="I84" s="2"/>
      <c r="J84" s="6">
        <f t="shared" si="65"/>
        <v>0</v>
      </c>
      <c r="K84" s="2"/>
      <c r="L84" s="7">
        <f t="shared" si="66"/>
        <v>-782.98</v>
      </c>
      <c r="M84" s="2"/>
      <c r="N84" s="6">
        <f t="shared" si="67"/>
        <v>-0.78298000000000001</v>
      </c>
      <c r="O84" s="11"/>
      <c r="P84" s="7">
        <v>776.96</v>
      </c>
      <c r="Q84" s="2"/>
      <c r="R84" s="6">
        <f t="shared" si="68"/>
        <v>0</v>
      </c>
      <c r="S84" s="2"/>
      <c r="T84" s="7">
        <v>2200</v>
      </c>
      <c r="U84" s="2"/>
      <c r="V84" s="6">
        <f t="shared" si="69"/>
        <v>0</v>
      </c>
      <c r="W84" s="2"/>
      <c r="X84" s="7">
        <f t="shared" si="70"/>
        <v>-1423.04</v>
      </c>
      <c r="Y84" s="2"/>
      <c r="Z84" s="6">
        <f t="shared" si="71"/>
        <v>-0.64683636363636365</v>
      </c>
    </row>
    <row r="85" spans="1:26" s="24" customFormat="1" hidden="1" outlineLevel="2" x14ac:dyDescent="0.25">
      <c r="A85" s="25"/>
      <c r="B85" s="11" t="str">
        <f>CONCATENATE("          ", "6241", " - ", "OFFICE EXPENSE")</f>
        <v xml:space="preserve">          6241 - OFFICE EXPENSE</v>
      </c>
      <c r="C85" s="11"/>
      <c r="D85" s="7">
        <v>7511.36</v>
      </c>
      <c r="E85" s="2"/>
      <c r="F85" s="6">
        <f t="shared" si="64"/>
        <v>0</v>
      </c>
      <c r="G85" s="2"/>
      <c r="H85" s="7">
        <v>5685</v>
      </c>
      <c r="I85" s="2"/>
      <c r="J85" s="6">
        <f t="shared" si="65"/>
        <v>0</v>
      </c>
      <c r="K85" s="2"/>
      <c r="L85" s="7">
        <f t="shared" si="66"/>
        <v>1826.3599999999997</v>
      </c>
      <c r="M85" s="2"/>
      <c r="N85" s="6">
        <f t="shared" si="67"/>
        <v>0.32125945470536493</v>
      </c>
      <c r="O85" s="11"/>
      <c r="P85" s="7">
        <v>23335.72</v>
      </c>
      <c r="Q85" s="2"/>
      <c r="R85" s="6">
        <f t="shared" si="68"/>
        <v>0</v>
      </c>
      <c r="S85" s="2"/>
      <c r="T85" s="7">
        <v>13105</v>
      </c>
      <c r="U85" s="2"/>
      <c r="V85" s="6">
        <f t="shared" si="69"/>
        <v>0</v>
      </c>
      <c r="W85" s="2"/>
      <c r="X85" s="7">
        <f t="shared" si="70"/>
        <v>10230.720000000001</v>
      </c>
      <c r="Y85" s="2"/>
      <c r="Z85" s="6">
        <f t="shared" si="71"/>
        <v>0.78067302556276241</v>
      </c>
    </row>
    <row r="86" spans="1:26" s="24" customFormat="1" hidden="1" outlineLevel="2" x14ac:dyDescent="0.25">
      <c r="A86" s="25"/>
      <c r="B86" s="11" t="str">
        <f>CONCATENATE("          ", "6244", " - ", "SAFETY SUPPLY EXPENSE")</f>
        <v xml:space="preserve">          6244 - SAFETY SUPPLY EXPENSE</v>
      </c>
      <c r="C86" s="11"/>
      <c r="D86" s="7">
        <v>354.41</v>
      </c>
      <c r="E86" s="2"/>
      <c r="F86" s="6">
        <f t="shared" si="64"/>
        <v>0</v>
      </c>
      <c r="G86" s="2"/>
      <c r="H86" s="7">
        <v>417</v>
      </c>
      <c r="I86" s="2"/>
      <c r="J86" s="6">
        <f t="shared" si="65"/>
        <v>0</v>
      </c>
      <c r="K86" s="2"/>
      <c r="L86" s="7">
        <f t="shared" si="66"/>
        <v>-62.589999999999975</v>
      </c>
      <c r="M86" s="2"/>
      <c r="N86" s="6">
        <f t="shared" si="67"/>
        <v>-0.15009592326139082</v>
      </c>
      <c r="O86" s="11"/>
      <c r="P86" s="7">
        <v>1232.33</v>
      </c>
      <c r="Q86" s="2"/>
      <c r="R86" s="6">
        <f t="shared" si="68"/>
        <v>0</v>
      </c>
      <c r="S86" s="2"/>
      <c r="T86" s="7">
        <v>1251</v>
      </c>
      <c r="U86" s="2"/>
      <c r="V86" s="6">
        <f t="shared" si="69"/>
        <v>0</v>
      </c>
      <c r="W86" s="2"/>
      <c r="X86" s="7">
        <f t="shared" si="70"/>
        <v>-18.670000000000073</v>
      </c>
      <c r="Y86" s="2"/>
      <c r="Z86" s="6">
        <f t="shared" si="71"/>
        <v>-1.4924060751398939E-2</v>
      </c>
    </row>
    <row r="87" spans="1:26" s="24" customFormat="1" hidden="1" outlineLevel="2" x14ac:dyDescent="0.25">
      <c r="A87" s="25"/>
      <c r="B87" s="11" t="str">
        <f>CONCATENATE("          ", "6245", " - ", "PRINTING")</f>
        <v xml:space="preserve">          6245 - PRINTING</v>
      </c>
      <c r="C87" s="11"/>
      <c r="D87" s="7">
        <v>119.07</v>
      </c>
      <c r="E87" s="2"/>
      <c r="F87" s="6">
        <f t="shared" si="64"/>
        <v>0</v>
      </c>
      <c r="G87" s="2"/>
      <c r="H87" s="7"/>
      <c r="I87" s="2"/>
      <c r="J87" s="6">
        <f t="shared" si="65"/>
        <v>0</v>
      </c>
      <c r="K87" s="2"/>
      <c r="L87" s="7">
        <f t="shared" si="66"/>
        <v>119.07</v>
      </c>
      <c r="M87" s="2"/>
      <c r="N87" s="6">
        <f t="shared" si="67"/>
        <v>0</v>
      </c>
      <c r="O87" s="11"/>
      <c r="P87" s="7">
        <v>2779.19</v>
      </c>
      <c r="Q87" s="2"/>
      <c r="R87" s="6">
        <f t="shared" si="68"/>
        <v>0</v>
      </c>
      <c r="S87" s="2"/>
      <c r="T87" s="7"/>
      <c r="U87" s="2"/>
      <c r="V87" s="6">
        <f t="shared" si="69"/>
        <v>0</v>
      </c>
      <c r="W87" s="2"/>
      <c r="X87" s="7">
        <f t="shared" si="70"/>
        <v>2779.19</v>
      </c>
      <c r="Y87" s="2"/>
      <c r="Z87" s="6">
        <f t="shared" si="71"/>
        <v>0</v>
      </c>
    </row>
    <row r="88" spans="1:26" s="26" customFormat="1" outlineLevel="1" collapsed="1" x14ac:dyDescent="0.25">
      <c r="A88" s="27"/>
      <c r="B88" s="13" t="str">
        <f>CONCATENATE("     ","Telephone/Data Lines                              ")</f>
        <v xml:space="preserve">     Telephone/Data Lines                              </v>
      </c>
      <c r="C88" s="13"/>
      <c r="D88" s="1">
        <f>SUM(OSRRefD22_18x_0)</f>
        <v>2234.73</v>
      </c>
      <c r="E88" s="1"/>
      <c r="F88" s="5">
        <f t="shared" ref="F88:F90" si="72">IF(D$12=0,0,D88/D$12)</f>
        <v>0</v>
      </c>
      <c r="G88" s="1"/>
      <c r="H88" s="1">
        <f>SUM(OSRRefH22_18x_0)</f>
        <v>1630</v>
      </c>
      <c r="I88" s="1"/>
      <c r="J88" s="5">
        <f t="shared" ref="J88:J90" si="73">IF(H$12=0,0,H88/H$12)</f>
        <v>0</v>
      </c>
      <c r="K88" s="1"/>
      <c r="L88" s="1">
        <f t="shared" ref="L88:L90" si="74">+D88-H88</f>
        <v>604.73</v>
      </c>
      <c r="M88" s="1"/>
      <c r="N88" s="5">
        <f t="shared" ref="N88:N90" si="75">IF(H88=0,0,L88/H88)</f>
        <v>0.371</v>
      </c>
      <c r="O88" s="13"/>
      <c r="P88" s="1">
        <f>SUM(OSRRefP22_18x_0)</f>
        <v>9277.77</v>
      </c>
      <c r="Q88" s="1"/>
      <c r="R88" s="5">
        <f t="shared" ref="R88:R90" si="76">IF(P$12=0,0,P88/P$12)</f>
        <v>0</v>
      </c>
      <c r="S88" s="1"/>
      <c r="T88" s="1">
        <f>SUM(OSRRefT22_18x_0)</f>
        <v>5040</v>
      </c>
      <c r="U88" s="1"/>
      <c r="V88" s="5">
        <f t="shared" ref="V88:V90" si="77">IF(T$12=0,0,T88/T$12)</f>
        <v>0</v>
      </c>
      <c r="W88" s="1"/>
      <c r="X88" s="1">
        <f t="shared" ref="X88:X90" si="78">+P88-T88</f>
        <v>4237.7700000000004</v>
      </c>
      <c r="Y88" s="1"/>
      <c r="Z88" s="5">
        <f t="shared" ref="Z88:Z90" si="79">IF(T88=0,0,X88/T88)</f>
        <v>0.84082738095238108</v>
      </c>
    </row>
    <row r="89" spans="1:26" s="24" customFormat="1" hidden="1" outlineLevel="2" x14ac:dyDescent="0.25">
      <c r="A89" s="25"/>
      <c r="B89" s="11" t="str">
        <f>CONCATENATE("          ", "6303", " - ", "DATA PHONE LINES")</f>
        <v xml:space="preserve">          6303 - DATA PHONE LINES</v>
      </c>
      <c r="C89" s="11"/>
      <c r="D89" s="7">
        <v>116.55</v>
      </c>
      <c r="E89" s="2"/>
      <c r="F89" s="6">
        <f t="shared" si="72"/>
        <v>0</v>
      </c>
      <c r="G89" s="2"/>
      <c r="H89" s="7">
        <v>200</v>
      </c>
      <c r="I89" s="2"/>
      <c r="J89" s="6">
        <f t="shared" si="73"/>
        <v>0</v>
      </c>
      <c r="K89" s="2"/>
      <c r="L89" s="7">
        <f t="shared" si="74"/>
        <v>-83.45</v>
      </c>
      <c r="M89" s="2"/>
      <c r="N89" s="6">
        <f t="shared" si="75"/>
        <v>-0.41725000000000001</v>
      </c>
      <c r="O89" s="11"/>
      <c r="P89" s="7">
        <v>507.62</v>
      </c>
      <c r="Q89" s="2"/>
      <c r="R89" s="6">
        <f t="shared" si="76"/>
        <v>0</v>
      </c>
      <c r="S89" s="2"/>
      <c r="T89" s="7">
        <v>600</v>
      </c>
      <c r="U89" s="2"/>
      <c r="V89" s="6">
        <f t="shared" si="77"/>
        <v>0</v>
      </c>
      <c r="W89" s="2"/>
      <c r="X89" s="7">
        <f t="shared" si="78"/>
        <v>-92.38</v>
      </c>
      <c r="Y89" s="2"/>
      <c r="Z89" s="6">
        <f t="shared" si="79"/>
        <v>-0.15396666666666667</v>
      </c>
    </row>
    <row r="90" spans="1:26" s="24" customFormat="1" hidden="1" outlineLevel="2" x14ac:dyDescent="0.25">
      <c r="A90" s="25"/>
      <c r="B90" s="11" t="str">
        <f>CONCATENATE("          ", "6309", " - ", "TELEPHONE")</f>
        <v xml:space="preserve">          6309 - TELEPHONE</v>
      </c>
      <c r="C90" s="11"/>
      <c r="D90" s="7">
        <v>2118.1799999999998</v>
      </c>
      <c r="E90" s="2"/>
      <c r="F90" s="6">
        <f t="shared" si="72"/>
        <v>0</v>
      </c>
      <c r="G90" s="2"/>
      <c r="H90" s="7">
        <v>1430</v>
      </c>
      <c r="I90" s="2"/>
      <c r="J90" s="6">
        <f t="shared" si="73"/>
        <v>0</v>
      </c>
      <c r="K90" s="2"/>
      <c r="L90" s="7">
        <f t="shared" si="74"/>
        <v>688.17999999999984</v>
      </c>
      <c r="M90" s="2"/>
      <c r="N90" s="6">
        <f t="shared" si="75"/>
        <v>0.48124475524475513</v>
      </c>
      <c r="O90" s="11"/>
      <c r="P90" s="7">
        <v>8770.15</v>
      </c>
      <c r="Q90" s="2"/>
      <c r="R90" s="6">
        <f t="shared" si="76"/>
        <v>0</v>
      </c>
      <c r="S90" s="2"/>
      <c r="T90" s="7">
        <v>4440</v>
      </c>
      <c r="U90" s="2"/>
      <c r="V90" s="6">
        <f t="shared" si="77"/>
        <v>0</v>
      </c>
      <c r="W90" s="2"/>
      <c r="X90" s="7">
        <f t="shared" si="78"/>
        <v>4330.1499999999996</v>
      </c>
      <c r="Y90" s="2"/>
      <c r="Z90" s="6">
        <f t="shared" si="79"/>
        <v>0.97525900900900897</v>
      </c>
    </row>
    <row r="91" spans="1:26" s="26" customFormat="1" outlineLevel="1" collapsed="1" x14ac:dyDescent="0.25">
      <c r="A91" s="27"/>
      <c r="B91" s="13" t="str">
        <f>CONCATENATE("     ","Training                                          ")</f>
        <v xml:space="preserve">     Training                                          </v>
      </c>
      <c r="C91" s="13"/>
      <c r="D91" s="1">
        <f>SUM(OSRRefD22_19x_0)</f>
        <v>463</v>
      </c>
      <c r="E91" s="1"/>
      <c r="F91" s="5">
        <f t="shared" ref="F91:F95" si="80">IF(D$12=0,0,D91/D$12)</f>
        <v>0</v>
      </c>
      <c r="G91" s="1"/>
      <c r="H91" s="1">
        <f>SUM(OSRRefH22_19x_0)</f>
        <v>4283</v>
      </c>
      <c r="I91" s="1"/>
      <c r="J91" s="5">
        <f t="shared" ref="J91:J95" si="81">IF(H$12=0,0,H91/H$12)</f>
        <v>0</v>
      </c>
      <c r="K91" s="1"/>
      <c r="L91" s="1">
        <f t="shared" ref="L91:L95" si="82">+D91-H91</f>
        <v>-3820</v>
      </c>
      <c r="M91" s="1"/>
      <c r="N91" s="5">
        <f t="shared" ref="N91:N95" si="83">IF(H91=0,0,L91/H91)</f>
        <v>-0.89189820219472338</v>
      </c>
      <c r="O91" s="13"/>
      <c r="P91" s="1">
        <f>SUM(OSRRefP22_19x_0)</f>
        <v>5461.98</v>
      </c>
      <c r="Q91" s="1"/>
      <c r="R91" s="5">
        <f t="shared" ref="R91:R95" si="84">IF(P$12=0,0,P91/P$12)</f>
        <v>0</v>
      </c>
      <c r="S91" s="1"/>
      <c r="T91" s="1">
        <f>SUM(OSRRefT22_19x_0)</f>
        <v>13049</v>
      </c>
      <c r="U91" s="1"/>
      <c r="V91" s="5">
        <f t="shared" ref="V91:V95" si="85">IF(T$12=0,0,T91/T$12)</f>
        <v>0</v>
      </c>
      <c r="W91" s="1"/>
      <c r="X91" s="1">
        <f t="shared" ref="X91:X95" si="86">+P91-T91</f>
        <v>-7587.02</v>
      </c>
      <c r="Y91" s="1"/>
      <c r="Z91" s="5">
        <f t="shared" ref="Z91:Z95" si="87">IF(T91=0,0,X91/T91)</f>
        <v>-0.58142539658211356</v>
      </c>
    </row>
    <row r="92" spans="1:26" s="24" customFormat="1" hidden="1" outlineLevel="2" x14ac:dyDescent="0.25">
      <c r="A92" s="25"/>
      <c r="B92" s="11" t="str">
        <f>CONCATENATE("          ", "6376", " - ", "TRAINING")</f>
        <v xml:space="preserve">          6376 - TRAINING</v>
      </c>
      <c r="C92" s="11"/>
      <c r="D92" s="7">
        <v>463</v>
      </c>
      <c r="E92" s="2"/>
      <c r="F92" s="6">
        <f t="shared" si="80"/>
        <v>0</v>
      </c>
      <c r="G92" s="2"/>
      <c r="H92" s="7">
        <v>4283</v>
      </c>
      <c r="I92" s="2"/>
      <c r="J92" s="6">
        <f t="shared" si="81"/>
        <v>0</v>
      </c>
      <c r="K92" s="2"/>
      <c r="L92" s="7">
        <f t="shared" si="82"/>
        <v>-3820</v>
      </c>
      <c r="M92" s="2"/>
      <c r="N92" s="6">
        <f t="shared" si="83"/>
        <v>-0.89189820219472338</v>
      </c>
      <c r="O92" s="11"/>
      <c r="P92" s="7">
        <v>5461.98</v>
      </c>
      <c r="Q92" s="2"/>
      <c r="R92" s="6">
        <f t="shared" si="84"/>
        <v>0</v>
      </c>
      <c r="S92" s="2"/>
      <c r="T92" s="7">
        <v>13049</v>
      </c>
      <c r="U92" s="2"/>
      <c r="V92" s="6">
        <f t="shared" si="85"/>
        <v>0</v>
      </c>
      <c r="W92" s="2"/>
      <c r="X92" s="7">
        <f t="shared" si="86"/>
        <v>-7587.02</v>
      </c>
      <c r="Y92" s="2"/>
      <c r="Z92" s="6">
        <f t="shared" si="87"/>
        <v>-0.58142539658211356</v>
      </c>
    </row>
    <row r="93" spans="1:26" s="26" customFormat="1" outlineLevel="1" collapsed="1" x14ac:dyDescent="0.25">
      <c r="A93" s="27"/>
      <c r="B93" s="13" t="str">
        <f>CONCATENATE("     ","Travel                                            ")</f>
        <v xml:space="preserve">     Travel                                            </v>
      </c>
      <c r="C93" s="13"/>
      <c r="D93" s="1">
        <f>SUM(OSRRefD22_20x_0)</f>
        <v>856.9</v>
      </c>
      <c r="E93" s="1"/>
      <c r="F93" s="5">
        <f t="shared" si="80"/>
        <v>0</v>
      </c>
      <c r="G93" s="1"/>
      <c r="H93" s="1">
        <f>SUM(OSRRefH22_20x_0)</f>
        <v>1750</v>
      </c>
      <c r="I93" s="1"/>
      <c r="J93" s="5">
        <f t="shared" si="81"/>
        <v>0</v>
      </c>
      <c r="K93" s="1"/>
      <c r="L93" s="1">
        <f t="shared" si="82"/>
        <v>-893.1</v>
      </c>
      <c r="M93" s="1"/>
      <c r="N93" s="5">
        <f t="shared" si="83"/>
        <v>-0.51034285714285721</v>
      </c>
      <c r="O93" s="13"/>
      <c r="P93" s="1">
        <f>SUM(OSRRefP22_20x_0)</f>
        <v>5170.32</v>
      </c>
      <c r="Q93" s="1"/>
      <c r="R93" s="5">
        <f t="shared" si="84"/>
        <v>0</v>
      </c>
      <c r="S93" s="1"/>
      <c r="T93" s="1">
        <f>SUM(OSRRefT22_20x_0)</f>
        <v>9000</v>
      </c>
      <c r="U93" s="1"/>
      <c r="V93" s="5">
        <f t="shared" si="85"/>
        <v>0</v>
      </c>
      <c r="W93" s="1"/>
      <c r="X93" s="1">
        <f t="shared" si="86"/>
        <v>-3829.6800000000003</v>
      </c>
      <c r="Y93" s="1"/>
      <c r="Z93" s="5">
        <f t="shared" si="87"/>
        <v>-0.42552000000000001</v>
      </c>
    </row>
    <row r="94" spans="1:26" s="24" customFormat="1" hidden="1" outlineLevel="2" x14ac:dyDescent="0.25">
      <c r="A94" s="25"/>
      <c r="B94" s="11" t="str">
        <f>CONCATENATE("          ", "6292", " - ", "TRAVEL/CONFERENCE")</f>
        <v xml:space="preserve">          6292 - TRAVEL/CONFERENCE</v>
      </c>
      <c r="C94" s="11"/>
      <c r="D94" s="7">
        <v>856.9</v>
      </c>
      <c r="E94" s="2"/>
      <c r="F94" s="6">
        <f t="shared" si="80"/>
        <v>0</v>
      </c>
      <c r="G94" s="2"/>
      <c r="H94" s="7">
        <v>1750</v>
      </c>
      <c r="I94" s="2"/>
      <c r="J94" s="6">
        <f t="shared" si="81"/>
        <v>0</v>
      </c>
      <c r="K94" s="2"/>
      <c r="L94" s="7">
        <f t="shared" si="82"/>
        <v>-893.1</v>
      </c>
      <c r="M94" s="2"/>
      <c r="N94" s="6">
        <f t="shared" si="83"/>
        <v>-0.51034285714285721</v>
      </c>
      <c r="O94" s="11"/>
      <c r="P94" s="7">
        <v>5146.42</v>
      </c>
      <c r="Q94" s="2"/>
      <c r="R94" s="6">
        <f t="shared" si="84"/>
        <v>0</v>
      </c>
      <c r="S94" s="2"/>
      <c r="T94" s="7">
        <v>9000</v>
      </c>
      <c r="U94" s="2"/>
      <c r="V94" s="6">
        <f t="shared" si="85"/>
        <v>0</v>
      </c>
      <c r="W94" s="2"/>
      <c r="X94" s="7">
        <f t="shared" si="86"/>
        <v>-3853.58</v>
      </c>
      <c r="Y94" s="2"/>
      <c r="Z94" s="6">
        <f t="shared" si="87"/>
        <v>-0.42817555555555553</v>
      </c>
    </row>
    <row r="95" spans="1:26" s="24" customFormat="1" hidden="1" outlineLevel="2" x14ac:dyDescent="0.25">
      <c r="A95" s="25"/>
      <c r="B95" s="11" t="str">
        <f>CONCATENATE("          ", "6294", " - ", "TRAVEL OPERATIONAL")</f>
        <v xml:space="preserve">          6294 - TRAVEL OPERATIONAL</v>
      </c>
      <c r="C95" s="11"/>
      <c r="D95" s="7"/>
      <c r="E95" s="2"/>
      <c r="F95" s="6">
        <f t="shared" si="80"/>
        <v>0</v>
      </c>
      <c r="G95" s="2"/>
      <c r="H95" s="7"/>
      <c r="I95" s="2"/>
      <c r="J95" s="6">
        <f t="shared" si="81"/>
        <v>0</v>
      </c>
      <c r="K95" s="2"/>
      <c r="L95" s="7">
        <f t="shared" si="82"/>
        <v>0</v>
      </c>
      <c r="M95" s="2"/>
      <c r="N95" s="6">
        <f t="shared" si="83"/>
        <v>0</v>
      </c>
      <c r="O95" s="11"/>
      <c r="P95" s="7">
        <v>23.9</v>
      </c>
      <c r="Q95" s="2"/>
      <c r="R95" s="6">
        <f t="shared" si="84"/>
        <v>0</v>
      </c>
      <c r="S95" s="2"/>
      <c r="T95" s="7"/>
      <c r="U95" s="2"/>
      <c r="V95" s="6">
        <f t="shared" si="85"/>
        <v>0</v>
      </c>
      <c r="W95" s="2"/>
      <c r="X95" s="7">
        <f t="shared" si="86"/>
        <v>23.9</v>
      </c>
      <c r="Y95" s="2"/>
      <c r="Z95" s="6">
        <f t="shared" si="87"/>
        <v>0</v>
      </c>
    </row>
    <row r="96" spans="1:26" s="63" customFormat="1" x14ac:dyDescent="0.25">
      <c r="A96" s="36"/>
      <c r="B96" s="36"/>
      <c r="C96" s="36"/>
      <c r="D96" s="1"/>
      <c r="E96" s="1"/>
      <c r="F96" s="5"/>
      <c r="G96" s="1"/>
      <c r="H96" s="1"/>
      <c r="I96" s="1"/>
      <c r="J96" s="5"/>
      <c r="K96" s="1"/>
      <c r="L96" s="1"/>
      <c r="M96" s="1"/>
      <c r="N96" s="5"/>
      <c r="O96" s="36"/>
      <c r="P96" s="1"/>
      <c r="Q96" s="1"/>
      <c r="R96" s="5"/>
      <c r="S96" s="1"/>
      <c r="T96" s="1"/>
      <c r="U96" s="1"/>
      <c r="V96" s="5"/>
      <c r="W96" s="1"/>
      <c r="X96" s="1"/>
      <c r="Y96" s="1"/>
      <c r="Z96" s="5"/>
    </row>
    <row r="97" spans="1:26" s="23" customFormat="1" x14ac:dyDescent="0.25">
      <c r="A97" s="10"/>
      <c r="B97" s="28" t="s">
        <v>0</v>
      </c>
      <c r="C97" s="10"/>
      <c r="D97" s="4">
        <f>SUM(0)</f>
        <v>0</v>
      </c>
      <c r="E97" s="4"/>
      <c r="F97" s="12">
        <f>IF(D$12=0,0,D97/D$12)</f>
        <v>0</v>
      </c>
      <c r="G97" s="4"/>
      <c r="H97" s="4">
        <f>SUM(0)</f>
        <v>0</v>
      </c>
      <c r="I97" s="4"/>
      <c r="J97" s="12">
        <f>IF(H$12=0,0,H97/H$12)</f>
        <v>0</v>
      </c>
      <c r="K97" s="4"/>
      <c r="L97" s="4">
        <f>+D97-H97</f>
        <v>0</v>
      </c>
      <c r="M97" s="4"/>
      <c r="N97" s="12">
        <f>IF(H97=0,0,L97/H97)</f>
        <v>0</v>
      </c>
      <c r="O97" s="10"/>
      <c r="P97" s="4">
        <f>SUM(0)</f>
        <v>0</v>
      </c>
      <c r="Q97" s="4"/>
      <c r="R97" s="12">
        <f>IF(P$12=0,0,P97/P$12)</f>
        <v>0</v>
      </c>
      <c r="S97" s="4"/>
      <c r="T97" s="4">
        <f>SUM(0)</f>
        <v>0</v>
      </c>
      <c r="U97" s="4"/>
      <c r="V97" s="12">
        <f>IF(T$12=0,0,T97/T$12)</f>
        <v>0</v>
      </c>
      <c r="W97" s="4"/>
      <c r="X97" s="4">
        <f>+P97-T97</f>
        <v>0</v>
      </c>
      <c r="Y97" s="4"/>
      <c r="Z97" s="12">
        <f>IF(T97=0,0,X97/T97)</f>
        <v>0</v>
      </c>
    </row>
    <row r="98" spans="1:26" x14ac:dyDescent="0.25">
      <c r="A98" s="9"/>
      <c r="B98" s="10"/>
      <c r="C98" s="10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O98" s="10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x14ac:dyDescent="0.25">
      <c r="A99" s="10"/>
      <c r="B99" s="29" t="s">
        <v>3</v>
      </c>
      <c r="C99" s="29"/>
      <c r="D99" s="22">
        <f>+D16-D18+D97</f>
        <v>-331728.94</v>
      </c>
      <c r="E99" s="14"/>
      <c r="F99" s="20">
        <f>IF(D$12=0,0,D99/D$12)</f>
        <v>0</v>
      </c>
      <c r="G99" s="14"/>
      <c r="H99" s="22">
        <f>+H16-H18+H97</f>
        <v>-299598.75540137431</v>
      </c>
      <c r="I99" s="14"/>
      <c r="J99" s="20">
        <f>IF(H$12=0,0,H99/H$12)</f>
        <v>0</v>
      </c>
      <c r="K99" s="15"/>
      <c r="L99" s="22">
        <f>+D99-H99</f>
        <v>-32130.184598625696</v>
      </c>
      <c r="M99" s="15"/>
      <c r="N99" s="20">
        <f>IF(H99=0,0,L99/H99)</f>
        <v>0.1072440523178432</v>
      </c>
      <c r="O99" s="28"/>
      <c r="P99" s="22">
        <f>+P16-P18+P97</f>
        <v>-1045557.8000000003</v>
      </c>
      <c r="Q99" s="14"/>
      <c r="R99" s="20">
        <f>IF(P$12=0,0,P99/P$12)</f>
        <v>0</v>
      </c>
      <c r="S99" s="14"/>
      <c r="T99" s="22">
        <f>+T16-T18+T97</f>
        <v>-1287051.3509725244</v>
      </c>
      <c r="U99" s="14"/>
      <c r="V99" s="20">
        <f>IF(T$12=0,0,T99/T$12)</f>
        <v>0</v>
      </c>
      <c r="W99" s="15"/>
      <c r="X99" s="22">
        <f>+P99-T99</f>
        <v>241493.5509725241</v>
      </c>
      <c r="Y99" s="15"/>
      <c r="Z99" s="20">
        <f>IF(T99=0,0,X99/T99)</f>
        <v>-0.18763319022978084</v>
      </c>
    </row>
    <row r="100" spans="1:26" x14ac:dyDescent="0.25">
      <c r="A100" s="9"/>
      <c r="B100" s="10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x14ac:dyDescent="0.25">
      <c r="A101" s="52"/>
      <c r="B101" s="10" t="s">
        <v>14</v>
      </c>
      <c r="C101" s="10"/>
      <c r="D101" s="4"/>
      <c r="E101" s="4"/>
      <c r="F101" s="12">
        <f>IF(D$12=0,0,D101/D$12)</f>
        <v>0</v>
      </c>
      <c r="G101" s="4"/>
      <c r="H101" s="4"/>
      <c r="I101" s="4"/>
      <c r="J101" s="12">
        <f>IF(H$12=0,0,H101/H$12)</f>
        <v>0</v>
      </c>
      <c r="K101" s="4"/>
      <c r="L101" s="4">
        <f>+D101-H101</f>
        <v>0</v>
      </c>
      <c r="M101" s="4"/>
      <c r="N101" s="12">
        <f>IF(H101=0,0,L101/H101)</f>
        <v>0</v>
      </c>
      <c r="O101" s="10"/>
      <c r="P101" s="4"/>
      <c r="Q101" s="4"/>
      <c r="R101" s="12">
        <f>IF(P$12=0,0,P101/P$12)</f>
        <v>0</v>
      </c>
      <c r="S101" s="4"/>
      <c r="T101" s="4"/>
      <c r="U101" s="4"/>
      <c r="V101" s="12">
        <f>IF(T$12=0,0,T101/T$12)</f>
        <v>0</v>
      </c>
      <c r="W101" s="4"/>
      <c r="X101" s="4">
        <f>+P101-T101</f>
        <v>0</v>
      </c>
      <c r="Y101" s="4"/>
      <c r="Z101" s="12">
        <f>IF(T101=0,0,X101/T101)</f>
        <v>0</v>
      </c>
    </row>
    <row r="102" spans="1:26" x14ac:dyDescent="0.25">
      <c r="A102" s="9"/>
      <c r="B102" s="10"/>
      <c r="C102" s="10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O102" s="10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ht="15.75" thickBot="1" x14ac:dyDescent="0.3">
      <c r="A103" s="10"/>
      <c r="B103" s="29" t="s">
        <v>4</v>
      </c>
      <c r="C103" s="29"/>
      <c r="D103" s="35">
        <f>+D99-D101</f>
        <v>-331728.94</v>
      </c>
      <c r="E103" s="14"/>
      <c r="F103" s="32">
        <f>IF(D$12=0,0,D103/D$12)</f>
        <v>0</v>
      </c>
      <c r="G103" s="14"/>
      <c r="H103" s="35">
        <f>+H99-H101</f>
        <v>-299598.75540137431</v>
      </c>
      <c r="I103" s="14"/>
      <c r="J103" s="32">
        <f>IF(H$12=0,0,H103/H$12)</f>
        <v>0</v>
      </c>
      <c r="K103" s="15"/>
      <c r="L103" s="35">
        <f>D103-H103</f>
        <v>-32130.184598625696</v>
      </c>
      <c r="M103" s="15"/>
      <c r="N103" s="32">
        <f>IF(H103=0,0,L103/H103)</f>
        <v>0.1072440523178432</v>
      </c>
      <c r="O103" s="28"/>
      <c r="P103" s="35">
        <f>+P99-P101</f>
        <v>-1045557.8000000003</v>
      </c>
      <c r="Q103" s="14"/>
      <c r="R103" s="32">
        <f>IF(P$12=0,0,P103/P$12)</f>
        <v>0</v>
      </c>
      <c r="S103" s="14"/>
      <c r="T103" s="35">
        <f>+T99-T101</f>
        <v>-1287051.3509725244</v>
      </c>
      <c r="U103" s="14"/>
      <c r="V103" s="32">
        <f>IF(T$12=0,0,T103/T$12)</f>
        <v>0</v>
      </c>
      <c r="W103" s="15"/>
      <c r="X103" s="35">
        <f>P103-T103</f>
        <v>241493.5509725241</v>
      </c>
      <c r="Y103" s="15"/>
      <c r="Z103" s="32">
        <f>IF(T103=0,0,X103/T103)</f>
        <v>-0.18763319022978084</v>
      </c>
    </row>
    <row r="104" spans="1:26" ht="15.75" thickTop="1" x14ac:dyDescent="0.25">
      <c r="A104" s="9"/>
      <c r="B104" s="9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x14ac:dyDescent="0.25">
      <c r="A105" s="9"/>
      <c r="B105" s="9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ht="15.75" thickBot="1" x14ac:dyDescent="0.3">
      <c r="A106" s="10"/>
      <c r="B106" s="29" t="s">
        <v>5</v>
      </c>
      <c r="C106" s="29"/>
      <c r="D106" s="30">
        <f>SUM(D103:D105)</f>
        <v>-331728.94</v>
      </c>
      <c r="E106" s="14"/>
      <c r="F106" s="31">
        <f>IF(D$12=0,0,D106/D$12)</f>
        <v>0</v>
      </c>
      <c r="G106" s="14"/>
      <c r="H106" s="30">
        <f>SUM(H103:H105)</f>
        <v>-299598.75540137431</v>
      </c>
      <c r="I106" s="14"/>
      <c r="J106" s="31">
        <f>IF(H$12=0,0,H106/H$12)</f>
        <v>0</v>
      </c>
      <c r="K106" s="15"/>
      <c r="L106" s="30">
        <f>+D106-H106</f>
        <v>-32130.184598625696</v>
      </c>
      <c r="M106" s="15"/>
      <c r="N106" s="31">
        <f>IF(H106=0,0,L106/H106)</f>
        <v>0.1072440523178432</v>
      </c>
      <c r="O106" s="28"/>
      <c r="P106" s="30">
        <f>SUM(P103:P105)</f>
        <v>-1045557.8000000003</v>
      </c>
      <c r="Q106" s="14"/>
      <c r="R106" s="31">
        <f>IF(P$12=0,0,P106/P$12)</f>
        <v>0</v>
      </c>
      <c r="S106" s="14"/>
      <c r="T106" s="30">
        <f>SUM(T103:T105)</f>
        <v>-1287051.3509725244</v>
      </c>
      <c r="U106" s="14"/>
      <c r="V106" s="31">
        <f>IF(T$12=0,0,T106/T$12)</f>
        <v>0</v>
      </c>
      <c r="W106" s="15"/>
      <c r="X106" s="30">
        <f>+P106-T106</f>
        <v>241493.5509725241</v>
      </c>
      <c r="Y106" s="15"/>
      <c r="Z106" s="31">
        <f>IF(T106=0,0,X106/T106)</f>
        <v>-0.18763319022978084</v>
      </c>
    </row>
    <row r="107" spans="1:26" ht="15.75" thickTop="1" x14ac:dyDescent="0.25">
      <c r="A107" s="9"/>
      <c r="C107" s="9"/>
      <c r="D107" s="18"/>
      <c r="E107" s="18"/>
      <c r="G107" s="18"/>
      <c r="H107" s="18"/>
      <c r="I107" s="18"/>
      <c r="J107" s="43"/>
      <c r="K107" s="18"/>
      <c r="L107" s="18"/>
      <c r="M107" s="18"/>
      <c r="P107" s="18"/>
      <c r="Q107" s="18"/>
      <c r="R107" s="43"/>
      <c r="S107" s="18"/>
      <c r="T107" s="18"/>
      <c r="U107" s="18"/>
      <c r="V107" s="43"/>
      <c r="W107" s="18"/>
      <c r="X107" s="18"/>
    </row>
    <row r="108" spans="1:26" x14ac:dyDescent="0.25">
      <c r="A108" s="9"/>
      <c r="B108" s="53">
        <v>43756.451729050925</v>
      </c>
      <c r="D108" s="18"/>
      <c r="E108" s="18"/>
      <c r="G108" s="18"/>
      <c r="H108" s="18"/>
      <c r="I108" s="18"/>
      <c r="J108" s="43"/>
      <c r="K108" s="18"/>
      <c r="L108" s="18"/>
      <c r="M108" s="18"/>
      <c r="P108" s="18"/>
      <c r="Q108" s="18"/>
      <c r="R108" s="43"/>
      <c r="S108" s="18"/>
      <c r="T108" s="18"/>
      <c r="U108" s="18"/>
      <c r="V108" s="43"/>
      <c r="W108" s="18"/>
      <c r="X108" s="18"/>
    </row>
    <row r="109" spans="1:26" x14ac:dyDescent="0.25">
      <c r="A109" s="9"/>
      <c r="B109" s="55" t="s">
        <v>314</v>
      </c>
      <c r="D109" s="18"/>
      <c r="E109" s="18"/>
      <c r="G109" s="18"/>
      <c r="H109" s="18"/>
      <c r="I109" s="18"/>
      <c r="J109" s="43"/>
      <c r="K109" s="18"/>
      <c r="L109" s="18"/>
      <c r="M109" s="18"/>
      <c r="P109" s="18"/>
      <c r="Q109" s="18"/>
      <c r="R109" s="43"/>
      <c r="S109" s="18"/>
      <c r="T109" s="18"/>
      <c r="U109" s="18"/>
      <c r="V109" s="43"/>
      <c r="W109" s="18"/>
      <c r="X109" s="18"/>
    </row>
    <row r="110" spans="1:26" x14ac:dyDescent="0.25">
      <c r="A110" s="9"/>
      <c r="B110" s="56"/>
      <c r="D110" s="18"/>
      <c r="E110" s="18"/>
      <c r="G110" s="18"/>
      <c r="H110" s="18"/>
      <c r="I110" s="18"/>
      <c r="J110" s="43"/>
      <c r="K110" s="18"/>
      <c r="L110" s="18"/>
      <c r="M110" s="18"/>
      <c r="P110" s="18"/>
      <c r="Q110" s="18"/>
      <c r="R110" s="43"/>
      <c r="S110" s="18"/>
      <c r="T110" s="18"/>
      <c r="U110" s="18"/>
      <c r="V110" s="43"/>
      <c r="W110" s="18"/>
      <c r="X110" s="18"/>
    </row>
    <row r="111" spans="1:26" x14ac:dyDescent="0.25">
      <c r="D111" s="18"/>
      <c r="E111" s="18"/>
      <c r="G111" s="18"/>
      <c r="H111" s="18"/>
      <c r="I111" s="18"/>
      <c r="J111" s="43"/>
      <c r="K111" s="18"/>
      <c r="L111" s="18"/>
      <c r="M111" s="18"/>
      <c r="P111" s="18"/>
      <c r="Q111" s="18"/>
      <c r="R111" s="43"/>
      <c r="S111" s="18"/>
      <c r="T111" s="18"/>
      <c r="U111" s="18"/>
      <c r="V111" s="43"/>
      <c r="W111" s="18"/>
      <c r="X111" s="18"/>
    </row>
  </sheetData>
  <pageMargins left="0.25" right="0.25" top="0.75" bottom="0.75" header="0.3" footer="0.3"/>
  <pageSetup scale="55" fitToWidth="2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str">
        <f>CONCATENATE("Period ",RIGHT(202003,2),", ",2020)</f>
        <v>Period 03, 2020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43736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tr">
        <f>CONCATENATE("Department ","200", " - ", "Corporate Expense")</f>
        <v>Department 200 - Corporate Expense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52222.929999999993</v>
      </c>
      <c r="E18" s="21"/>
      <c r="F18" s="33">
        <f t="shared" ref="F18:F27" si="0">IF(D$12=0,0,D18/D$12)</f>
        <v>0</v>
      </c>
      <c r="G18" s="21"/>
      <c r="H18" s="21">
        <f>SUM(OSRRefH22x_0)</f>
        <v>44500</v>
      </c>
      <c r="I18" s="21"/>
      <c r="J18" s="33">
        <f t="shared" ref="J18:J27" si="1">IF(H$12=0,0,H18/H$12)</f>
        <v>0</v>
      </c>
      <c r="K18" s="4"/>
      <c r="L18" s="21">
        <f t="shared" ref="L18:L27" si="2">+D18-H18</f>
        <v>7722.929999999993</v>
      </c>
      <c r="M18" s="4"/>
      <c r="N18" s="33">
        <f t="shared" ref="N18:N27" si="3">IF(H18=0,0,L18/H18)</f>
        <v>0.17354898876404479</v>
      </c>
      <c r="O18" s="10"/>
      <c r="P18" s="21">
        <f>SUM(OSRRefP22x_0)</f>
        <v>129890.79</v>
      </c>
      <c r="Q18" s="21"/>
      <c r="R18" s="33">
        <f t="shared" ref="R18:R27" si="4">IF(P$12=0,0,P18/P$12)</f>
        <v>0</v>
      </c>
      <c r="S18" s="21"/>
      <c r="T18" s="21">
        <f>SUM(OSRRefT22x_0)</f>
        <v>157000</v>
      </c>
      <c r="U18" s="21"/>
      <c r="V18" s="33">
        <f t="shared" ref="V18:V27" si="5">IF(T$12=0,0,T18/T$12)</f>
        <v>0</v>
      </c>
      <c r="W18" s="4"/>
      <c r="X18" s="21">
        <f t="shared" ref="X18:X27" si="6">+P18-T18</f>
        <v>-27109.210000000006</v>
      </c>
      <c r="Y18" s="4"/>
      <c r="Z18" s="33">
        <f t="shared" ref="Z18:Z27" si="7">IF(T18=0,0,X18/T18)</f>
        <v>-0.17267012738853507</v>
      </c>
    </row>
    <row r="19" spans="1:26" s="26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30468.499999999996</v>
      </c>
      <c r="E19" s="1"/>
      <c r="F19" s="5">
        <f t="shared" si="0"/>
        <v>0</v>
      </c>
      <c r="G19" s="1"/>
      <c r="H19" s="1">
        <f>SUM(OSRRefH22_0x_0)</f>
        <v>39000</v>
      </c>
      <c r="I19" s="1"/>
      <c r="J19" s="5">
        <f t="shared" si="1"/>
        <v>0</v>
      </c>
      <c r="K19" s="1"/>
      <c r="L19" s="1">
        <f t="shared" si="2"/>
        <v>-8531.5000000000036</v>
      </c>
      <c r="M19" s="1"/>
      <c r="N19" s="5">
        <f t="shared" si="3"/>
        <v>-0.21875641025641035</v>
      </c>
      <c r="O19" s="13"/>
      <c r="P19" s="1">
        <f>SUM(OSRRefP22_0x_0)</f>
        <v>88296.639999999999</v>
      </c>
      <c r="Q19" s="1"/>
      <c r="R19" s="5">
        <f t="shared" si="4"/>
        <v>0</v>
      </c>
      <c r="S19" s="1"/>
      <c r="T19" s="1">
        <f>SUM(OSRRefT22_0x_0)</f>
        <v>118300</v>
      </c>
      <c r="U19" s="1"/>
      <c r="V19" s="5">
        <f t="shared" si="5"/>
        <v>0</v>
      </c>
      <c r="W19" s="1"/>
      <c r="X19" s="1">
        <f t="shared" si="6"/>
        <v>-30003.360000000001</v>
      </c>
      <c r="Y19" s="1"/>
      <c r="Z19" s="5">
        <f t="shared" si="7"/>
        <v>-0.25362096365173287</v>
      </c>
    </row>
    <row r="20" spans="1:26" s="24" customFormat="1" hidden="1" outlineLevel="2" x14ac:dyDescent="0.25">
      <c r="A20" s="25"/>
      <c r="B20" s="11" t="str">
        <f>CONCATENATE("          ", "6120", " - ", "RETIREES HEALTH INSURANCE")</f>
        <v xml:space="preserve">          6120 - RETIREES HEALTH INSURANCE</v>
      </c>
      <c r="C20" s="11"/>
      <c r="D20" s="7">
        <v>30468.499999999996</v>
      </c>
      <c r="E20" s="2"/>
      <c r="F20" s="6">
        <f t="shared" si="0"/>
        <v>0</v>
      </c>
      <c r="G20" s="2"/>
      <c r="H20" s="7">
        <v>39000</v>
      </c>
      <c r="I20" s="2"/>
      <c r="J20" s="6">
        <f t="shared" si="1"/>
        <v>0</v>
      </c>
      <c r="K20" s="2"/>
      <c r="L20" s="7">
        <f t="shared" si="2"/>
        <v>-8531.5000000000036</v>
      </c>
      <c r="M20" s="2"/>
      <c r="N20" s="6">
        <f t="shared" si="3"/>
        <v>-0.21875641025641035</v>
      </c>
      <c r="O20" s="11"/>
      <c r="P20" s="7">
        <v>88296.639999999999</v>
      </c>
      <c r="Q20" s="2"/>
      <c r="R20" s="6">
        <f t="shared" si="4"/>
        <v>0</v>
      </c>
      <c r="S20" s="2"/>
      <c r="T20" s="7">
        <v>118300</v>
      </c>
      <c r="U20" s="2"/>
      <c r="V20" s="6">
        <f t="shared" si="5"/>
        <v>0</v>
      </c>
      <c r="W20" s="2"/>
      <c r="X20" s="7">
        <f t="shared" si="6"/>
        <v>-30003.360000000001</v>
      </c>
      <c r="Y20" s="2"/>
      <c r="Z20" s="6">
        <f t="shared" si="7"/>
        <v>-0.25362096365173287</v>
      </c>
    </row>
    <row r="21" spans="1:26" s="26" customFormat="1" outlineLevel="1" collapsed="1" x14ac:dyDescent="0.25">
      <c r="A21" s="27"/>
      <c r="B21" s="13" t="str">
        <f>CONCATENATE("     ","Bank/card Fees                                    ")</f>
        <v xml:space="preserve">     Bank/card Fees                                    </v>
      </c>
      <c r="C21" s="13"/>
      <c r="D21" s="1">
        <f>SUM(OSRRefD22_1x_0)</f>
        <v>3165.08</v>
      </c>
      <c r="E21" s="1"/>
      <c r="F21" s="5">
        <f t="shared" si="0"/>
        <v>0</v>
      </c>
      <c r="G21" s="1"/>
      <c r="H21" s="1">
        <f>SUM(OSRRefH22_1x_0)</f>
        <v>2000</v>
      </c>
      <c r="I21" s="1"/>
      <c r="J21" s="5">
        <f t="shared" si="1"/>
        <v>0</v>
      </c>
      <c r="K21" s="1"/>
      <c r="L21" s="1">
        <f t="shared" si="2"/>
        <v>1165.08</v>
      </c>
      <c r="M21" s="1"/>
      <c r="N21" s="5">
        <f t="shared" si="3"/>
        <v>0.58253999999999995</v>
      </c>
      <c r="O21" s="13"/>
      <c r="P21" s="1">
        <f>SUM(OSRRefP22_1x_0)</f>
        <v>6603.12</v>
      </c>
      <c r="Q21" s="1"/>
      <c r="R21" s="5">
        <f t="shared" si="4"/>
        <v>0</v>
      </c>
      <c r="S21" s="1"/>
      <c r="T21" s="1">
        <f>SUM(OSRRefT22_1x_0)</f>
        <v>18000</v>
      </c>
      <c r="U21" s="1"/>
      <c r="V21" s="5">
        <f t="shared" si="5"/>
        <v>0</v>
      </c>
      <c r="W21" s="1"/>
      <c r="X21" s="1">
        <f t="shared" si="6"/>
        <v>-11396.880000000001</v>
      </c>
      <c r="Y21" s="1"/>
      <c r="Z21" s="5">
        <f t="shared" si="7"/>
        <v>-0.63316000000000006</v>
      </c>
    </row>
    <row r="22" spans="1:26" s="24" customFormat="1" hidden="1" outlineLevel="2" x14ac:dyDescent="0.25">
      <c r="A22" s="25"/>
      <c r="B22" s="11" t="str">
        <f>CONCATENATE("          ", "6381", " - ", "BANK/CREDIT CARD FEES")</f>
        <v xml:space="preserve">          6381 - BANK/CREDIT CARD FEES</v>
      </c>
      <c r="C22" s="11"/>
      <c r="D22" s="7">
        <v>3165.08</v>
      </c>
      <c r="E22" s="2"/>
      <c r="F22" s="6">
        <f t="shared" si="0"/>
        <v>0</v>
      </c>
      <c r="G22" s="2"/>
      <c r="H22" s="7">
        <v>2000</v>
      </c>
      <c r="I22" s="2"/>
      <c r="J22" s="6">
        <f t="shared" si="1"/>
        <v>0</v>
      </c>
      <c r="K22" s="2"/>
      <c r="L22" s="7">
        <f t="shared" si="2"/>
        <v>1165.08</v>
      </c>
      <c r="M22" s="2"/>
      <c r="N22" s="6">
        <f t="shared" si="3"/>
        <v>0.58253999999999995</v>
      </c>
      <c r="O22" s="11"/>
      <c r="P22" s="7">
        <v>6603.12</v>
      </c>
      <c r="Q22" s="2"/>
      <c r="R22" s="6">
        <f t="shared" si="4"/>
        <v>0</v>
      </c>
      <c r="S22" s="2"/>
      <c r="T22" s="7">
        <v>18000</v>
      </c>
      <c r="U22" s="2"/>
      <c r="V22" s="6">
        <f t="shared" si="5"/>
        <v>0</v>
      </c>
      <c r="W22" s="2"/>
      <c r="X22" s="7">
        <f t="shared" si="6"/>
        <v>-11396.880000000001</v>
      </c>
      <c r="Y22" s="2"/>
      <c r="Z22" s="6">
        <f t="shared" si="7"/>
        <v>-0.63316000000000006</v>
      </c>
    </row>
    <row r="23" spans="1:26" s="26" customFormat="1" outlineLevel="1" collapsed="1" x14ac:dyDescent="0.25">
      <c r="A23" s="27"/>
      <c r="B23" s="13" t="str">
        <f>CONCATENATE("     ","Board                                             ")</f>
        <v xml:space="preserve">     Board                                             </v>
      </c>
      <c r="C23" s="13"/>
      <c r="D23" s="1">
        <f>SUM(OSRRefD22_2x_0)</f>
        <v>3527.11</v>
      </c>
      <c r="E23" s="1"/>
      <c r="F23" s="5">
        <f t="shared" si="0"/>
        <v>0</v>
      </c>
      <c r="G23" s="1"/>
      <c r="H23" s="1">
        <f>SUM(OSRRefH22_2x_0)</f>
        <v>3500</v>
      </c>
      <c r="I23" s="1"/>
      <c r="J23" s="5">
        <f t="shared" si="1"/>
        <v>0</v>
      </c>
      <c r="K23" s="1"/>
      <c r="L23" s="1">
        <f t="shared" si="2"/>
        <v>27.110000000000127</v>
      </c>
      <c r="M23" s="1"/>
      <c r="N23" s="5">
        <f t="shared" si="3"/>
        <v>7.7457142857143219E-3</v>
      </c>
      <c r="O23" s="13"/>
      <c r="P23" s="1">
        <f>SUM(OSRRefP22_2x_0)</f>
        <v>8441.7900000000009</v>
      </c>
      <c r="Q23" s="1"/>
      <c r="R23" s="5">
        <f t="shared" si="4"/>
        <v>0</v>
      </c>
      <c r="S23" s="1"/>
      <c r="T23" s="1">
        <f>SUM(OSRRefT22_2x_0)</f>
        <v>8200</v>
      </c>
      <c r="U23" s="1"/>
      <c r="V23" s="5">
        <f t="shared" si="5"/>
        <v>0</v>
      </c>
      <c r="W23" s="1"/>
      <c r="X23" s="1">
        <f t="shared" si="6"/>
        <v>241.79000000000087</v>
      </c>
      <c r="Y23" s="1"/>
      <c r="Z23" s="5">
        <f t="shared" si="7"/>
        <v>2.9486585365853767E-2</v>
      </c>
    </row>
    <row r="24" spans="1:26" s="24" customFormat="1" hidden="1" outlineLevel="2" x14ac:dyDescent="0.25">
      <c r="A24" s="25"/>
      <c r="B24" s="11" t="str">
        <f>CONCATENATE("          ", "6397", " - ", "BOARD EXPENSES")</f>
        <v xml:space="preserve">          6397 - BOARD EXPENSES</v>
      </c>
      <c r="C24" s="11"/>
      <c r="D24" s="7">
        <v>3527.11</v>
      </c>
      <c r="E24" s="2"/>
      <c r="F24" s="6">
        <f t="shared" si="0"/>
        <v>0</v>
      </c>
      <c r="G24" s="2"/>
      <c r="H24" s="7">
        <v>3500</v>
      </c>
      <c r="I24" s="2"/>
      <c r="J24" s="6">
        <f t="shared" si="1"/>
        <v>0</v>
      </c>
      <c r="K24" s="2"/>
      <c r="L24" s="7">
        <f t="shared" si="2"/>
        <v>27.110000000000127</v>
      </c>
      <c r="M24" s="2"/>
      <c r="N24" s="6">
        <f t="shared" si="3"/>
        <v>7.7457142857143219E-3</v>
      </c>
      <c r="O24" s="11"/>
      <c r="P24" s="7">
        <v>8441.7900000000009</v>
      </c>
      <c r="Q24" s="2"/>
      <c r="R24" s="6">
        <f t="shared" si="4"/>
        <v>0</v>
      </c>
      <c r="S24" s="2"/>
      <c r="T24" s="7">
        <v>8200</v>
      </c>
      <c r="U24" s="2"/>
      <c r="V24" s="6">
        <f t="shared" si="5"/>
        <v>0</v>
      </c>
      <c r="W24" s="2"/>
      <c r="X24" s="7">
        <f t="shared" si="6"/>
        <v>241.79000000000087</v>
      </c>
      <c r="Y24" s="2"/>
      <c r="Z24" s="6">
        <f t="shared" si="7"/>
        <v>2.9486585365853767E-2</v>
      </c>
    </row>
    <row r="25" spans="1:26" s="26" customFormat="1" outlineLevel="1" collapsed="1" x14ac:dyDescent="0.25">
      <c r="A25" s="27"/>
      <c r="B25" s="13" t="str">
        <f>CONCATENATE("     ","Professional Services                             ")</f>
        <v xml:space="preserve">     Professional Services                             </v>
      </c>
      <c r="C25" s="13"/>
      <c r="D25" s="1">
        <f>SUM(OSRRefD22_3x_0)</f>
        <v>15062.24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15062.24</v>
      </c>
      <c r="M25" s="1"/>
      <c r="N25" s="5">
        <f t="shared" si="3"/>
        <v>0</v>
      </c>
      <c r="O25" s="13"/>
      <c r="P25" s="1">
        <f>SUM(OSRRefP22_3x_0)</f>
        <v>26549.239999999998</v>
      </c>
      <c r="Q25" s="1"/>
      <c r="R25" s="5">
        <f t="shared" si="4"/>
        <v>0</v>
      </c>
      <c r="S25" s="1"/>
      <c r="T25" s="1">
        <f>SUM(OSRRefT22_3x_0)</f>
        <v>12500</v>
      </c>
      <c r="U25" s="1"/>
      <c r="V25" s="5">
        <f t="shared" si="5"/>
        <v>0</v>
      </c>
      <c r="W25" s="1"/>
      <c r="X25" s="1">
        <f t="shared" si="6"/>
        <v>14049.239999999998</v>
      </c>
      <c r="Y25" s="1"/>
      <c r="Z25" s="5">
        <f t="shared" si="7"/>
        <v>1.1239391999999999</v>
      </c>
    </row>
    <row r="26" spans="1:26" s="24" customFormat="1" hidden="1" outlineLevel="2" x14ac:dyDescent="0.25">
      <c r="A26" s="25"/>
      <c r="B26" s="11" t="str">
        <f>CONCATENATE("          ", "6331", " - ", "INDIRECT COSTS-AUXILIARY ORGAN")</f>
        <v xml:space="preserve">          6331 - INDIRECT COSTS-AUXILIARY ORGAN</v>
      </c>
      <c r="C26" s="11"/>
      <c r="D26" s="7"/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0</v>
      </c>
      <c r="M26" s="2"/>
      <c r="N26" s="6">
        <f t="shared" si="3"/>
        <v>0</v>
      </c>
      <c r="O26" s="11"/>
      <c r="P26" s="7">
        <v>11487</v>
      </c>
      <c r="Q26" s="2"/>
      <c r="R26" s="6">
        <f t="shared" si="4"/>
        <v>0</v>
      </c>
      <c r="S26" s="2"/>
      <c r="T26" s="7">
        <v>12500</v>
      </c>
      <c r="U26" s="2"/>
      <c r="V26" s="6">
        <f t="shared" si="5"/>
        <v>0</v>
      </c>
      <c r="W26" s="2"/>
      <c r="X26" s="7">
        <f t="shared" si="6"/>
        <v>-1013</v>
      </c>
      <c r="Y26" s="2"/>
      <c r="Z26" s="6">
        <f t="shared" si="7"/>
        <v>-8.1040000000000001E-2</v>
      </c>
    </row>
    <row r="27" spans="1:26" s="24" customFormat="1" hidden="1" outlineLevel="2" x14ac:dyDescent="0.25">
      <c r="A27" s="25"/>
      <c r="B27" s="11" t="str">
        <f>CONCATENATE("          ", "6332", " - ", "CONSULTANT FEES")</f>
        <v xml:space="preserve">          6332 - CONSULTANT FEES</v>
      </c>
      <c r="C27" s="11"/>
      <c r="D27" s="7">
        <v>15062.24</v>
      </c>
      <c r="E27" s="2"/>
      <c r="F27" s="6">
        <f t="shared" si="0"/>
        <v>0</v>
      </c>
      <c r="G27" s="2"/>
      <c r="H27" s="7">
        <v>0</v>
      </c>
      <c r="I27" s="2"/>
      <c r="J27" s="6">
        <f t="shared" si="1"/>
        <v>0</v>
      </c>
      <c r="K27" s="2"/>
      <c r="L27" s="7">
        <f t="shared" si="2"/>
        <v>15062.24</v>
      </c>
      <c r="M27" s="2"/>
      <c r="N27" s="6">
        <f t="shared" si="3"/>
        <v>0</v>
      </c>
      <c r="O27" s="11"/>
      <c r="P27" s="7">
        <v>15062.24</v>
      </c>
      <c r="Q27" s="2"/>
      <c r="R27" s="6">
        <f t="shared" si="4"/>
        <v>0</v>
      </c>
      <c r="S27" s="2"/>
      <c r="T27" s="7">
        <v>0</v>
      </c>
      <c r="U27" s="2"/>
      <c r="V27" s="6">
        <f t="shared" si="5"/>
        <v>0</v>
      </c>
      <c r="W27" s="2"/>
      <c r="X27" s="7">
        <f t="shared" si="6"/>
        <v>15062.24</v>
      </c>
      <c r="Y27" s="2"/>
      <c r="Z27" s="6">
        <f t="shared" si="7"/>
        <v>0</v>
      </c>
    </row>
    <row r="28" spans="1:26" s="63" customFormat="1" x14ac:dyDescent="0.25">
      <c r="A28" s="36"/>
      <c r="B28" s="36"/>
      <c r="C28" s="36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6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25">
      <c r="A29" s="10"/>
      <c r="B29" s="28" t="s">
        <v>0</v>
      </c>
      <c r="C29" s="10"/>
      <c r="D29" s="4">
        <f>SUM(0)</f>
        <v>0</v>
      </c>
      <c r="E29" s="4"/>
      <c r="F29" s="12">
        <f>IF(D$12=0,0,D29/D$12)</f>
        <v>0</v>
      </c>
      <c r="G29" s="4"/>
      <c r="H29" s="4">
        <f>SUM(0)</f>
        <v>0</v>
      </c>
      <c r="I29" s="4"/>
      <c r="J29" s="12">
        <f>IF(H$12=0,0,H29/H$12)</f>
        <v>0</v>
      </c>
      <c r="K29" s="4"/>
      <c r="L29" s="4">
        <f>+D29-H29</f>
        <v>0</v>
      </c>
      <c r="M29" s="4"/>
      <c r="N29" s="12">
        <f>IF(H29=0,0,L29/H29)</f>
        <v>0</v>
      </c>
      <c r="O29" s="10"/>
      <c r="P29" s="4">
        <f>SUM(0)</f>
        <v>0</v>
      </c>
      <c r="Q29" s="4"/>
      <c r="R29" s="12">
        <f>IF(P$12=0,0,P29/P$12)</f>
        <v>0</v>
      </c>
      <c r="S29" s="4"/>
      <c r="T29" s="4">
        <f>SUM(0)</f>
        <v>0</v>
      </c>
      <c r="U29" s="4"/>
      <c r="V29" s="12">
        <f>IF(T$12=0,0,T29/T$12)</f>
        <v>0</v>
      </c>
      <c r="W29" s="4"/>
      <c r="X29" s="4">
        <f>+P29-T29</f>
        <v>0</v>
      </c>
      <c r="Y29" s="4"/>
      <c r="Z29" s="12">
        <f>IF(T29=0,0,X29/T29)</f>
        <v>0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25">
      <c r="A31" s="10"/>
      <c r="B31" s="29" t="s">
        <v>3</v>
      </c>
      <c r="C31" s="29"/>
      <c r="D31" s="22">
        <f>+D16-D18+D29</f>
        <v>-52222.929999999993</v>
      </c>
      <c r="E31" s="14"/>
      <c r="F31" s="20">
        <f>IF(D$12=0,0,D31/D$12)</f>
        <v>0</v>
      </c>
      <c r="G31" s="14"/>
      <c r="H31" s="22">
        <f>+H16-H18+H29</f>
        <v>-44500</v>
      </c>
      <c r="I31" s="14"/>
      <c r="J31" s="20">
        <f>IF(H$12=0,0,H31/H$12)</f>
        <v>0</v>
      </c>
      <c r="K31" s="15"/>
      <c r="L31" s="22">
        <f>+D31-H31</f>
        <v>-7722.929999999993</v>
      </c>
      <c r="M31" s="15"/>
      <c r="N31" s="20">
        <f>IF(H31=0,0,L31/H31)</f>
        <v>0.17354898876404479</v>
      </c>
      <c r="O31" s="28"/>
      <c r="P31" s="22">
        <f>+P16-P18+P29</f>
        <v>-129890.79</v>
      </c>
      <c r="Q31" s="14"/>
      <c r="R31" s="20">
        <f>IF(P$12=0,0,P31/P$12)</f>
        <v>0</v>
      </c>
      <c r="S31" s="14"/>
      <c r="T31" s="22">
        <f>+T16-T18+T29</f>
        <v>-157000</v>
      </c>
      <c r="U31" s="14"/>
      <c r="V31" s="20">
        <f>IF(T$12=0,0,T31/T$12)</f>
        <v>0</v>
      </c>
      <c r="W31" s="15"/>
      <c r="X31" s="22">
        <f>+P31-T31</f>
        <v>27109.210000000006</v>
      </c>
      <c r="Y31" s="15"/>
      <c r="Z31" s="20">
        <f>IF(T31=0,0,X31/T31)</f>
        <v>-0.17267012738853507</v>
      </c>
    </row>
    <row r="32" spans="1:26" x14ac:dyDescent="0.25">
      <c r="A32" s="9"/>
      <c r="B32" s="10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14</v>
      </c>
      <c r="C33" s="10"/>
      <c r="D33" s="4"/>
      <c r="E33" s="4"/>
      <c r="F33" s="12">
        <f>IF(D$12=0,0,D33/D$12)</f>
        <v>0</v>
      </c>
      <c r="G33" s="4"/>
      <c r="H33" s="4"/>
      <c r="I33" s="4"/>
      <c r="J33" s="12">
        <f>IF(H$12=0,0,H33/H$12)</f>
        <v>0</v>
      </c>
      <c r="K33" s="4"/>
      <c r="L33" s="4">
        <f>+D33-H33</f>
        <v>0</v>
      </c>
      <c r="M33" s="4"/>
      <c r="N33" s="12">
        <f>IF(H33=0,0,L33/H33)</f>
        <v>0</v>
      </c>
      <c r="O33" s="10"/>
      <c r="P33" s="4"/>
      <c r="Q33" s="4"/>
      <c r="R33" s="12">
        <f>IF(P$12=0,0,P33/P$12)</f>
        <v>0</v>
      </c>
      <c r="S33" s="4"/>
      <c r="T33" s="4"/>
      <c r="U33" s="4"/>
      <c r="V33" s="12">
        <f>IF(T$12=0,0,T33/T$12)</f>
        <v>0</v>
      </c>
      <c r="W33" s="4"/>
      <c r="X33" s="4">
        <f>+P33-T33</f>
        <v>0</v>
      </c>
      <c r="Y33" s="4"/>
      <c r="Z33" s="12">
        <f>IF(T33=0,0,X33/T33)</f>
        <v>0</v>
      </c>
    </row>
    <row r="34" spans="1:26" x14ac:dyDescent="0.25">
      <c r="A34" s="9"/>
      <c r="B34" s="10"/>
      <c r="C34" s="10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O34" s="10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ht="15.75" thickBot="1" x14ac:dyDescent="0.3">
      <c r="A35" s="10"/>
      <c r="B35" s="29" t="s">
        <v>4</v>
      </c>
      <c r="C35" s="29"/>
      <c r="D35" s="35">
        <f>+D31-D33</f>
        <v>-52222.929999999993</v>
      </c>
      <c r="E35" s="14"/>
      <c r="F35" s="32">
        <f>IF(D$12=0,0,D35/D$12)</f>
        <v>0</v>
      </c>
      <c r="G35" s="14"/>
      <c r="H35" s="35">
        <f>+H31-H33</f>
        <v>-44500</v>
      </c>
      <c r="I35" s="14"/>
      <c r="J35" s="32">
        <f>IF(H$12=0,0,H35/H$12)</f>
        <v>0</v>
      </c>
      <c r="K35" s="15"/>
      <c r="L35" s="35">
        <f>D35-H35</f>
        <v>-7722.929999999993</v>
      </c>
      <c r="M35" s="15"/>
      <c r="N35" s="32">
        <f>IF(H35=0,0,L35/H35)</f>
        <v>0.17354898876404479</v>
      </c>
      <c r="O35" s="28"/>
      <c r="P35" s="35">
        <f>+P31-P33</f>
        <v>-129890.79</v>
      </c>
      <c r="Q35" s="14"/>
      <c r="R35" s="32">
        <f>IF(P$12=0,0,P35/P$12)</f>
        <v>0</v>
      </c>
      <c r="S35" s="14"/>
      <c r="T35" s="35">
        <f>+T31-T33</f>
        <v>-157000</v>
      </c>
      <c r="U35" s="14"/>
      <c r="V35" s="32">
        <f>IF(T$12=0,0,T35/T$12)</f>
        <v>0</v>
      </c>
      <c r="W35" s="15"/>
      <c r="X35" s="35">
        <f>P35-T35</f>
        <v>27109.210000000006</v>
      </c>
      <c r="Y35" s="15"/>
      <c r="Z35" s="32">
        <f>IF(T35=0,0,X35/T35)</f>
        <v>-0.17267012738853507</v>
      </c>
    </row>
    <row r="36" spans="1:26" ht="15.75" thickTop="1" x14ac:dyDescent="0.25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x14ac:dyDescent="0.25">
      <c r="A37" s="9"/>
      <c r="B37" s="9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ht="15.75" thickBot="1" x14ac:dyDescent="0.3">
      <c r="A38" s="10"/>
      <c r="B38" s="29" t="s">
        <v>5</v>
      </c>
      <c r="C38" s="29"/>
      <c r="D38" s="30">
        <f>SUM(D35:D37)</f>
        <v>-52222.929999999993</v>
      </c>
      <c r="E38" s="14"/>
      <c r="F38" s="31">
        <f>IF(D$12=0,0,D38/D$12)</f>
        <v>0</v>
      </c>
      <c r="G38" s="14"/>
      <c r="H38" s="30">
        <f>SUM(H35:H37)</f>
        <v>-44500</v>
      </c>
      <c r="I38" s="14"/>
      <c r="J38" s="31">
        <f>IF(H$12=0,0,H38/H$12)</f>
        <v>0</v>
      </c>
      <c r="K38" s="15"/>
      <c r="L38" s="30">
        <f>+D38-H38</f>
        <v>-7722.929999999993</v>
      </c>
      <c r="M38" s="15"/>
      <c r="N38" s="31">
        <f>IF(H38=0,0,L38/H38)</f>
        <v>0.17354898876404479</v>
      </c>
      <c r="O38" s="28"/>
      <c r="P38" s="30">
        <f>SUM(P35:P37)</f>
        <v>-129890.79</v>
      </c>
      <c r="Q38" s="14"/>
      <c r="R38" s="31">
        <f>IF(P$12=0,0,P38/P$12)</f>
        <v>0</v>
      </c>
      <c r="S38" s="14"/>
      <c r="T38" s="30">
        <f>SUM(T35:T37)</f>
        <v>-157000</v>
      </c>
      <c r="U38" s="14"/>
      <c r="V38" s="31">
        <f>IF(T$12=0,0,T38/T$12)</f>
        <v>0</v>
      </c>
      <c r="W38" s="15"/>
      <c r="X38" s="30">
        <f>+P38-T38</f>
        <v>27109.210000000006</v>
      </c>
      <c r="Y38" s="15"/>
      <c r="Z38" s="31">
        <f>IF(T38=0,0,X38/T38)</f>
        <v>-0.17267012738853507</v>
      </c>
    </row>
    <row r="39" spans="1:26" ht="15.75" thickTop="1" x14ac:dyDescent="0.25">
      <c r="A39" s="9"/>
      <c r="C39" s="9"/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3">
        <v>43756.452052314817</v>
      </c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A41" s="9"/>
      <c r="B41" s="55" t="s">
        <v>314</v>
      </c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  <row r="42" spans="1:26" x14ac:dyDescent="0.25">
      <c r="A42" s="9"/>
      <c r="B42" s="56"/>
      <c r="D42" s="18"/>
      <c r="E42" s="18"/>
      <c r="G42" s="18"/>
      <c r="H42" s="18"/>
      <c r="I42" s="18"/>
      <c r="J42" s="43"/>
      <c r="K42" s="18"/>
      <c r="L42" s="18"/>
      <c r="M42" s="18"/>
      <c r="P42" s="18"/>
      <c r="Q42" s="18"/>
      <c r="R42" s="43"/>
      <c r="S42" s="18"/>
      <c r="T42" s="18"/>
      <c r="U42" s="18"/>
      <c r="V42" s="43"/>
      <c r="W42" s="18"/>
      <c r="X42" s="18"/>
    </row>
    <row r="43" spans="1:26" x14ac:dyDescent="0.25">
      <c r="D43" s="18"/>
      <c r="E43" s="18"/>
      <c r="G43" s="18"/>
      <c r="H43" s="18"/>
      <c r="I43" s="18"/>
      <c r="J43" s="43"/>
      <c r="K43" s="18"/>
      <c r="L43" s="18"/>
      <c r="M43" s="18"/>
      <c r="P43" s="18"/>
      <c r="Q43" s="18"/>
      <c r="R43" s="43"/>
      <c r="S43" s="18"/>
      <c r="T43" s="18"/>
      <c r="U43" s="18"/>
      <c r="V43" s="43"/>
      <c r="W43" s="18"/>
      <c r="X43" s="18"/>
    </row>
  </sheetData>
  <pageMargins left="0.25" right="0.25" top="0.75" bottom="0.75" header="0.3" footer="0.3"/>
  <pageSetup scale="55" fitToWidth="2"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str">
        <f>CONCATENATE("Period ",RIGHT(202003,2),", ",2020)</f>
        <v>Period 03, 2020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43736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tr">
        <f>CONCATENATE("Department ","201", " - ", "General Manager")</f>
        <v>Department 201 - General Manager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86715.000000000029</v>
      </c>
      <c r="E18" s="21"/>
      <c r="F18" s="33">
        <f t="shared" ref="F18:F28" si="0">IF(D$12=0,0,D18/D$12)</f>
        <v>0</v>
      </c>
      <c r="G18" s="21"/>
      <c r="H18" s="21">
        <f>SUM(OSRRefH22x_0)</f>
        <v>63646.394416923045</v>
      </c>
      <c r="I18" s="21"/>
      <c r="J18" s="33">
        <f t="shared" ref="J18:J28" si="1">IF(H$12=0,0,H18/H$12)</f>
        <v>0</v>
      </c>
      <c r="K18" s="4"/>
      <c r="L18" s="21">
        <f t="shared" ref="L18:L28" si="2">+D18-H18</f>
        <v>23068.605583076984</v>
      </c>
      <c r="M18" s="4"/>
      <c r="N18" s="33">
        <f t="shared" ref="N18:N28" si="3">IF(H18=0,0,L18/H18)</f>
        <v>0.36244952749347314</v>
      </c>
      <c r="O18" s="10"/>
      <c r="P18" s="21">
        <f>SUM(OSRRefP22x_0)</f>
        <v>331588.10000000003</v>
      </c>
      <c r="Q18" s="21"/>
      <c r="R18" s="33">
        <f t="shared" ref="R18:R28" si="4">IF(P$12=0,0,P18/P$12)</f>
        <v>0</v>
      </c>
      <c r="S18" s="21"/>
      <c r="T18" s="21">
        <f>SUM(OSRRefT22x_0)</f>
        <v>518134.03185499995</v>
      </c>
      <c r="U18" s="21"/>
      <c r="V18" s="33">
        <f t="shared" ref="V18:V28" si="5">IF(T$12=0,0,T18/T$12)</f>
        <v>0</v>
      </c>
      <c r="W18" s="4"/>
      <c r="X18" s="21">
        <f t="shared" ref="X18:X28" si="6">+P18-T18</f>
        <v>-186545.93185499992</v>
      </c>
      <c r="Y18" s="4"/>
      <c r="Z18" s="33">
        <f t="shared" ref="Z18:Z28" si="7">IF(T18=0,0,X18/T18)</f>
        <v>-0.360034123192288</v>
      </c>
    </row>
    <row r="19" spans="1:26" s="26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23077.8</v>
      </c>
      <c r="E19" s="1"/>
      <c r="F19" s="5">
        <f t="shared" si="0"/>
        <v>0</v>
      </c>
      <c r="G19" s="1"/>
      <c r="H19" s="1">
        <f>SUM(OSRRefH22_0x_0)</f>
        <v>13117.425186153856</v>
      </c>
      <c r="I19" s="1"/>
      <c r="J19" s="5">
        <f t="shared" si="1"/>
        <v>0</v>
      </c>
      <c r="K19" s="1"/>
      <c r="L19" s="1">
        <f t="shared" si="2"/>
        <v>9960.3748138461433</v>
      </c>
      <c r="M19" s="1"/>
      <c r="N19" s="5">
        <f t="shared" si="3"/>
        <v>0.75932392771409529</v>
      </c>
      <c r="O19" s="13"/>
      <c r="P19" s="1">
        <f>SUM(OSRRefP22_0x_0)</f>
        <v>60383.810000000005</v>
      </c>
      <c r="Q19" s="1"/>
      <c r="R19" s="5">
        <f t="shared" si="4"/>
        <v>0</v>
      </c>
      <c r="S19" s="1"/>
      <c r="T19" s="1">
        <f>SUM(OSRRefT22_0x_0)</f>
        <v>41446.881855000021</v>
      </c>
      <c r="U19" s="1"/>
      <c r="V19" s="5">
        <f t="shared" si="5"/>
        <v>0</v>
      </c>
      <c r="W19" s="1"/>
      <c r="X19" s="1">
        <f t="shared" si="6"/>
        <v>18936.928144999983</v>
      </c>
      <c r="Y19" s="1"/>
      <c r="Z19" s="5">
        <f t="shared" si="7"/>
        <v>0.45689632844395728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7">
        <v>1644.4</v>
      </c>
      <c r="E20" s="2"/>
      <c r="F20" s="6">
        <f t="shared" si="0"/>
        <v>0</v>
      </c>
      <c r="G20" s="2"/>
      <c r="H20" s="7">
        <v>2387.8184169230799</v>
      </c>
      <c r="I20" s="2"/>
      <c r="J20" s="6">
        <f t="shared" si="1"/>
        <v>0</v>
      </c>
      <c r="K20" s="2"/>
      <c r="L20" s="7">
        <f t="shared" si="2"/>
        <v>-743.4184169230798</v>
      </c>
      <c r="M20" s="2"/>
      <c r="N20" s="6">
        <f t="shared" si="3"/>
        <v>-0.31133791902025854</v>
      </c>
      <c r="O20" s="11"/>
      <c r="P20" s="7">
        <v>7060.6</v>
      </c>
      <c r="Q20" s="2"/>
      <c r="R20" s="6">
        <f t="shared" si="4"/>
        <v>0</v>
      </c>
      <c r="S20" s="2"/>
      <c r="T20" s="7">
        <v>7760.4098550000108</v>
      </c>
      <c r="U20" s="2"/>
      <c r="V20" s="6">
        <f t="shared" si="5"/>
        <v>0</v>
      </c>
      <c r="W20" s="2"/>
      <c r="X20" s="7">
        <f t="shared" si="6"/>
        <v>-699.80985500001043</v>
      </c>
      <c r="Y20" s="2"/>
      <c r="Z20" s="6">
        <f t="shared" si="7"/>
        <v>-9.0176919528177343E-2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7">
        <v>121.29</v>
      </c>
      <c r="E21" s="2"/>
      <c r="F21" s="6">
        <f t="shared" si="0"/>
        <v>0</v>
      </c>
      <c r="G21" s="2"/>
      <c r="H21" s="7">
        <v>106.08366153846201</v>
      </c>
      <c r="I21" s="2"/>
      <c r="J21" s="6">
        <f t="shared" si="1"/>
        <v>0</v>
      </c>
      <c r="K21" s="2"/>
      <c r="L21" s="7">
        <f t="shared" si="2"/>
        <v>15.206338461537996</v>
      </c>
      <c r="M21" s="2"/>
      <c r="N21" s="6">
        <f t="shared" si="3"/>
        <v>0.14334288844304965</v>
      </c>
      <c r="O21" s="11"/>
      <c r="P21" s="7">
        <v>347.8</v>
      </c>
      <c r="Q21" s="2"/>
      <c r="R21" s="6">
        <f t="shared" si="4"/>
        <v>0</v>
      </c>
      <c r="S21" s="2"/>
      <c r="T21" s="7">
        <v>344.77190000000104</v>
      </c>
      <c r="U21" s="2"/>
      <c r="V21" s="6">
        <f t="shared" si="5"/>
        <v>0</v>
      </c>
      <c r="W21" s="2"/>
      <c r="X21" s="7">
        <f t="shared" si="6"/>
        <v>3.0280999999989717</v>
      </c>
      <c r="Y21" s="2"/>
      <c r="Z21" s="6">
        <f t="shared" si="7"/>
        <v>8.7829083518667344E-3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7">
        <v>3849.84</v>
      </c>
      <c r="E22" s="2"/>
      <c r="F22" s="6">
        <f t="shared" si="0"/>
        <v>0</v>
      </c>
      <c r="G22" s="2"/>
      <c r="H22" s="7">
        <v>4739</v>
      </c>
      <c r="I22" s="2"/>
      <c r="J22" s="6">
        <f t="shared" si="1"/>
        <v>0</v>
      </c>
      <c r="K22" s="2"/>
      <c r="L22" s="7">
        <f t="shared" si="2"/>
        <v>-889.15999999999985</v>
      </c>
      <c r="M22" s="2"/>
      <c r="N22" s="6">
        <f t="shared" si="3"/>
        <v>-0.18762608145178306</v>
      </c>
      <c r="O22" s="11"/>
      <c r="P22" s="7">
        <v>13590.34</v>
      </c>
      <c r="Q22" s="2"/>
      <c r="R22" s="6">
        <f t="shared" si="4"/>
        <v>0</v>
      </c>
      <c r="S22" s="2"/>
      <c r="T22" s="7">
        <v>14217</v>
      </c>
      <c r="U22" s="2"/>
      <c r="V22" s="6">
        <f t="shared" si="5"/>
        <v>0</v>
      </c>
      <c r="W22" s="2"/>
      <c r="X22" s="7">
        <f t="shared" si="6"/>
        <v>-626.65999999999985</v>
      </c>
      <c r="Y22" s="2"/>
      <c r="Z22" s="6">
        <f t="shared" si="7"/>
        <v>-4.4078216220018278E-2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7">
        <v>92.75</v>
      </c>
      <c r="E23" s="2"/>
      <c r="F23" s="6">
        <f t="shared" si="0"/>
        <v>0</v>
      </c>
      <c r="G23" s="2"/>
      <c r="H23" s="7">
        <v>81.122799999999998</v>
      </c>
      <c r="I23" s="2"/>
      <c r="J23" s="6">
        <f t="shared" si="1"/>
        <v>0</v>
      </c>
      <c r="K23" s="2"/>
      <c r="L23" s="7">
        <f t="shared" si="2"/>
        <v>11.627200000000002</v>
      </c>
      <c r="M23" s="2"/>
      <c r="N23" s="6">
        <f t="shared" si="3"/>
        <v>0.14332838610107149</v>
      </c>
      <c r="O23" s="11"/>
      <c r="P23" s="7">
        <v>265.95999999999998</v>
      </c>
      <c r="Q23" s="2"/>
      <c r="R23" s="6">
        <f t="shared" si="4"/>
        <v>0</v>
      </c>
      <c r="S23" s="2"/>
      <c r="T23" s="7">
        <v>263.64909999999998</v>
      </c>
      <c r="U23" s="2"/>
      <c r="V23" s="6">
        <f t="shared" si="5"/>
        <v>0</v>
      </c>
      <c r="W23" s="2"/>
      <c r="X23" s="7">
        <f t="shared" si="6"/>
        <v>2.3109000000000037</v>
      </c>
      <c r="Y23" s="2"/>
      <c r="Z23" s="6">
        <f t="shared" si="7"/>
        <v>8.7650593155827339E-3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7">
        <v>3460.81</v>
      </c>
      <c r="E24" s="2"/>
      <c r="F24" s="6">
        <f t="shared" si="0"/>
        <v>0</v>
      </c>
      <c r="G24" s="2"/>
      <c r="H24" s="7">
        <v>2683.2926153846201</v>
      </c>
      <c r="I24" s="2"/>
      <c r="J24" s="6">
        <f t="shared" si="1"/>
        <v>0</v>
      </c>
      <c r="K24" s="2"/>
      <c r="L24" s="7">
        <f t="shared" si="2"/>
        <v>777.5173846153798</v>
      </c>
      <c r="M24" s="2"/>
      <c r="N24" s="6">
        <f t="shared" si="3"/>
        <v>0.28976242850201833</v>
      </c>
      <c r="O24" s="11"/>
      <c r="P24" s="7">
        <v>9824.77</v>
      </c>
      <c r="Q24" s="2"/>
      <c r="R24" s="6">
        <f t="shared" si="4"/>
        <v>0</v>
      </c>
      <c r="S24" s="2"/>
      <c r="T24" s="7">
        <v>8720.70100000001</v>
      </c>
      <c r="U24" s="2"/>
      <c r="V24" s="6">
        <f t="shared" si="5"/>
        <v>0</v>
      </c>
      <c r="W24" s="2"/>
      <c r="X24" s="7">
        <f t="shared" si="6"/>
        <v>1104.0689999999904</v>
      </c>
      <c r="Y24" s="2"/>
      <c r="Z24" s="6">
        <f t="shared" si="7"/>
        <v>0.12660323980835819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5"/>
      <c r="B26" s="11" t="str">
        <f>CONCATENATE("          ", "6118", " - ", "VACATION")</f>
        <v xml:space="preserve">          6118 - VACATION</v>
      </c>
      <c r="C26" s="11"/>
      <c r="D26" s="7">
        <v>3842.94</v>
      </c>
      <c r="E26" s="2"/>
      <c r="F26" s="6">
        <f t="shared" si="0"/>
        <v>0</v>
      </c>
      <c r="G26" s="2"/>
      <c r="H26" s="7">
        <v>2447.1215384615398</v>
      </c>
      <c r="I26" s="2"/>
      <c r="J26" s="6">
        <f t="shared" si="1"/>
        <v>0</v>
      </c>
      <c r="K26" s="2"/>
      <c r="L26" s="7">
        <f t="shared" si="2"/>
        <v>1395.8184615384603</v>
      </c>
      <c r="M26" s="2"/>
      <c r="N26" s="6">
        <f t="shared" si="3"/>
        <v>0.57039196443670948</v>
      </c>
      <c r="O26" s="11"/>
      <c r="P26" s="7">
        <v>10833.44</v>
      </c>
      <c r="Q26" s="2"/>
      <c r="R26" s="6">
        <f t="shared" si="4"/>
        <v>0</v>
      </c>
      <c r="S26" s="2"/>
      <c r="T26" s="7">
        <v>7953.1449999999995</v>
      </c>
      <c r="U26" s="2"/>
      <c r="V26" s="6">
        <f t="shared" si="5"/>
        <v>0</v>
      </c>
      <c r="W26" s="2"/>
      <c r="X26" s="7">
        <f t="shared" si="6"/>
        <v>2880.295000000001</v>
      </c>
      <c r="Y26" s="2"/>
      <c r="Z26" s="6">
        <f t="shared" si="7"/>
        <v>0.36215798907224767</v>
      </c>
    </row>
    <row r="27" spans="1:26" s="24" customFormat="1" hidden="1" outlineLevel="2" x14ac:dyDescent="0.25">
      <c r="A27" s="25"/>
      <c r="B27" s="11" t="str">
        <f>CONCATENATE("          ", "6119", " - ", "SICK LEAVE")</f>
        <v xml:space="preserve">          6119 - SICK LEAVE</v>
      </c>
      <c r="C27" s="11"/>
      <c r="D27" s="7">
        <v>9845.61</v>
      </c>
      <c r="E27" s="2"/>
      <c r="F27" s="6">
        <f t="shared" si="0"/>
        <v>0</v>
      </c>
      <c r="G27" s="2"/>
      <c r="H27" s="7">
        <v>672.98615384615402</v>
      </c>
      <c r="I27" s="2"/>
      <c r="J27" s="6">
        <f t="shared" si="1"/>
        <v>0</v>
      </c>
      <c r="K27" s="2"/>
      <c r="L27" s="7">
        <f t="shared" si="2"/>
        <v>9172.6238461538469</v>
      </c>
      <c r="M27" s="2"/>
      <c r="N27" s="6">
        <f t="shared" si="3"/>
        <v>13.629736353016748</v>
      </c>
      <c r="O27" s="11"/>
      <c r="P27" s="7">
        <v>17400.8</v>
      </c>
      <c r="Q27" s="2"/>
      <c r="R27" s="6">
        <f t="shared" si="4"/>
        <v>0</v>
      </c>
      <c r="S27" s="2"/>
      <c r="T27" s="7">
        <v>2187.2049999999999</v>
      </c>
      <c r="U27" s="2"/>
      <c r="V27" s="6">
        <f t="shared" si="5"/>
        <v>0</v>
      </c>
      <c r="W27" s="2"/>
      <c r="X27" s="7">
        <f t="shared" si="6"/>
        <v>15213.594999999999</v>
      </c>
      <c r="Y27" s="2"/>
      <c r="Z27" s="6">
        <f t="shared" si="7"/>
        <v>6.9557243148218841</v>
      </c>
    </row>
    <row r="28" spans="1:26" s="24" customFormat="1" hidden="1" outlineLevel="2" x14ac:dyDescent="0.25">
      <c r="A28" s="25"/>
      <c r="B28" s="11" t="str">
        <f>CONCATENATE("          ", "6156", " - ", "EMPLOYEE MEALS")</f>
        <v xml:space="preserve">          6156 - EMPLOYEE MEALS</v>
      </c>
      <c r="C28" s="11"/>
      <c r="D28" s="7">
        <v>220.16</v>
      </c>
      <c r="E28" s="2"/>
      <c r="F28" s="6">
        <f t="shared" si="0"/>
        <v>0</v>
      </c>
      <c r="G28" s="2"/>
      <c r="H28" s="7"/>
      <c r="I28" s="2"/>
      <c r="J28" s="6">
        <f t="shared" si="1"/>
        <v>0</v>
      </c>
      <c r="K28" s="2"/>
      <c r="L28" s="7">
        <f t="shared" si="2"/>
        <v>220.16</v>
      </c>
      <c r="M28" s="2"/>
      <c r="N28" s="6">
        <f t="shared" si="3"/>
        <v>0</v>
      </c>
      <c r="O28" s="11"/>
      <c r="P28" s="7">
        <v>1060.0999999999999</v>
      </c>
      <c r="Q28" s="2"/>
      <c r="R28" s="6">
        <f t="shared" si="4"/>
        <v>0</v>
      </c>
      <c r="S28" s="2"/>
      <c r="T28" s="7"/>
      <c r="U28" s="2"/>
      <c r="V28" s="6">
        <f t="shared" si="5"/>
        <v>0</v>
      </c>
      <c r="W28" s="2"/>
      <c r="X28" s="7">
        <f t="shared" si="6"/>
        <v>1060.0999999999999</v>
      </c>
      <c r="Y28" s="2"/>
      <c r="Z28" s="6">
        <f t="shared" si="7"/>
        <v>0</v>
      </c>
    </row>
    <row r="29" spans="1:26" s="26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13894.240000000002</v>
      </c>
      <c r="E29" s="1"/>
      <c r="F29" s="5">
        <f t="shared" ref="F29:F39" si="8">IF(D$12=0,0,D29/D$12)</f>
        <v>0</v>
      </c>
      <c r="G29" s="1"/>
      <c r="H29" s="1">
        <f>SUM(OSRRefH22_1x_0)</f>
        <v>28080.969230769191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-14186.72923076919</v>
      </c>
      <c r="M29" s="1"/>
      <c r="N29" s="5">
        <f t="shared" ref="N29:N39" si="11">IF(H29=0,0,L29/H29)</f>
        <v>-0.50520796181152994</v>
      </c>
      <c r="O29" s="13"/>
      <c r="P29" s="1">
        <f>SUM(OSRRefP22_1x_0)</f>
        <v>77881.320000000007</v>
      </c>
      <c r="Q29" s="1"/>
      <c r="R29" s="5">
        <f t="shared" ref="R29:R39" si="12">IF(P$12=0,0,P29/P$12)</f>
        <v>0</v>
      </c>
      <c r="S29" s="1"/>
      <c r="T29" s="1">
        <f>SUM(OSRRefT22_1x_0)</f>
        <v>91263.149999999907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-13381.8299999999</v>
      </c>
      <c r="Y29" s="1"/>
      <c r="Z29" s="5">
        <f t="shared" ref="Z29:Z39" si="15">IF(T29=0,0,X29/T29)</f>
        <v>-0.14662906112708046</v>
      </c>
    </row>
    <row r="30" spans="1:26" s="24" customFormat="1" hidden="1" outlineLevel="2" x14ac:dyDescent="0.25">
      <c r="A30" s="25"/>
      <c r="B30" s="11" t="str">
        <f>CONCATENATE("          ", "6001", " - ", "ADMINISTRATIVE SALARIES")</f>
        <v xml:space="preserve">          6001 - ADMINISTRATIVE SALARIES</v>
      </c>
      <c r="C30" s="11"/>
      <c r="D30" s="7">
        <v>7383.95</v>
      </c>
      <c r="E30" s="2"/>
      <c r="F30" s="6">
        <f t="shared" si="8"/>
        <v>0</v>
      </c>
      <c r="G30" s="2"/>
      <c r="H30" s="7">
        <v>23674.1538461538</v>
      </c>
      <c r="I30" s="2"/>
      <c r="J30" s="6">
        <f t="shared" si="9"/>
        <v>0</v>
      </c>
      <c r="K30" s="2"/>
      <c r="L30" s="7">
        <f t="shared" si="10"/>
        <v>-16290.2038461538</v>
      </c>
      <c r="M30" s="2"/>
      <c r="N30" s="6">
        <f t="shared" si="11"/>
        <v>-0.68810078501709038</v>
      </c>
      <c r="O30" s="11"/>
      <c r="P30" s="7">
        <v>57437.310000000005</v>
      </c>
      <c r="Q30" s="2"/>
      <c r="R30" s="6">
        <f t="shared" si="12"/>
        <v>0</v>
      </c>
      <c r="S30" s="2"/>
      <c r="T30" s="7">
        <v>76940.999999999898</v>
      </c>
      <c r="U30" s="2"/>
      <c r="V30" s="6">
        <f t="shared" si="13"/>
        <v>0</v>
      </c>
      <c r="W30" s="2"/>
      <c r="X30" s="7">
        <f t="shared" si="14"/>
        <v>-19503.689999999893</v>
      </c>
      <c r="Y30" s="2"/>
      <c r="Z30" s="6">
        <f t="shared" si="15"/>
        <v>-0.25348890708464822</v>
      </c>
    </row>
    <row r="31" spans="1:26" s="24" customFormat="1" hidden="1" outlineLevel="2" x14ac:dyDescent="0.25">
      <c r="A31" s="25"/>
      <c r="B31" s="11" t="str">
        <f>CONCATENATE("          ", "6002", " - ", "STAFF SALARIES")</f>
        <v xml:space="preserve">          6002 - STAFF SALARIES</v>
      </c>
      <c r="C31" s="11"/>
      <c r="D31" s="7">
        <v>4651.66</v>
      </c>
      <c r="E31" s="2"/>
      <c r="F31" s="6">
        <f t="shared" si="8"/>
        <v>0</v>
      </c>
      <c r="G31" s="2"/>
      <c r="H31" s="7">
        <v>4406.81538461539</v>
      </c>
      <c r="I31" s="2"/>
      <c r="J31" s="6">
        <f t="shared" si="9"/>
        <v>0</v>
      </c>
      <c r="K31" s="2"/>
      <c r="L31" s="7">
        <f t="shared" si="10"/>
        <v>244.84461538460982</v>
      </c>
      <c r="M31" s="2"/>
      <c r="N31" s="6">
        <f t="shared" si="11"/>
        <v>5.5560443089897882E-2</v>
      </c>
      <c r="O31" s="11"/>
      <c r="P31" s="7">
        <v>14199.68</v>
      </c>
      <c r="Q31" s="2"/>
      <c r="R31" s="6">
        <f t="shared" si="12"/>
        <v>0</v>
      </c>
      <c r="S31" s="2"/>
      <c r="T31" s="7">
        <v>14322.150000000011</v>
      </c>
      <c r="U31" s="2"/>
      <c r="V31" s="6">
        <f t="shared" si="13"/>
        <v>0</v>
      </c>
      <c r="W31" s="2"/>
      <c r="X31" s="7">
        <f t="shared" si="14"/>
        <v>-122.47000000001026</v>
      </c>
      <c r="Y31" s="2"/>
      <c r="Z31" s="6">
        <f t="shared" si="15"/>
        <v>-8.551090443823739E-3</v>
      </c>
    </row>
    <row r="32" spans="1:26" s="24" customFormat="1" hidden="1" outlineLevel="2" x14ac:dyDescent="0.25">
      <c r="A32" s="25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5"/>
      <c r="B33" s="11" t="str">
        <f>CONCATENATE("          ", "6004", " - ", "STAFF HOURLY")</f>
        <v xml:space="preserve">          6004 - STAFF HOURLY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5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25">
      <c r="A35" s="25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5"/>
      <c r="B36" s="11" t="str">
        <f>CONCATENATE("          ", "6007", " - ", "STUDENT HOURLY")</f>
        <v xml:space="preserve">          6007 - STUDENT HOURLY</v>
      </c>
      <c r="C36" s="11"/>
      <c r="D36" s="7">
        <v>1858.63</v>
      </c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1858.63</v>
      </c>
      <c r="M36" s="2"/>
      <c r="N36" s="6">
        <f t="shared" si="11"/>
        <v>0</v>
      </c>
      <c r="O36" s="11"/>
      <c r="P36" s="7">
        <v>6244.33</v>
      </c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6244.33</v>
      </c>
      <c r="Y36" s="2"/>
      <c r="Z36" s="6">
        <f t="shared" si="15"/>
        <v>0</v>
      </c>
    </row>
    <row r="37" spans="1:26" s="24" customFormat="1" hidden="1" outlineLevel="2" x14ac:dyDescent="0.25">
      <c r="A37" s="25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5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5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6" customFormat="1" outlineLevel="1" collapsed="1" x14ac:dyDescent="0.25">
      <c r="A40" s="27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16.98</v>
      </c>
      <c r="E40" s="1"/>
      <c r="F40" s="5">
        <f t="shared" ref="F40:F46" si="16">IF(D$12=0,0,D40/D$12)</f>
        <v>0</v>
      </c>
      <c r="G40" s="1"/>
      <c r="H40" s="1">
        <f>SUM(OSRRefH22_2x_0)</f>
        <v>9000</v>
      </c>
      <c r="I40" s="1"/>
      <c r="J40" s="5">
        <f t="shared" ref="J40:J46" si="17">IF(H$12=0,0,H40/H$12)</f>
        <v>0</v>
      </c>
      <c r="K40" s="1"/>
      <c r="L40" s="1">
        <f t="shared" ref="L40:L46" si="18">+D40-H40</f>
        <v>-8983.02</v>
      </c>
      <c r="M40" s="1"/>
      <c r="N40" s="5">
        <f t="shared" ref="N40:N46" si="19">IF(H40=0,0,L40/H40)</f>
        <v>-0.99811333333333341</v>
      </c>
      <c r="O40" s="13"/>
      <c r="P40" s="1">
        <f>SUM(OSRRefP22_2x_0)</f>
        <v>11193.89</v>
      </c>
      <c r="Q40" s="1"/>
      <c r="R40" s="5">
        <f t="shared" ref="R40:R46" si="20">IF(P$12=0,0,P40/P$12)</f>
        <v>0</v>
      </c>
      <c r="S40" s="1"/>
      <c r="T40" s="1">
        <f>SUM(OSRRefT22_2x_0)</f>
        <v>27000</v>
      </c>
      <c r="U40" s="1"/>
      <c r="V40" s="5">
        <f t="shared" ref="V40:V46" si="21">IF(T$12=0,0,T40/T$12)</f>
        <v>0</v>
      </c>
      <c r="W40" s="1"/>
      <c r="X40" s="1">
        <f t="shared" ref="X40:X46" si="22">+P40-T40</f>
        <v>-15806.11</v>
      </c>
      <c r="Y40" s="1"/>
      <c r="Z40" s="5">
        <f t="shared" ref="Z40:Z46" si="23">IF(T40=0,0,X40/T40)</f>
        <v>-0.58541148148148148</v>
      </c>
    </row>
    <row r="41" spans="1:26" s="24" customFormat="1" hidden="1" outlineLevel="2" x14ac:dyDescent="0.25">
      <c r="A41" s="25"/>
      <c r="B41" s="11" t="str">
        <f>CONCATENATE("          ", "6362", " - ", "ADVERTISING EXPENSE")</f>
        <v xml:space="preserve">          6362 - ADVERTISING EXPENSE</v>
      </c>
      <c r="C41" s="11"/>
      <c r="D41" s="7">
        <v>16.98</v>
      </c>
      <c r="E41" s="2"/>
      <c r="F41" s="6">
        <f t="shared" si="16"/>
        <v>0</v>
      </c>
      <c r="G41" s="2"/>
      <c r="H41" s="7">
        <v>9000</v>
      </c>
      <c r="I41" s="2"/>
      <c r="J41" s="6">
        <f t="shared" si="17"/>
        <v>0</v>
      </c>
      <c r="K41" s="2"/>
      <c r="L41" s="7">
        <f t="shared" si="18"/>
        <v>-8983.02</v>
      </c>
      <c r="M41" s="2"/>
      <c r="N41" s="6">
        <f t="shared" si="19"/>
        <v>-0.99811333333333341</v>
      </c>
      <c r="O41" s="11"/>
      <c r="P41" s="7">
        <v>11193.89</v>
      </c>
      <c r="Q41" s="2"/>
      <c r="R41" s="6">
        <f t="shared" si="20"/>
        <v>0</v>
      </c>
      <c r="S41" s="2"/>
      <c r="T41" s="7">
        <v>27000</v>
      </c>
      <c r="U41" s="2"/>
      <c r="V41" s="6">
        <f t="shared" si="21"/>
        <v>0</v>
      </c>
      <c r="W41" s="2"/>
      <c r="X41" s="7">
        <f t="shared" si="22"/>
        <v>-15806.11</v>
      </c>
      <c r="Y41" s="2"/>
      <c r="Z41" s="6">
        <f t="shared" si="23"/>
        <v>-0.58541148148148148</v>
      </c>
    </row>
    <row r="42" spans="1:26" s="26" customFormat="1" outlineLevel="1" collapsed="1" x14ac:dyDescent="0.25">
      <c r="A42" s="27"/>
      <c r="B42" s="13" t="str">
        <f>CONCATENATE("     ","Depreciation                                      ")</f>
        <v xml:space="preserve">     Depreciation                                      </v>
      </c>
      <c r="C42" s="13"/>
      <c r="D42" s="1">
        <f>SUM(OSRRefD22_3x_0)</f>
        <v>345.23</v>
      </c>
      <c r="E42" s="1"/>
      <c r="F42" s="5">
        <f t="shared" si="16"/>
        <v>0</v>
      </c>
      <c r="G42" s="1"/>
      <c r="H42" s="1">
        <f>SUM(OSRRefH22_3x_0)</f>
        <v>345</v>
      </c>
      <c r="I42" s="1"/>
      <c r="J42" s="5">
        <f t="shared" si="17"/>
        <v>0</v>
      </c>
      <c r="K42" s="1"/>
      <c r="L42" s="1">
        <f t="shared" si="18"/>
        <v>0.23000000000001819</v>
      </c>
      <c r="M42" s="1"/>
      <c r="N42" s="5">
        <f t="shared" si="19"/>
        <v>6.6666666666671945E-4</v>
      </c>
      <c r="O42" s="13"/>
      <c r="P42" s="1">
        <f>SUM(OSRRefP22_3x_0)</f>
        <v>1035.69</v>
      </c>
      <c r="Q42" s="1"/>
      <c r="R42" s="5">
        <f t="shared" si="20"/>
        <v>0</v>
      </c>
      <c r="S42" s="1"/>
      <c r="T42" s="1">
        <f>SUM(OSRRefT22_3x_0)</f>
        <v>1035</v>
      </c>
      <c r="U42" s="1"/>
      <c r="V42" s="5">
        <f t="shared" si="21"/>
        <v>0</v>
      </c>
      <c r="W42" s="1"/>
      <c r="X42" s="1">
        <f t="shared" si="22"/>
        <v>0.69000000000005457</v>
      </c>
      <c r="Y42" s="1"/>
      <c r="Z42" s="5">
        <f t="shared" si="23"/>
        <v>6.6666666666671945E-4</v>
      </c>
    </row>
    <row r="43" spans="1:26" s="24" customFormat="1" hidden="1" outlineLevel="2" x14ac:dyDescent="0.25">
      <c r="A43" s="25"/>
      <c r="B43" s="11" t="str">
        <f>CONCATENATE("          ", "6322", " - ", "EQUIPMENT DEPRECIATION EXPENSE")</f>
        <v xml:space="preserve">          6322 - EQUIPMENT DEPRECIATION EXPENSE</v>
      </c>
      <c r="C43" s="11"/>
      <c r="D43" s="7">
        <v>345.23</v>
      </c>
      <c r="E43" s="2"/>
      <c r="F43" s="6">
        <f t="shared" si="16"/>
        <v>0</v>
      </c>
      <c r="G43" s="2"/>
      <c r="H43" s="7">
        <v>345</v>
      </c>
      <c r="I43" s="2"/>
      <c r="J43" s="6">
        <f t="shared" si="17"/>
        <v>0</v>
      </c>
      <c r="K43" s="2"/>
      <c r="L43" s="7">
        <f t="shared" si="18"/>
        <v>0.23000000000001819</v>
      </c>
      <c r="M43" s="2"/>
      <c r="N43" s="6">
        <f t="shared" si="19"/>
        <v>6.6666666666671945E-4</v>
      </c>
      <c r="O43" s="11"/>
      <c r="P43" s="7">
        <v>1035.69</v>
      </c>
      <c r="Q43" s="2"/>
      <c r="R43" s="6">
        <f t="shared" si="20"/>
        <v>0</v>
      </c>
      <c r="S43" s="2"/>
      <c r="T43" s="7">
        <v>1035</v>
      </c>
      <c r="U43" s="2"/>
      <c r="V43" s="6">
        <f t="shared" si="21"/>
        <v>0</v>
      </c>
      <c r="W43" s="2"/>
      <c r="X43" s="7">
        <f t="shared" si="22"/>
        <v>0.69000000000005457</v>
      </c>
      <c r="Y43" s="2"/>
      <c r="Z43" s="6">
        <f t="shared" si="23"/>
        <v>6.6666666666671945E-4</v>
      </c>
    </row>
    <row r="44" spans="1:26" s="26" customFormat="1" outlineLevel="1" collapsed="1" x14ac:dyDescent="0.25">
      <c r="A44" s="27"/>
      <c r="B44" s="13" t="str">
        <f>CONCATENATE("     ","Donations                                         ")</f>
        <v xml:space="preserve">     Donations                                         </v>
      </c>
      <c r="C44" s="13"/>
      <c r="D44" s="1">
        <f>SUM(OSRRefD22_4x_0)</f>
        <v>27575</v>
      </c>
      <c r="E44" s="1"/>
      <c r="F44" s="5">
        <f t="shared" si="16"/>
        <v>0</v>
      </c>
      <c r="G44" s="1"/>
      <c r="H44" s="1">
        <f>SUM(OSRRefH22_4x_0)</f>
        <v>3300</v>
      </c>
      <c r="I44" s="1"/>
      <c r="J44" s="5">
        <f t="shared" si="17"/>
        <v>0</v>
      </c>
      <c r="K44" s="1"/>
      <c r="L44" s="1">
        <f t="shared" si="18"/>
        <v>24275</v>
      </c>
      <c r="M44" s="1"/>
      <c r="N44" s="5">
        <f t="shared" si="19"/>
        <v>7.3560606060606064</v>
      </c>
      <c r="O44" s="13"/>
      <c r="P44" s="1">
        <f>SUM(OSRRefP22_4x_0)</f>
        <v>139243.59999999998</v>
      </c>
      <c r="Q44" s="1"/>
      <c r="R44" s="5">
        <f t="shared" si="20"/>
        <v>0</v>
      </c>
      <c r="S44" s="1"/>
      <c r="T44" s="1">
        <f>SUM(OSRRefT22_4x_0)</f>
        <v>329800</v>
      </c>
      <c r="U44" s="1"/>
      <c r="V44" s="5">
        <f t="shared" si="21"/>
        <v>0</v>
      </c>
      <c r="W44" s="1"/>
      <c r="X44" s="1">
        <f t="shared" si="22"/>
        <v>-190556.40000000002</v>
      </c>
      <c r="Y44" s="1"/>
      <c r="Z44" s="5">
        <f t="shared" si="23"/>
        <v>-0.57779381443298972</v>
      </c>
    </row>
    <row r="45" spans="1:26" s="24" customFormat="1" hidden="1" outlineLevel="2" x14ac:dyDescent="0.25">
      <c r="A45" s="25"/>
      <c r="B45" s="11" t="str">
        <f>CONCATENATE("          ", "6395", " - ", "DONATION-OFF CAMPUS")</f>
        <v xml:space="preserve">          6395 - DONATION-OFF CAMPUS</v>
      </c>
      <c r="C45" s="11"/>
      <c r="D45" s="7"/>
      <c r="E45" s="2"/>
      <c r="F45" s="6">
        <f t="shared" si="16"/>
        <v>0</v>
      </c>
      <c r="G45" s="2"/>
      <c r="H45" s="7">
        <v>800</v>
      </c>
      <c r="I45" s="2"/>
      <c r="J45" s="6">
        <f t="shared" si="17"/>
        <v>0</v>
      </c>
      <c r="K45" s="2"/>
      <c r="L45" s="7">
        <f t="shared" si="18"/>
        <v>-800</v>
      </c>
      <c r="M45" s="2"/>
      <c r="N45" s="6">
        <f t="shared" si="19"/>
        <v>-1</v>
      </c>
      <c r="O45" s="11"/>
      <c r="P45" s="7"/>
      <c r="Q45" s="2"/>
      <c r="R45" s="6">
        <f t="shared" si="20"/>
        <v>0</v>
      </c>
      <c r="S45" s="2"/>
      <c r="T45" s="7">
        <v>800</v>
      </c>
      <c r="U45" s="2"/>
      <c r="V45" s="6">
        <f t="shared" si="21"/>
        <v>0</v>
      </c>
      <c r="W45" s="2"/>
      <c r="X45" s="7">
        <f t="shared" si="22"/>
        <v>-800</v>
      </c>
      <c r="Y45" s="2"/>
      <c r="Z45" s="6">
        <f t="shared" si="23"/>
        <v>-1</v>
      </c>
    </row>
    <row r="46" spans="1:26" s="24" customFormat="1" hidden="1" outlineLevel="2" x14ac:dyDescent="0.25">
      <c r="A46" s="25"/>
      <c r="B46" s="11" t="str">
        <f>CONCATENATE("          ", "6399", " - ", "DONATION-ON CAMPUS")</f>
        <v xml:space="preserve">          6399 - DONATION-ON CAMPUS</v>
      </c>
      <c r="C46" s="11"/>
      <c r="D46" s="7">
        <v>27575</v>
      </c>
      <c r="E46" s="2"/>
      <c r="F46" s="6">
        <f t="shared" si="16"/>
        <v>0</v>
      </c>
      <c r="G46" s="2"/>
      <c r="H46" s="7">
        <v>2500</v>
      </c>
      <c r="I46" s="2"/>
      <c r="J46" s="6">
        <f t="shared" si="17"/>
        <v>0</v>
      </c>
      <c r="K46" s="2"/>
      <c r="L46" s="7">
        <f t="shared" si="18"/>
        <v>25075</v>
      </c>
      <c r="M46" s="2"/>
      <c r="N46" s="6">
        <f t="shared" si="19"/>
        <v>10.029999999999999</v>
      </c>
      <c r="O46" s="11"/>
      <c r="P46" s="7">
        <v>139243.59999999998</v>
      </c>
      <c r="Q46" s="2"/>
      <c r="R46" s="6">
        <f t="shared" si="20"/>
        <v>0</v>
      </c>
      <c r="S46" s="2"/>
      <c r="T46" s="7">
        <v>329000</v>
      </c>
      <c r="U46" s="2"/>
      <c r="V46" s="6">
        <f t="shared" si="21"/>
        <v>0</v>
      </c>
      <c r="W46" s="2"/>
      <c r="X46" s="7">
        <f t="shared" si="22"/>
        <v>-189756.40000000002</v>
      </c>
      <c r="Y46" s="2"/>
      <c r="Z46" s="6">
        <f t="shared" si="23"/>
        <v>-0.57676717325227966</v>
      </c>
    </row>
    <row r="47" spans="1:26" s="26" customFormat="1" outlineLevel="1" collapsed="1" x14ac:dyDescent="0.25">
      <c r="A47" s="27"/>
      <c r="B47" s="13" t="str">
        <f>CONCATENATE("     ","Employees' Appreciation                           ")</f>
        <v xml:space="preserve">     Employees' Appreciation                           </v>
      </c>
      <c r="C47" s="13"/>
      <c r="D47" s="1">
        <f>SUM(OSRRefD22_5x_0)</f>
        <v>0</v>
      </c>
      <c r="E47" s="1"/>
      <c r="F47" s="5">
        <f t="shared" ref="F47:F60" si="24">IF(D$12=0,0,D47/D$12)</f>
        <v>0</v>
      </c>
      <c r="G47" s="1"/>
      <c r="H47" s="1">
        <f>SUM(OSRRefH22_5x_0)</f>
        <v>500</v>
      </c>
      <c r="I47" s="1"/>
      <c r="J47" s="5">
        <f t="shared" ref="J47:J60" si="25">IF(H$12=0,0,H47/H$12)</f>
        <v>0</v>
      </c>
      <c r="K47" s="1"/>
      <c r="L47" s="1">
        <f t="shared" ref="L47:L60" si="26">+D47-H47</f>
        <v>-500</v>
      </c>
      <c r="M47" s="1"/>
      <c r="N47" s="5">
        <f t="shared" ref="N47:N60" si="27">IF(H47=0,0,L47/H47)</f>
        <v>-1</v>
      </c>
      <c r="O47" s="13"/>
      <c r="P47" s="1">
        <f>SUM(OSRRefP22_5x_0)</f>
        <v>0</v>
      </c>
      <c r="Q47" s="1"/>
      <c r="R47" s="5">
        <f t="shared" ref="R47:R60" si="28">IF(P$12=0,0,P47/P$12)</f>
        <v>0</v>
      </c>
      <c r="S47" s="1"/>
      <c r="T47" s="1">
        <f>SUM(OSRRefT22_5x_0)</f>
        <v>500</v>
      </c>
      <c r="U47" s="1"/>
      <c r="V47" s="5">
        <f t="shared" ref="V47:V60" si="29">IF(T$12=0,0,T47/T$12)</f>
        <v>0</v>
      </c>
      <c r="W47" s="1"/>
      <c r="X47" s="1">
        <f t="shared" ref="X47:X60" si="30">+P47-T47</f>
        <v>-500</v>
      </c>
      <c r="Y47" s="1"/>
      <c r="Z47" s="5">
        <f t="shared" ref="Z47:Z60" si="31">IF(T47=0,0,X47/T47)</f>
        <v>-1</v>
      </c>
    </row>
    <row r="48" spans="1:26" s="24" customFormat="1" hidden="1" outlineLevel="2" x14ac:dyDescent="0.25">
      <c r="A48" s="25"/>
      <c r="B48" s="11" t="str">
        <f>CONCATENATE("          ", "6277", " - ", "EMPLOYEE APPRECIATION")</f>
        <v xml:space="preserve">          6277 - EMPLOYEE APPRECIATION</v>
      </c>
      <c r="C48" s="11"/>
      <c r="D48" s="7"/>
      <c r="E48" s="2"/>
      <c r="F48" s="6">
        <f t="shared" si="24"/>
        <v>0</v>
      </c>
      <c r="G48" s="2"/>
      <c r="H48" s="7">
        <v>500</v>
      </c>
      <c r="I48" s="2"/>
      <c r="J48" s="6">
        <f t="shared" si="25"/>
        <v>0</v>
      </c>
      <c r="K48" s="2"/>
      <c r="L48" s="7">
        <f t="shared" si="26"/>
        <v>-500</v>
      </c>
      <c r="M48" s="2"/>
      <c r="N48" s="6">
        <f t="shared" si="27"/>
        <v>-1</v>
      </c>
      <c r="O48" s="11"/>
      <c r="P48" s="7"/>
      <c r="Q48" s="2"/>
      <c r="R48" s="6">
        <f t="shared" si="28"/>
        <v>0</v>
      </c>
      <c r="S48" s="2"/>
      <c r="T48" s="7">
        <v>500</v>
      </c>
      <c r="U48" s="2"/>
      <c r="V48" s="6">
        <f t="shared" si="29"/>
        <v>0</v>
      </c>
      <c r="W48" s="2"/>
      <c r="X48" s="7">
        <f t="shared" si="30"/>
        <v>-500</v>
      </c>
      <c r="Y48" s="2"/>
      <c r="Z48" s="6">
        <f t="shared" si="31"/>
        <v>-1</v>
      </c>
    </row>
    <row r="49" spans="1:26" s="26" customFormat="1" outlineLevel="1" collapsed="1" x14ac:dyDescent="0.25">
      <c r="A49" s="27"/>
      <c r="B49" s="13" t="str">
        <f>CONCATENATE("     ","Equipment Rental                                  ")</f>
        <v xml:space="preserve">     Equipment Rental                                  </v>
      </c>
      <c r="C49" s="13"/>
      <c r="D49" s="1">
        <f>SUM(OSRRefD22_6x_0)</f>
        <v>117.72</v>
      </c>
      <c r="E49" s="1"/>
      <c r="F49" s="5">
        <f t="shared" si="24"/>
        <v>0</v>
      </c>
      <c r="G49" s="1"/>
      <c r="H49" s="1">
        <f>SUM(OSRRefH22_6x_0)</f>
        <v>118</v>
      </c>
      <c r="I49" s="1"/>
      <c r="J49" s="5">
        <f t="shared" si="25"/>
        <v>0</v>
      </c>
      <c r="K49" s="1"/>
      <c r="L49" s="1">
        <f t="shared" si="26"/>
        <v>-0.28000000000000114</v>
      </c>
      <c r="M49" s="1"/>
      <c r="N49" s="5">
        <f t="shared" si="27"/>
        <v>-2.3728813559322128E-3</v>
      </c>
      <c r="O49" s="13"/>
      <c r="P49" s="1">
        <f>SUM(OSRRefP22_6x_0)</f>
        <v>353.16</v>
      </c>
      <c r="Q49" s="1"/>
      <c r="R49" s="5">
        <f t="shared" si="28"/>
        <v>0</v>
      </c>
      <c r="S49" s="1"/>
      <c r="T49" s="1">
        <f>SUM(OSRRefT22_6x_0)</f>
        <v>354</v>
      </c>
      <c r="U49" s="1"/>
      <c r="V49" s="5">
        <f t="shared" si="29"/>
        <v>0</v>
      </c>
      <c r="W49" s="1"/>
      <c r="X49" s="1">
        <f t="shared" si="30"/>
        <v>-0.83999999999997499</v>
      </c>
      <c r="Y49" s="1"/>
      <c r="Z49" s="5">
        <f t="shared" si="31"/>
        <v>-2.3728813559321326E-3</v>
      </c>
    </row>
    <row r="50" spans="1:26" s="24" customFormat="1" hidden="1" outlineLevel="2" x14ac:dyDescent="0.25">
      <c r="A50" s="25"/>
      <c r="B50" s="11" t="str">
        <f>CONCATENATE("          ", "6351", " - ", "EQUIPMENT RENTAL")</f>
        <v xml:space="preserve">          6351 - EQUIPMENT RENTAL</v>
      </c>
      <c r="C50" s="11"/>
      <c r="D50" s="7">
        <v>117.72</v>
      </c>
      <c r="E50" s="2"/>
      <c r="F50" s="6">
        <f t="shared" si="24"/>
        <v>0</v>
      </c>
      <c r="G50" s="2"/>
      <c r="H50" s="7">
        <v>118</v>
      </c>
      <c r="I50" s="2"/>
      <c r="J50" s="6">
        <f t="shared" si="25"/>
        <v>0</v>
      </c>
      <c r="K50" s="2"/>
      <c r="L50" s="7">
        <f t="shared" si="26"/>
        <v>-0.28000000000000114</v>
      </c>
      <c r="M50" s="2"/>
      <c r="N50" s="6">
        <f t="shared" si="27"/>
        <v>-2.3728813559322128E-3</v>
      </c>
      <c r="O50" s="11"/>
      <c r="P50" s="7">
        <v>353.16</v>
      </c>
      <c r="Q50" s="2"/>
      <c r="R50" s="6">
        <f t="shared" si="28"/>
        <v>0</v>
      </c>
      <c r="S50" s="2"/>
      <c r="T50" s="7">
        <v>354</v>
      </c>
      <c r="U50" s="2"/>
      <c r="V50" s="6">
        <f t="shared" si="29"/>
        <v>0</v>
      </c>
      <c r="W50" s="2"/>
      <c r="X50" s="7">
        <f t="shared" si="30"/>
        <v>-0.83999999999997499</v>
      </c>
      <c r="Y50" s="2"/>
      <c r="Z50" s="6">
        <f t="shared" si="31"/>
        <v>-2.3728813559321326E-3</v>
      </c>
    </row>
    <row r="51" spans="1:26" s="26" customFormat="1" outlineLevel="1" collapsed="1" x14ac:dyDescent="0.25">
      <c r="A51" s="27"/>
      <c r="B51" s="13" t="str">
        <f>CONCATENATE("     ","Freight out/Postage                               ")</f>
        <v xml:space="preserve">     Freight out/Postage                               </v>
      </c>
      <c r="C51" s="13"/>
      <c r="D51" s="1">
        <f>SUM(OSRRefD22_7x_0)</f>
        <v>0.65</v>
      </c>
      <c r="E51" s="1"/>
      <c r="F51" s="5">
        <f t="shared" si="24"/>
        <v>0</v>
      </c>
      <c r="G51" s="1"/>
      <c r="H51" s="1">
        <f>SUM(OSRRefH22_7x_0)</f>
        <v>0</v>
      </c>
      <c r="I51" s="1"/>
      <c r="J51" s="5">
        <f t="shared" si="25"/>
        <v>0</v>
      </c>
      <c r="K51" s="1"/>
      <c r="L51" s="1">
        <f t="shared" si="26"/>
        <v>0.65</v>
      </c>
      <c r="M51" s="1"/>
      <c r="N51" s="5">
        <f t="shared" si="27"/>
        <v>0</v>
      </c>
      <c r="O51" s="13"/>
      <c r="P51" s="1">
        <f>SUM(OSRRefP22_7x_0)</f>
        <v>0.65</v>
      </c>
      <c r="Q51" s="1"/>
      <c r="R51" s="5">
        <f t="shared" si="28"/>
        <v>0</v>
      </c>
      <c r="S51" s="1"/>
      <c r="T51" s="1">
        <f>SUM(OSRRefT22_7x_0)</f>
        <v>0</v>
      </c>
      <c r="U51" s="1"/>
      <c r="V51" s="5">
        <f t="shared" si="29"/>
        <v>0</v>
      </c>
      <c r="W51" s="1"/>
      <c r="X51" s="1">
        <f t="shared" si="30"/>
        <v>0.65</v>
      </c>
      <c r="Y51" s="1"/>
      <c r="Z51" s="5">
        <f t="shared" si="31"/>
        <v>0</v>
      </c>
    </row>
    <row r="52" spans="1:26" s="24" customFormat="1" hidden="1" outlineLevel="2" x14ac:dyDescent="0.25">
      <c r="A52" s="25"/>
      <c r="B52" s="11" t="str">
        <f>CONCATENATE("          ", "6307", " - ", "POSTAGE")</f>
        <v xml:space="preserve">          6307 - POSTAGE</v>
      </c>
      <c r="C52" s="11"/>
      <c r="D52" s="7">
        <v>0.65</v>
      </c>
      <c r="E52" s="2"/>
      <c r="F52" s="6">
        <f t="shared" si="24"/>
        <v>0</v>
      </c>
      <c r="G52" s="2"/>
      <c r="H52" s="7"/>
      <c r="I52" s="2"/>
      <c r="J52" s="6">
        <f t="shared" si="25"/>
        <v>0</v>
      </c>
      <c r="K52" s="2"/>
      <c r="L52" s="7">
        <f t="shared" si="26"/>
        <v>0.65</v>
      </c>
      <c r="M52" s="2"/>
      <c r="N52" s="6">
        <f t="shared" si="27"/>
        <v>0</v>
      </c>
      <c r="O52" s="11"/>
      <c r="P52" s="7">
        <v>0.65</v>
      </c>
      <c r="Q52" s="2"/>
      <c r="R52" s="6">
        <f t="shared" si="28"/>
        <v>0</v>
      </c>
      <c r="S52" s="2"/>
      <c r="T52" s="7"/>
      <c r="U52" s="2"/>
      <c r="V52" s="6">
        <f t="shared" si="29"/>
        <v>0</v>
      </c>
      <c r="W52" s="2"/>
      <c r="X52" s="7">
        <f t="shared" si="30"/>
        <v>0.65</v>
      </c>
      <c r="Y52" s="2"/>
      <c r="Z52" s="6">
        <f t="shared" si="31"/>
        <v>0</v>
      </c>
    </row>
    <row r="53" spans="1:26" s="26" customFormat="1" outlineLevel="1" collapsed="1" x14ac:dyDescent="0.25">
      <c r="A53" s="27"/>
      <c r="B53" s="13" t="str">
        <f>CONCATENATE("     ","General                                           ")</f>
        <v xml:space="preserve">     General                                           </v>
      </c>
      <c r="C53" s="13"/>
      <c r="D53" s="1">
        <f>SUM(OSRRefD22_8x_0)</f>
        <v>3300</v>
      </c>
      <c r="E53" s="1"/>
      <c r="F53" s="5">
        <f t="shared" si="24"/>
        <v>0</v>
      </c>
      <c r="G53" s="1"/>
      <c r="H53" s="1">
        <f>SUM(OSRRefH22_8x_0)</f>
        <v>2500</v>
      </c>
      <c r="I53" s="1"/>
      <c r="J53" s="5">
        <f t="shared" si="25"/>
        <v>0</v>
      </c>
      <c r="K53" s="1"/>
      <c r="L53" s="1">
        <f t="shared" si="26"/>
        <v>800</v>
      </c>
      <c r="M53" s="1"/>
      <c r="N53" s="5">
        <f t="shared" si="27"/>
        <v>0.32</v>
      </c>
      <c r="O53" s="13"/>
      <c r="P53" s="1">
        <f>SUM(OSRRefP22_8x_0)</f>
        <v>5580.62</v>
      </c>
      <c r="Q53" s="1"/>
      <c r="R53" s="5">
        <f t="shared" si="28"/>
        <v>0</v>
      </c>
      <c r="S53" s="1"/>
      <c r="T53" s="1">
        <f>SUM(OSRRefT22_8x_0)</f>
        <v>2500</v>
      </c>
      <c r="U53" s="1"/>
      <c r="V53" s="5">
        <f t="shared" si="29"/>
        <v>0</v>
      </c>
      <c r="W53" s="1"/>
      <c r="X53" s="1">
        <f t="shared" si="30"/>
        <v>3080.62</v>
      </c>
      <c r="Y53" s="1"/>
      <c r="Z53" s="5">
        <f t="shared" si="31"/>
        <v>1.232248</v>
      </c>
    </row>
    <row r="54" spans="1:26" s="24" customFormat="1" hidden="1" outlineLevel="2" x14ac:dyDescent="0.25">
      <c r="A54" s="25"/>
      <c r="B54" s="11" t="str">
        <f>CONCATENATE("          ", "6279", " - ", "GENERAL EXPENSE")</f>
        <v xml:space="preserve">          6279 - GENERAL EXPENSE</v>
      </c>
      <c r="C54" s="11"/>
      <c r="D54" s="7">
        <v>3300</v>
      </c>
      <c r="E54" s="2"/>
      <c r="F54" s="6">
        <f t="shared" si="24"/>
        <v>0</v>
      </c>
      <c r="G54" s="2"/>
      <c r="H54" s="7">
        <v>2500</v>
      </c>
      <c r="I54" s="2"/>
      <c r="J54" s="6">
        <f t="shared" si="25"/>
        <v>0</v>
      </c>
      <c r="K54" s="2"/>
      <c r="L54" s="7">
        <f t="shared" si="26"/>
        <v>800</v>
      </c>
      <c r="M54" s="2"/>
      <c r="N54" s="6">
        <f t="shared" si="27"/>
        <v>0.32</v>
      </c>
      <c r="O54" s="11"/>
      <c r="P54" s="7">
        <v>5580.62</v>
      </c>
      <c r="Q54" s="2"/>
      <c r="R54" s="6">
        <f t="shared" si="28"/>
        <v>0</v>
      </c>
      <c r="S54" s="2"/>
      <c r="T54" s="7">
        <v>2500</v>
      </c>
      <c r="U54" s="2"/>
      <c r="V54" s="6">
        <f t="shared" si="29"/>
        <v>0</v>
      </c>
      <c r="W54" s="2"/>
      <c r="X54" s="7">
        <f t="shared" si="30"/>
        <v>3080.62</v>
      </c>
      <c r="Y54" s="2"/>
      <c r="Z54" s="6">
        <f t="shared" si="31"/>
        <v>1.232248</v>
      </c>
    </row>
    <row r="55" spans="1:26" s="26" customFormat="1" outlineLevel="1" collapsed="1" x14ac:dyDescent="0.25">
      <c r="A55" s="27"/>
      <c r="B55" s="13" t="str">
        <f>CONCATENATE("     ","Insurance                                         ")</f>
        <v xml:space="preserve">     Insurance                                         </v>
      </c>
      <c r="C55" s="13"/>
      <c r="D55" s="1">
        <f>SUM(OSRRefD22_9x_0)</f>
        <v>115.13</v>
      </c>
      <c r="E55" s="1"/>
      <c r="F55" s="5">
        <f t="shared" si="24"/>
        <v>0</v>
      </c>
      <c r="G55" s="1"/>
      <c r="H55" s="1">
        <f>SUM(OSRRefH22_9x_0)</f>
        <v>110</v>
      </c>
      <c r="I55" s="1"/>
      <c r="J55" s="5">
        <f t="shared" si="25"/>
        <v>0</v>
      </c>
      <c r="K55" s="1"/>
      <c r="L55" s="1">
        <f t="shared" si="26"/>
        <v>5.1299999999999955</v>
      </c>
      <c r="M55" s="1"/>
      <c r="N55" s="5">
        <f t="shared" si="27"/>
        <v>4.6636363636363594E-2</v>
      </c>
      <c r="O55" s="13"/>
      <c r="P55" s="1">
        <f>SUM(OSRRefP22_9x_0)</f>
        <v>345.39</v>
      </c>
      <c r="Q55" s="1"/>
      <c r="R55" s="5">
        <f t="shared" si="28"/>
        <v>0</v>
      </c>
      <c r="S55" s="1"/>
      <c r="T55" s="1">
        <f>SUM(OSRRefT22_9x_0)</f>
        <v>330</v>
      </c>
      <c r="U55" s="1"/>
      <c r="V55" s="5">
        <f t="shared" si="29"/>
        <v>0</v>
      </c>
      <c r="W55" s="1"/>
      <c r="X55" s="1">
        <f t="shared" si="30"/>
        <v>15.389999999999986</v>
      </c>
      <c r="Y55" s="1"/>
      <c r="Z55" s="5">
        <f t="shared" si="31"/>
        <v>4.6636363636363594E-2</v>
      </c>
    </row>
    <row r="56" spans="1:26" s="24" customFormat="1" hidden="1" outlineLevel="2" x14ac:dyDescent="0.25">
      <c r="A56" s="25"/>
      <c r="B56" s="11" t="str">
        <f>CONCATENATE("          ", "6314", " - ", "LIABILITY INSURANCE")</f>
        <v xml:space="preserve">          6314 - LIABILITY INSURANCE</v>
      </c>
      <c r="C56" s="11"/>
      <c r="D56" s="7">
        <v>115.13</v>
      </c>
      <c r="E56" s="2"/>
      <c r="F56" s="6">
        <f t="shared" si="24"/>
        <v>0</v>
      </c>
      <c r="G56" s="2"/>
      <c r="H56" s="7">
        <v>110</v>
      </c>
      <c r="I56" s="2"/>
      <c r="J56" s="6">
        <f t="shared" si="25"/>
        <v>0</v>
      </c>
      <c r="K56" s="2"/>
      <c r="L56" s="7">
        <f t="shared" si="26"/>
        <v>5.1299999999999955</v>
      </c>
      <c r="M56" s="2"/>
      <c r="N56" s="6">
        <f t="shared" si="27"/>
        <v>4.6636363636363594E-2</v>
      </c>
      <c r="O56" s="11"/>
      <c r="P56" s="7">
        <v>345.39</v>
      </c>
      <c r="Q56" s="2"/>
      <c r="R56" s="6">
        <f t="shared" si="28"/>
        <v>0</v>
      </c>
      <c r="S56" s="2"/>
      <c r="T56" s="7">
        <v>330</v>
      </c>
      <c r="U56" s="2"/>
      <c r="V56" s="6">
        <f t="shared" si="29"/>
        <v>0</v>
      </c>
      <c r="W56" s="2"/>
      <c r="X56" s="7">
        <f t="shared" si="30"/>
        <v>15.389999999999986</v>
      </c>
      <c r="Y56" s="2"/>
      <c r="Z56" s="6">
        <f t="shared" si="31"/>
        <v>4.6636363636363594E-2</v>
      </c>
    </row>
    <row r="57" spans="1:26" s="26" customFormat="1" outlineLevel="1" collapsed="1" x14ac:dyDescent="0.25">
      <c r="A57" s="27"/>
      <c r="B57" s="13" t="str">
        <f>CONCATENATE("     ","Professional Services                             ")</f>
        <v xml:space="preserve">     Professional Services                             </v>
      </c>
      <c r="C57" s="13"/>
      <c r="D57" s="1">
        <f>SUM(OSRRefD22_10x_0)</f>
        <v>12000</v>
      </c>
      <c r="E57" s="1"/>
      <c r="F57" s="5">
        <f t="shared" si="24"/>
        <v>0</v>
      </c>
      <c r="G57" s="1"/>
      <c r="H57" s="1">
        <f>SUM(OSRRefH22_10x_0)</f>
        <v>1500</v>
      </c>
      <c r="I57" s="1"/>
      <c r="J57" s="5">
        <f t="shared" si="25"/>
        <v>0</v>
      </c>
      <c r="K57" s="1"/>
      <c r="L57" s="1">
        <f t="shared" si="26"/>
        <v>10500</v>
      </c>
      <c r="M57" s="1"/>
      <c r="N57" s="5">
        <f t="shared" si="27"/>
        <v>7</v>
      </c>
      <c r="O57" s="13"/>
      <c r="P57" s="1">
        <f>SUM(OSRRefP22_10x_0)</f>
        <v>17015</v>
      </c>
      <c r="Q57" s="1"/>
      <c r="R57" s="5">
        <f t="shared" si="28"/>
        <v>0</v>
      </c>
      <c r="S57" s="1"/>
      <c r="T57" s="1">
        <f>SUM(OSRRefT22_10x_0)</f>
        <v>6500</v>
      </c>
      <c r="U57" s="1"/>
      <c r="V57" s="5">
        <f t="shared" si="29"/>
        <v>0</v>
      </c>
      <c r="W57" s="1"/>
      <c r="X57" s="1">
        <f t="shared" si="30"/>
        <v>10515</v>
      </c>
      <c r="Y57" s="1"/>
      <c r="Z57" s="5">
        <f t="shared" si="31"/>
        <v>1.6176923076923078</v>
      </c>
    </row>
    <row r="58" spans="1:26" s="24" customFormat="1" hidden="1" outlineLevel="2" x14ac:dyDescent="0.25">
      <c r="A58" s="25"/>
      <c r="B58" s="11" t="str">
        <f>CONCATENATE("          ", "6331", " - ", "INDIRECT COSTS-AUXILIARY ORGAN")</f>
        <v xml:space="preserve">          6331 - INDIRECT COSTS-AUXILIARY ORGAN</v>
      </c>
      <c r="C58" s="11"/>
      <c r="D58" s="7">
        <v>12000</v>
      </c>
      <c r="E58" s="2"/>
      <c r="F58" s="6">
        <f t="shared" si="24"/>
        <v>0</v>
      </c>
      <c r="G58" s="2"/>
      <c r="H58" s="7"/>
      <c r="I58" s="2"/>
      <c r="J58" s="6">
        <f t="shared" si="25"/>
        <v>0</v>
      </c>
      <c r="K58" s="2"/>
      <c r="L58" s="7">
        <f t="shared" si="26"/>
        <v>12000</v>
      </c>
      <c r="M58" s="2"/>
      <c r="N58" s="6">
        <f t="shared" si="27"/>
        <v>0</v>
      </c>
      <c r="O58" s="11"/>
      <c r="P58" s="7">
        <v>12000</v>
      </c>
      <c r="Q58" s="2"/>
      <c r="R58" s="6">
        <f t="shared" si="28"/>
        <v>0</v>
      </c>
      <c r="S58" s="2"/>
      <c r="T58" s="7"/>
      <c r="U58" s="2"/>
      <c r="V58" s="6">
        <f t="shared" si="29"/>
        <v>0</v>
      </c>
      <c r="W58" s="2"/>
      <c r="X58" s="7">
        <f t="shared" si="30"/>
        <v>12000</v>
      </c>
      <c r="Y58" s="2"/>
      <c r="Z58" s="6">
        <f t="shared" si="31"/>
        <v>0</v>
      </c>
    </row>
    <row r="59" spans="1:26" s="24" customFormat="1" hidden="1" outlineLevel="2" x14ac:dyDescent="0.25">
      <c r="A59" s="25"/>
      <c r="B59" s="11" t="str">
        <f>CONCATENATE("          ", "6334", " - ", "LEGAL COUNCIL EXPENSE")</f>
        <v xml:space="preserve">          6334 - LEGAL COUNCIL EXPENSE</v>
      </c>
      <c r="C59" s="11"/>
      <c r="D59" s="7"/>
      <c r="E59" s="2"/>
      <c r="F59" s="6">
        <f t="shared" si="24"/>
        <v>0</v>
      </c>
      <c r="G59" s="2"/>
      <c r="H59" s="7">
        <v>1500</v>
      </c>
      <c r="I59" s="2"/>
      <c r="J59" s="6">
        <f t="shared" si="25"/>
        <v>0</v>
      </c>
      <c r="K59" s="2"/>
      <c r="L59" s="7">
        <f t="shared" si="26"/>
        <v>-1500</v>
      </c>
      <c r="M59" s="2"/>
      <c r="N59" s="6">
        <f t="shared" si="27"/>
        <v>-1</v>
      </c>
      <c r="O59" s="11"/>
      <c r="P59" s="7">
        <v>15</v>
      </c>
      <c r="Q59" s="2"/>
      <c r="R59" s="6">
        <f t="shared" si="28"/>
        <v>0</v>
      </c>
      <c r="S59" s="2"/>
      <c r="T59" s="7">
        <v>1500</v>
      </c>
      <c r="U59" s="2"/>
      <c r="V59" s="6">
        <f t="shared" si="29"/>
        <v>0</v>
      </c>
      <c r="W59" s="2"/>
      <c r="X59" s="7">
        <f t="shared" si="30"/>
        <v>-1485</v>
      </c>
      <c r="Y59" s="2"/>
      <c r="Z59" s="6">
        <f t="shared" si="31"/>
        <v>-0.99</v>
      </c>
    </row>
    <row r="60" spans="1:26" s="24" customFormat="1" hidden="1" outlineLevel="2" x14ac:dyDescent="0.25">
      <c r="A60" s="25"/>
      <c r="B60" s="11" t="str">
        <f>CONCATENATE("          ", "6336", " - ", "PROFESSIONAL SERVICES")</f>
        <v xml:space="preserve">          6336 - PROFESSIONAL SERVICES</v>
      </c>
      <c r="C60" s="11"/>
      <c r="D60" s="7"/>
      <c r="E60" s="2"/>
      <c r="F60" s="6">
        <f t="shared" si="24"/>
        <v>0</v>
      </c>
      <c r="G60" s="2"/>
      <c r="H60" s="7">
        <v>0</v>
      </c>
      <c r="I60" s="2"/>
      <c r="J60" s="6">
        <f t="shared" si="25"/>
        <v>0</v>
      </c>
      <c r="K60" s="2"/>
      <c r="L60" s="7">
        <f t="shared" si="26"/>
        <v>0</v>
      </c>
      <c r="M60" s="2"/>
      <c r="N60" s="6">
        <f t="shared" si="27"/>
        <v>0</v>
      </c>
      <c r="O60" s="11"/>
      <c r="P60" s="7">
        <v>5000</v>
      </c>
      <c r="Q60" s="2"/>
      <c r="R60" s="6">
        <f t="shared" si="28"/>
        <v>0</v>
      </c>
      <c r="S60" s="2"/>
      <c r="T60" s="7">
        <v>5000</v>
      </c>
      <c r="U60" s="2"/>
      <c r="V60" s="6">
        <f t="shared" si="29"/>
        <v>0</v>
      </c>
      <c r="W60" s="2"/>
      <c r="X60" s="7">
        <f t="shared" si="30"/>
        <v>0</v>
      </c>
      <c r="Y60" s="2"/>
      <c r="Z60" s="6">
        <f t="shared" si="31"/>
        <v>0</v>
      </c>
    </row>
    <row r="61" spans="1:26" s="26" customFormat="1" outlineLevel="1" collapsed="1" x14ac:dyDescent="0.25">
      <c r="A61" s="27"/>
      <c r="B61" s="13" t="str">
        <f>CONCATENATE("     ","Repair and Maintenance                            ")</f>
        <v xml:space="preserve">     Repair and Maintenance                            </v>
      </c>
      <c r="C61" s="13"/>
      <c r="D61" s="1">
        <f>SUM(OSRRefD22_11x_0)</f>
        <v>4142.49</v>
      </c>
      <c r="E61" s="1"/>
      <c r="F61" s="5">
        <f t="shared" ref="F61:F64" si="32">IF(D$12=0,0,D61/D$12)</f>
        <v>0</v>
      </c>
      <c r="G61" s="1"/>
      <c r="H61" s="1">
        <f>SUM(OSRRefH22_11x_0)</f>
        <v>2975</v>
      </c>
      <c r="I61" s="1"/>
      <c r="J61" s="5">
        <f t="shared" ref="J61:J64" si="33">IF(H$12=0,0,H61/H$12)</f>
        <v>0</v>
      </c>
      <c r="K61" s="1"/>
      <c r="L61" s="1">
        <f t="shared" ref="L61:L64" si="34">+D61-H61</f>
        <v>1167.4899999999998</v>
      </c>
      <c r="M61" s="1"/>
      <c r="N61" s="5">
        <f t="shared" ref="N61:N64" si="35">IF(H61=0,0,L61/H61)</f>
        <v>0.39243361344537808</v>
      </c>
      <c r="O61" s="13"/>
      <c r="P61" s="1">
        <f>SUM(OSRRefP22_11x_0)</f>
        <v>11860.57</v>
      </c>
      <c r="Q61" s="1"/>
      <c r="R61" s="5">
        <f t="shared" ref="R61:R64" si="36">IF(P$12=0,0,P61/P$12)</f>
        <v>0</v>
      </c>
      <c r="S61" s="1"/>
      <c r="T61" s="1">
        <f>SUM(OSRRefT22_11x_0)</f>
        <v>8925</v>
      </c>
      <c r="U61" s="1"/>
      <c r="V61" s="5">
        <f t="shared" ref="V61:V64" si="37">IF(T$12=0,0,T61/T$12)</f>
        <v>0</v>
      </c>
      <c r="W61" s="1"/>
      <c r="X61" s="1">
        <f t="shared" ref="X61:X64" si="38">+P61-T61</f>
        <v>2935.5699999999997</v>
      </c>
      <c r="Y61" s="1"/>
      <c r="Z61" s="5">
        <f t="shared" ref="Z61:Z64" si="39">IF(T61=0,0,X61/T61)</f>
        <v>0.32891540616246495</v>
      </c>
    </row>
    <row r="62" spans="1:26" s="24" customFormat="1" hidden="1" outlineLevel="2" x14ac:dyDescent="0.25">
      <c r="A62" s="25"/>
      <c r="B62" s="11" t="str">
        <f>CONCATENATE("          ", "6371", " - ", "COMPUTER SOFTWARE MAINTENANCE")</f>
        <v xml:space="preserve">          6371 - COMPUTER SOFTWARE MAINTENANCE</v>
      </c>
      <c r="C62" s="11"/>
      <c r="D62" s="7">
        <v>31.58</v>
      </c>
      <c r="E62" s="2"/>
      <c r="F62" s="6">
        <f t="shared" si="32"/>
        <v>0</v>
      </c>
      <c r="G62" s="2"/>
      <c r="H62" s="7"/>
      <c r="I62" s="2"/>
      <c r="J62" s="6">
        <f t="shared" si="33"/>
        <v>0</v>
      </c>
      <c r="K62" s="2"/>
      <c r="L62" s="7">
        <f t="shared" si="34"/>
        <v>31.58</v>
      </c>
      <c r="M62" s="2"/>
      <c r="N62" s="6">
        <f t="shared" si="35"/>
        <v>0</v>
      </c>
      <c r="O62" s="11"/>
      <c r="P62" s="7">
        <v>31.58</v>
      </c>
      <c r="Q62" s="2"/>
      <c r="R62" s="6">
        <f t="shared" si="36"/>
        <v>0</v>
      </c>
      <c r="S62" s="2"/>
      <c r="T62" s="7"/>
      <c r="U62" s="2"/>
      <c r="V62" s="6">
        <f t="shared" si="37"/>
        <v>0</v>
      </c>
      <c r="W62" s="2"/>
      <c r="X62" s="7">
        <f t="shared" si="38"/>
        <v>31.58</v>
      </c>
      <c r="Y62" s="2"/>
      <c r="Z62" s="6">
        <f t="shared" si="39"/>
        <v>0</v>
      </c>
    </row>
    <row r="63" spans="1:26" s="24" customFormat="1" hidden="1" outlineLevel="2" x14ac:dyDescent="0.25">
      <c r="A63" s="25"/>
      <c r="B63" s="11" t="str">
        <f>CONCATENATE("          ", "6373", " - ", "MAINTENANCE CONTRACTS")</f>
        <v xml:space="preserve">          6373 - MAINTENANCE CONTRACTS</v>
      </c>
      <c r="C63" s="11"/>
      <c r="D63" s="7">
        <v>4110.91</v>
      </c>
      <c r="E63" s="2"/>
      <c r="F63" s="6">
        <f t="shared" si="32"/>
        <v>0</v>
      </c>
      <c r="G63" s="2"/>
      <c r="H63" s="7">
        <v>2975</v>
      </c>
      <c r="I63" s="2"/>
      <c r="J63" s="6">
        <f t="shared" si="33"/>
        <v>0</v>
      </c>
      <c r="K63" s="2"/>
      <c r="L63" s="7">
        <f t="shared" si="34"/>
        <v>1135.9099999999999</v>
      </c>
      <c r="M63" s="2"/>
      <c r="N63" s="6">
        <f t="shared" si="35"/>
        <v>0.38181848739495794</v>
      </c>
      <c r="O63" s="11"/>
      <c r="P63" s="7">
        <v>11741.24</v>
      </c>
      <c r="Q63" s="2"/>
      <c r="R63" s="6">
        <f t="shared" si="36"/>
        <v>0</v>
      </c>
      <c r="S63" s="2"/>
      <c r="T63" s="7">
        <v>8925</v>
      </c>
      <c r="U63" s="2"/>
      <c r="V63" s="6">
        <f t="shared" si="37"/>
        <v>0</v>
      </c>
      <c r="W63" s="2"/>
      <c r="X63" s="7">
        <f t="shared" si="38"/>
        <v>2816.24</v>
      </c>
      <c r="Y63" s="2"/>
      <c r="Z63" s="6">
        <f t="shared" si="39"/>
        <v>0.31554509803921565</v>
      </c>
    </row>
    <row r="64" spans="1:26" s="24" customFormat="1" hidden="1" outlineLevel="2" x14ac:dyDescent="0.25">
      <c r="A64" s="25"/>
      <c r="B64" s="11" t="str">
        <f>CONCATENATE("          ", "6375", " - ", "OUTSIDE REPAIRS &amp; MAINTENANCE")</f>
        <v xml:space="preserve">          6375 - OUTSIDE REPAIRS &amp; MAINTENANCE</v>
      </c>
      <c r="C64" s="11"/>
      <c r="D64" s="7"/>
      <c r="E64" s="2"/>
      <c r="F64" s="6">
        <f t="shared" si="32"/>
        <v>0</v>
      </c>
      <c r="G64" s="2"/>
      <c r="H64" s="7"/>
      <c r="I64" s="2"/>
      <c r="J64" s="6">
        <f t="shared" si="33"/>
        <v>0</v>
      </c>
      <c r="K64" s="2"/>
      <c r="L64" s="7">
        <f t="shared" si="34"/>
        <v>0</v>
      </c>
      <c r="M64" s="2"/>
      <c r="N64" s="6">
        <f t="shared" si="35"/>
        <v>0</v>
      </c>
      <c r="O64" s="11"/>
      <c r="P64" s="7">
        <v>87.75</v>
      </c>
      <c r="Q64" s="2"/>
      <c r="R64" s="6">
        <f t="shared" si="36"/>
        <v>0</v>
      </c>
      <c r="S64" s="2"/>
      <c r="T64" s="7"/>
      <c r="U64" s="2"/>
      <c r="V64" s="6">
        <f t="shared" si="37"/>
        <v>0</v>
      </c>
      <c r="W64" s="2"/>
      <c r="X64" s="7">
        <f t="shared" si="38"/>
        <v>87.75</v>
      </c>
      <c r="Y64" s="2"/>
      <c r="Z64" s="6">
        <f t="shared" si="39"/>
        <v>0</v>
      </c>
    </row>
    <row r="65" spans="1:26" s="26" customFormat="1" outlineLevel="1" collapsed="1" x14ac:dyDescent="0.25">
      <c r="A65" s="27"/>
      <c r="B65" s="13" t="str">
        <f>CONCATENATE("     ","Subscriptions &amp; Dues                              ")</f>
        <v xml:space="preserve">     Subscriptions &amp; Dues                              </v>
      </c>
      <c r="C65" s="13"/>
      <c r="D65" s="1">
        <f>SUM(OSRRefD22_12x_0)</f>
        <v>0</v>
      </c>
      <c r="E65" s="1"/>
      <c r="F65" s="5">
        <f t="shared" ref="F65:F70" si="40">IF(D$12=0,0,D65/D$12)</f>
        <v>0</v>
      </c>
      <c r="G65" s="1"/>
      <c r="H65" s="1">
        <f>SUM(OSRRefH22_12x_0)</f>
        <v>0</v>
      </c>
      <c r="I65" s="1"/>
      <c r="J65" s="5">
        <f t="shared" ref="J65:J70" si="41">IF(H$12=0,0,H65/H$12)</f>
        <v>0</v>
      </c>
      <c r="K65" s="1"/>
      <c r="L65" s="1">
        <f t="shared" ref="L65:L70" si="42">+D65-H65</f>
        <v>0</v>
      </c>
      <c r="M65" s="1"/>
      <c r="N65" s="5">
        <f t="shared" ref="N65:N70" si="43">IF(H65=0,0,L65/H65)</f>
        <v>0</v>
      </c>
      <c r="O65" s="13"/>
      <c r="P65" s="1">
        <f>SUM(OSRRefP22_12x_0)</f>
        <v>1000</v>
      </c>
      <c r="Q65" s="1"/>
      <c r="R65" s="5">
        <f t="shared" ref="R65:R70" si="44">IF(P$12=0,0,P65/P$12)</f>
        <v>0</v>
      </c>
      <c r="S65" s="1"/>
      <c r="T65" s="1">
        <f>SUM(OSRRefT22_12x_0)</f>
        <v>1230</v>
      </c>
      <c r="U65" s="1"/>
      <c r="V65" s="5">
        <f t="shared" ref="V65:V70" si="45">IF(T$12=0,0,T65/T$12)</f>
        <v>0</v>
      </c>
      <c r="W65" s="1"/>
      <c r="X65" s="1">
        <f t="shared" ref="X65:X70" si="46">+P65-T65</f>
        <v>-230</v>
      </c>
      <c r="Y65" s="1"/>
      <c r="Z65" s="5">
        <f t="shared" ref="Z65:Z70" si="47">IF(T65=0,0,X65/T65)</f>
        <v>-0.18699186991869918</v>
      </c>
    </row>
    <row r="66" spans="1:26" s="24" customFormat="1" hidden="1" outlineLevel="2" x14ac:dyDescent="0.25">
      <c r="A66" s="25"/>
      <c r="B66" s="11" t="str">
        <f>CONCATENATE("          ", "6258", " - ", "MEMBERSHIP DUES")</f>
        <v xml:space="preserve">          6258 - MEMBERSHIP DUES</v>
      </c>
      <c r="C66" s="11"/>
      <c r="D66" s="7"/>
      <c r="E66" s="2"/>
      <c r="F66" s="6">
        <f t="shared" si="40"/>
        <v>0</v>
      </c>
      <c r="G66" s="2"/>
      <c r="H66" s="7"/>
      <c r="I66" s="2"/>
      <c r="J66" s="6">
        <f t="shared" si="41"/>
        <v>0</v>
      </c>
      <c r="K66" s="2"/>
      <c r="L66" s="7">
        <f t="shared" si="42"/>
        <v>0</v>
      </c>
      <c r="M66" s="2"/>
      <c r="N66" s="6">
        <f t="shared" si="43"/>
        <v>0</v>
      </c>
      <c r="O66" s="11"/>
      <c r="P66" s="7">
        <v>1000</v>
      </c>
      <c r="Q66" s="2"/>
      <c r="R66" s="6">
        <f t="shared" si="44"/>
        <v>0</v>
      </c>
      <c r="S66" s="2"/>
      <c r="T66" s="7">
        <v>1230</v>
      </c>
      <c r="U66" s="2"/>
      <c r="V66" s="6">
        <f t="shared" si="45"/>
        <v>0</v>
      </c>
      <c r="W66" s="2"/>
      <c r="X66" s="7">
        <f t="shared" si="46"/>
        <v>-230</v>
      </c>
      <c r="Y66" s="2"/>
      <c r="Z66" s="6">
        <f t="shared" si="47"/>
        <v>-0.18699186991869918</v>
      </c>
    </row>
    <row r="67" spans="1:26" s="26" customFormat="1" outlineLevel="1" collapsed="1" x14ac:dyDescent="0.25">
      <c r="A67" s="27"/>
      <c r="B67" s="13" t="str">
        <f>CONCATENATE("     ","Supplies                                          ")</f>
        <v xml:space="preserve">     Supplies                                          </v>
      </c>
      <c r="C67" s="13"/>
      <c r="D67" s="1">
        <f>SUM(OSRRefD22_13x_0)</f>
        <v>1505.9</v>
      </c>
      <c r="E67" s="1"/>
      <c r="F67" s="5">
        <f t="shared" si="40"/>
        <v>0</v>
      </c>
      <c r="G67" s="1"/>
      <c r="H67" s="1">
        <f>SUM(OSRRefH22_13x_0)</f>
        <v>1000</v>
      </c>
      <c r="I67" s="1"/>
      <c r="J67" s="5">
        <f t="shared" si="41"/>
        <v>0</v>
      </c>
      <c r="K67" s="1"/>
      <c r="L67" s="1">
        <f t="shared" si="42"/>
        <v>505.90000000000009</v>
      </c>
      <c r="M67" s="1"/>
      <c r="N67" s="5">
        <f t="shared" si="43"/>
        <v>0.50590000000000013</v>
      </c>
      <c r="O67" s="13"/>
      <c r="P67" s="1">
        <f>SUM(OSRRefP22_13x_0)</f>
        <v>1803.6499999999999</v>
      </c>
      <c r="Q67" s="1"/>
      <c r="R67" s="5">
        <f t="shared" si="44"/>
        <v>0</v>
      </c>
      <c r="S67" s="1"/>
      <c r="T67" s="1">
        <f>SUM(OSRRefT22_13x_0)</f>
        <v>2000</v>
      </c>
      <c r="U67" s="1"/>
      <c r="V67" s="5">
        <f t="shared" si="45"/>
        <v>0</v>
      </c>
      <c r="W67" s="1"/>
      <c r="X67" s="1">
        <f t="shared" si="46"/>
        <v>-196.35000000000014</v>
      </c>
      <c r="Y67" s="1"/>
      <c r="Z67" s="5">
        <f t="shared" si="47"/>
        <v>-9.8175000000000068E-2</v>
      </c>
    </row>
    <row r="68" spans="1:26" s="24" customFormat="1" hidden="1" outlineLevel="2" x14ac:dyDescent="0.25">
      <c r="A68" s="25"/>
      <c r="B68" s="11" t="str">
        <f>CONCATENATE("          ", "6234", " - ", "EXPENDABLE SUPPLIES &amp; EQUIPMEN")</f>
        <v xml:space="preserve">          6234 - EXPENDABLE SUPPLIES &amp; EQUIPMEN</v>
      </c>
      <c r="C68" s="11"/>
      <c r="D68" s="7">
        <v>217.02</v>
      </c>
      <c r="E68" s="2"/>
      <c r="F68" s="6">
        <f t="shared" si="40"/>
        <v>0</v>
      </c>
      <c r="G68" s="2"/>
      <c r="H68" s="7">
        <v>1000</v>
      </c>
      <c r="I68" s="2"/>
      <c r="J68" s="6">
        <f t="shared" si="41"/>
        <v>0</v>
      </c>
      <c r="K68" s="2"/>
      <c r="L68" s="7">
        <f t="shared" si="42"/>
        <v>-782.98</v>
      </c>
      <c r="M68" s="2"/>
      <c r="N68" s="6">
        <f t="shared" si="43"/>
        <v>-0.78298000000000001</v>
      </c>
      <c r="O68" s="11"/>
      <c r="P68" s="7">
        <v>217.02</v>
      </c>
      <c r="Q68" s="2"/>
      <c r="R68" s="6">
        <f t="shared" si="44"/>
        <v>0</v>
      </c>
      <c r="S68" s="2"/>
      <c r="T68" s="7">
        <v>2000</v>
      </c>
      <c r="U68" s="2"/>
      <c r="V68" s="6">
        <f t="shared" si="45"/>
        <v>0</v>
      </c>
      <c r="W68" s="2"/>
      <c r="X68" s="7">
        <f t="shared" si="46"/>
        <v>-1782.98</v>
      </c>
      <c r="Y68" s="2"/>
      <c r="Z68" s="6">
        <f t="shared" si="47"/>
        <v>-0.89149</v>
      </c>
    </row>
    <row r="69" spans="1:26" s="24" customFormat="1" hidden="1" outlineLevel="2" x14ac:dyDescent="0.25">
      <c r="A69" s="25"/>
      <c r="B69" s="11" t="str">
        <f>CONCATENATE("          ", "6241", " - ", "OFFICE EXPENSE")</f>
        <v xml:space="preserve">          6241 - OFFICE EXPENSE</v>
      </c>
      <c r="C69" s="11"/>
      <c r="D69" s="7">
        <v>1288.8800000000001</v>
      </c>
      <c r="E69" s="2"/>
      <c r="F69" s="6">
        <f t="shared" si="40"/>
        <v>0</v>
      </c>
      <c r="G69" s="2"/>
      <c r="H69" s="7"/>
      <c r="I69" s="2"/>
      <c r="J69" s="6">
        <f t="shared" si="41"/>
        <v>0</v>
      </c>
      <c r="K69" s="2"/>
      <c r="L69" s="7">
        <f t="shared" si="42"/>
        <v>1288.8800000000001</v>
      </c>
      <c r="M69" s="2"/>
      <c r="N69" s="6">
        <f t="shared" si="43"/>
        <v>0</v>
      </c>
      <c r="O69" s="11"/>
      <c r="P69" s="7">
        <v>1554.77</v>
      </c>
      <c r="Q69" s="2"/>
      <c r="R69" s="6">
        <f t="shared" si="44"/>
        <v>0</v>
      </c>
      <c r="S69" s="2"/>
      <c r="T69" s="7"/>
      <c r="U69" s="2"/>
      <c r="V69" s="6">
        <f t="shared" si="45"/>
        <v>0</v>
      </c>
      <c r="W69" s="2"/>
      <c r="X69" s="7">
        <f t="shared" si="46"/>
        <v>1554.77</v>
      </c>
      <c r="Y69" s="2"/>
      <c r="Z69" s="6">
        <f t="shared" si="47"/>
        <v>0</v>
      </c>
    </row>
    <row r="70" spans="1:26" s="24" customFormat="1" hidden="1" outlineLevel="2" x14ac:dyDescent="0.25">
      <c r="A70" s="25"/>
      <c r="B70" s="11" t="str">
        <f>CONCATENATE("          ", "6245", " - ", "PRINTING")</f>
        <v xml:space="preserve">          6245 - PRINTING</v>
      </c>
      <c r="C70" s="11"/>
      <c r="D70" s="7"/>
      <c r="E70" s="2"/>
      <c r="F70" s="6">
        <f t="shared" si="40"/>
        <v>0</v>
      </c>
      <c r="G70" s="2"/>
      <c r="H70" s="7"/>
      <c r="I70" s="2"/>
      <c r="J70" s="6">
        <f t="shared" si="41"/>
        <v>0</v>
      </c>
      <c r="K70" s="2"/>
      <c r="L70" s="7">
        <f t="shared" si="42"/>
        <v>0</v>
      </c>
      <c r="M70" s="2"/>
      <c r="N70" s="6">
        <f t="shared" si="43"/>
        <v>0</v>
      </c>
      <c r="O70" s="11"/>
      <c r="P70" s="7">
        <v>31.86</v>
      </c>
      <c r="Q70" s="2"/>
      <c r="R70" s="6">
        <f t="shared" si="44"/>
        <v>0</v>
      </c>
      <c r="S70" s="2"/>
      <c r="T70" s="7"/>
      <c r="U70" s="2"/>
      <c r="V70" s="6">
        <f t="shared" si="45"/>
        <v>0</v>
      </c>
      <c r="W70" s="2"/>
      <c r="X70" s="7">
        <f t="shared" si="46"/>
        <v>31.86</v>
      </c>
      <c r="Y70" s="2"/>
      <c r="Z70" s="6">
        <f t="shared" si="47"/>
        <v>0</v>
      </c>
    </row>
    <row r="71" spans="1:26" s="26" customFormat="1" outlineLevel="1" collapsed="1" x14ac:dyDescent="0.25">
      <c r="A71" s="27"/>
      <c r="B71" s="13" t="str">
        <f>CONCATENATE("     ","Telephone/Data Lines                              ")</f>
        <v xml:space="preserve">     Telephone/Data Lines                              </v>
      </c>
      <c r="C71" s="13"/>
      <c r="D71" s="1">
        <f>SUM(OSRRefD22_14x_0)</f>
        <v>450</v>
      </c>
      <c r="E71" s="1"/>
      <c r="F71" s="5">
        <f t="shared" ref="F71:F76" si="48">IF(D$12=0,0,D71/D$12)</f>
        <v>0</v>
      </c>
      <c r="G71" s="1"/>
      <c r="H71" s="1">
        <f>SUM(OSRRefH22_14x_0)</f>
        <v>350</v>
      </c>
      <c r="I71" s="1"/>
      <c r="J71" s="5">
        <f t="shared" ref="J71:J76" si="49">IF(H$12=0,0,H71/H$12)</f>
        <v>0</v>
      </c>
      <c r="K71" s="1"/>
      <c r="L71" s="1">
        <f t="shared" ref="L71:L76" si="50">+D71-H71</f>
        <v>100</v>
      </c>
      <c r="M71" s="1"/>
      <c r="N71" s="5">
        <f t="shared" ref="N71:N76" si="51">IF(H71=0,0,L71/H71)</f>
        <v>0.2857142857142857</v>
      </c>
      <c r="O71" s="13"/>
      <c r="P71" s="1">
        <f>SUM(OSRRefP22_14x_0)</f>
        <v>909.63</v>
      </c>
      <c r="Q71" s="1"/>
      <c r="R71" s="5">
        <f t="shared" ref="R71:R76" si="52">IF(P$12=0,0,P71/P$12)</f>
        <v>0</v>
      </c>
      <c r="S71" s="1"/>
      <c r="T71" s="1">
        <f>SUM(OSRRefT22_14x_0)</f>
        <v>1050</v>
      </c>
      <c r="U71" s="1"/>
      <c r="V71" s="5">
        <f t="shared" ref="V71:V76" si="53">IF(T$12=0,0,T71/T$12)</f>
        <v>0</v>
      </c>
      <c r="W71" s="1"/>
      <c r="X71" s="1">
        <f t="shared" ref="X71:X76" si="54">+P71-T71</f>
        <v>-140.37</v>
      </c>
      <c r="Y71" s="1"/>
      <c r="Z71" s="5">
        <f t="shared" ref="Z71:Z76" si="55">IF(T71=0,0,X71/T71)</f>
        <v>-0.1336857142857143</v>
      </c>
    </row>
    <row r="72" spans="1:26" s="24" customFormat="1" hidden="1" outlineLevel="2" x14ac:dyDescent="0.25">
      <c r="A72" s="25"/>
      <c r="B72" s="11" t="str">
        <f>CONCATENATE("          ", "6309", " - ", "TELEPHONE")</f>
        <v xml:space="preserve">          6309 - TELEPHONE</v>
      </c>
      <c r="C72" s="11"/>
      <c r="D72" s="7">
        <v>450</v>
      </c>
      <c r="E72" s="2"/>
      <c r="F72" s="6">
        <f t="shared" si="48"/>
        <v>0</v>
      </c>
      <c r="G72" s="2"/>
      <c r="H72" s="7">
        <v>350</v>
      </c>
      <c r="I72" s="2"/>
      <c r="J72" s="6">
        <f t="shared" si="49"/>
        <v>0</v>
      </c>
      <c r="K72" s="2"/>
      <c r="L72" s="7">
        <f t="shared" si="50"/>
        <v>100</v>
      </c>
      <c r="M72" s="2"/>
      <c r="N72" s="6">
        <f t="shared" si="51"/>
        <v>0.2857142857142857</v>
      </c>
      <c r="O72" s="11"/>
      <c r="P72" s="7">
        <v>909.63</v>
      </c>
      <c r="Q72" s="2"/>
      <c r="R72" s="6">
        <f t="shared" si="52"/>
        <v>0</v>
      </c>
      <c r="S72" s="2"/>
      <c r="T72" s="7">
        <v>1050</v>
      </c>
      <c r="U72" s="2"/>
      <c r="V72" s="6">
        <f t="shared" si="53"/>
        <v>0</v>
      </c>
      <c r="W72" s="2"/>
      <c r="X72" s="7">
        <f t="shared" si="54"/>
        <v>-140.37</v>
      </c>
      <c r="Y72" s="2"/>
      <c r="Z72" s="6">
        <f t="shared" si="55"/>
        <v>-0.1336857142857143</v>
      </c>
    </row>
    <row r="73" spans="1:26" s="26" customFormat="1" outlineLevel="1" collapsed="1" x14ac:dyDescent="0.25">
      <c r="A73" s="27"/>
      <c r="B73" s="13" t="str">
        <f>CONCATENATE("     ","Training                                          ")</f>
        <v xml:space="preserve">     Training                                          </v>
      </c>
      <c r="C73" s="13"/>
      <c r="D73" s="1">
        <f>SUM(OSRRefD22_15x_0)</f>
        <v>0</v>
      </c>
      <c r="E73" s="1"/>
      <c r="F73" s="5">
        <f t="shared" si="48"/>
        <v>0</v>
      </c>
      <c r="G73" s="1"/>
      <c r="H73" s="1">
        <f>SUM(OSRRefH22_15x_0)</f>
        <v>500</v>
      </c>
      <c r="I73" s="1"/>
      <c r="J73" s="5">
        <f t="shared" si="49"/>
        <v>0</v>
      </c>
      <c r="K73" s="1"/>
      <c r="L73" s="1">
        <f t="shared" si="50"/>
        <v>-500</v>
      </c>
      <c r="M73" s="1"/>
      <c r="N73" s="5">
        <f t="shared" si="51"/>
        <v>-1</v>
      </c>
      <c r="O73" s="13"/>
      <c r="P73" s="1">
        <f>SUM(OSRRefP22_15x_0)</f>
        <v>0</v>
      </c>
      <c r="Q73" s="1"/>
      <c r="R73" s="5">
        <f t="shared" si="52"/>
        <v>0</v>
      </c>
      <c r="S73" s="1"/>
      <c r="T73" s="1">
        <f>SUM(OSRRefT22_15x_0)</f>
        <v>1700</v>
      </c>
      <c r="U73" s="1"/>
      <c r="V73" s="5">
        <f t="shared" si="53"/>
        <v>0</v>
      </c>
      <c r="W73" s="1"/>
      <c r="X73" s="1">
        <f t="shared" si="54"/>
        <v>-1700</v>
      </c>
      <c r="Y73" s="1"/>
      <c r="Z73" s="5">
        <f t="shared" si="55"/>
        <v>-1</v>
      </c>
    </row>
    <row r="74" spans="1:26" s="24" customFormat="1" hidden="1" outlineLevel="2" x14ac:dyDescent="0.25">
      <c r="A74" s="25"/>
      <c r="B74" s="11" t="str">
        <f>CONCATENATE("          ", "6376", " - ", "TRAINING")</f>
        <v xml:space="preserve">          6376 - TRAINING</v>
      </c>
      <c r="C74" s="11"/>
      <c r="D74" s="7"/>
      <c r="E74" s="2"/>
      <c r="F74" s="6">
        <f t="shared" si="48"/>
        <v>0</v>
      </c>
      <c r="G74" s="2"/>
      <c r="H74" s="7">
        <v>500</v>
      </c>
      <c r="I74" s="2"/>
      <c r="J74" s="6">
        <f t="shared" si="49"/>
        <v>0</v>
      </c>
      <c r="K74" s="2"/>
      <c r="L74" s="7">
        <f t="shared" si="50"/>
        <v>-500</v>
      </c>
      <c r="M74" s="2"/>
      <c r="N74" s="6">
        <f t="shared" si="51"/>
        <v>-1</v>
      </c>
      <c r="O74" s="11"/>
      <c r="P74" s="7"/>
      <c r="Q74" s="2"/>
      <c r="R74" s="6">
        <f t="shared" si="52"/>
        <v>0</v>
      </c>
      <c r="S74" s="2"/>
      <c r="T74" s="7">
        <v>1700</v>
      </c>
      <c r="U74" s="2"/>
      <c r="V74" s="6">
        <f t="shared" si="53"/>
        <v>0</v>
      </c>
      <c r="W74" s="2"/>
      <c r="X74" s="7">
        <f t="shared" si="54"/>
        <v>-1700</v>
      </c>
      <c r="Y74" s="2"/>
      <c r="Z74" s="6">
        <f t="shared" si="55"/>
        <v>-1</v>
      </c>
    </row>
    <row r="75" spans="1:26" s="26" customFormat="1" outlineLevel="1" collapsed="1" x14ac:dyDescent="0.25">
      <c r="A75" s="27"/>
      <c r="B75" s="13" t="str">
        <f>CONCATENATE("     ","Travel                                            ")</f>
        <v xml:space="preserve">     Travel                                            </v>
      </c>
      <c r="C75" s="13"/>
      <c r="D75" s="1">
        <f>SUM(OSRRefD22_16x_0)</f>
        <v>173.86</v>
      </c>
      <c r="E75" s="1"/>
      <c r="F75" s="5">
        <f t="shared" si="48"/>
        <v>0</v>
      </c>
      <c r="G75" s="1"/>
      <c r="H75" s="1">
        <f>SUM(OSRRefH22_16x_0)</f>
        <v>250</v>
      </c>
      <c r="I75" s="1"/>
      <c r="J75" s="5">
        <f t="shared" si="49"/>
        <v>0</v>
      </c>
      <c r="K75" s="1"/>
      <c r="L75" s="1">
        <f t="shared" si="50"/>
        <v>-76.139999999999986</v>
      </c>
      <c r="M75" s="1"/>
      <c r="N75" s="5">
        <f t="shared" si="51"/>
        <v>-0.30455999999999994</v>
      </c>
      <c r="O75" s="13"/>
      <c r="P75" s="1">
        <f>SUM(OSRRefP22_16x_0)</f>
        <v>2981.12</v>
      </c>
      <c r="Q75" s="1"/>
      <c r="R75" s="5">
        <f t="shared" si="52"/>
        <v>0</v>
      </c>
      <c r="S75" s="1"/>
      <c r="T75" s="1">
        <f>SUM(OSRRefT22_16x_0)</f>
        <v>2500</v>
      </c>
      <c r="U75" s="1"/>
      <c r="V75" s="5">
        <f t="shared" si="53"/>
        <v>0</v>
      </c>
      <c r="W75" s="1"/>
      <c r="X75" s="1">
        <f t="shared" si="54"/>
        <v>481.11999999999989</v>
      </c>
      <c r="Y75" s="1"/>
      <c r="Z75" s="5">
        <f t="shared" si="55"/>
        <v>0.19244799999999995</v>
      </c>
    </row>
    <row r="76" spans="1:26" s="24" customFormat="1" hidden="1" outlineLevel="2" x14ac:dyDescent="0.25">
      <c r="A76" s="25"/>
      <c r="B76" s="11" t="str">
        <f>CONCATENATE("          ", "6292", " - ", "TRAVEL/CONFERENCE")</f>
        <v xml:space="preserve">          6292 - TRAVEL/CONFERENCE</v>
      </c>
      <c r="C76" s="11"/>
      <c r="D76" s="7">
        <v>173.86</v>
      </c>
      <c r="E76" s="2"/>
      <c r="F76" s="6">
        <f t="shared" si="48"/>
        <v>0</v>
      </c>
      <c r="G76" s="2"/>
      <c r="H76" s="7">
        <v>250</v>
      </c>
      <c r="I76" s="2"/>
      <c r="J76" s="6">
        <f t="shared" si="49"/>
        <v>0</v>
      </c>
      <c r="K76" s="2"/>
      <c r="L76" s="7">
        <f t="shared" si="50"/>
        <v>-76.139999999999986</v>
      </c>
      <c r="M76" s="2"/>
      <c r="N76" s="6">
        <f t="shared" si="51"/>
        <v>-0.30455999999999994</v>
      </c>
      <c r="O76" s="11"/>
      <c r="P76" s="7">
        <v>2981.12</v>
      </c>
      <c r="Q76" s="2"/>
      <c r="R76" s="6">
        <f t="shared" si="52"/>
        <v>0</v>
      </c>
      <c r="S76" s="2"/>
      <c r="T76" s="7">
        <v>2500</v>
      </c>
      <c r="U76" s="2"/>
      <c r="V76" s="6">
        <f t="shared" si="53"/>
        <v>0</v>
      </c>
      <c r="W76" s="2"/>
      <c r="X76" s="7">
        <f t="shared" si="54"/>
        <v>481.11999999999989</v>
      </c>
      <c r="Y76" s="2"/>
      <c r="Z76" s="6">
        <f t="shared" si="55"/>
        <v>0.19244799999999995</v>
      </c>
    </row>
    <row r="77" spans="1:26" s="63" customFormat="1" x14ac:dyDescent="0.25">
      <c r="A77" s="36"/>
      <c r="B77" s="36"/>
      <c r="C77" s="36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6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x14ac:dyDescent="0.25">
      <c r="A78" s="10"/>
      <c r="B78" s="28" t="s">
        <v>0</v>
      </c>
      <c r="C78" s="10"/>
      <c r="D78" s="4">
        <f>SUM(0)</f>
        <v>0</v>
      </c>
      <c r="E78" s="4"/>
      <c r="F78" s="12">
        <f>IF(D$12=0,0,D78/D$12)</f>
        <v>0</v>
      </c>
      <c r="G78" s="4"/>
      <c r="H78" s="4">
        <f>SUM(0)</f>
        <v>0</v>
      </c>
      <c r="I78" s="4"/>
      <c r="J78" s="12">
        <f>IF(H$12=0,0,H78/H$12)</f>
        <v>0</v>
      </c>
      <c r="K78" s="4"/>
      <c r="L78" s="4">
        <f>+D78-H78</f>
        <v>0</v>
      </c>
      <c r="M78" s="4"/>
      <c r="N78" s="12">
        <f>IF(H78=0,0,L78/H78)</f>
        <v>0</v>
      </c>
      <c r="O78" s="10"/>
      <c r="P78" s="4">
        <f>SUM(0)</f>
        <v>0</v>
      </c>
      <c r="Q78" s="4"/>
      <c r="R78" s="12">
        <f>IF(P$12=0,0,P78/P$12)</f>
        <v>0</v>
      </c>
      <c r="S78" s="4"/>
      <c r="T78" s="4">
        <f>SUM(0)</f>
        <v>0</v>
      </c>
      <c r="U78" s="4"/>
      <c r="V78" s="12">
        <f>IF(T$12=0,0,T78/T$12)</f>
        <v>0</v>
      </c>
      <c r="W78" s="4"/>
      <c r="X78" s="4">
        <f>+P78-T78</f>
        <v>0</v>
      </c>
      <c r="Y78" s="4"/>
      <c r="Z78" s="12">
        <f>IF(T78=0,0,X78/T78)</f>
        <v>0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10"/>
      <c r="B80" s="29" t="s">
        <v>3</v>
      </c>
      <c r="C80" s="29"/>
      <c r="D80" s="22">
        <f>+D16-D18+D78</f>
        <v>-86715.000000000029</v>
      </c>
      <c r="E80" s="14"/>
      <c r="F80" s="20">
        <f>IF(D$12=0,0,D80/D$12)</f>
        <v>0</v>
      </c>
      <c r="G80" s="14"/>
      <c r="H80" s="22">
        <f>+H16-H18+H78</f>
        <v>-63646.394416923045</v>
      </c>
      <c r="I80" s="14"/>
      <c r="J80" s="20">
        <f>IF(H$12=0,0,H80/H$12)</f>
        <v>0</v>
      </c>
      <c r="K80" s="15"/>
      <c r="L80" s="22">
        <f>+D80-H80</f>
        <v>-23068.605583076984</v>
      </c>
      <c r="M80" s="15"/>
      <c r="N80" s="20">
        <f>IF(H80=0,0,L80/H80)</f>
        <v>0.36244952749347314</v>
      </c>
      <c r="O80" s="28"/>
      <c r="P80" s="22">
        <f>+P16-P18+P78</f>
        <v>-331588.10000000003</v>
      </c>
      <c r="Q80" s="14"/>
      <c r="R80" s="20">
        <f>IF(P$12=0,0,P80/P$12)</f>
        <v>0</v>
      </c>
      <c r="S80" s="14"/>
      <c r="T80" s="22">
        <f>+T16-T18+T78</f>
        <v>-518134.03185499995</v>
      </c>
      <c r="U80" s="14"/>
      <c r="V80" s="20">
        <f>IF(T$12=0,0,T80/T$12)</f>
        <v>0</v>
      </c>
      <c r="W80" s="15"/>
      <c r="X80" s="22">
        <f>+P80-T80</f>
        <v>186545.93185499992</v>
      </c>
      <c r="Y80" s="15"/>
      <c r="Z80" s="20">
        <f>IF(T80=0,0,X80/T80)</f>
        <v>-0.360034123192288</v>
      </c>
    </row>
    <row r="81" spans="1:26" x14ac:dyDescent="0.25">
      <c r="A81" s="9"/>
      <c r="B81" s="10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52"/>
      <c r="B82" s="10" t="s">
        <v>14</v>
      </c>
      <c r="C82" s="10"/>
      <c r="D82" s="4"/>
      <c r="E82" s="4"/>
      <c r="F82" s="12">
        <f>IF(D$12=0,0,D82/D$12)</f>
        <v>0</v>
      </c>
      <c r="G82" s="4"/>
      <c r="H82" s="4"/>
      <c r="I82" s="4"/>
      <c r="J82" s="12">
        <f>IF(H$12=0,0,H82/H$12)</f>
        <v>0</v>
      </c>
      <c r="K82" s="4"/>
      <c r="L82" s="4">
        <f>+D82-H82</f>
        <v>0</v>
      </c>
      <c r="M82" s="4"/>
      <c r="N82" s="12">
        <f>IF(H82=0,0,L82/H82)</f>
        <v>0</v>
      </c>
      <c r="O82" s="10"/>
      <c r="P82" s="4"/>
      <c r="Q82" s="4"/>
      <c r="R82" s="12">
        <f>IF(P$12=0,0,P82/P$12)</f>
        <v>0</v>
      </c>
      <c r="S82" s="4"/>
      <c r="T82" s="4">
        <v>0</v>
      </c>
      <c r="U82" s="4"/>
      <c r="V82" s="12">
        <f>IF(T$12=0,0,T82/T$12)</f>
        <v>0</v>
      </c>
      <c r="W82" s="4"/>
      <c r="X82" s="4">
        <f>+P82-T82</f>
        <v>0</v>
      </c>
      <c r="Y82" s="4"/>
      <c r="Z82" s="12">
        <f>IF(T82=0,0,X82/T82)</f>
        <v>0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9" t="s">
        <v>4</v>
      </c>
      <c r="C84" s="29"/>
      <c r="D84" s="35">
        <f>+D80-D82</f>
        <v>-86715.000000000029</v>
      </c>
      <c r="E84" s="14"/>
      <c r="F84" s="32">
        <f>IF(D$12=0,0,D84/D$12)</f>
        <v>0</v>
      </c>
      <c r="G84" s="14"/>
      <c r="H84" s="35">
        <f>+H80-H82</f>
        <v>-63646.394416923045</v>
      </c>
      <c r="I84" s="14"/>
      <c r="J84" s="32">
        <f>IF(H$12=0,0,H84/H$12)</f>
        <v>0</v>
      </c>
      <c r="K84" s="15"/>
      <c r="L84" s="35">
        <f>D84-H84</f>
        <v>-23068.605583076984</v>
      </c>
      <c r="M84" s="15"/>
      <c r="N84" s="32">
        <f>IF(H84=0,0,L84/H84)</f>
        <v>0.36244952749347314</v>
      </c>
      <c r="O84" s="28"/>
      <c r="P84" s="35">
        <f>+P80-P82</f>
        <v>-331588.10000000003</v>
      </c>
      <c r="Q84" s="14"/>
      <c r="R84" s="32">
        <f>IF(P$12=0,0,P84/P$12)</f>
        <v>0</v>
      </c>
      <c r="S84" s="14"/>
      <c r="T84" s="35">
        <f>+T80-T82</f>
        <v>-518134.03185499995</v>
      </c>
      <c r="U84" s="14"/>
      <c r="V84" s="32">
        <f>IF(T$12=0,0,T84/T$12)</f>
        <v>0</v>
      </c>
      <c r="W84" s="15"/>
      <c r="X84" s="35">
        <f>P84-T84</f>
        <v>186545.93185499992</v>
      </c>
      <c r="Y84" s="15"/>
      <c r="Z84" s="32">
        <f>IF(T84=0,0,X84/T84)</f>
        <v>-0.360034123192288</v>
      </c>
    </row>
    <row r="85" spans="1:26" ht="15.75" thickTop="1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9" t="s">
        <v>5</v>
      </c>
      <c r="C87" s="29"/>
      <c r="D87" s="30">
        <f>SUM(D84:D86)</f>
        <v>-86715.000000000029</v>
      </c>
      <c r="E87" s="14"/>
      <c r="F87" s="31">
        <f>IF(D$12=0,0,D87/D$12)</f>
        <v>0</v>
      </c>
      <c r="G87" s="14"/>
      <c r="H87" s="30">
        <f>SUM(H84:H86)</f>
        <v>-63646.394416923045</v>
      </c>
      <c r="I87" s="14"/>
      <c r="J87" s="31">
        <f>IF(H$12=0,0,H87/H$12)</f>
        <v>0</v>
      </c>
      <c r="K87" s="15"/>
      <c r="L87" s="30">
        <f>+D87-H87</f>
        <v>-23068.605583076984</v>
      </c>
      <c r="M87" s="15"/>
      <c r="N87" s="31">
        <f>IF(H87=0,0,L87/H87)</f>
        <v>0.36244952749347314</v>
      </c>
      <c r="O87" s="28"/>
      <c r="P87" s="30">
        <f>SUM(P84:P86)</f>
        <v>-331588.10000000003</v>
      </c>
      <c r="Q87" s="14"/>
      <c r="R87" s="31">
        <f>IF(P$12=0,0,P87/P$12)</f>
        <v>0</v>
      </c>
      <c r="S87" s="14"/>
      <c r="T87" s="30">
        <f>SUM(T84:T86)</f>
        <v>-518134.03185499995</v>
      </c>
      <c r="U87" s="14"/>
      <c r="V87" s="31">
        <f>IF(T$12=0,0,T87/T$12)</f>
        <v>0</v>
      </c>
      <c r="W87" s="15"/>
      <c r="X87" s="30">
        <f>+P87-T87</f>
        <v>186545.93185499992</v>
      </c>
      <c r="Y87" s="15"/>
      <c r="Z87" s="31">
        <f>IF(T87=0,0,X87/T87)</f>
        <v>-0.360034123192288</v>
      </c>
    </row>
    <row r="88" spans="1:26" ht="15.75" thickTop="1" x14ac:dyDescent="0.25">
      <c r="A88" s="9"/>
      <c r="C88" s="9"/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25">
      <c r="A89" s="9"/>
      <c r="B89" s="53">
        <v>43756.452066550926</v>
      </c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  <row r="90" spans="1:26" x14ac:dyDescent="0.25">
      <c r="A90" s="9"/>
      <c r="B90" s="55" t="s">
        <v>314</v>
      </c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  <row r="91" spans="1:26" x14ac:dyDescent="0.25">
      <c r="A91" s="9"/>
      <c r="B91" s="56"/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  <row r="92" spans="1:26" x14ac:dyDescent="0.25"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</sheetData>
  <pageMargins left="0.25" right="0.25" top="0.75" bottom="0.75" header="0.3" footer="0.3"/>
  <pageSetup scale="55" fitToWidth="2"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str">
        <f>CONCATENATE("Period ",RIGHT(202003,2),", ",2020)</f>
        <v>Period 03, 2020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43736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tr">
        <f>CONCATENATE("Department ","202", " - ", "Accounting")</f>
        <v>Department 202 - Accounting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48851.63</v>
      </c>
      <c r="E18" s="21"/>
      <c r="F18" s="33">
        <f t="shared" ref="F18:F28" si="0">IF(D$12=0,0,D18/D$12)</f>
        <v>0</v>
      </c>
      <c r="G18" s="21"/>
      <c r="H18" s="21">
        <f>SUM(OSRRefH22x_0)</f>
        <v>49415.253413846098</v>
      </c>
      <c r="I18" s="21"/>
      <c r="J18" s="33">
        <f t="shared" ref="J18:J28" si="1">IF(H$12=0,0,H18/H$12)</f>
        <v>0</v>
      </c>
      <c r="K18" s="4"/>
      <c r="L18" s="21">
        <f t="shared" ref="L18:L28" si="2">+D18-H18</f>
        <v>-563.62341384610045</v>
      </c>
      <c r="M18" s="4"/>
      <c r="N18" s="33">
        <f t="shared" ref="N18:N28" si="3">IF(H18=0,0,L18/H18)</f>
        <v>-1.140585901939691E-2</v>
      </c>
      <c r="O18" s="10"/>
      <c r="P18" s="21">
        <f>SUM(OSRRefP22x_0)</f>
        <v>150268.91</v>
      </c>
      <c r="Q18" s="21"/>
      <c r="R18" s="33">
        <f t="shared" ref="R18:R28" si="4">IF(P$12=0,0,P18/P$12)</f>
        <v>0</v>
      </c>
      <c r="S18" s="21"/>
      <c r="T18" s="21">
        <f>SUM(OSRRefT22x_0)</f>
        <v>158358.51691999988</v>
      </c>
      <c r="U18" s="21"/>
      <c r="V18" s="33">
        <f t="shared" ref="V18:V28" si="5">IF(T$12=0,0,T18/T$12)</f>
        <v>0</v>
      </c>
      <c r="W18" s="4"/>
      <c r="X18" s="21">
        <f t="shared" ref="X18:X28" si="6">+P18-T18</f>
        <v>-8089.6069199998747</v>
      </c>
      <c r="Y18" s="4"/>
      <c r="Z18" s="33">
        <f t="shared" ref="Z18:Z28" si="7">IF(T18=0,0,X18/T18)</f>
        <v>-5.1084129084680754E-2</v>
      </c>
    </row>
    <row r="19" spans="1:26" s="26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14293.33</v>
      </c>
      <c r="E19" s="1"/>
      <c r="F19" s="5">
        <f t="shared" si="0"/>
        <v>0</v>
      </c>
      <c r="G19" s="1"/>
      <c r="H19" s="1">
        <f>SUM(OSRRefH22_0x_0)</f>
        <v>14061.894952307683</v>
      </c>
      <c r="I19" s="1"/>
      <c r="J19" s="5">
        <f t="shared" si="1"/>
        <v>0</v>
      </c>
      <c r="K19" s="1"/>
      <c r="L19" s="1">
        <f t="shared" si="2"/>
        <v>231.43504769231731</v>
      </c>
      <c r="M19" s="1"/>
      <c r="N19" s="5">
        <f t="shared" si="3"/>
        <v>1.6458311520406912E-2</v>
      </c>
      <c r="O19" s="13"/>
      <c r="P19" s="1">
        <f>SUM(OSRRefP22_0x_0)</f>
        <v>46141.429999999993</v>
      </c>
      <c r="Q19" s="1"/>
      <c r="R19" s="5">
        <f t="shared" si="4"/>
        <v>0</v>
      </c>
      <c r="S19" s="1"/>
      <c r="T19" s="1">
        <f>SUM(OSRRefT22_0x_0)</f>
        <v>44831.776919999989</v>
      </c>
      <c r="U19" s="1"/>
      <c r="V19" s="5">
        <f t="shared" si="5"/>
        <v>0</v>
      </c>
      <c r="W19" s="1"/>
      <c r="X19" s="1">
        <f t="shared" si="6"/>
        <v>1309.6530800000037</v>
      </c>
      <c r="Y19" s="1"/>
      <c r="Z19" s="5">
        <f t="shared" si="7"/>
        <v>2.9212606993851985E-2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7">
        <v>2097.94</v>
      </c>
      <c r="E20" s="2"/>
      <c r="F20" s="6">
        <f t="shared" si="0"/>
        <v>0</v>
      </c>
      <c r="G20" s="2"/>
      <c r="H20" s="7">
        <v>2111.3214138461499</v>
      </c>
      <c r="I20" s="2"/>
      <c r="J20" s="6">
        <f t="shared" si="1"/>
        <v>0</v>
      </c>
      <c r="K20" s="2"/>
      <c r="L20" s="7">
        <f t="shared" si="2"/>
        <v>-13.381413846149826</v>
      </c>
      <c r="M20" s="2"/>
      <c r="N20" s="6">
        <f t="shared" si="3"/>
        <v>-6.3379330870202205E-3</v>
      </c>
      <c r="O20" s="11"/>
      <c r="P20" s="7">
        <v>6191.83</v>
      </c>
      <c r="Q20" s="2"/>
      <c r="R20" s="6">
        <f t="shared" si="4"/>
        <v>0</v>
      </c>
      <c r="S20" s="2"/>
      <c r="T20" s="7">
        <v>7696.1629199999898</v>
      </c>
      <c r="U20" s="2"/>
      <c r="V20" s="6">
        <f t="shared" si="5"/>
        <v>0</v>
      </c>
      <c r="W20" s="2"/>
      <c r="X20" s="7">
        <f t="shared" si="6"/>
        <v>-1504.3329199999898</v>
      </c>
      <c r="Y20" s="2"/>
      <c r="Z20" s="6">
        <f t="shared" si="7"/>
        <v>-0.19546531637092629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7">
        <v>103.78</v>
      </c>
      <c r="E21" s="2"/>
      <c r="F21" s="6">
        <f t="shared" si="0"/>
        <v>0</v>
      </c>
      <c r="G21" s="2"/>
      <c r="H21" s="7">
        <v>114.98172307692299</v>
      </c>
      <c r="I21" s="2"/>
      <c r="J21" s="6">
        <f t="shared" si="1"/>
        <v>0</v>
      </c>
      <c r="K21" s="2"/>
      <c r="L21" s="7">
        <f t="shared" si="2"/>
        <v>-11.201723076922988</v>
      </c>
      <c r="M21" s="2"/>
      <c r="N21" s="6">
        <f t="shared" si="3"/>
        <v>-9.7421770844649938E-2</v>
      </c>
      <c r="O21" s="11"/>
      <c r="P21" s="7">
        <v>302.31</v>
      </c>
      <c r="Q21" s="2"/>
      <c r="R21" s="6">
        <f t="shared" si="4"/>
        <v>0</v>
      </c>
      <c r="S21" s="2"/>
      <c r="T21" s="7">
        <v>373.69060000000002</v>
      </c>
      <c r="U21" s="2"/>
      <c r="V21" s="6">
        <f t="shared" si="5"/>
        <v>0</v>
      </c>
      <c r="W21" s="2"/>
      <c r="X21" s="7">
        <f t="shared" si="6"/>
        <v>-71.380600000000015</v>
      </c>
      <c r="Y21" s="2"/>
      <c r="Z21" s="6">
        <f t="shared" si="7"/>
        <v>-0.19101524095066885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7">
        <v>5942.02</v>
      </c>
      <c r="E22" s="2"/>
      <c r="F22" s="6">
        <f t="shared" si="0"/>
        <v>0</v>
      </c>
      <c r="G22" s="2"/>
      <c r="H22" s="7">
        <v>6065</v>
      </c>
      <c r="I22" s="2"/>
      <c r="J22" s="6">
        <f t="shared" si="1"/>
        <v>0</v>
      </c>
      <c r="K22" s="2"/>
      <c r="L22" s="7">
        <f t="shared" si="2"/>
        <v>-122.97999999999956</v>
      </c>
      <c r="M22" s="2"/>
      <c r="N22" s="6">
        <f t="shared" si="3"/>
        <v>-2.027699917559762E-2</v>
      </c>
      <c r="O22" s="11"/>
      <c r="P22" s="7">
        <v>17826.060000000001</v>
      </c>
      <c r="Q22" s="2"/>
      <c r="R22" s="6">
        <f t="shared" si="4"/>
        <v>0</v>
      </c>
      <c r="S22" s="2"/>
      <c r="T22" s="7">
        <v>18195</v>
      </c>
      <c r="U22" s="2"/>
      <c r="V22" s="6">
        <f t="shared" si="5"/>
        <v>0</v>
      </c>
      <c r="W22" s="2"/>
      <c r="X22" s="7">
        <f t="shared" si="6"/>
        <v>-368.93999999999869</v>
      </c>
      <c r="Y22" s="2"/>
      <c r="Z22" s="6">
        <f t="shared" si="7"/>
        <v>-2.027699917559762E-2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7">
        <v>79.36</v>
      </c>
      <c r="E23" s="2"/>
      <c r="F23" s="6">
        <f t="shared" si="0"/>
        <v>0</v>
      </c>
      <c r="G23" s="2"/>
      <c r="H23" s="7">
        <v>87.927199999999999</v>
      </c>
      <c r="I23" s="2"/>
      <c r="J23" s="6">
        <f t="shared" si="1"/>
        <v>0</v>
      </c>
      <c r="K23" s="2"/>
      <c r="L23" s="7">
        <f t="shared" si="2"/>
        <v>-8.5671999999999997</v>
      </c>
      <c r="M23" s="2"/>
      <c r="N23" s="6">
        <f t="shared" si="3"/>
        <v>-9.7435150897560704E-2</v>
      </c>
      <c r="O23" s="11"/>
      <c r="P23" s="7">
        <v>231.17</v>
      </c>
      <c r="Q23" s="2"/>
      <c r="R23" s="6">
        <f t="shared" si="4"/>
        <v>0</v>
      </c>
      <c r="S23" s="2"/>
      <c r="T23" s="7">
        <v>285.76339999999999</v>
      </c>
      <c r="U23" s="2"/>
      <c r="V23" s="6">
        <f t="shared" si="5"/>
        <v>0</v>
      </c>
      <c r="W23" s="2"/>
      <c r="X23" s="7">
        <f t="shared" si="6"/>
        <v>-54.593400000000003</v>
      </c>
      <c r="Y23" s="2"/>
      <c r="Z23" s="6">
        <f t="shared" si="7"/>
        <v>-0.19104405952616746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7">
        <v>2196.79</v>
      </c>
      <c r="E24" s="2"/>
      <c r="F24" s="6">
        <f t="shared" si="0"/>
        <v>0</v>
      </c>
      <c r="G24" s="2"/>
      <c r="H24" s="7">
        <v>2159.9892307692298</v>
      </c>
      <c r="I24" s="2"/>
      <c r="J24" s="6">
        <f t="shared" si="1"/>
        <v>0</v>
      </c>
      <c r="K24" s="2"/>
      <c r="L24" s="7">
        <f t="shared" si="2"/>
        <v>36.800769230770129</v>
      </c>
      <c r="M24" s="2"/>
      <c r="N24" s="6">
        <f t="shared" si="3"/>
        <v>1.7037478107085002E-2</v>
      </c>
      <c r="O24" s="11"/>
      <c r="P24" s="7">
        <v>6590.37</v>
      </c>
      <c r="Q24" s="2"/>
      <c r="R24" s="6">
        <f t="shared" si="4"/>
        <v>0</v>
      </c>
      <c r="S24" s="2"/>
      <c r="T24" s="7">
        <v>7019.9650000000001</v>
      </c>
      <c r="U24" s="2"/>
      <c r="V24" s="6">
        <f t="shared" si="5"/>
        <v>0</v>
      </c>
      <c r="W24" s="2"/>
      <c r="X24" s="7">
        <f t="shared" si="6"/>
        <v>-429.59500000000025</v>
      </c>
      <c r="Y24" s="2"/>
      <c r="Z24" s="6">
        <f t="shared" si="7"/>
        <v>-6.1196174054998886E-2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5"/>
      <c r="B26" s="11" t="str">
        <f>CONCATENATE("          ", "6118", " - ", "VACATION")</f>
        <v xml:space="preserve">          6118 - VACATION</v>
      </c>
      <c r="C26" s="11"/>
      <c r="D26" s="7">
        <v>1866.76</v>
      </c>
      <c r="E26" s="2"/>
      <c r="F26" s="6">
        <f t="shared" si="0"/>
        <v>0</v>
      </c>
      <c r="G26" s="2"/>
      <c r="H26" s="7">
        <v>1255.8076923076899</v>
      </c>
      <c r="I26" s="2"/>
      <c r="J26" s="6">
        <f t="shared" si="1"/>
        <v>0</v>
      </c>
      <c r="K26" s="2"/>
      <c r="L26" s="7">
        <f t="shared" si="2"/>
        <v>610.95230769231011</v>
      </c>
      <c r="M26" s="2"/>
      <c r="N26" s="6">
        <f t="shared" si="3"/>
        <v>0.48650148540626914</v>
      </c>
      <c r="O26" s="11"/>
      <c r="P26" s="7">
        <v>6474.7</v>
      </c>
      <c r="Q26" s="2"/>
      <c r="R26" s="6">
        <f t="shared" si="4"/>
        <v>0</v>
      </c>
      <c r="S26" s="2"/>
      <c r="T26" s="7">
        <v>4081.375</v>
      </c>
      <c r="U26" s="2"/>
      <c r="V26" s="6">
        <f t="shared" si="5"/>
        <v>0</v>
      </c>
      <c r="W26" s="2"/>
      <c r="X26" s="7">
        <f t="shared" si="6"/>
        <v>2393.3249999999998</v>
      </c>
      <c r="Y26" s="2"/>
      <c r="Z26" s="6">
        <f t="shared" si="7"/>
        <v>0.58640164160362618</v>
      </c>
    </row>
    <row r="27" spans="1:26" s="24" customFormat="1" hidden="1" outlineLevel="2" x14ac:dyDescent="0.25">
      <c r="A27" s="25"/>
      <c r="B27" s="11" t="str">
        <f>CONCATENATE("          ", "6119", " - ", "SICK LEAVE")</f>
        <v xml:space="preserve">          6119 - SICK LEAVE</v>
      </c>
      <c r="C27" s="11"/>
      <c r="D27" s="7">
        <v>1152.2</v>
      </c>
      <c r="E27" s="2"/>
      <c r="F27" s="6">
        <f t="shared" si="0"/>
        <v>0</v>
      </c>
      <c r="G27" s="2"/>
      <c r="H27" s="7">
        <v>1516.8676923076898</v>
      </c>
      <c r="I27" s="2"/>
      <c r="J27" s="6">
        <f t="shared" si="1"/>
        <v>0</v>
      </c>
      <c r="K27" s="2"/>
      <c r="L27" s="7">
        <f t="shared" si="2"/>
        <v>-364.66769230768978</v>
      </c>
      <c r="M27" s="2"/>
      <c r="N27" s="6">
        <f t="shared" si="3"/>
        <v>-0.24040837190810085</v>
      </c>
      <c r="O27" s="11"/>
      <c r="P27" s="7">
        <v>6239.31</v>
      </c>
      <c r="Q27" s="2"/>
      <c r="R27" s="6">
        <f t="shared" si="4"/>
        <v>0</v>
      </c>
      <c r="S27" s="2"/>
      <c r="T27" s="7">
        <v>4929.82</v>
      </c>
      <c r="U27" s="2"/>
      <c r="V27" s="6">
        <f t="shared" si="5"/>
        <v>0</v>
      </c>
      <c r="W27" s="2"/>
      <c r="X27" s="7">
        <f t="shared" si="6"/>
        <v>1309.4900000000007</v>
      </c>
      <c r="Y27" s="2"/>
      <c r="Z27" s="6">
        <f t="shared" si="7"/>
        <v>0.2656263311845059</v>
      </c>
    </row>
    <row r="28" spans="1:26" s="24" customFormat="1" hidden="1" outlineLevel="2" x14ac:dyDescent="0.25">
      <c r="A28" s="25"/>
      <c r="B28" s="11" t="str">
        <f>CONCATENATE("          ", "6156", " - ", "EMPLOYEE MEALS")</f>
        <v xml:space="preserve">          6156 - EMPLOYEE MEALS</v>
      </c>
      <c r="C28" s="11"/>
      <c r="D28" s="7">
        <v>854.48</v>
      </c>
      <c r="E28" s="2"/>
      <c r="F28" s="6">
        <f t="shared" si="0"/>
        <v>0</v>
      </c>
      <c r="G28" s="2"/>
      <c r="H28" s="7">
        <v>750</v>
      </c>
      <c r="I28" s="2"/>
      <c r="J28" s="6">
        <f t="shared" si="1"/>
        <v>0</v>
      </c>
      <c r="K28" s="2"/>
      <c r="L28" s="7">
        <f t="shared" si="2"/>
        <v>104.48000000000002</v>
      </c>
      <c r="M28" s="2"/>
      <c r="N28" s="6">
        <f t="shared" si="3"/>
        <v>0.13930666666666669</v>
      </c>
      <c r="O28" s="11"/>
      <c r="P28" s="7">
        <v>2285.6799999999998</v>
      </c>
      <c r="Q28" s="2"/>
      <c r="R28" s="6">
        <f t="shared" si="4"/>
        <v>0</v>
      </c>
      <c r="S28" s="2"/>
      <c r="T28" s="7">
        <v>2250</v>
      </c>
      <c r="U28" s="2"/>
      <c r="V28" s="6">
        <f t="shared" si="5"/>
        <v>0</v>
      </c>
      <c r="W28" s="2"/>
      <c r="X28" s="7">
        <f t="shared" si="6"/>
        <v>35.679999999999836</v>
      </c>
      <c r="Y28" s="2"/>
      <c r="Z28" s="6">
        <f t="shared" si="7"/>
        <v>1.5857777777777703E-2</v>
      </c>
    </row>
    <row r="29" spans="1:26" s="26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30166.480000000003</v>
      </c>
      <c r="E29" s="1"/>
      <c r="F29" s="5">
        <f t="shared" ref="F29:F39" si="8">IF(D$12=0,0,D29/D$12)</f>
        <v>0</v>
      </c>
      <c r="G29" s="1"/>
      <c r="H29" s="1">
        <f>SUM(OSRRefH22_1x_0)</f>
        <v>31375.358461538424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-1208.8784615384211</v>
      </c>
      <c r="M29" s="1"/>
      <c r="N29" s="5">
        <f t="shared" ref="N29:N39" si="11">IF(H29=0,0,L29/H29)</f>
        <v>-3.8529550603233056E-2</v>
      </c>
      <c r="O29" s="13"/>
      <c r="P29" s="1">
        <f>SUM(OSRRefP22_1x_0)</f>
        <v>91142.31</v>
      </c>
      <c r="Q29" s="1"/>
      <c r="R29" s="5">
        <f t="shared" ref="R29:R39" si="12">IF(P$12=0,0,P29/P$12)</f>
        <v>0</v>
      </c>
      <c r="S29" s="1"/>
      <c r="T29" s="1">
        <f>SUM(OSRRefT22_1x_0)</f>
        <v>101892.7399999999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-10750.429999999906</v>
      </c>
      <c r="Y29" s="1"/>
      <c r="Z29" s="5">
        <f t="shared" ref="Z29:Z39" si="15">IF(T29=0,0,X29/T29)</f>
        <v>-0.10550732073747272</v>
      </c>
    </row>
    <row r="30" spans="1:26" s="24" customFormat="1" hidden="1" outlineLevel="2" x14ac:dyDescent="0.25">
      <c r="A30" s="25"/>
      <c r="B30" s="11" t="str">
        <f>CONCATENATE("          ", "6001", " - ", "ADMINISTRATIVE SALARIES")</f>
        <v xml:space="preserve">          6001 - ADMINISTRATIVE SALARIES</v>
      </c>
      <c r="C30" s="11"/>
      <c r="D30" s="7"/>
      <c r="E30" s="2"/>
      <c r="F30" s="6">
        <f t="shared" si="8"/>
        <v>0</v>
      </c>
      <c r="G30" s="2"/>
      <c r="H30" s="7">
        <v>5419.3846153846198</v>
      </c>
      <c r="I30" s="2"/>
      <c r="J30" s="6">
        <f t="shared" si="9"/>
        <v>0</v>
      </c>
      <c r="K30" s="2"/>
      <c r="L30" s="7">
        <f t="shared" si="10"/>
        <v>-5419.3846153846198</v>
      </c>
      <c r="M30" s="2"/>
      <c r="N30" s="6">
        <f t="shared" si="11"/>
        <v>-1</v>
      </c>
      <c r="O30" s="11"/>
      <c r="P30" s="7"/>
      <c r="Q30" s="2"/>
      <c r="R30" s="6">
        <f t="shared" si="12"/>
        <v>0</v>
      </c>
      <c r="S30" s="2"/>
      <c r="T30" s="7">
        <v>17613.000000000011</v>
      </c>
      <c r="U30" s="2"/>
      <c r="V30" s="6">
        <f t="shared" si="13"/>
        <v>0</v>
      </c>
      <c r="W30" s="2"/>
      <c r="X30" s="7">
        <f t="shared" si="14"/>
        <v>-17613.000000000011</v>
      </c>
      <c r="Y30" s="2"/>
      <c r="Z30" s="6">
        <f t="shared" si="15"/>
        <v>-1</v>
      </c>
    </row>
    <row r="31" spans="1:26" s="24" customFormat="1" hidden="1" outlineLevel="2" x14ac:dyDescent="0.25">
      <c r="A31" s="25"/>
      <c r="B31" s="11" t="str">
        <f>CONCATENATE("          ", "6002", " - ", "STAFF SALARIES")</f>
        <v xml:space="preserve">          6002 - STAFF SALARIES</v>
      </c>
      <c r="C31" s="11"/>
      <c r="D31" s="7">
        <v>24195.360000000001</v>
      </c>
      <c r="E31" s="2"/>
      <c r="F31" s="6">
        <f t="shared" si="8"/>
        <v>0</v>
      </c>
      <c r="G31" s="2"/>
      <c r="H31" s="7">
        <v>17185.1538461538</v>
      </c>
      <c r="I31" s="2"/>
      <c r="J31" s="6">
        <f t="shared" si="9"/>
        <v>0</v>
      </c>
      <c r="K31" s="2"/>
      <c r="L31" s="7">
        <f t="shared" si="10"/>
        <v>7010.2061538462003</v>
      </c>
      <c r="M31" s="2"/>
      <c r="N31" s="6">
        <f t="shared" si="11"/>
        <v>0.40792222266983957</v>
      </c>
      <c r="O31" s="11"/>
      <c r="P31" s="7">
        <v>75058.099999999991</v>
      </c>
      <c r="Q31" s="2"/>
      <c r="R31" s="6">
        <f t="shared" si="12"/>
        <v>0</v>
      </c>
      <c r="S31" s="2"/>
      <c r="T31" s="7">
        <v>55851.749999999898</v>
      </c>
      <c r="U31" s="2"/>
      <c r="V31" s="6">
        <f t="shared" si="13"/>
        <v>0</v>
      </c>
      <c r="W31" s="2"/>
      <c r="X31" s="7">
        <f t="shared" si="14"/>
        <v>19206.350000000093</v>
      </c>
      <c r="Y31" s="2"/>
      <c r="Z31" s="6">
        <f t="shared" si="15"/>
        <v>0.34388089898705282</v>
      </c>
    </row>
    <row r="32" spans="1:26" s="24" customFormat="1" hidden="1" outlineLevel="2" x14ac:dyDescent="0.25">
      <c r="A32" s="25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5"/>
      <c r="B33" s="11" t="str">
        <f>CONCATENATE("          ", "6004", " - ", "STAFF HOURLY")</f>
        <v xml:space="preserve">          6004 - STAFF HOURLY</v>
      </c>
      <c r="C33" s="11"/>
      <c r="D33" s="7"/>
      <c r="E33" s="2"/>
      <c r="F33" s="6">
        <f t="shared" si="8"/>
        <v>0</v>
      </c>
      <c r="G33" s="2"/>
      <c r="H33" s="7">
        <v>2496.7199999999998</v>
      </c>
      <c r="I33" s="2"/>
      <c r="J33" s="6">
        <f t="shared" si="9"/>
        <v>0</v>
      </c>
      <c r="K33" s="2"/>
      <c r="L33" s="7">
        <f t="shared" si="10"/>
        <v>-2496.7199999999998</v>
      </c>
      <c r="M33" s="2"/>
      <c r="N33" s="6">
        <f t="shared" si="11"/>
        <v>-1</v>
      </c>
      <c r="O33" s="11"/>
      <c r="P33" s="7"/>
      <c r="Q33" s="2"/>
      <c r="R33" s="6">
        <f t="shared" si="12"/>
        <v>0</v>
      </c>
      <c r="S33" s="2"/>
      <c r="T33" s="7">
        <v>8114.34</v>
      </c>
      <c r="U33" s="2"/>
      <c r="V33" s="6">
        <f t="shared" si="13"/>
        <v>0</v>
      </c>
      <c r="W33" s="2"/>
      <c r="X33" s="7">
        <f t="shared" si="14"/>
        <v>-8114.34</v>
      </c>
      <c r="Y33" s="2"/>
      <c r="Z33" s="6">
        <f t="shared" si="15"/>
        <v>-1</v>
      </c>
    </row>
    <row r="34" spans="1:26" s="24" customFormat="1" hidden="1" outlineLevel="2" x14ac:dyDescent="0.25">
      <c r="A34" s="25"/>
      <c r="B34" s="11" t="str">
        <f>CONCATENATE("          ", "6005", " - ", "TEMPORARY WAGES-HOURLY")</f>
        <v xml:space="preserve">          6005 - TEMPORARY WAGES-HOURLY</v>
      </c>
      <c r="C34" s="11"/>
      <c r="D34" s="7">
        <v>2488.06</v>
      </c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2488.06</v>
      </c>
      <c r="M34" s="2"/>
      <c r="N34" s="6">
        <f t="shared" si="11"/>
        <v>0</v>
      </c>
      <c r="O34" s="11"/>
      <c r="P34" s="7">
        <v>6673.71</v>
      </c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6673.71</v>
      </c>
      <c r="Y34" s="2"/>
      <c r="Z34" s="6">
        <f t="shared" si="15"/>
        <v>0</v>
      </c>
    </row>
    <row r="35" spans="1:26" s="24" customFormat="1" hidden="1" outlineLevel="2" x14ac:dyDescent="0.25">
      <c r="A35" s="25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5"/>
      <c r="B36" s="11" t="str">
        <f>CONCATENATE("          ", "6007", " - ", "STUDENT HOURLY")</f>
        <v xml:space="preserve">          6007 - STUDENT HOURLY</v>
      </c>
      <c r="C36" s="11"/>
      <c r="D36" s="7">
        <v>2937.06</v>
      </c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2937.06</v>
      </c>
      <c r="M36" s="2"/>
      <c r="N36" s="6">
        <f t="shared" si="11"/>
        <v>0</v>
      </c>
      <c r="O36" s="11"/>
      <c r="P36" s="7">
        <v>8210.5</v>
      </c>
      <c r="Q36" s="2"/>
      <c r="R36" s="6">
        <f t="shared" si="12"/>
        <v>0</v>
      </c>
      <c r="S36" s="2"/>
      <c r="T36" s="7">
        <v>10902.5</v>
      </c>
      <c r="U36" s="2"/>
      <c r="V36" s="6">
        <f t="shared" si="13"/>
        <v>0</v>
      </c>
      <c r="W36" s="2"/>
      <c r="X36" s="7">
        <f t="shared" si="14"/>
        <v>-2692</v>
      </c>
      <c r="Y36" s="2"/>
      <c r="Z36" s="6">
        <f t="shared" si="15"/>
        <v>-0.24691584498968128</v>
      </c>
    </row>
    <row r="37" spans="1:26" s="24" customFormat="1" hidden="1" outlineLevel="2" x14ac:dyDescent="0.25">
      <c r="A37" s="25"/>
      <c r="B37" s="11" t="str">
        <f>CONCATENATE("          ", "6008", " - ", "STUDENT HOURLY-FICA EXEMPT")</f>
        <v xml:space="preserve">          6008 - STUDENT HOURLY-FICA EXEMPT</v>
      </c>
      <c r="C37" s="11"/>
      <c r="D37" s="7">
        <v>546</v>
      </c>
      <c r="E37" s="2"/>
      <c r="F37" s="6">
        <f t="shared" si="8"/>
        <v>0</v>
      </c>
      <c r="G37" s="2"/>
      <c r="H37" s="7">
        <v>6274.1</v>
      </c>
      <c r="I37" s="2"/>
      <c r="J37" s="6">
        <f t="shared" si="9"/>
        <v>0</v>
      </c>
      <c r="K37" s="2"/>
      <c r="L37" s="7">
        <f t="shared" si="10"/>
        <v>-5728.1</v>
      </c>
      <c r="M37" s="2"/>
      <c r="N37" s="6">
        <f t="shared" si="11"/>
        <v>-0.91297556621666853</v>
      </c>
      <c r="O37" s="11"/>
      <c r="P37" s="7">
        <v>1200</v>
      </c>
      <c r="Q37" s="2"/>
      <c r="R37" s="6">
        <f t="shared" si="12"/>
        <v>0</v>
      </c>
      <c r="S37" s="2"/>
      <c r="T37" s="7">
        <v>9411.15</v>
      </c>
      <c r="U37" s="2"/>
      <c r="V37" s="6">
        <f t="shared" si="13"/>
        <v>0</v>
      </c>
      <c r="W37" s="2"/>
      <c r="X37" s="7">
        <f t="shared" si="14"/>
        <v>-8211.15</v>
      </c>
      <c r="Y37" s="2"/>
      <c r="Z37" s="6">
        <f t="shared" si="15"/>
        <v>-0.8724916721123348</v>
      </c>
    </row>
    <row r="38" spans="1:26" s="24" customFormat="1" hidden="1" outlineLevel="2" x14ac:dyDescent="0.25">
      <c r="A38" s="25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5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6" customFormat="1" outlineLevel="1" collapsed="1" x14ac:dyDescent="0.25">
      <c r="A40" s="27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0</v>
      </c>
      <c r="E40" s="1"/>
      <c r="F40" s="5">
        <f t="shared" ref="F40:F57" si="16">IF(D$12=0,0,D40/D$12)</f>
        <v>0</v>
      </c>
      <c r="G40" s="1"/>
      <c r="H40" s="1">
        <f>SUM(OSRRefH22_2x_0)</f>
        <v>25</v>
      </c>
      <c r="I40" s="1"/>
      <c r="J40" s="5">
        <f t="shared" ref="J40:J57" si="17">IF(H$12=0,0,H40/H$12)</f>
        <v>0</v>
      </c>
      <c r="K40" s="1"/>
      <c r="L40" s="1">
        <f t="shared" ref="L40:L57" si="18">+D40-H40</f>
        <v>-25</v>
      </c>
      <c r="M40" s="1"/>
      <c r="N40" s="5">
        <f t="shared" ref="N40:N57" si="19">IF(H40=0,0,L40/H40)</f>
        <v>-1</v>
      </c>
      <c r="O40" s="13"/>
      <c r="P40" s="1">
        <f>SUM(OSRRefP22_2x_0)</f>
        <v>0</v>
      </c>
      <c r="Q40" s="1"/>
      <c r="R40" s="5">
        <f t="shared" ref="R40:R57" si="20">IF(P$12=0,0,P40/P$12)</f>
        <v>0</v>
      </c>
      <c r="S40" s="1"/>
      <c r="T40" s="1">
        <f>SUM(OSRRefT22_2x_0)</f>
        <v>25</v>
      </c>
      <c r="U40" s="1"/>
      <c r="V40" s="5">
        <f t="shared" ref="V40:V57" si="21">IF(T$12=0,0,T40/T$12)</f>
        <v>0</v>
      </c>
      <c r="W40" s="1"/>
      <c r="X40" s="1">
        <f t="shared" ref="X40:X57" si="22">+P40-T40</f>
        <v>-25</v>
      </c>
      <c r="Y40" s="1"/>
      <c r="Z40" s="5">
        <f t="shared" ref="Z40:Z57" si="23">IF(T40=0,0,X40/T40)</f>
        <v>-1</v>
      </c>
    </row>
    <row r="41" spans="1:26" s="24" customFormat="1" hidden="1" outlineLevel="2" x14ac:dyDescent="0.25">
      <c r="A41" s="25"/>
      <c r="B41" s="11" t="str">
        <f>CONCATENATE("          ", "6362", " - ", "ADVERTISING EXPENSE")</f>
        <v xml:space="preserve">          6362 - ADVERTISING EXPENSE</v>
      </c>
      <c r="C41" s="11"/>
      <c r="D41" s="7"/>
      <c r="E41" s="2"/>
      <c r="F41" s="6">
        <f t="shared" si="16"/>
        <v>0</v>
      </c>
      <c r="G41" s="2"/>
      <c r="H41" s="7">
        <v>25</v>
      </c>
      <c r="I41" s="2"/>
      <c r="J41" s="6">
        <f t="shared" si="17"/>
        <v>0</v>
      </c>
      <c r="K41" s="2"/>
      <c r="L41" s="7">
        <f t="shared" si="18"/>
        <v>-25</v>
      </c>
      <c r="M41" s="2"/>
      <c r="N41" s="6">
        <f t="shared" si="19"/>
        <v>-1</v>
      </c>
      <c r="O41" s="11"/>
      <c r="P41" s="7"/>
      <c r="Q41" s="2"/>
      <c r="R41" s="6">
        <f t="shared" si="20"/>
        <v>0</v>
      </c>
      <c r="S41" s="2"/>
      <c r="T41" s="7">
        <v>25</v>
      </c>
      <c r="U41" s="2"/>
      <c r="V41" s="6">
        <f t="shared" si="21"/>
        <v>0</v>
      </c>
      <c r="W41" s="2"/>
      <c r="X41" s="7">
        <f t="shared" si="22"/>
        <v>-25</v>
      </c>
      <c r="Y41" s="2"/>
      <c r="Z41" s="6">
        <f t="shared" si="23"/>
        <v>-1</v>
      </c>
    </row>
    <row r="42" spans="1:26" s="26" customFormat="1" outlineLevel="1" collapsed="1" x14ac:dyDescent="0.25">
      <c r="A42" s="27"/>
      <c r="B42" s="13" t="str">
        <f>CONCATENATE("     ","Depreciation                                      ")</f>
        <v xml:space="preserve">     Depreciation                                      </v>
      </c>
      <c r="C42" s="13"/>
      <c r="D42" s="1">
        <f>SUM(OSRRefD22_3x_0)</f>
        <v>1558.88</v>
      </c>
      <c r="E42" s="1"/>
      <c r="F42" s="5">
        <f t="shared" si="16"/>
        <v>0</v>
      </c>
      <c r="G42" s="1"/>
      <c r="H42" s="1">
        <f>SUM(OSRRefH22_3x_0)</f>
        <v>1559</v>
      </c>
      <c r="I42" s="1"/>
      <c r="J42" s="5">
        <f t="shared" si="17"/>
        <v>0</v>
      </c>
      <c r="K42" s="1"/>
      <c r="L42" s="1">
        <f t="shared" si="18"/>
        <v>-0.11999999999989086</v>
      </c>
      <c r="M42" s="1"/>
      <c r="N42" s="5">
        <f t="shared" si="19"/>
        <v>-7.6972418216735637E-5</v>
      </c>
      <c r="O42" s="13"/>
      <c r="P42" s="1">
        <f>SUM(OSRRefP22_3x_0)</f>
        <v>4676.6400000000003</v>
      </c>
      <c r="Q42" s="1"/>
      <c r="R42" s="5">
        <f t="shared" si="20"/>
        <v>0</v>
      </c>
      <c r="S42" s="1"/>
      <c r="T42" s="1">
        <f>SUM(OSRRefT22_3x_0)</f>
        <v>4677</v>
      </c>
      <c r="U42" s="1"/>
      <c r="V42" s="5">
        <f t="shared" si="21"/>
        <v>0</v>
      </c>
      <c r="W42" s="1"/>
      <c r="X42" s="1">
        <f t="shared" si="22"/>
        <v>-0.35999999999967258</v>
      </c>
      <c r="Y42" s="1"/>
      <c r="Z42" s="5">
        <f t="shared" si="23"/>
        <v>-7.6972418216735637E-5</v>
      </c>
    </row>
    <row r="43" spans="1:26" s="24" customFormat="1" hidden="1" outlineLevel="2" x14ac:dyDescent="0.25">
      <c r="A43" s="25"/>
      <c r="B43" s="11" t="str">
        <f>CONCATENATE("          ", "6322", " - ", "EQUIPMENT DEPRECIATION EXPENSE")</f>
        <v xml:space="preserve">          6322 - EQUIPMENT DEPRECIATION EXPENSE</v>
      </c>
      <c r="C43" s="11"/>
      <c r="D43" s="7">
        <v>1558.88</v>
      </c>
      <c r="E43" s="2"/>
      <c r="F43" s="6">
        <f t="shared" si="16"/>
        <v>0</v>
      </c>
      <c r="G43" s="2"/>
      <c r="H43" s="7">
        <v>1559</v>
      </c>
      <c r="I43" s="2"/>
      <c r="J43" s="6">
        <f t="shared" si="17"/>
        <v>0</v>
      </c>
      <c r="K43" s="2"/>
      <c r="L43" s="7">
        <f t="shared" si="18"/>
        <v>-0.11999999999989086</v>
      </c>
      <c r="M43" s="2"/>
      <c r="N43" s="6">
        <f t="shared" si="19"/>
        <v>-7.6972418216735637E-5</v>
      </c>
      <c r="O43" s="11"/>
      <c r="P43" s="7">
        <v>4676.6400000000003</v>
      </c>
      <c r="Q43" s="2"/>
      <c r="R43" s="6">
        <f t="shared" si="20"/>
        <v>0</v>
      </c>
      <c r="S43" s="2"/>
      <c r="T43" s="7">
        <v>4677</v>
      </c>
      <c r="U43" s="2"/>
      <c r="V43" s="6">
        <f t="shared" si="21"/>
        <v>0</v>
      </c>
      <c r="W43" s="2"/>
      <c r="X43" s="7">
        <f t="shared" si="22"/>
        <v>-0.35999999999967258</v>
      </c>
      <c r="Y43" s="2"/>
      <c r="Z43" s="6">
        <f t="shared" si="23"/>
        <v>-7.6972418216735637E-5</v>
      </c>
    </row>
    <row r="44" spans="1:26" s="26" customFormat="1" outlineLevel="1" collapsed="1" x14ac:dyDescent="0.25">
      <c r="A44" s="27"/>
      <c r="B44" s="13" t="str">
        <f>CONCATENATE("     ","Employees' Appreciation                           ")</f>
        <v xml:space="preserve">     Employees' Appreciation                           </v>
      </c>
      <c r="C44" s="13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25</v>
      </c>
      <c r="I44" s="1"/>
      <c r="J44" s="5">
        <f t="shared" si="17"/>
        <v>0</v>
      </c>
      <c r="K44" s="1"/>
      <c r="L44" s="1">
        <f t="shared" si="18"/>
        <v>-25</v>
      </c>
      <c r="M44" s="1"/>
      <c r="N44" s="5">
        <f t="shared" si="19"/>
        <v>-1</v>
      </c>
      <c r="O44" s="13"/>
      <c r="P44" s="1">
        <f>SUM(OSRRefP22_4x_0)</f>
        <v>0</v>
      </c>
      <c r="Q44" s="1"/>
      <c r="R44" s="5">
        <f t="shared" si="20"/>
        <v>0</v>
      </c>
      <c r="S44" s="1"/>
      <c r="T44" s="1">
        <f>SUM(OSRRefT22_4x_0)</f>
        <v>75</v>
      </c>
      <c r="U44" s="1"/>
      <c r="V44" s="5">
        <f t="shared" si="21"/>
        <v>0</v>
      </c>
      <c r="W44" s="1"/>
      <c r="X44" s="1">
        <f t="shared" si="22"/>
        <v>-75</v>
      </c>
      <c r="Y44" s="1"/>
      <c r="Z44" s="5">
        <f t="shared" si="23"/>
        <v>-1</v>
      </c>
    </row>
    <row r="45" spans="1:26" s="24" customFormat="1" hidden="1" outlineLevel="2" x14ac:dyDescent="0.25">
      <c r="A45" s="25"/>
      <c r="B45" s="11" t="str">
        <f>CONCATENATE("          ", "6277", " - ", "EMPLOYEE APPRECIATION")</f>
        <v xml:space="preserve">          6277 - EMPLOYEE APPRECIATION</v>
      </c>
      <c r="C45" s="11"/>
      <c r="D45" s="7"/>
      <c r="E45" s="2"/>
      <c r="F45" s="6">
        <f t="shared" si="16"/>
        <v>0</v>
      </c>
      <c r="G45" s="2"/>
      <c r="H45" s="7">
        <v>25</v>
      </c>
      <c r="I45" s="2"/>
      <c r="J45" s="6">
        <f t="shared" si="17"/>
        <v>0</v>
      </c>
      <c r="K45" s="2"/>
      <c r="L45" s="7">
        <f t="shared" si="18"/>
        <v>-25</v>
      </c>
      <c r="M45" s="2"/>
      <c r="N45" s="6">
        <f t="shared" si="19"/>
        <v>-1</v>
      </c>
      <c r="O45" s="11"/>
      <c r="P45" s="7"/>
      <c r="Q45" s="2"/>
      <c r="R45" s="6">
        <f t="shared" si="20"/>
        <v>0</v>
      </c>
      <c r="S45" s="2"/>
      <c r="T45" s="7">
        <v>75</v>
      </c>
      <c r="U45" s="2"/>
      <c r="V45" s="6">
        <f t="shared" si="21"/>
        <v>0</v>
      </c>
      <c r="W45" s="2"/>
      <c r="X45" s="7">
        <f t="shared" si="22"/>
        <v>-75</v>
      </c>
      <c r="Y45" s="2"/>
      <c r="Z45" s="6">
        <f t="shared" si="23"/>
        <v>-1</v>
      </c>
    </row>
    <row r="46" spans="1:26" s="26" customFormat="1" outlineLevel="1" collapsed="1" x14ac:dyDescent="0.25">
      <c r="A46" s="27"/>
      <c r="B46" s="13" t="str">
        <f>CONCATENATE("     ","Equipment Rental                                  ")</f>
        <v xml:space="preserve">     Equipment Rental                                  </v>
      </c>
      <c r="C46" s="13"/>
      <c r="D46" s="1">
        <f>SUM(OSRRefD22_5x_0)</f>
        <v>91.26</v>
      </c>
      <c r="E46" s="1"/>
      <c r="F46" s="5">
        <f t="shared" si="16"/>
        <v>0</v>
      </c>
      <c r="G46" s="1"/>
      <c r="H46" s="1">
        <f>SUM(OSRRefH22_5x_0)</f>
        <v>91</v>
      </c>
      <c r="I46" s="1"/>
      <c r="J46" s="5">
        <f t="shared" si="17"/>
        <v>0</v>
      </c>
      <c r="K46" s="1"/>
      <c r="L46" s="1">
        <f t="shared" si="18"/>
        <v>0.26000000000000512</v>
      </c>
      <c r="M46" s="1"/>
      <c r="N46" s="5">
        <f t="shared" si="19"/>
        <v>2.8571428571429135E-3</v>
      </c>
      <c r="O46" s="13"/>
      <c r="P46" s="1">
        <f>SUM(OSRRefP22_5x_0)</f>
        <v>273.77999999999997</v>
      </c>
      <c r="Q46" s="1"/>
      <c r="R46" s="5">
        <f t="shared" si="20"/>
        <v>0</v>
      </c>
      <c r="S46" s="1"/>
      <c r="T46" s="1">
        <f>SUM(OSRRefT22_5x_0)</f>
        <v>273</v>
      </c>
      <c r="U46" s="1"/>
      <c r="V46" s="5">
        <f t="shared" si="21"/>
        <v>0</v>
      </c>
      <c r="W46" s="1"/>
      <c r="X46" s="1">
        <f t="shared" si="22"/>
        <v>0.77999999999997272</v>
      </c>
      <c r="Y46" s="1"/>
      <c r="Z46" s="5">
        <f t="shared" si="23"/>
        <v>2.8571428571427574E-3</v>
      </c>
    </row>
    <row r="47" spans="1:26" s="24" customFormat="1" hidden="1" outlineLevel="2" x14ac:dyDescent="0.25">
      <c r="A47" s="25"/>
      <c r="B47" s="11" t="str">
        <f>CONCATENATE("          ", "6351", " - ", "EQUIPMENT RENTAL")</f>
        <v xml:space="preserve">          6351 - EQUIPMENT RENTAL</v>
      </c>
      <c r="C47" s="11"/>
      <c r="D47" s="7">
        <v>91.26</v>
      </c>
      <c r="E47" s="2"/>
      <c r="F47" s="6">
        <f t="shared" si="16"/>
        <v>0</v>
      </c>
      <c r="G47" s="2"/>
      <c r="H47" s="7">
        <v>91</v>
      </c>
      <c r="I47" s="2"/>
      <c r="J47" s="6">
        <f t="shared" si="17"/>
        <v>0</v>
      </c>
      <c r="K47" s="2"/>
      <c r="L47" s="7">
        <f t="shared" si="18"/>
        <v>0.26000000000000512</v>
      </c>
      <c r="M47" s="2"/>
      <c r="N47" s="6">
        <f t="shared" si="19"/>
        <v>2.8571428571429135E-3</v>
      </c>
      <c r="O47" s="11"/>
      <c r="P47" s="7">
        <v>273.77999999999997</v>
      </c>
      <c r="Q47" s="2"/>
      <c r="R47" s="6">
        <f t="shared" si="20"/>
        <v>0</v>
      </c>
      <c r="S47" s="2"/>
      <c r="T47" s="7">
        <v>273</v>
      </c>
      <c r="U47" s="2"/>
      <c r="V47" s="6">
        <f t="shared" si="21"/>
        <v>0</v>
      </c>
      <c r="W47" s="2"/>
      <c r="X47" s="7">
        <f t="shared" si="22"/>
        <v>0.77999999999997272</v>
      </c>
      <c r="Y47" s="2"/>
      <c r="Z47" s="6">
        <f t="shared" si="23"/>
        <v>2.8571428571427574E-3</v>
      </c>
    </row>
    <row r="48" spans="1:26" s="26" customFormat="1" outlineLevel="1" collapsed="1" x14ac:dyDescent="0.25">
      <c r="A48" s="27"/>
      <c r="B48" s="13" t="str">
        <f>CONCATENATE("     ","Freight out/Postage                               ")</f>
        <v xml:space="preserve">     Freight out/Postage                               </v>
      </c>
      <c r="C48" s="13"/>
      <c r="D48" s="1">
        <f>SUM(OSRRefD22_6x_0)</f>
        <v>205.2</v>
      </c>
      <c r="E48" s="1"/>
      <c r="F48" s="5">
        <f t="shared" si="16"/>
        <v>0</v>
      </c>
      <c r="G48" s="1"/>
      <c r="H48" s="1">
        <f>SUM(OSRRefH22_6x_0)</f>
        <v>150</v>
      </c>
      <c r="I48" s="1"/>
      <c r="J48" s="5">
        <f t="shared" si="17"/>
        <v>0</v>
      </c>
      <c r="K48" s="1"/>
      <c r="L48" s="1">
        <f t="shared" si="18"/>
        <v>55.199999999999989</v>
      </c>
      <c r="M48" s="1"/>
      <c r="N48" s="5">
        <f t="shared" si="19"/>
        <v>0.36799999999999994</v>
      </c>
      <c r="O48" s="13"/>
      <c r="P48" s="1">
        <f>SUM(OSRRefP22_6x_0)</f>
        <v>398</v>
      </c>
      <c r="Q48" s="1"/>
      <c r="R48" s="5">
        <f t="shared" si="20"/>
        <v>0</v>
      </c>
      <c r="S48" s="1"/>
      <c r="T48" s="1">
        <f>SUM(OSRRefT22_6x_0)</f>
        <v>450</v>
      </c>
      <c r="U48" s="1"/>
      <c r="V48" s="5">
        <f t="shared" si="21"/>
        <v>0</v>
      </c>
      <c r="W48" s="1"/>
      <c r="X48" s="1">
        <f t="shared" si="22"/>
        <v>-52</v>
      </c>
      <c r="Y48" s="1"/>
      <c r="Z48" s="5">
        <f t="shared" si="23"/>
        <v>-0.11555555555555555</v>
      </c>
    </row>
    <row r="49" spans="1:26" s="24" customFormat="1" hidden="1" outlineLevel="2" x14ac:dyDescent="0.25">
      <c r="A49" s="25"/>
      <c r="B49" s="11" t="str">
        <f>CONCATENATE("          ", "6307", " - ", "POSTAGE")</f>
        <v xml:space="preserve">          6307 - POSTAGE</v>
      </c>
      <c r="C49" s="11"/>
      <c r="D49" s="7">
        <v>205.2</v>
      </c>
      <c r="E49" s="2"/>
      <c r="F49" s="6">
        <f t="shared" si="16"/>
        <v>0</v>
      </c>
      <c r="G49" s="2"/>
      <c r="H49" s="7">
        <v>150</v>
      </c>
      <c r="I49" s="2"/>
      <c r="J49" s="6">
        <f t="shared" si="17"/>
        <v>0</v>
      </c>
      <c r="K49" s="2"/>
      <c r="L49" s="7">
        <f t="shared" si="18"/>
        <v>55.199999999999989</v>
      </c>
      <c r="M49" s="2"/>
      <c r="N49" s="6">
        <f t="shared" si="19"/>
        <v>0.36799999999999994</v>
      </c>
      <c r="O49" s="11"/>
      <c r="P49" s="7">
        <v>398</v>
      </c>
      <c r="Q49" s="2"/>
      <c r="R49" s="6">
        <f t="shared" si="20"/>
        <v>0</v>
      </c>
      <c r="S49" s="2"/>
      <c r="T49" s="7">
        <v>450</v>
      </c>
      <c r="U49" s="2"/>
      <c r="V49" s="6">
        <f t="shared" si="21"/>
        <v>0</v>
      </c>
      <c r="W49" s="2"/>
      <c r="X49" s="7">
        <f t="shared" si="22"/>
        <v>-52</v>
      </c>
      <c r="Y49" s="2"/>
      <c r="Z49" s="6">
        <f t="shared" si="23"/>
        <v>-0.11555555555555555</v>
      </c>
    </row>
    <row r="50" spans="1:26" s="26" customFormat="1" outlineLevel="1" collapsed="1" x14ac:dyDescent="0.25">
      <c r="A50" s="27"/>
      <c r="B50" s="13" t="str">
        <f>CONCATENATE("     ","General                                           ")</f>
        <v xml:space="preserve">     General                                           </v>
      </c>
      <c r="C50" s="13"/>
      <c r="D50" s="1">
        <f>SUM(OSRRefD22_7x_0)</f>
        <v>0</v>
      </c>
      <c r="E50" s="1"/>
      <c r="F50" s="5">
        <f t="shared" si="16"/>
        <v>0</v>
      </c>
      <c r="G50" s="1"/>
      <c r="H50" s="1">
        <f>SUM(OSRRefH22_7x_0)</f>
        <v>25</v>
      </c>
      <c r="I50" s="1"/>
      <c r="J50" s="5">
        <f t="shared" si="17"/>
        <v>0</v>
      </c>
      <c r="K50" s="1"/>
      <c r="L50" s="1">
        <f t="shared" si="18"/>
        <v>-25</v>
      </c>
      <c r="M50" s="1"/>
      <c r="N50" s="5">
        <f t="shared" si="19"/>
        <v>-1</v>
      </c>
      <c r="O50" s="13"/>
      <c r="P50" s="1">
        <f>SUM(OSRRefP22_7x_0)</f>
        <v>0</v>
      </c>
      <c r="Q50" s="1"/>
      <c r="R50" s="5">
        <f t="shared" si="20"/>
        <v>0</v>
      </c>
      <c r="S50" s="1"/>
      <c r="T50" s="1">
        <f>SUM(OSRRefT22_7x_0)</f>
        <v>75</v>
      </c>
      <c r="U50" s="1"/>
      <c r="V50" s="5">
        <f t="shared" si="21"/>
        <v>0</v>
      </c>
      <c r="W50" s="1"/>
      <c r="X50" s="1">
        <f t="shared" si="22"/>
        <v>-75</v>
      </c>
      <c r="Y50" s="1"/>
      <c r="Z50" s="5">
        <f t="shared" si="23"/>
        <v>-1</v>
      </c>
    </row>
    <row r="51" spans="1:26" s="24" customFormat="1" hidden="1" outlineLevel="2" x14ac:dyDescent="0.25">
      <c r="A51" s="25"/>
      <c r="B51" s="11" t="str">
        <f>CONCATENATE("          ", "6279", " - ", "GENERAL EXPENSE")</f>
        <v xml:space="preserve">          6279 - GENERAL EXPENSE</v>
      </c>
      <c r="C51" s="11"/>
      <c r="D51" s="7"/>
      <c r="E51" s="2"/>
      <c r="F51" s="6">
        <f t="shared" si="16"/>
        <v>0</v>
      </c>
      <c r="G51" s="2"/>
      <c r="H51" s="7">
        <v>25</v>
      </c>
      <c r="I51" s="2"/>
      <c r="J51" s="6">
        <f t="shared" si="17"/>
        <v>0</v>
      </c>
      <c r="K51" s="2"/>
      <c r="L51" s="7">
        <f t="shared" si="18"/>
        <v>-25</v>
      </c>
      <c r="M51" s="2"/>
      <c r="N51" s="6">
        <f t="shared" si="19"/>
        <v>-1</v>
      </c>
      <c r="O51" s="11"/>
      <c r="P51" s="7"/>
      <c r="Q51" s="2"/>
      <c r="R51" s="6">
        <f t="shared" si="20"/>
        <v>0</v>
      </c>
      <c r="S51" s="2"/>
      <c r="T51" s="7">
        <v>75</v>
      </c>
      <c r="U51" s="2"/>
      <c r="V51" s="6">
        <f t="shared" si="21"/>
        <v>0</v>
      </c>
      <c r="W51" s="2"/>
      <c r="X51" s="7">
        <f t="shared" si="22"/>
        <v>-75</v>
      </c>
      <c r="Y51" s="2"/>
      <c r="Z51" s="6">
        <f t="shared" si="23"/>
        <v>-1</v>
      </c>
    </row>
    <row r="52" spans="1:26" s="26" customFormat="1" outlineLevel="1" collapsed="1" x14ac:dyDescent="0.25">
      <c r="A52" s="27"/>
      <c r="B52" s="13" t="str">
        <f>CONCATENATE("     ","Insurance                                         ")</f>
        <v xml:space="preserve">     Insurance                                         </v>
      </c>
      <c r="C52" s="13"/>
      <c r="D52" s="1">
        <f>SUM(OSRRefD22_8x_0)</f>
        <v>132.16999999999999</v>
      </c>
      <c r="E52" s="1"/>
      <c r="F52" s="5">
        <f t="shared" si="16"/>
        <v>0</v>
      </c>
      <c r="G52" s="1"/>
      <c r="H52" s="1">
        <f>SUM(OSRRefH22_8x_0)</f>
        <v>125</v>
      </c>
      <c r="I52" s="1"/>
      <c r="J52" s="5">
        <f t="shared" si="17"/>
        <v>0</v>
      </c>
      <c r="K52" s="1"/>
      <c r="L52" s="1">
        <f t="shared" si="18"/>
        <v>7.1699999999999875</v>
      </c>
      <c r="M52" s="1"/>
      <c r="N52" s="5">
        <f t="shared" si="19"/>
        <v>5.7359999999999897E-2</v>
      </c>
      <c r="O52" s="13"/>
      <c r="P52" s="1">
        <f>SUM(OSRRefP22_8x_0)</f>
        <v>396.51</v>
      </c>
      <c r="Q52" s="1"/>
      <c r="R52" s="5">
        <f t="shared" si="20"/>
        <v>0</v>
      </c>
      <c r="S52" s="1"/>
      <c r="T52" s="1">
        <f>SUM(OSRRefT22_8x_0)</f>
        <v>375</v>
      </c>
      <c r="U52" s="1"/>
      <c r="V52" s="5">
        <f t="shared" si="21"/>
        <v>0</v>
      </c>
      <c r="W52" s="1"/>
      <c r="X52" s="1">
        <f t="shared" si="22"/>
        <v>21.509999999999991</v>
      </c>
      <c r="Y52" s="1"/>
      <c r="Z52" s="5">
        <f t="shared" si="23"/>
        <v>5.7359999999999974E-2</v>
      </c>
    </row>
    <row r="53" spans="1:26" s="24" customFormat="1" hidden="1" outlineLevel="2" x14ac:dyDescent="0.25">
      <c r="A53" s="25"/>
      <c r="B53" s="11" t="str">
        <f>CONCATENATE("          ", "6314", " - ", "LIABILITY INSURANCE")</f>
        <v xml:space="preserve">          6314 - LIABILITY INSURANCE</v>
      </c>
      <c r="C53" s="11"/>
      <c r="D53" s="7">
        <v>132.16999999999999</v>
      </c>
      <c r="E53" s="2"/>
      <c r="F53" s="6">
        <f t="shared" si="16"/>
        <v>0</v>
      </c>
      <c r="G53" s="2"/>
      <c r="H53" s="7">
        <v>125</v>
      </c>
      <c r="I53" s="2"/>
      <c r="J53" s="6">
        <f t="shared" si="17"/>
        <v>0</v>
      </c>
      <c r="K53" s="2"/>
      <c r="L53" s="7">
        <f t="shared" si="18"/>
        <v>7.1699999999999875</v>
      </c>
      <c r="M53" s="2"/>
      <c r="N53" s="6">
        <f t="shared" si="19"/>
        <v>5.7359999999999897E-2</v>
      </c>
      <c r="O53" s="11"/>
      <c r="P53" s="7">
        <v>396.51</v>
      </c>
      <c r="Q53" s="2"/>
      <c r="R53" s="6">
        <f t="shared" si="20"/>
        <v>0</v>
      </c>
      <c r="S53" s="2"/>
      <c r="T53" s="7">
        <v>375</v>
      </c>
      <c r="U53" s="2"/>
      <c r="V53" s="6">
        <f t="shared" si="21"/>
        <v>0</v>
      </c>
      <c r="W53" s="2"/>
      <c r="X53" s="7">
        <f t="shared" si="22"/>
        <v>21.509999999999991</v>
      </c>
      <c r="Y53" s="2"/>
      <c r="Z53" s="6">
        <f t="shared" si="23"/>
        <v>5.7359999999999974E-2</v>
      </c>
    </row>
    <row r="54" spans="1:26" s="26" customFormat="1" outlineLevel="1" collapsed="1" x14ac:dyDescent="0.25">
      <c r="A54" s="27"/>
      <c r="B54" s="13" t="str">
        <f>CONCATENATE("     ","Interest                                          ")</f>
        <v xml:space="preserve">     Interest                                          </v>
      </c>
      <c r="C54" s="13"/>
      <c r="D54" s="1">
        <f>SUM(OSRRefD22_9x_0)</f>
        <v>0</v>
      </c>
      <c r="E54" s="1"/>
      <c r="F54" s="5">
        <f t="shared" si="16"/>
        <v>0</v>
      </c>
      <c r="G54" s="1"/>
      <c r="H54" s="1">
        <f>SUM(OSRRefH22_9x_0)</f>
        <v>0</v>
      </c>
      <c r="I54" s="1"/>
      <c r="J54" s="5">
        <f t="shared" si="17"/>
        <v>0</v>
      </c>
      <c r="K54" s="1"/>
      <c r="L54" s="1">
        <f t="shared" si="18"/>
        <v>0</v>
      </c>
      <c r="M54" s="1"/>
      <c r="N54" s="5">
        <f t="shared" si="19"/>
        <v>0</v>
      </c>
      <c r="O54" s="13"/>
      <c r="P54" s="1">
        <f>SUM(OSRRefP22_9x_0)</f>
        <v>0</v>
      </c>
      <c r="Q54" s="1"/>
      <c r="R54" s="5">
        <f t="shared" si="20"/>
        <v>0</v>
      </c>
      <c r="S54" s="1"/>
      <c r="T54" s="1">
        <f>SUM(OSRRefT22_9x_0)</f>
        <v>0</v>
      </c>
      <c r="U54" s="1"/>
      <c r="V54" s="5">
        <f t="shared" si="21"/>
        <v>0</v>
      </c>
      <c r="W54" s="1"/>
      <c r="X54" s="1">
        <f t="shared" si="22"/>
        <v>0</v>
      </c>
      <c r="Y54" s="1"/>
      <c r="Z54" s="5">
        <f t="shared" si="23"/>
        <v>0</v>
      </c>
    </row>
    <row r="55" spans="1:26" s="24" customFormat="1" hidden="1" outlineLevel="2" x14ac:dyDescent="0.25">
      <c r="A55" s="25"/>
      <c r="B55" s="11" t="str">
        <f>CONCATENATE("          ", "6401", " - ", "INTEREST EXPENSE")</f>
        <v xml:space="preserve">          6401 - INTEREST EXPENSE</v>
      </c>
      <c r="C55" s="11"/>
      <c r="D55" s="7"/>
      <c r="E55" s="2"/>
      <c r="F55" s="6">
        <f t="shared" si="16"/>
        <v>0</v>
      </c>
      <c r="G55" s="2"/>
      <c r="H55" s="7">
        <v>0</v>
      </c>
      <c r="I55" s="2"/>
      <c r="J55" s="6">
        <f t="shared" si="17"/>
        <v>0</v>
      </c>
      <c r="K55" s="2"/>
      <c r="L55" s="7">
        <f t="shared" si="18"/>
        <v>0</v>
      </c>
      <c r="M55" s="2"/>
      <c r="N55" s="6">
        <f t="shared" si="19"/>
        <v>0</v>
      </c>
      <c r="O55" s="11"/>
      <c r="P55" s="7"/>
      <c r="Q55" s="2"/>
      <c r="R55" s="6">
        <f t="shared" si="20"/>
        <v>0</v>
      </c>
      <c r="S55" s="2"/>
      <c r="T55" s="7">
        <v>0</v>
      </c>
      <c r="U55" s="2"/>
      <c r="V55" s="6">
        <f t="shared" si="21"/>
        <v>0</v>
      </c>
      <c r="W55" s="2"/>
      <c r="X55" s="7">
        <f t="shared" si="22"/>
        <v>0</v>
      </c>
      <c r="Y55" s="2"/>
      <c r="Z55" s="6">
        <f t="shared" si="23"/>
        <v>0</v>
      </c>
    </row>
    <row r="56" spans="1:26" s="24" customFormat="1" hidden="1" outlineLevel="2" x14ac:dyDescent="0.25">
      <c r="A56" s="25"/>
      <c r="B56" s="11" t="str">
        <f>CONCATENATE("          ", "6402", " - ", "INTEREST EXPENSE BOND ISSUANCE")</f>
        <v xml:space="preserve">          6402 - INTEREST EXPENSE BOND ISSUANCE</v>
      </c>
      <c r="C56" s="11"/>
      <c r="D56" s="7"/>
      <c r="E56" s="2"/>
      <c r="F56" s="6">
        <f t="shared" si="16"/>
        <v>0</v>
      </c>
      <c r="G56" s="2"/>
      <c r="H56" s="7">
        <v>0</v>
      </c>
      <c r="I56" s="2"/>
      <c r="J56" s="6">
        <f t="shared" si="17"/>
        <v>0</v>
      </c>
      <c r="K56" s="2"/>
      <c r="L56" s="7">
        <f t="shared" si="18"/>
        <v>0</v>
      </c>
      <c r="M56" s="2"/>
      <c r="N56" s="6">
        <f t="shared" si="19"/>
        <v>0</v>
      </c>
      <c r="O56" s="11"/>
      <c r="P56" s="7"/>
      <c r="Q56" s="2"/>
      <c r="R56" s="6">
        <f t="shared" si="20"/>
        <v>0</v>
      </c>
      <c r="S56" s="2"/>
      <c r="T56" s="7">
        <v>0</v>
      </c>
      <c r="U56" s="2"/>
      <c r="V56" s="6">
        <f t="shared" si="21"/>
        <v>0</v>
      </c>
      <c r="W56" s="2"/>
      <c r="X56" s="7">
        <f t="shared" si="22"/>
        <v>0</v>
      </c>
      <c r="Y56" s="2"/>
      <c r="Z56" s="6">
        <f t="shared" si="23"/>
        <v>0</v>
      </c>
    </row>
    <row r="57" spans="1:26" s="24" customFormat="1" hidden="1" outlineLevel="2" x14ac:dyDescent="0.25">
      <c r="A57" s="25"/>
      <c r="B57" s="11" t="str">
        <f>CONCATENATE("          ", "6403", " - ", "INTEREST EXPENSE LEASE EQUIP")</f>
        <v xml:space="preserve">          6403 - INTEREST EXPENSE LEASE EQUIP</v>
      </c>
      <c r="C57" s="11"/>
      <c r="D57" s="7"/>
      <c r="E57" s="2"/>
      <c r="F57" s="6">
        <f t="shared" si="16"/>
        <v>0</v>
      </c>
      <c r="G57" s="2"/>
      <c r="H57" s="7">
        <v>0</v>
      </c>
      <c r="I57" s="2"/>
      <c r="J57" s="6">
        <f t="shared" si="17"/>
        <v>0</v>
      </c>
      <c r="K57" s="2"/>
      <c r="L57" s="7">
        <f t="shared" si="18"/>
        <v>0</v>
      </c>
      <c r="M57" s="2"/>
      <c r="N57" s="6">
        <f t="shared" si="19"/>
        <v>0</v>
      </c>
      <c r="O57" s="11"/>
      <c r="P57" s="7"/>
      <c r="Q57" s="2"/>
      <c r="R57" s="6">
        <f t="shared" si="20"/>
        <v>0</v>
      </c>
      <c r="S57" s="2"/>
      <c r="T57" s="7">
        <v>0</v>
      </c>
      <c r="U57" s="2"/>
      <c r="V57" s="6">
        <f t="shared" si="21"/>
        <v>0</v>
      </c>
      <c r="W57" s="2"/>
      <c r="X57" s="7">
        <f t="shared" si="22"/>
        <v>0</v>
      </c>
      <c r="Y57" s="2"/>
      <c r="Z57" s="6">
        <f t="shared" si="23"/>
        <v>0</v>
      </c>
    </row>
    <row r="58" spans="1:26" s="26" customFormat="1" outlineLevel="1" collapsed="1" x14ac:dyDescent="0.25">
      <c r="A58" s="27"/>
      <c r="B58" s="13" t="str">
        <f>CONCATENATE("     ","Professional Services                             ")</f>
        <v xml:space="preserve">     Professional Services                             </v>
      </c>
      <c r="C58" s="13"/>
      <c r="D58" s="1">
        <f>SUM(OSRRefD22_10x_0)</f>
        <v>0</v>
      </c>
      <c r="E58" s="1"/>
      <c r="F58" s="5">
        <f t="shared" ref="F58:F68" si="24">IF(D$12=0,0,D58/D$12)</f>
        <v>0</v>
      </c>
      <c r="G58" s="1"/>
      <c r="H58" s="1">
        <f>SUM(OSRRefH22_10x_0)</f>
        <v>100</v>
      </c>
      <c r="I58" s="1"/>
      <c r="J58" s="5">
        <f t="shared" ref="J58:J68" si="25">IF(H$12=0,0,H58/H$12)</f>
        <v>0</v>
      </c>
      <c r="K58" s="1"/>
      <c r="L58" s="1">
        <f t="shared" ref="L58:L68" si="26">+D58-H58</f>
        <v>-100</v>
      </c>
      <c r="M58" s="1"/>
      <c r="N58" s="5">
        <f t="shared" ref="N58:N68" si="27">IF(H58=0,0,L58/H58)</f>
        <v>-1</v>
      </c>
      <c r="O58" s="13"/>
      <c r="P58" s="1">
        <f>SUM(OSRRefP22_10x_0)</f>
        <v>82.5</v>
      </c>
      <c r="Q58" s="1"/>
      <c r="R58" s="5">
        <f t="shared" ref="R58:R68" si="28">IF(P$12=0,0,P58/P$12)</f>
        <v>0</v>
      </c>
      <c r="S58" s="1"/>
      <c r="T58" s="1">
        <f>SUM(OSRRefT22_10x_0)</f>
        <v>300</v>
      </c>
      <c r="U58" s="1"/>
      <c r="V58" s="5">
        <f t="shared" ref="V58:V68" si="29">IF(T$12=0,0,T58/T$12)</f>
        <v>0</v>
      </c>
      <c r="W58" s="1"/>
      <c r="X58" s="1">
        <f t="shared" ref="X58:X68" si="30">+P58-T58</f>
        <v>-217.5</v>
      </c>
      <c r="Y58" s="1"/>
      <c r="Z58" s="5">
        <f t="shared" ref="Z58:Z68" si="31">IF(T58=0,0,X58/T58)</f>
        <v>-0.72499999999999998</v>
      </c>
    </row>
    <row r="59" spans="1:26" s="24" customFormat="1" hidden="1" outlineLevel="2" x14ac:dyDescent="0.25">
      <c r="A59" s="25"/>
      <c r="B59" s="11" t="str">
        <f>CONCATENATE("          ", "6332", " - ", "CONSULTANT FEES")</f>
        <v xml:space="preserve">          6332 - CONSULTANT FEES</v>
      </c>
      <c r="C59" s="11"/>
      <c r="D59" s="7"/>
      <c r="E59" s="2"/>
      <c r="F59" s="6">
        <f t="shared" si="24"/>
        <v>0</v>
      </c>
      <c r="G59" s="2"/>
      <c r="H59" s="7">
        <v>100</v>
      </c>
      <c r="I59" s="2"/>
      <c r="J59" s="6">
        <f t="shared" si="25"/>
        <v>0</v>
      </c>
      <c r="K59" s="2"/>
      <c r="L59" s="7">
        <f t="shared" si="26"/>
        <v>-100</v>
      </c>
      <c r="M59" s="2"/>
      <c r="N59" s="6">
        <f t="shared" si="27"/>
        <v>-1</v>
      </c>
      <c r="O59" s="11"/>
      <c r="P59" s="7">
        <v>82.5</v>
      </c>
      <c r="Q59" s="2"/>
      <c r="R59" s="6">
        <f t="shared" si="28"/>
        <v>0</v>
      </c>
      <c r="S59" s="2"/>
      <c r="T59" s="7">
        <v>300</v>
      </c>
      <c r="U59" s="2"/>
      <c r="V59" s="6">
        <f t="shared" si="29"/>
        <v>0</v>
      </c>
      <c r="W59" s="2"/>
      <c r="X59" s="7">
        <f t="shared" si="30"/>
        <v>-217.5</v>
      </c>
      <c r="Y59" s="2"/>
      <c r="Z59" s="6">
        <f t="shared" si="31"/>
        <v>-0.72499999999999998</v>
      </c>
    </row>
    <row r="60" spans="1:26" s="26" customFormat="1" outlineLevel="1" collapsed="1" x14ac:dyDescent="0.25">
      <c r="A60" s="27"/>
      <c r="B60" s="13" t="str">
        <f>CONCATENATE("     ","Repair and Maintenance                            ")</f>
        <v xml:space="preserve">     Repair and Maintenance                            </v>
      </c>
      <c r="C60" s="13"/>
      <c r="D60" s="1">
        <f>SUM(OSRRefD22_11x_0)</f>
        <v>26.36</v>
      </c>
      <c r="E60" s="1"/>
      <c r="F60" s="5">
        <f t="shared" si="24"/>
        <v>0</v>
      </c>
      <c r="G60" s="1"/>
      <c r="H60" s="1">
        <f>SUM(OSRRefH22_11x_0)</f>
        <v>20</v>
      </c>
      <c r="I60" s="1"/>
      <c r="J60" s="5">
        <f t="shared" si="25"/>
        <v>0</v>
      </c>
      <c r="K60" s="1"/>
      <c r="L60" s="1">
        <f t="shared" si="26"/>
        <v>6.3599999999999994</v>
      </c>
      <c r="M60" s="1"/>
      <c r="N60" s="5">
        <f t="shared" si="27"/>
        <v>0.31799999999999995</v>
      </c>
      <c r="O60" s="13"/>
      <c r="P60" s="1">
        <f>SUM(OSRRefP22_11x_0)</f>
        <v>69.05</v>
      </c>
      <c r="Q60" s="1"/>
      <c r="R60" s="5">
        <f t="shared" si="28"/>
        <v>0</v>
      </c>
      <c r="S60" s="1"/>
      <c r="T60" s="1">
        <f>SUM(OSRRefT22_11x_0)</f>
        <v>60</v>
      </c>
      <c r="U60" s="1"/>
      <c r="V60" s="5">
        <f t="shared" si="29"/>
        <v>0</v>
      </c>
      <c r="W60" s="1"/>
      <c r="X60" s="1">
        <f t="shared" si="30"/>
        <v>9.0499999999999972</v>
      </c>
      <c r="Y60" s="1"/>
      <c r="Z60" s="5">
        <f t="shared" si="31"/>
        <v>0.15083333333333329</v>
      </c>
    </row>
    <row r="61" spans="1:26" s="24" customFormat="1" hidden="1" outlineLevel="2" x14ac:dyDescent="0.25">
      <c r="A61" s="25"/>
      <c r="B61" s="11" t="str">
        <f>CONCATENATE("          ", "6373", " - ", "MAINTENANCE CONTRACTS")</f>
        <v xml:space="preserve">          6373 - MAINTENANCE CONTRACTS</v>
      </c>
      <c r="C61" s="11"/>
      <c r="D61" s="7">
        <v>26.36</v>
      </c>
      <c r="E61" s="2"/>
      <c r="F61" s="6">
        <f t="shared" si="24"/>
        <v>0</v>
      </c>
      <c r="G61" s="2"/>
      <c r="H61" s="7">
        <v>20</v>
      </c>
      <c r="I61" s="2"/>
      <c r="J61" s="6">
        <f t="shared" si="25"/>
        <v>0</v>
      </c>
      <c r="K61" s="2"/>
      <c r="L61" s="7">
        <f t="shared" si="26"/>
        <v>6.3599999999999994</v>
      </c>
      <c r="M61" s="2"/>
      <c r="N61" s="6">
        <f t="shared" si="27"/>
        <v>0.31799999999999995</v>
      </c>
      <c r="O61" s="11"/>
      <c r="P61" s="7">
        <v>69.05</v>
      </c>
      <c r="Q61" s="2"/>
      <c r="R61" s="6">
        <f t="shared" si="28"/>
        <v>0</v>
      </c>
      <c r="S61" s="2"/>
      <c r="T61" s="7">
        <v>60</v>
      </c>
      <c r="U61" s="2"/>
      <c r="V61" s="6">
        <f t="shared" si="29"/>
        <v>0</v>
      </c>
      <c r="W61" s="2"/>
      <c r="X61" s="7">
        <f t="shared" si="30"/>
        <v>9.0499999999999972</v>
      </c>
      <c r="Y61" s="2"/>
      <c r="Z61" s="6">
        <f t="shared" si="31"/>
        <v>0.15083333333333329</v>
      </c>
    </row>
    <row r="62" spans="1:26" s="26" customFormat="1" outlineLevel="1" collapsed="1" x14ac:dyDescent="0.25">
      <c r="A62" s="27"/>
      <c r="B62" s="13" t="str">
        <f>CONCATENATE("     ","Services                                          ")</f>
        <v xml:space="preserve">     Services                                          </v>
      </c>
      <c r="C62" s="13"/>
      <c r="D62" s="1">
        <f>SUM(OSRRefD22_12x_0)</f>
        <v>856.83</v>
      </c>
      <c r="E62" s="1"/>
      <c r="F62" s="5">
        <f t="shared" si="24"/>
        <v>0</v>
      </c>
      <c r="G62" s="1"/>
      <c r="H62" s="1">
        <f>SUM(OSRRefH22_12x_0)</f>
        <v>600</v>
      </c>
      <c r="I62" s="1"/>
      <c r="J62" s="5">
        <f t="shared" si="25"/>
        <v>0</v>
      </c>
      <c r="K62" s="1"/>
      <c r="L62" s="1">
        <f t="shared" si="26"/>
        <v>256.83000000000004</v>
      </c>
      <c r="M62" s="1"/>
      <c r="N62" s="5">
        <f t="shared" si="27"/>
        <v>0.42805000000000004</v>
      </c>
      <c r="O62" s="13"/>
      <c r="P62" s="1">
        <f>SUM(OSRRefP22_12x_0)</f>
        <v>3713.31</v>
      </c>
      <c r="Q62" s="1"/>
      <c r="R62" s="5">
        <f t="shared" si="28"/>
        <v>0</v>
      </c>
      <c r="S62" s="1"/>
      <c r="T62" s="1">
        <f>SUM(OSRRefT22_12x_0)</f>
        <v>1800</v>
      </c>
      <c r="U62" s="1"/>
      <c r="V62" s="5">
        <f t="shared" si="29"/>
        <v>0</v>
      </c>
      <c r="W62" s="1"/>
      <c r="X62" s="1">
        <f t="shared" si="30"/>
        <v>1913.31</v>
      </c>
      <c r="Y62" s="1"/>
      <c r="Z62" s="5">
        <f t="shared" si="31"/>
        <v>1.0629500000000001</v>
      </c>
    </row>
    <row r="63" spans="1:26" s="24" customFormat="1" hidden="1" outlineLevel="2" x14ac:dyDescent="0.25">
      <c r="A63" s="25"/>
      <c r="B63" s="11" t="str">
        <f>CONCATENATE("          ", "6281", " - ", "STORAGE FEE")</f>
        <v xml:space="preserve">          6281 - STORAGE FEE</v>
      </c>
      <c r="C63" s="11"/>
      <c r="D63" s="7">
        <v>856.83</v>
      </c>
      <c r="E63" s="2"/>
      <c r="F63" s="6">
        <f t="shared" si="24"/>
        <v>0</v>
      </c>
      <c r="G63" s="2"/>
      <c r="H63" s="7">
        <v>600</v>
      </c>
      <c r="I63" s="2"/>
      <c r="J63" s="6">
        <f t="shared" si="25"/>
        <v>0</v>
      </c>
      <c r="K63" s="2"/>
      <c r="L63" s="7">
        <f t="shared" si="26"/>
        <v>256.83000000000004</v>
      </c>
      <c r="M63" s="2"/>
      <c r="N63" s="6">
        <f t="shared" si="27"/>
        <v>0.42805000000000004</v>
      </c>
      <c r="O63" s="11"/>
      <c r="P63" s="7">
        <v>3713.31</v>
      </c>
      <c r="Q63" s="2"/>
      <c r="R63" s="6">
        <f t="shared" si="28"/>
        <v>0</v>
      </c>
      <c r="S63" s="2"/>
      <c r="T63" s="7">
        <v>1800</v>
      </c>
      <c r="U63" s="2"/>
      <c r="V63" s="6">
        <f t="shared" si="29"/>
        <v>0</v>
      </c>
      <c r="W63" s="2"/>
      <c r="X63" s="7">
        <f t="shared" si="30"/>
        <v>1913.31</v>
      </c>
      <c r="Y63" s="2"/>
      <c r="Z63" s="6">
        <f t="shared" si="31"/>
        <v>1.0629500000000001</v>
      </c>
    </row>
    <row r="64" spans="1:26" s="26" customFormat="1" outlineLevel="1" collapsed="1" x14ac:dyDescent="0.25">
      <c r="A64" s="27"/>
      <c r="B64" s="13" t="str">
        <f>CONCATENATE("     ","Subscriptions &amp; Dues                              ")</f>
        <v xml:space="preserve">     Subscriptions &amp; Dues                              </v>
      </c>
      <c r="C64" s="13"/>
      <c r="D64" s="1">
        <f>SUM(OSRRefD22_13x_0)</f>
        <v>39</v>
      </c>
      <c r="E64" s="1"/>
      <c r="F64" s="5">
        <f t="shared" si="24"/>
        <v>0</v>
      </c>
      <c r="G64" s="1"/>
      <c r="H64" s="1">
        <f>SUM(OSRRefH22_13x_0)</f>
        <v>0</v>
      </c>
      <c r="I64" s="1"/>
      <c r="J64" s="5">
        <f t="shared" si="25"/>
        <v>0</v>
      </c>
      <c r="K64" s="1"/>
      <c r="L64" s="1">
        <f t="shared" si="26"/>
        <v>39</v>
      </c>
      <c r="M64" s="1"/>
      <c r="N64" s="5">
        <f t="shared" si="27"/>
        <v>0</v>
      </c>
      <c r="O64" s="13"/>
      <c r="P64" s="1">
        <f>SUM(OSRRefP22_13x_0)</f>
        <v>39</v>
      </c>
      <c r="Q64" s="1"/>
      <c r="R64" s="5">
        <f t="shared" si="28"/>
        <v>0</v>
      </c>
      <c r="S64" s="1"/>
      <c r="T64" s="1">
        <f>SUM(OSRRefT22_13x_0)</f>
        <v>0</v>
      </c>
      <c r="U64" s="1"/>
      <c r="V64" s="5">
        <f t="shared" si="29"/>
        <v>0</v>
      </c>
      <c r="W64" s="1"/>
      <c r="X64" s="1">
        <f t="shared" si="30"/>
        <v>39</v>
      </c>
      <c r="Y64" s="1"/>
      <c r="Z64" s="5">
        <f t="shared" si="31"/>
        <v>0</v>
      </c>
    </row>
    <row r="65" spans="1:26" s="24" customFormat="1" hidden="1" outlineLevel="2" x14ac:dyDescent="0.25">
      <c r="A65" s="25"/>
      <c r="B65" s="11" t="str">
        <f>CONCATENATE("          ", "6258", " - ", "MEMBERSHIP DUES")</f>
        <v xml:space="preserve">          6258 - MEMBERSHIP DUES</v>
      </c>
      <c r="C65" s="11"/>
      <c r="D65" s="7">
        <v>39</v>
      </c>
      <c r="E65" s="2"/>
      <c r="F65" s="6">
        <f t="shared" si="24"/>
        <v>0</v>
      </c>
      <c r="G65" s="2"/>
      <c r="H65" s="7"/>
      <c r="I65" s="2"/>
      <c r="J65" s="6">
        <f t="shared" si="25"/>
        <v>0</v>
      </c>
      <c r="K65" s="2"/>
      <c r="L65" s="7">
        <f t="shared" si="26"/>
        <v>39</v>
      </c>
      <c r="M65" s="2"/>
      <c r="N65" s="6">
        <f t="shared" si="27"/>
        <v>0</v>
      </c>
      <c r="O65" s="11"/>
      <c r="P65" s="7">
        <v>39</v>
      </c>
      <c r="Q65" s="2"/>
      <c r="R65" s="6">
        <f t="shared" si="28"/>
        <v>0</v>
      </c>
      <c r="S65" s="2"/>
      <c r="T65" s="7"/>
      <c r="U65" s="2"/>
      <c r="V65" s="6">
        <f t="shared" si="29"/>
        <v>0</v>
      </c>
      <c r="W65" s="2"/>
      <c r="X65" s="7">
        <f t="shared" si="30"/>
        <v>39</v>
      </c>
      <c r="Y65" s="2"/>
      <c r="Z65" s="6">
        <f t="shared" si="31"/>
        <v>0</v>
      </c>
    </row>
    <row r="66" spans="1:26" s="26" customFormat="1" outlineLevel="1" collapsed="1" x14ac:dyDescent="0.25">
      <c r="A66" s="27"/>
      <c r="B66" s="13" t="str">
        <f>CONCATENATE("     ","Supplies                                          ")</f>
        <v xml:space="preserve">     Supplies                                          </v>
      </c>
      <c r="C66" s="13"/>
      <c r="D66" s="1">
        <f>SUM(OSRRefD22_14x_0)</f>
        <v>1107.1199999999999</v>
      </c>
      <c r="E66" s="1"/>
      <c r="F66" s="5">
        <f t="shared" si="24"/>
        <v>0</v>
      </c>
      <c r="G66" s="1"/>
      <c r="H66" s="1">
        <f>SUM(OSRRefH22_14x_0)</f>
        <v>300</v>
      </c>
      <c r="I66" s="1"/>
      <c r="J66" s="5">
        <f t="shared" si="25"/>
        <v>0</v>
      </c>
      <c r="K66" s="1"/>
      <c r="L66" s="1">
        <f t="shared" si="26"/>
        <v>807.11999999999989</v>
      </c>
      <c r="M66" s="1"/>
      <c r="N66" s="5">
        <f t="shared" si="27"/>
        <v>2.6903999999999995</v>
      </c>
      <c r="O66" s="13"/>
      <c r="P66" s="1">
        <f>SUM(OSRRefP22_14x_0)</f>
        <v>2219.23</v>
      </c>
      <c r="Q66" s="1"/>
      <c r="R66" s="5">
        <f t="shared" si="28"/>
        <v>0</v>
      </c>
      <c r="S66" s="1"/>
      <c r="T66" s="1">
        <f>SUM(OSRRefT22_14x_0)</f>
        <v>650</v>
      </c>
      <c r="U66" s="1"/>
      <c r="V66" s="5">
        <f t="shared" si="29"/>
        <v>0</v>
      </c>
      <c r="W66" s="1"/>
      <c r="X66" s="1">
        <f t="shared" si="30"/>
        <v>1569.23</v>
      </c>
      <c r="Y66" s="1"/>
      <c r="Z66" s="5">
        <f t="shared" si="31"/>
        <v>2.4142000000000001</v>
      </c>
    </row>
    <row r="67" spans="1:26" s="24" customFormat="1" hidden="1" outlineLevel="2" x14ac:dyDescent="0.25">
      <c r="A67" s="25"/>
      <c r="B67" s="11" t="str">
        <f>CONCATENATE("          ", "6241", " - ", "OFFICE EXPENSE")</f>
        <v xml:space="preserve">          6241 - OFFICE EXPENSE</v>
      </c>
      <c r="C67" s="11"/>
      <c r="D67" s="7">
        <v>1107.1199999999999</v>
      </c>
      <c r="E67" s="2"/>
      <c r="F67" s="6">
        <f t="shared" si="24"/>
        <v>0</v>
      </c>
      <c r="G67" s="2"/>
      <c r="H67" s="7">
        <v>300</v>
      </c>
      <c r="I67" s="2"/>
      <c r="J67" s="6">
        <f t="shared" si="25"/>
        <v>0</v>
      </c>
      <c r="K67" s="2"/>
      <c r="L67" s="7">
        <f t="shared" si="26"/>
        <v>807.11999999999989</v>
      </c>
      <c r="M67" s="2"/>
      <c r="N67" s="6">
        <f t="shared" si="27"/>
        <v>2.6903999999999995</v>
      </c>
      <c r="O67" s="11"/>
      <c r="P67" s="7">
        <v>1557.73</v>
      </c>
      <c r="Q67" s="2"/>
      <c r="R67" s="6">
        <f t="shared" si="28"/>
        <v>0</v>
      </c>
      <c r="S67" s="2"/>
      <c r="T67" s="7">
        <v>650</v>
      </c>
      <c r="U67" s="2"/>
      <c r="V67" s="6">
        <f t="shared" si="29"/>
        <v>0</v>
      </c>
      <c r="W67" s="2"/>
      <c r="X67" s="7">
        <f t="shared" si="30"/>
        <v>907.73</v>
      </c>
      <c r="Y67" s="2"/>
      <c r="Z67" s="6">
        <f t="shared" si="31"/>
        <v>1.3965076923076922</v>
      </c>
    </row>
    <row r="68" spans="1:26" s="24" customFormat="1" hidden="1" outlineLevel="2" x14ac:dyDescent="0.25">
      <c r="A68" s="25"/>
      <c r="B68" s="11" t="str">
        <f>CONCATENATE("          ", "6245", " - ", "PRINTING")</f>
        <v xml:space="preserve">          6245 - PRINTING</v>
      </c>
      <c r="C68" s="11"/>
      <c r="D68" s="7"/>
      <c r="E68" s="2"/>
      <c r="F68" s="6">
        <f t="shared" si="24"/>
        <v>0</v>
      </c>
      <c r="G68" s="2"/>
      <c r="H68" s="7"/>
      <c r="I68" s="2"/>
      <c r="J68" s="6">
        <f t="shared" si="25"/>
        <v>0</v>
      </c>
      <c r="K68" s="2"/>
      <c r="L68" s="7">
        <f t="shared" si="26"/>
        <v>0</v>
      </c>
      <c r="M68" s="2"/>
      <c r="N68" s="6">
        <f t="shared" si="27"/>
        <v>0</v>
      </c>
      <c r="O68" s="11"/>
      <c r="P68" s="7">
        <v>661.5</v>
      </c>
      <c r="Q68" s="2"/>
      <c r="R68" s="6">
        <f t="shared" si="28"/>
        <v>0</v>
      </c>
      <c r="S68" s="2"/>
      <c r="T68" s="7"/>
      <c r="U68" s="2"/>
      <c r="V68" s="6">
        <f t="shared" si="29"/>
        <v>0</v>
      </c>
      <c r="W68" s="2"/>
      <c r="X68" s="7">
        <f t="shared" si="30"/>
        <v>661.5</v>
      </c>
      <c r="Y68" s="2"/>
      <c r="Z68" s="6">
        <f t="shared" si="31"/>
        <v>0</v>
      </c>
    </row>
    <row r="69" spans="1:26" s="26" customFormat="1" outlineLevel="1" collapsed="1" x14ac:dyDescent="0.25">
      <c r="A69" s="27"/>
      <c r="B69" s="13" t="str">
        <f>CONCATENATE("     ","Telephone/Data Lines                              ")</f>
        <v xml:space="preserve">     Telephone/Data Lines                              </v>
      </c>
      <c r="C69" s="13"/>
      <c r="D69" s="1">
        <f>SUM(OSRRefD22_15x_0)</f>
        <v>375</v>
      </c>
      <c r="E69" s="1"/>
      <c r="F69" s="5">
        <f t="shared" ref="F69:F72" si="32">IF(D$12=0,0,D69/D$12)</f>
        <v>0</v>
      </c>
      <c r="G69" s="1"/>
      <c r="H69" s="1">
        <f>SUM(OSRRefH22_15x_0)</f>
        <v>375</v>
      </c>
      <c r="I69" s="1"/>
      <c r="J69" s="5">
        <f t="shared" ref="J69:J72" si="33">IF(H$12=0,0,H69/H$12)</f>
        <v>0</v>
      </c>
      <c r="K69" s="1"/>
      <c r="L69" s="1">
        <f t="shared" ref="L69:L72" si="34">+D69-H69</f>
        <v>0</v>
      </c>
      <c r="M69" s="1"/>
      <c r="N69" s="5">
        <f t="shared" ref="N69:N72" si="35">IF(H69=0,0,L69/H69)</f>
        <v>0</v>
      </c>
      <c r="O69" s="13"/>
      <c r="P69" s="1">
        <f>SUM(OSRRefP22_15x_0)</f>
        <v>1117.1500000000001</v>
      </c>
      <c r="Q69" s="1"/>
      <c r="R69" s="5">
        <f t="shared" ref="R69:R72" si="36">IF(P$12=0,0,P69/P$12)</f>
        <v>0</v>
      </c>
      <c r="S69" s="1"/>
      <c r="T69" s="1">
        <f>SUM(OSRRefT22_15x_0)</f>
        <v>1125</v>
      </c>
      <c r="U69" s="1"/>
      <c r="V69" s="5">
        <f t="shared" ref="V69:V72" si="37">IF(T$12=0,0,T69/T$12)</f>
        <v>0</v>
      </c>
      <c r="W69" s="1"/>
      <c r="X69" s="1">
        <f t="shared" ref="X69:X72" si="38">+P69-T69</f>
        <v>-7.8499999999999091</v>
      </c>
      <c r="Y69" s="1"/>
      <c r="Z69" s="5">
        <f t="shared" ref="Z69:Z72" si="39">IF(T69=0,0,X69/T69)</f>
        <v>-6.9777777777776965E-3</v>
      </c>
    </row>
    <row r="70" spans="1:26" s="24" customFormat="1" hidden="1" outlineLevel="2" x14ac:dyDescent="0.25">
      <c r="A70" s="25"/>
      <c r="B70" s="11" t="str">
        <f>CONCATENATE("          ", "6309", " - ", "TELEPHONE")</f>
        <v xml:space="preserve">          6309 - TELEPHONE</v>
      </c>
      <c r="C70" s="11"/>
      <c r="D70" s="7">
        <v>375</v>
      </c>
      <c r="E70" s="2"/>
      <c r="F70" s="6">
        <f t="shared" si="32"/>
        <v>0</v>
      </c>
      <c r="G70" s="2"/>
      <c r="H70" s="7">
        <v>375</v>
      </c>
      <c r="I70" s="2"/>
      <c r="J70" s="6">
        <f t="shared" si="33"/>
        <v>0</v>
      </c>
      <c r="K70" s="2"/>
      <c r="L70" s="7">
        <f t="shared" si="34"/>
        <v>0</v>
      </c>
      <c r="M70" s="2"/>
      <c r="N70" s="6">
        <f t="shared" si="35"/>
        <v>0</v>
      </c>
      <c r="O70" s="11"/>
      <c r="P70" s="7">
        <v>1117.1500000000001</v>
      </c>
      <c r="Q70" s="2"/>
      <c r="R70" s="6">
        <f t="shared" si="36"/>
        <v>0</v>
      </c>
      <c r="S70" s="2"/>
      <c r="T70" s="7">
        <v>1125</v>
      </c>
      <c r="U70" s="2"/>
      <c r="V70" s="6">
        <f t="shared" si="37"/>
        <v>0</v>
      </c>
      <c r="W70" s="2"/>
      <c r="X70" s="7">
        <f t="shared" si="38"/>
        <v>-7.8499999999999091</v>
      </c>
      <c r="Y70" s="2"/>
      <c r="Z70" s="6">
        <f t="shared" si="39"/>
        <v>-6.9777777777776965E-3</v>
      </c>
    </row>
    <row r="71" spans="1:26" s="26" customFormat="1" outlineLevel="1" collapsed="1" x14ac:dyDescent="0.25">
      <c r="A71" s="27"/>
      <c r="B71" s="13" t="str">
        <f>CONCATENATE("     ","Training                                          ")</f>
        <v xml:space="preserve">     Training                                          </v>
      </c>
      <c r="C71" s="13"/>
      <c r="D71" s="1">
        <f>SUM(OSRRefD22_16x_0)</f>
        <v>0</v>
      </c>
      <c r="E71" s="1"/>
      <c r="F71" s="5">
        <f t="shared" si="32"/>
        <v>0</v>
      </c>
      <c r="G71" s="1"/>
      <c r="H71" s="1">
        <f>SUM(OSRRefH22_16x_0)</f>
        <v>583</v>
      </c>
      <c r="I71" s="1"/>
      <c r="J71" s="5">
        <f t="shared" si="33"/>
        <v>0</v>
      </c>
      <c r="K71" s="1"/>
      <c r="L71" s="1">
        <f t="shared" si="34"/>
        <v>-583</v>
      </c>
      <c r="M71" s="1"/>
      <c r="N71" s="5">
        <f t="shared" si="35"/>
        <v>-1</v>
      </c>
      <c r="O71" s="13"/>
      <c r="P71" s="1">
        <f>SUM(OSRRefP22_16x_0)</f>
        <v>0</v>
      </c>
      <c r="Q71" s="1"/>
      <c r="R71" s="5">
        <f t="shared" si="36"/>
        <v>0</v>
      </c>
      <c r="S71" s="1"/>
      <c r="T71" s="1">
        <f>SUM(OSRRefT22_16x_0)</f>
        <v>1749</v>
      </c>
      <c r="U71" s="1"/>
      <c r="V71" s="5">
        <f t="shared" si="37"/>
        <v>0</v>
      </c>
      <c r="W71" s="1"/>
      <c r="X71" s="1">
        <f t="shared" si="38"/>
        <v>-1749</v>
      </c>
      <c r="Y71" s="1"/>
      <c r="Z71" s="5">
        <f t="shared" si="39"/>
        <v>-1</v>
      </c>
    </row>
    <row r="72" spans="1:26" s="24" customFormat="1" hidden="1" outlineLevel="2" x14ac:dyDescent="0.25">
      <c r="A72" s="25"/>
      <c r="B72" s="11" t="str">
        <f>CONCATENATE("          ", "6376", " - ", "TRAINING")</f>
        <v xml:space="preserve">          6376 - TRAINING</v>
      </c>
      <c r="C72" s="11"/>
      <c r="D72" s="7"/>
      <c r="E72" s="2"/>
      <c r="F72" s="6">
        <f t="shared" si="32"/>
        <v>0</v>
      </c>
      <c r="G72" s="2"/>
      <c r="H72" s="7">
        <v>583</v>
      </c>
      <c r="I72" s="2"/>
      <c r="J72" s="6">
        <f t="shared" si="33"/>
        <v>0</v>
      </c>
      <c r="K72" s="2"/>
      <c r="L72" s="7">
        <f t="shared" si="34"/>
        <v>-583</v>
      </c>
      <c r="M72" s="2"/>
      <c r="N72" s="6">
        <f t="shared" si="35"/>
        <v>-1</v>
      </c>
      <c r="O72" s="11"/>
      <c r="P72" s="7"/>
      <c r="Q72" s="2"/>
      <c r="R72" s="6">
        <f t="shared" si="36"/>
        <v>0</v>
      </c>
      <c r="S72" s="2"/>
      <c r="T72" s="7">
        <v>1749</v>
      </c>
      <c r="U72" s="2"/>
      <c r="V72" s="6">
        <f t="shared" si="37"/>
        <v>0</v>
      </c>
      <c r="W72" s="2"/>
      <c r="X72" s="7">
        <f t="shared" si="38"/>
        <v>-1749</v>
      </c>
      <c r="Y72" s="2"/>
      <c r="Z72" s="6">
        <f t="shared" si="39"/>
        <v>-1</v>
      </c>
    </row>
    <row r="73" spans="1:26" s="63" customFormat="1" x14ac:dyDescent="0.25">
      <c r="A73" s="36"/>
      <c r="B73" s="36"/>
      <c r="C73" s="36"/>
      <c r="D73" s="1"/>
      <c r="E73" s="1"/>
      <c r="F73" s="5"/>
      <c r="G73" s="1"/>
      <c r="H73" s="1"/>
      <c r="I73" s="1"/>
      <c r="J73" s="5"/>
      <c r="K73" s="1"/>
      <c r="L73" s="1"/>
      <c r="M73" s="1"/>
      <c r="N73" s="5"/>
      <c r="O73" s="36"/>
      <c r="P73" s="1"/>
      <c r="Q73" s="1"/>
      <c r="R73" s="5"/>
      <c r="S73" s="1"/>
      <c r="T73" s="1"/>
      <c r="U73" s="1"/>
      <c r="V73" s="5"/>
      <c r="W73" s="1"/>
      <c r="X73" s="1"/>
      <c r="Y73" s="1"/>
      <c r="Z73" s="5"/>
    </row>
    <row r="74" spans="1:26" s="23" customFormat="1" x14ac:dyDescent="0.25">
      <c r="A74" s="10"/>
      <c r="B74" s="28" t="s">
        <v>0</v>
      </c>
      <c r="C74" s="10"/>
      <c r="D74" s="4">
        <f>SUM(0)</f>
        <v>0</v>
      </c>
      <c r="E74" s="4"/>
      <c r="F74" s="12">
        <f>IF(D$12=0,0,D74/D$12)</f>
        <v>0</v>
      </c>
      <c r="G74" s="4"/>
      <c r="H74" s="4">
        <f>SUM(0)</f>
        <v>0</v>
      </c>
      <c r="I74" s="4"/>
      <c r="J74" s="12">
        <f>IF(H$12=0,0,H74/H$12)</f>
        <v>0</v>
      </c>
      <c r="K74" s="4"/>
      <c r="L74" s="4">
        <f>+D74-H74</f>
        <v>0</v>
      </c>
      <c r="M74" s="4"/>
      <c r="N74" s="12">
        <f>IF(H74=0,0,L74/H74)</f>
        <v>0</v>
      </c>
      <c r="O74" s="10"/>
      <c r="P74" s="4">
        <f>SUM(0)</f>
        <v>0</v>
      </c>
      <c r="Q74" s="4"/>
      <c r="R74" s="12">
        <f>IF(P$12=0,0,P74/P$12)</f>
        <v>0</v>
      </c>
      <c r="S74" s="4"/>
      <c r="T74" s="4">
        <f>SUM(0)</f>
        <v>0</v>
      </c>
      <c r="U74" s="4"/>
      <c r="V74" s="12">
        <f>IF(T$12=0,0,T74/T$12)</f>
        <v>0</v>
      </c>
      <c r="W74" s="4"/>
      <c r="X74" s="4">
        <f>+P74-T74</f>
        <v>0</v>
      </c>
      <c r="Y74" s="4"/>
      <c r="Z74" s="12">
        <f>IF(T74=0,0,X74/T74)</f>
        <v>0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10"/>
      <c r="B76" s="29" t="s">
        <v>3</v>
      </c>
      <c r="C76" s="29"/>
      <c r="D76" s="22">
        <f>+D16-D18+D74</f>
        <v>-48851.63</v>
      </c>
      <c r="E76" s="14"/>
      <c r="F76" s="20">
        <f>IF(D$12=0,0,D76/D$12)</f>
        <v>0</v>
      </c>
      <c r="G76" s="14"/>
      <c r="H76" s="22">
        <f>+H16-H18+H74</f>
        <v>-49415.253413846098</v>
      </c>
      <c r="I76" s="14"/>
      <c r="J76" s="20">
        <f>IF(H$12=0,0,H76/H$12)</f>
        <v>0</v>
      </c>
      <c r="K76" s="15"/>
      <c r="L76" s="22">
        <f>+D76-H76</f>
        <v>563.62341384610045</v>
      </c>
      <c r="M76" s="15"/>
      <c r="N76" s="20">
        <f>IF(H76=0,0,L76/H76)</f>
        <v>-1.140585901939691E-2</v>
      </c>
      <c r="O76" s="28"/>
      <c r="P76" s="22">
        <f>+P16-P18+P74</f>
        <v>-150268.91</v>
      </c>
      <c r="Q76" s="14"/>
      <c r="R76" s="20">
        <f>IF(P$12=0,0,P76/P$12)</f>
        <v>0</v>
      </c>
      <c r="S76" s="14"/>
      <c r="T76" s="22">
        <f>+T16-T18+T74</f>
        <v>-158358.51691999988</v>
      </c>
      <c r="U76" s="14"/>
      <c r="V76" s="20">
        <f>IF(T$12=0,0,T76/T$12)</f>
        <v>0</v>
      </c>
      <c r="W76" s="15"/>
      <c r="X76" s="22">
        <f>+P76-T76</f>
        <v>8089.6069199998747</v>
      </c>
      <c r="Y76" s="15"/>
      <c r="Z76" s="20">
        <f>IF(T76=0,0,X76/T76)</f>
        <v>-5.1084129084680754E-2</v>
      </c>
    </row>
    <row r="77" spans="1:26" x14ac:dyDescent="0.25">
      <c r="A77" s="9"/>
      <c r="B77" s="10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52"/>
      <c r="B78" s="10" t="s">
        <v>14</v>
      </c>
      <c r="C78" s="10"/>
      <c r="D78" s="4"/>
      <c r="E78" s="4"/>
      <c r="F78" s="12">
        <f>IF(D$12=0,0,D78/D$12)</f>
        <v>0</v>
      </c>
      <c r="G78" s="4"/>
      <c r="H78" s="4"/>
      <c r="I78" s="4"/>
      <c r="J78" s="12">
        <f>IF(H$12=0,0,H78/H$12)</f>
        <v>0</v>
      </c>
      <c r="K78" s="4"/>
      <c r="L78" s="4">
        <f>+D78-H78</f>
        <v>0</v>
      </c>
      <c r="M78" s="4"/>
      <c r="N78" s="12">
        <f>IF(H78=0,0,L78/H78)</f>
        <v>0</v>
      </c>
      <c r="O78" s="10"/>
      <c r="P78" s="4"/>
      <c r="Q78" s="4"/>
      <c r="R78" s="12">
        <f>IF(P$12=0,0,P78/P$12)</f>
        <v>0</v>
      </c>
      <c r="S78" s="4"/>
      <c r="T78" s="4"/>
      <c r="U78" s="4"/>
      <c r="V78" s="12">
        <f>IF(T$12=0,0,T78/T$12)</f>
        <v>0</v>
      </c>
      <c r="W78" s="4"/>
      <c r="X78" s="4">
        <f>+P78-T78</f>
        <v>0</v>
      </c>
      <c r="Y78" s="4"/>
      <c r="Z78" s="12">
        <f>IF(T78=0,0,X78/T78)</f>
        <v>0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9" t="s">
        <v>4</v>
      </c>
      <c r="C80" s="29"/>
      <c r="D80" s="35">
        <f>+D76-D78</f>
        <v>-48851.63</v>
      </c>
      <c r="E80" s="14"/>
      <c r="F80" s="32">
        <f>IF(D$12=0,0,D80/D$12)</f>
        <v>0</v>
      </c>
      <c r="G80" s="14"/>
      <c r="H80" s="35">
        <f>+H76-H78</f>
        <v>-49415.253413846098</v>
      </c>
      <c r="I80" s="14"/>
      <c r="J80" s="32">
        <f>IF(H$12=0,0,H80/H$12)</f>
        <v>0</v>
      </c>
      <c r="K80" s="15"/>
      <c r="L80" s="35">
        <f>D80-H80</f>
        <v>563.62341384610045</v>
      </c>
      <c r="M80" s="15"/>
      <c r="N80" s="32">
        <f>IF(H80=0,0,L80/H80)</f>
        <v>-1.140585901939691E-2</v>
      </c>
      <c r="O80" s="28"/>
      <c r="P80" s="35">
        <f>+P76-P78</f>
        <v>-150268.91</v>
      </c>
      <c r="Q80" s="14"/>
      <c r="R80" s="32">
        <f>IF(P$12=0,0,P80/P$12)</f>
        <v>0</v>
      </c>
      <c r="S80" s="14"/>
      <c r="T80" s="35">
        <f>+T76-T78</f>
        <v>-158358.51691999988</v>
      </c>
      <c r="U80" s="14"/>
      <c r="V80" s="32">
        <f>IF(T$12=0,0,T80/T$12)</f>
        <v>0</v>
      </c>
      <c r="W80" s="15"/>
      <c r="X80" s="35">
        <f>P80-T80</f>
        <v>8089.6069199998747</v>
      </c>
      <c r="Y80" s="15"/>
      <c r="Z80" s="32">
        <f>IF(T80=0,0,X80/T80)</f>
        <v>-5.1084129084680754E-2</v>
      </c>
    </row>
    <row r="81" spans="1:26" ht="15.75" thickTop="1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9" t="s">
        <v>5</v>
      </c>
      <c r="C83" s="29"/>
      <c r="D83" s="30">
        <f>SUM(D80:D82)</f>
        <v>-48851.63</v>
      </c>
      <c r="E83" s="14"/>
      <c r="F83" s="31">
        <f>IF(D$12=0,0,D83/D$12)</f>
        <v>0</v>
      </c>
      <c r="G83" s="14"/>
      <c r="H83" s="30">
        <f>SUM(H80:H82)</f>
        <v>-49415.253413846098</v>
      </c>
      <c r="I83" s="14"/>
      <c r="J83" s="31">
        <f>IF(H$12=0,0,H83/H$12)</f>
        <v>0</v>
      </c>
      <c r="K83" s="15"/>
      <c r="L83" s="30">
        <f>+D83-H83</f>
        <v>563.62341384610045</v>
      </c>
      <c r="M83" s="15"/>
      <c r="N83" s="31">
        <f>IF(H83=0,0,L83/H83)</f>
        <v>-1.140585901939691E-2</v>
      </c>
      <c r="O83" s="28"/>
      <c r="P83" s="30">
        <f>SUM(P80:P82)</f>
        <v>-150268.91</v>
      </c>
      <c r="Q83" s="14"/>
      <c r="R83" s="31">
        <f>IF(P$12=0,0,P83/P$12)</f>
        <v>0</v>
      </c>
      <c r="S83" s="14"/>
      <c r="T83" s="30">
        <f>SUM(T80:T82)</f>
        <v>-158358.51691999988</v>
      </c>
      <c r="U83" s="14"/>
      <c r="V83" s="31">
        <f>IF(T$12=0,0,T83/T$12)</f>
        <v>0</v>
      </c>
      <c r="W83" s="15"/>
      <c r="X83" s="30">
        <f>+P83-T83</f>
        <v>8089.6069199998747</v>
      </c>
      <c r="Y83" s="15"/>
      <c r="Z83" s="31">
        <f>IF(T83=0,0,X83/T83)</f>
        <v>-5.1084129084680754E-2</v>
      </c>
    </row>
    <row r="84" spans="1:26" ht="15.75" thickTop="1" x14ac:dyDescent="0.25">
      <c r="A84" s="9"/>
      <c r="C84" s="9"/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6" x14ac:dyDescent="0.25">
      <c r="A85" s="9"/>
      <c r="B85" s="53">
        <v>43756.45208318287</v>
      </c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  <row r="86" spans="1:26" x14ac:dyDescent="0.25">
      <c r="A86" s="9"/>
      <c r="B86" s="55" t="s">
        <v>314</v>
      </c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25">
      <c r="A87" s="9"/>
      <c r="B87" s="56"/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25"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</sheetData>
  <pageMargins left="0.25" right="0.25" top="0.75" bottom="0.75" header="0.3" footer="0.3"/>
  <pageSetup scale="55" fitToWidth="2"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str">
        <f>CONCATENATE("Period ",RIGHT(202003,2),", ",2020)</f>
        <v>Period 03, 2020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43736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tr">
        <f>CONCATENATE("Department ","203", " - ", "Human Resources")</f>
        <v>Department 203 - Human Resources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67587.980000000025</v>
      </c>
      <c r="E18" s="21"/>
      <c r="F18" s="33">
        <f t="shared" ref="F18:F29" si="0">IF(D$12=0,0,D18/D$12)</f>
        <v>0</v>
      </c>
      <c r="G18" s="21"/>
      <c r="H18" s="21">
        <f>SUM(OSRRefH22x_0)</f>
        <v>55111.270203673834</v>
      </c>
      <c r="I18" s="21"/>
      <c r="J18" s="33">
        <f t="shared" ref="J18:J29" si="1">IF(H$12=0,0,H18/H$12)</f>
        <v>0</v>
      </c>
      <c r="K18" s="4"/>
      <c r="L18" s="21">
        <f t="shared" ref="L18:L29" si="2">+D18-H18</f>
        <v>12476.709796326191</v>
      </c>
      <c r="M18" s="4"/>
      <c r="N18" s="33">
        <f t="shared" ref="N18:N29" si="3">IF(H18=0,0,L18/H18)</f>
        <v>0.22639125808961064</v>
      </c>
      <c r="O18" s="10"/>
      <c r="P18" s="21">
        <f>SUM(OSRRefP22x_0)</f>
        <v>201594.34999999998</v>
      </c>
      <c r="Q18" s="21"/>
      <c r="R18" s="33">
        <f t="shared" ref="R18:R29" si="4">IF(P$12=0,0,P18/P$12)</f>
        <v>0</v>
      </c>
      <c r="S18" s="21"/>
      <c r="T18" s="21">
        <f>SUM(OSRRefT22x_0)</f>
        <v>187370.12816193997</v>
      </c>
      <c r="U18" s="21"/>
      <c r="V18" s="33">
        <f t="shared" ref="V18:V29" si="5">IF(T$12=0,0,T18/T$12)</f>
        <v>0</v>
      </c>
      <c r="W18" s="4"/>
      <c r="X18" s="21">
        <f t="shared" ref="X18:X29" si="6">+P18-T18</f>
        <v>14224.22183806001</v>
      </c>
      <c r="Y18" s="4"/>
      <c r="Z18" s="33">
        <f t="shared" ref="Z18:Z29" si="7">IF(T18=0,0,X18/T18)</f>
        <v>7.5915099048052742E-2</v>
      </c>
    </row>
    <row r="19" spans="1:26" s="26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13511.04</v>
      </c>
      <c r="E19" s="1"/>
      <c r="F19" s="5">
        <f t="shared" si="0"/>
        <v>0</v>
      </c>
      <c r="G19" s="1"/>
      <c r="H19" s="1">
        <f>SUM(OSRRefH22_0x_0)</f>
        <v>10034.688480596915</v>
      </c>
      <c r="I19" s="1"/>
      <c r="J19" s="5">
        <f t="shared" si="1"/>
        <v>0</v>
      </c>
      <c r="K19" s="1"/>
      <c r="L19" s="1">
        <f t="shared" si="2"/>
        <v>3476.3515194030861</v>
      </c>
      <c r="M19" s="1"/>
      <c r="N19" s="5">
        <f t="shared" si="3"/>
        <v>0.34643342701918084</v>
      </c>
      <c r="O19" s="13"/>
      <c r="P19" s="1">
        <f>SUM(OSRRefP22_0x_0)</f>
        <v>41126.340000000004</v>
      </c>
      <c r="Q19" s="1"/>
      <c r="R19" s="5">
        <f t="shared" si="4"/>
        <v>0</v>
      </c>
      <c r="S19" s="1"/>
      <c r="T19" s="1">
        <f>SUM(OSRRefT22_0x_0)</f>
        <v>31880.987561939986</v>
      </c>
      <c r="U19" s="1"/>
      <c r="V19" s="5">
        <f t="shared" si="5"/>
        <v>0</v>
      </c>
      <c r="W19" s="1"/>
      <c r="X19" s="1">
        <f t="shared" si="6"/>
        <v>9245.3524380600174</v>
      </c>
      <c r="Y19" s="1"/>
      <c r="Z19" s="5">
        <f t="shared" si="7"/>
        <v>0.28999579828252442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7">
        <v>1673.37</v>
      </c>
      <c r="E20" s="2"/>
      <c r="F20" s="6">
        <f t="shared" si="0"/>
        <v>0</v>
      </c>
      <c r="G20" s="2"/>
      <c r="H20" s="7">
        <v>1285.4190258276901</v>
      </c>
      <c r="I20" s="2"/>
      <c r="J20" s="6">
        <f t="shared" si="1"/>
        <v>0</v>
      </c>
      <c r="K20" s="2"/>
      <c r="L20" s="7">
        <f t="shared" si="2"/>
        <v>387.95097417230977</v>
      </c>
      <c r="M20" s="2"/>
      <c r="N20" s="6">
        <f t="shared" si="3"/>
        <v>0.30180895597255181</v>
      </c>
      <c r="O20" s="11"/>
      <c r="P20" s="7">
        <v>5220.49</v>
      </c>
      <c r="Q20" s="2"/>
      <c r="R20" s="6">
        <f t="shared" si="4"/>
        <v>0</v>
      </c>
      <c r="S20" s="2"/>
      <c r="T20" s="7">
        <v>4177.61183394</v>
      </c>
      <c r="U20" s="2"/>
      <c r="V20" s="6">
        <f t="shared" si="5"/>
        <v>0</v>
      </c>
      <c r="W20" s="2"/>
      <c r="X20" s="7">
        <f t="shared" si="6"/>
        <v>1042.8781660599998</v>
      </c>
      <c r="Y20" s="2"/>
      <c r="Z20" s="6">
        <f t="shared" si="7"/>
        <v>0.24963500859208307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7">
        <v>74.180000000000007</v>
      </c>
      <c r="E21" s="2"/>
      <c r="F21" s="6">
        <f t="shared" si="0"/>
        <v>0</v>
      </c>
      <c r="G21" s="2"/>
      <c r="H21" s="7">
        <v>81.560139446153897</v>
      </c>
      <c r="I21" s="2"/>
      <c r="J21" s="6">
        <f t="shared" si="1"/>
        <v>0</v>
      </c>
      <c r="K21" s="2"/>
      <c r="L21" s="7">
        <f t="shared" si="2"/>
        <v>-7.3801394461538905</v>
      </c>
      <c r="M21" s="2"/>
      <c r="N21" s="6">
        <f t="shared" si="3"/>
        <v>-9.0487087151515572E-2</v>
      </c>
      <c r="O21" s="11"/>
      <c r="P21" s="7">
        <v>231.37</v>
      </c>
      <c r="Q21" s="2"/>
      <c r="R21" s="6">
        <f t="shared" si="4"/>
        <v>0</v>
      </c>
      <c r="S21" s="2"/>
      <c r="T21" s="7">
        <v>265.0704531999998</v>
      </c>
      <c r="U21" s="2"/>
      <c r="V21" s="6">
        <f t="shared" si="5"/>
        <v>0</v>
      </c>
      <c r="W21" s="2"/>
      <c r="X21" s="7">
        <f t="shared" si="6"/>
        <v>-33.700453199999799</v>
      </c>
      <c r="Y21" s="2"/>
      <c r="Z21" s="6">
        <f t="shared" si="7"/>
        <v>-0.1271377205311234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7">
        <v>5862.42</v>
      </c>
      <c r="E22" s="2"/>
      <c r="F22" s="6">
        <f t="shared" si="0"/>
        <v>0</v>
      </c>
      <c r="G22" s="2"/>
      <c r="H22" s="7">
        <v>5626.8461538461497</v>
      </c>
      <c r="I22" s="2"/>
      <c r="J22" s="6">
        <f t="shared" si="1"/>
        <v>0</v>
      </c>
      <c r="K22" s="2"/>
      <c r="L22" s="7">
        <f t="shared" si="2"/>
        <v>235.57384615385035</v>
      </c>
      <c r="M22" s="2"/>
      <c r="N22" s="6">
        <f t="shared" si="3"/>
        <v>4.1866054218103556E-2</v>
      </c>
      <c r="O22" s="11"/>
      <c r="P22" s="7">
        <v>17585.64</v>
      </c>
      <c r="Q22" s="2"/>
      <c r="R22" s="6">
        <f t="shared" si="4"/>
        <v>0</v>
      </c>
      <c r="S22" s="2"/>
      <c r="T22" s="7">
        <v>17792.999999999989</v>
      </c>
      <c r="U22" s="2"/>
      <c r="V22" s="6">
        <f t="shared" si="5"/>
        <v>0</v>
      </c>
      <c r="W22" s="2"/>
      <c r="X22" s="7">
        <f t="shared" si="6"/>
        <v>-207.35999999998967</v>
      </c>
      <c r="Y22" s="2"/>
      <c r="Z22" s="6">
        <f t="shared" si="7"/>
        <v>-1.1654021244308987E-2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7">
        <v>56.72</v>
      </c>
      <c r="E23" s="2"/>
      <c r="F23" s="6">
        <f t="shared" si="0"/>
        <v>0</v>
      </c>
      <c r="G23" s="2"/>
      <c r="H23" s="7">
        <v>62.369518399999997</v>
      </c>
      <c r="I23" s="2"/>
      <c r="J23" s="6">
        <f t="shared" si="1"/>
        <v>0</v>
      </c>
      <c r="K23" s="2"/>
      <c r="L23" s="7">
        <f t="shared" si="2"/>
        <v>-5.6495183999999981</v>
      </c>
      <c r="M23" s="2"/>
      <c r="N23" s="6">
        <f t="shared" si="3"/>
        <v>-9.0581401699584049E-2</v>
      </c>
      <c r="O23" s="11"/>
      <c r="P23" s="7">
        <v>176.93</v>
      </c>
      <c r="Q23" s="2"/>
      <c r="R23" s="6">
        <f t="shared" si="4"/>
        <v>0</v>
      </c>
      <c r="S23" s="2"/>
      <c r="T23" s="7">
        <v>202.7009348</v>
      </c>
      <c r="U23" s="2"/>
      <c r="V23" s="6">
        <f t="shared" si="5"/>
        <v>0</v>
      </c>
      <c r="W23" s="2"/>
      <c r="X23" s="7">
        <f t="shared" si="6"/>
        <v>-25.770934799999992</v>
      </c>
      <c r="Y23" s="2"/>
      <c r="Z23" s="6">
        <f t="shared" si="7"/>
        <v>-0.12713772053112402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7">
        <v>919.4</v>
      </c>
      <c r="E24" s="2"/>
      <c r="F24" s="6">
        <f t="shared" si="0"/>
        <v>0</v>
      </c>
      <c r="G24" s="2"/>
      <c r="H24" s="7">
        <v>684.79153846153804</v>
      </c>
      <c r="I24" s="2"/>
      <c r="J24" s="6">
        <f t="shared" si="1"/>
        <v>0</v>
      </c>
      <c r="K24" s="2"/>
      <c r="L24" s="7">
        <f t="shared" si="2"/>
        <v>234.60846153846194</v>
      </c>
      <c r="M24" s="2"/>
      <c r="N24" s="6">
        <f t="shared" si="3"/>
        <v>0.34259836513975694</v>
      </c>
      <c r="O24" s="11"/>
      <c r="P24" s="7">
        <v>2758.2</v>
      </c>
      <c r="Q24" s="2"/>
      <c r="R24" s="6">
        <f t="shared" si="4"/>
        <v>0</v>
      </c>
      <c r="S24" s="2"/>
      <c r="T24" s="7">
        <v>2225.5724999999989</v>
      </c>
      <c r="U24" s="2"/>
      <c r="V24" s="6">
        <f t="shared" si="5"/>
        <v>0</v>
      </c>
      <c r="W24" s="2"/>
      <c r="X24" s="7">
        <f t="shared" si="6"/>
        <v>532.62750000000096</v>
      </c>
      <c r="Y24" s="2"/>
      <c r="Z24" s="6">
        <f t="shared" si="7"/>
        <v>0.23932156782131395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7">
        <v>1971.94</v>
      </c>
      <c r="E25" s="2"/>
      <c r="F25" s="6">
        <f t="shared" si="0"/>
        <v>0</v>
      </c>
      <c r="G25" s="2"/>
      <c r="H25" s="7">
        <v>500</v>
      </c>
      <c r="I25" s="2"/>
      <c r="J25" s="6">
        <f t="shared" si="1"/>
        <v>0</v>
      </c>
      <c r="K25" s="2"/>
      <c r="L25" s="7">
        <f t="shared" si="2"/>
        <v>1471.94</v>
      </c>
      <c r="M25" s="2"/>
      <c r="N25" s="6">
        <f t="shared" si="3"/>
        <v>2.9438800000000001</v>
      </c>
      <c r="O25" s="11"/>
      <c r="P25" s="7">
        <v>1971.94</v>
      </c>
      <c r="Q25" s="2"/>
      <c r="R25" s="6">
        <f t="shared" si="4"/>
        <v>0</v>
      </c>
      <c r="S25" s="2"/>
      <c r="T25" s="7">
        <v>1500</v>
      </c>
      <c r="U25" s="2"/>
      <c r="V25" s="6">
        <f t="shared" si="5"/>
        <v>0</v>
      </c>
      <c r="W25" s="2"/>
      <c r="X25" s="7">
        <f t="shared" si="6"/>
        <v>471.94000000000005</v>
      </c>
      <c r="Y25" s="2"/>
      <c r="Z25" s="6">
        <f t="shared" si="7"/>
        <v>0.31462666666666672</v>
      </c>
    </row>
    <row r="26" spans="1:26" s="24" customFormat="1" hidden="1" outlineLevel="2" x14ac:dyDescent="0.25">
      <c r="A26" s="25"/>
      <c r="B26" s="11" t="str">
        <f>CONCATENATE("          ", "6117", " - ", "RETIREMENT STAFF HOURLY")</f>
        <v xml:space="preserve">          6117 - RETIREMENT STAFF HOURLY</v>
      </c>
      <c r="C26" s="11"/>
      <c r="D26" s="7">
        <v>617.82000000000005</v>
      </c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617.82000000000005</v>
      </c>
      <c r="M26" s="2"/>
      <c r="N26" s="6">
        <f t="shared" si="3"/>
        <v>0</v>
      </c>
      <c r="O26" s="11"/>
      <c r="P26" s="7">
        <v>1498.93</v>
      </c>
      <c r="Q26" s="2"/>
      <c r="R26" s="6">
        <f t="shared" si="4"/>
        <v>0</v>
      </c>
      <c r="S26" s="2"/>
      <c r="T26" s="7"/>
      <c r="U26" s="2"/>
      <c r="V26" s="6">
        <f t="shared" si="5"/>
        <v>0</v>
      </c>
      <c r="W26" s="2"/>
      <c r="X26" s="7">
        <f t="shared" si="6"/>
        <v>1498.93</v>
      </c>
      <c r="Y26" s="2"/>
      <c r="Z26" s="6">
        <f t="shared" si="7"/>
        <v>0</v>
      </c>
    </row>
    <row r="27" spans="1:26" s="24" customFormat="1" hidden="1" outlineLevel="2" x14ac:dyDescent="0.25">
      <c r="A27" s="25"/>
      <c r="B27" s="11" t="str">
        <f>CONCATENATE("          ", "6118", " - ", "VACATION")</f>
        <v xml:space="preserve">          6118 - VACATION</v>
      </c>
      <c r="C27" s="11"/>
      <c r="D27" s="7">
        <v>1171.02</v>
      </c>
      <c r="E27" s="2"/>
      <c r="F27" s="6">
        <f t="shared" si="0"/>
        <v>0</v>
      </c>
      <c r="G27" s="2"/>
      <c r="H27" s="7">
        <v>839.81381538461505</v>
      </c>
      <c r="I27" s="2"/>
      <c r="J27" s="6">
        <f t="shared" si="1"/>
        <v>0</v>
      </c>
      <c r="K27" s="2"/>
      <c r="L27" s="7">
        <f t="shared" si="2"/>
        <v>331.20618461538493</v>
      </c>
      <c r="M27" s="2"/>
      <c r="N27" s="6">
        <f t="shared" si="3"/>
        <v>0.3943804907087653</v>
      </c>
      <c r="O27" s="11"/>
      <c r="P27" s="7">
        <v>6803.47</v>
      </c>
      <c r="Q27" s="2"/>
      <c r="R27" s="6">
        <f t="shared" si="4"/>
        <v>0</v>
      </c>
      <c r="S27" s="2"/>
      <c r="T27" s="7">
        <v>2729.3948999999998</v>
      </c>
      <c r="U27" s="2"/>
      <c r="V27" s="6">
        <f t="shared" si="5"/>
        <v>0</v>
      </c>
      <c r="W27" s="2"/>
      <c r="X27" s="7">
        <f t="shared" si="6"/>
        <v>4074.0751000000005</v>
      </c>
      <c r="Y27" s="2"/>
      <c r="Z27" s="6">
        <f t="shared" si="7"/>
        <v>1.4926660484343988</v>
      </c>
    </row>
    <row r="28" spans="1:26" s="24" customFormat="1" hidden="1" outlineLevel="2" x14ac:dyDescent="0.25">
      <c r="A28" s="25"/>
      <c r="B28" s="11" t="str">
        <f>CONCATENATE("          ", "6119", " - ", "SICK LEAVE")</f>
        <v xml:space="preserve">          6119 - SICK LEAVE</v>
      </c>
      <c r="C28" s="11"/>
      <c r="D28" s="7">
        <v>822.34</v>
      </c>
      <c r="E28" s="2"/>
      <c r="F28" s="6">
        <f t="shared" si="0"/>
        <v>0</v>
      </c>
      <c r="G28" s="2"/>
      <c r="H28" s="7">
        <v>503.88828923076903</v>
      </c>
      <c r="I28" s="2"/>
      <c r="J28" s="6">
        <f t="shared" si="1"/>
        <v>0</v>
      </c>
      <c r="K28" s="2"/>
      <c r="L28" s="7">
        <f t="shared" si="2"/>
        <v>318.451710769231</v>
      </c>
      <c r="M28" s="2"/>
      <c r="N28" s="6">
        <f t="shared" si="3"/>
        <v>0.63198871173484961</v>
      </c>
      <c r="O28" s="11"/>
      <c r="P28" s="7">
        <v>3747.37</v>
      </c>
      <c r="Q28" s="2"/>
      <c r="R28" s="6">
        <f t="shared" si="4"/>
        <v>0</v>
      </c>
      <c r="S28" s="2"/>
      <c r="T28" s="7">
        <v>1637.6369400000001</v>
      </c>
      <c r="U28" s="2"/>
      <c r="V28" s="6">
        <f t="shared" si="5"/>
        <v>0</v>
      </c>
      <c r="W28" s="2"/>
      <c r="X28" s="7">
        <f t="shared" si="6"/>
        <v>2109.7330599999996</v>
      </c>
      <c r="Y28" s="2"/>
      <c r="Z28" s="6">
        <f t="shared" si="7"/>
        <v>1.2882788660104354</v>
      </c>
    </row>
    <row r="29" spans="1:26" s="24" customFormat="1" hidden="1" outlineLevel="2" x14ac:dyDescent="0.25">
      <c r="A29" s="25"/>
      <c r="B29" s="11" t="str">
        <f>CONCATENATE("          ", "6156", " - ", "EMPLOYEE MEALS")</f>
        <v xml:space="preserve">          6156 - EMPLOYEE MEALS</v>
      </c>
      <c r="C29" s="11"/>
      <c r="D29" s="7">
        <v>341.83</v>
      </c>
      <c r="E29" s="2"/>
      <c r="F29" s="6">
        <f t="shared" si="0"/>
        <v>0</v>
      </c>
      <c r="G29" s="2"/>
      <c r="H29" s="7">
        <v>450</v>
      </c>
      <c r="I29" s="2"/>
      <c r="J29" s="6">
        <f t="shared" si="1"/>
        <v>0</v>
      </c>
      <c r="K29" s="2"/>
      <c r="L29" s="7">
        <f t="shared" si="2"/>
        <v>-108.17000000000002</v>
      </c>
      <c r="M29" s="2"/>
      <c r="N29" s="6">
        <f t="shared" si="3"/>
        <v>-0.2403777777777778</v>
      </c>
      <c r="O29" s="11"/>
      <c r="P29" s="7">
        <v>1132</v>
      </c>
      <c r="Q29" s="2"/>
      <c r="R29" s="6">
        <f t="shared" si="4"/>
        <v>0</v>
      </c>
      <c r="S29" s="2"/>
      <c r="T29" s="7">
        <v>1350</v>
      </c>
      <c r="U29" s="2"/>
      <c r="V29" s="6">
        <f t="shared" si="5"/>
        <v>0</v>
      </c>
      <c r="W29" s="2"/>
      <c r="X29" s="7">
        <f t="shared" si="6"/>
        <v>-218</v>
      </c>
      <c r="Y29" s="2"/>
      <c r="Z29" s="6">
        <f t="shared" si="7"/>
        <v>-0.16148148148148148</v>
      </c>
    </row>
    <row r="30" spans="1:26" s="26" customFormat="1" outlineLevel="1" collapsed="1" x14ac:dyDescent="0.25">
      <c r="A30" s="27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20391.53</v>
      </c>
      <c r="E30" s="1"/>
      <c r="F30" s="5">
        <f t="shared" ref="F30:F40" si="8">IF(D$12=0,0,D30/D$12)</f>
        <v>0</v>
      </c>
      <c r="G30" s="1"/>
      <c r="H30" s="1">
        <f>SUM(OSRRefH22_1x_0)</f>
        <v>22909.581723076921</v>
      </c>
      <c r="I30" s="1"/>
      <c r="J30" s="5">
        <f t="shared" ref="J30:J40" si="9">IF(H$12=0,0,H30/H$12)</f>
        <v>0</v>
      </c>
      <c r="K30" s="1"/>
      <c r="L30" s="1">
        <f t="shared" ref="L30:L40" si="10">+D30-H30</f>
        <v>-2518.0517230769219</v>
      </c>
      <c r="M30" s="1"/>
      <c r="N30" s="5">
        <f t="shared" ref="N30:N40" si="11">IF(H30=0,0,L30/H30)</f>
        <v>-0.10991260135231878</v>
      </c>
      <c r="O30" s="13"/>
      <c r="P30" s="1">
        <f>SUM(OSRRefP22_1x_0)</f>
        <v>69961.319999999992</v>
      </c>
      <c r="Q30" s="1"/>
      <c r="R30" s="5">
        <f t="shared" ref="R30:R40" si="12">IF(P$12=0,0,P30/P$12)</f>
        <v>0</v>
      </c>
      <c r="S30" s="1"/>
      <c r="T30" s="1">
        <f>SUM(OSRRefT22_1x_0)</f>
        <v>74456.140599999984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-4494.8205999999918</v>
      </c>
      <c r="Y30" s="1"/>
      <c r="Z30" s="5">
        <f t="shared" ref="Z30:Z40" si="15">IF(T30=0,0,X30/T30)</f>
        <v>-6.0368702484157405E-2</v>
      </c>
    </row>
    <row r="31" spans="1:26" s="24" customFormat="1" hidden="1" outlineLevel="2" x14ac:dyDescent="0.25">
      <c r="A31" s="25"/>
      <c r="B31" s="11" t="str">
        <f>CONCATENATE("          ", "6001", " - ", "ADMINISTRATIVE SALARIES")</f>
        <v xml:space="preserve">          6001 - ADMINISTRATIVE SALARIES</v>
      </c>
      <c r="C31" s="11"/>
      <c r="D31" s="7">
        <v>7196.13</v>
      </c>
      <c r="E31" s="2"/>
      <c r="F31" s="6">
        <f t="shared" si="8"/>
        <v>0</v>
      </c>
      <c r="G31" s="2"/>
      <c r="H31" s="7">
        <v>7325.6769230769205</v>
      </c>
      <c r="I31" s="2"/>
      <c r="J31" s="6">
        <f t="shared" si="9"/>
        <v>0</v>
      </c>
      <c r="K31" s="2"/>
      <c r="L31" s="7">
        <f t="shared" si="10"/>
        <v>-129.54692307692039</v>
      </c>
      <c r="M31" s="2"/>
      <c r="N31" s="6">
        <f t="shared" si="11"/>
        <v>-1.7683952546259474E-2</v>
      </c>
      <c r="O31" s="11"/>
      <c r="P31" s="7">
        <v>26086.18</v>
      </c>
      <c r="Q31" s="2"/>
      <c r="R31" s="6">
        <f t="shared" si="12"/>
        <v>0</v>
      </c>
      <c r="S31" s="2"/>
      <c r="T31" s="7">
        <v>23808.44999999999</v>
      </c>
      <c r="U31" s="2"/>
      <c r="V31" s="6">
        <f t="shared" si="13"/>
        <v>0</v>
      </c>
      <c r="W31" s="2"/>
      <c r="X31" s="7">
        <f t="shared" si="14"/>
        <v>2277.7300000000105</v>
      </c>
      <c r="Y31" s="2"/>
      <c r="Z31" s="6">
        <f t="shared" si="15"/>
        <v>9.5668974670758133E-2</v>
      </c>
    </row>
    <row r="32" spans="1:26" s="24" customFormat="1" hidden="1" outlineLevel="2" x14ac:dyDescent="0.25">
      <c r="A32" s="25"/>
      <c r="B32" s="11" t="str">
        <f>CONCATENATE("          ", "6002", " - ", "STAFF SALARIES")</f>
        <v xml:space="preserve">          6002 - STAFF SALARIES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5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5"/>
      <c r="B34" s="11" t="str">
        <f>CONCATENATE("          ", "6004", " - ", "STAFF HOURLY")</f>
        <v xml:space="preserve">          6004 - STAFF HOURLY</v>
      </c>
      <c r="C34" s="11"/>
      <c r="D34" s="7">
        <v>8357.7099999999991</v>
      </c>
      <c r="E34" s="2"/>
      <c r="F34" s="6">
        <f t="shared" si="8"/>
        <v>0</v>
      </c>
      <c r="G34" s="2"/>
      <c r="H34" s="7">
        <v>8391.9048000000003</v>
      </c>
      <c r="I34" s="2"/>
      <c r="J34" s="6">
        <f t="shared" si="9"/>
        <v>0</v>
      </c>
      <c r="K34" s="2"/>
      <c r="L34" s="7">
        <f t="shared" si="10"/>
        <v>-34.194800000001123</v>
      </c>
      <c r="M34" s="2"/>
      <c r="N34" s="6">
        <f t="shared" si="11"/>
        <v>-4.074736405494152E-3</v>
      </c>
      <c r="O34" s="11"/>
      <c r="P34" s="7">
        <v>25518.92</v>
      </c>
      <c r="Q34" s="2"/>
      <c r="R34" s="6">
        <f t="shared" si="12"/>
        <v>0</v>
      </c>
      <c r="S34" s="2"/>
      <c r="T34" s="7">
        <v>27273.690599999998</v>
      </c>
      <c r="U34" s="2"/>
      <c r="V34" s="6">
        <f t="shared" si="13"/>
        <v>0</v>
      </c>
      <c r="W34" s="2"/>
      <c r="X34" s="7">
        <f t="shared" si="14"/>
        <v>-1754.7705999999998</v>
      </c>
      <c r="Y34" s="2"/>
      <c r="Z34" s="6">
        <f t="shared" si="15"/>
        <v>-6.4339316073344324E-2</v>
      </c>
    </row>
    <row r="35" spans="1:26" s="24" customFormat="1" hidden="1" outlineLevel="2" x14ac:dyDescent="0.25">
      <c r="A35" s="25"/>
      <c r="B35" s="11" t="str">
        <f>CONCATENATE("          ", "6005", " - ", "TEMPORARY WAGES-HOURLY")</f>
        <v xml:space="preserve">          6005 - TEMPORARY WAGES-HOURLY</v>
      </c>
      <c r="C35" s="11"/>
      <c r="D35" s="7">
        <v>3999.69</v>
      </c>
      <c r="E35" s="2"/>
      <c r="F35" s="6">
        <f t="shared" si="8"/>
        <v>0</v>
      </c>
      <c r="G35" s="2"/>
      <c r="H35" s="7">
        <v>7192</v>
      </c>
      <c r="I35" s="2"/>
      <c r="J35" s="6">
        <f t="shared" si="9"/>
        <v>0</v>
      </c>
      <c r="K35" s="2"/>
      <c r="L35" s="7">
        <f t="shared" si="10"/>
        <v>-3192.31</v>
      </c>
      <c r="M35" s="2"/>
      <c r="N35" s="6">
        <f t="shared" si="11"/>
        <v>-0.4438695773081201</v>
      </c>
      <c r="O35" s="11"/>
      <c r="P35" s="7">
        <v>14514.22</v>
      </c>
      <c r="Q35" s="2"/>
      <c r="R35" s="6">
        <f t="shared" si="12"/>
        <v>0</v>
      </c>
      <c r="S35" s="2"/>
      <c r="T35" s="7">
        <v>23374</v>
      </c>
      <c r="U35" s="2"/>
      <c r="V35" s="6">
        <f t="shared" si="13"/>
        <v>0</v>
      </c>
      <c r="W35" s="2"/>
      <c r="X35" s="7">
        <f t="shared" si="14"/>
        <v>-8859.7800000000007</v>
      </c>
      <c r="Y35" s="2"/>
      <c r="Z35" s="6">
        <f t="shared" si="15"/>
        <v>-0.37904423718661762</v>
      </c>
    </row>
    <row r="36" spans="1:26" s="24" customFormat="1" hidden="1" outlineLevel="2" x14ac:dyDescent="0.25">
      <c r="A36" s="25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5"/>
      <c r="B37" s="11" t="str">
        <f>CONCATENATE("          ", "6007", " - ", "STUDENT HOURLY")</f>
        <v xml:space="preserve">          6007 - STUDENT HOURLY</v>
      </c>
      <c r="C37" s="11"/>
      <c r="D37" s="7">
        <v>838</v>
      </c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838</v>
      </c>
      <c r="M37" s="2"/>
      <c r="N37" s="6">
        <f t="shared" si="11"/>
        <v>0</v>
      </c>
      <c r="O37" s="11"/>
      <c r="P37" s="7">
        <v>3842</v>
      </c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3842</v>
      </c>
      <c r="Y37" s="2"/>
      <c r="Z37" s="6">
        <f t="shared" si="15"/>
        <v>0</v>
      </c>
    </row>
    <row r="38" spans="1:26" s="24" customFormat="1" hidden="1" outlineLevel="2" x14ac:dyDescent="0.25">
      <c r="A38" s="25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5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4" customFormat="1" hidden="1" outlineLevel="2" x14ac:dyDescent="0.25">
      <c r="A40" s="25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8"/>
        <v>0</v>
      </c>
      <c r="G40" s="2"/>
      <c r="H40" s="7">
        <v>0</v>
      </c>
      <c r="I40" s="2"/>
      <c r="J40" s="6">
        <f t="shared" si="9"/>
        <v>0</v>
      </c>
      <c r="K40" s="2"/>
      <c r="L40" s="7">
        <f t="shared" si="10"/>
        <v>0</v>
      </c>
      <c r="M40" s="2"/>
      <c r="N40" s="6">
        <f t="shared" si="11"/>
        <v>0</v>
      </c>
      <c r="O40" s="11"/>
      <c r="P40" s="7"/>
      <c r="Q40" s="2"/>
      <c r="R40" s="6">
        <f t="shared" si="12"/>
        <v>0</v>
      </c>
      <c r="S40" s="2"/>
      <c r="T40" s="7">
        <v>0</v>
      </c>
      <c r="U40" s="2"/>
      <c r="V40" s="6">
        <f t="shared" si="13"/>
        <v>0</v>
      </c>
      <c r="W40" s="2"/>
      <c r="X40" s="7">
        <f t="shared" si="14"/>
        <v>0</v>
      </c>
      <c r="Y40" s="2"/>
      <c r="Z40" s="6">
        <f t="shared" si="15"/>
        <v>0</v>
      </c>
    </row>
    <row r="41" spans="1:26" s="26" customFormat="1" outlineLevel="1" collapsed="1" x14ac:dyDescent="0.25">
      <c r="A41" s="27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0</v>
      </c>
      <c r="E41" s="1"/>
      <c r="F41" s="5">
        <f t="shared" ref="F41:F57" si="16">IF(D$12=0,0,D41/D$12)</f>
        <v>0</v>
      </c>
      <c r="G41" s="1"/>
      <c r="H41" s="1">
        <f>SUM(OSRRefH22_2x_0)</f>
        <v>260</v>
      </c>
      <c r="I41" s="1"/>
      <c r="J41" s="5">
        <f t="shared" ref="J41:J57" si="17">IF(H$12=0,0,H41/H$12)</f>
        <v>0</v>
      </c>
      <c r="K41" s="1"/>
      <c r="L41" s="1">
        <f t="shared" ref="L41:L57" si="18">+D41-H41</f>
        <v>-260</v>
      </c>
      <c r="M41" s="1"/>
      <c r="N41" s="5">
        <f t="shared" ref="N41:N57" si="19">IF(H41=0,0,L41/H41)</f>
        <v>-1</v>
      </c>
      <c r="O41" s="13"/>
      <c r="P41" s="1">
        <f>SUM(OSRRefP22_2x_0)</f>
        <v>588.74</v>
      </c>
      <c r="Q41" s="1"/>
      <c r="R41" s="5">
        <f t="shared" ref="R41:R57" si="20">IF(P$12=0,0,P41/P$12)</f>
        <v>0</v>
      </c>
      <c r="S41" s="1"/>
      <c r="T41" s="1">
        <f>SUM(OSRRefT22_2x_0)</f>
        <v>780</v>
      </c>
      <c r="U41" s="1"/>
      <c r="V41" s="5">
        <f t="shared" ref="V41:V57" si="21">IF(T$12=0,0,T41/T$12)</f>
        <v>0</v>
      </c>
      <c r="W41" s="1"/>
      <c r="X41" s="1">
        <f t="shared" ref="X41:X57" si="22">+P41-T41</f>
        <v>-191.26</v>
      </c>
      <c r="Y41" s="1"/>
      <c r="Z41" s="5">
        <f t="shared" ref="Z41:Z57" si="23">IF(T41=0,0,X41/T41)</f>
        <v>-0.24520512820512819</v>
      </c>
    </row>
    <row r="42" spans="1:26" s="24" customFormat="1" hidden="1" outlineLevel="2" x14ac:dyDescent="0.25">
      <c r="A42" s="25"/>
      <c r="B42" s="11" t="str">
        <f>CONCATENATE("          ", "6362", " - ", "ADVERTISING EXPENSE")</f>
        <v xml:space="preserve">          6362 - ADVERTISING EXPENSE</v>
      </c>
      <c r="C42" s="11"/>
      <c r="D42" s="7"/>
      <c r="E42" s="2"/>
      <c r="F42" s="6">
        <f t="shared" si="16"/>
        <v>0</v>
      </c>
      <c r="G42" s="2"/>
      <c r="H42" s="7">
        <v>260</v>
      </c>
      <c r="I42" s="2"/>
      <c r="J42" s="6">
        <f t="shared" si="17"/>
        <v>0</v>
      </c>
      <c r="K42" s="2"/>
      <c r="L42" s="7">
        <f t="shared" si="18"/>
        <v>-260</v>
      </c>
      <c r="M42" s="2"/>
      <c r="N42" s="6">
        <f t="shared" si="19"/>
        <v>-1</v>
      </c>
      <c r="O42" s="11"/>
      <c r="P42" s="7">
        <v>588.74</v>
      </c>
      <c r="Q42" s="2"/>
      <c r="R42" s="6">
        <f t="shared" si="20"/>
        <v>0</v>
      </c>
      <c r="S42" s="2"/>
      <c r="T42" s="7">
        <v>780</v>
      </c>
      <c r="U42" s="2"/>
      <c r="V42" s="6">
        <f t="shared" si="21"/>
        <v>0</v>
      </c>
      <c r="W42" s="2"/>
      <c r="X42" s="7">
        <f t="shared" si="22"/>
        <v>-191.26</v>
      </c>
      <c r="Y42" s="2"/>
      <c r="Z42" s="6">
        <f t="shared" si="23"/>
        <v>-0.24520512820512819</v>
      </c>
    </row>
    <row r="43" spans="1:26" s="26" customFormat="1" outlineLevel="1" collapsed="1" x14ac:dyDescent="0.25">
      <c r="A43" s="27"/>
      <c r="B43" s="13" t="str">
        <f>CONCATENATE("     ","Depreciation                                      ")</f>
        <v xml:space="preserve">     Depreciation                                      </v>
      </c>
      <c r="C43" s="13"/>
      <c r="D43" s="1">
        <f>SUM(OSRRefD22_3x_0)</f>
        <v>224.18</v>
      </c>
      <c r="E43" s="1"/>
      <c r="F43" s="5">
        <f t="shared" si="16"/>
        <v>0</v>
      </c>
      <c r="G43" s="1"/>
      <c r="H43" s="1">
        <f>SUM(OSRRefH22_3x_0)</f>
        <v>224</v>
      </c>
      <c r="I43" s="1"/>
      <c r="J43" s="5">
        <f t="shared" si="17"/>
        <v>0</v>
      </c>
      <c r="K43" s="1"/>
      <c r="L43" s="1">
        <f t="shared" si="18"/>
        <v>0.18000000000000682</v>
      </c>
      <c r="M43" s="1"/>
      <c r="N43" s="5">
        <f t="shared" si="19"/>
        <v>8.0357142857145902E-4</v>
      </c>
      <c r="O43" s="13"/>
      <c r="P43" s="1">
        <f>SUM(OSRRefP22_3x_0)</f>
        <v>672.54</v>
      </c>
      <c r="Q43" s="1"/>
      <c r="R43" s="5">
        <f t="shared" si="20"/>
        <v>0</v>
      </c>
      <c r="S43" s="1"/>
      <c r="T43" s="1">
        <f>SUM(OSRRefT22_3x_0)</f>
        <v>672</v>
      </c>
      <c r="U43" s="1"/>
      <c r="V43" s="5">
        <f t="shared" si="21"/>
        <v>0</v>
      </c>
      <c r="W43" s="1"/>
      <c r="X43" s="1">
        <f t="shared" si="22"/>
        <v>0.53999999999996362</v>
      </c>
      <c r="Y43" s="1"/>
      <c r="Z43" s="5">
        <f t="shared" si="23"/>
        <v>8.0357142857137446E-4</v>
      </c>
    </row>
    <row r="44" spans="1:26" s="24" customFormat="1" hidden="1" outlineLevel="2" x14ac:dyDescent="0.25">
      <c r="A44" s="25"/>
      <c r="B44" s="11" t="str">
        <f>CONCATENATE("          ", "6322", " - ", "EQUIPMENT DEPRECIATION EXPENSE")</f>
        <v xml:space="preserve">          6322 - EQUIPMENT DEPRECIATION EXPENSE</v>
      </c>
      <c r="C44" s="11"/>
      <c r="D44" s="7">
        <v>224.18</v>
      </c>
      <c r="E44" s="2"/>
      <c r="F44" s="6">
        <f t="shared" si="16"/>
        <v>0</v>
      </c>
      <c r="G44" s="2"/>
      <c r="H44" s="7">
        <v>224</v>
      </c>
      <c r="I44" s="2"/>
      <c r="J44" s="6">
        <f t="shared" si="17"/>
        <v>0</v>
      </c>
      <c r="K44" s="2"/>
      <c r="L44" s="7">
        <f t="shared" si="18"/>
        <v>0.18000000000000682</v>
      </c>
      <c r="M44" s="2"/>
      <c r="N44" s="6">
        <f t="shared" si="19"/>
        <v>8.0357142857145902E-4</v>
      </c>
      <c r="O44" s="11"/>
      <c r="P44" s="7">
        <v>672.54</v>
      </c>
      <c r="Q44" s="2"/>
      <c r="R44" s="6">
        <f t="shared" si="20"/>
        <v>0</v>
      </c>
      <c r="S44" s="2"/>
      <c r="T44" s="7">
        <v>672</v>
      </c>
      <c r="U44" s="2"/>
      <c r="V44" s="6">
        <f t="shared" si="21"/>
        <v>0</v>
      </c>
      <c r="W44" s="2"/>
      <c r="X44" s="7">
        <f t="shared" si="22"/>
        <v>0.53999999999996362</v>
      </c>
      <c r="Y44" s="2"/>
      <c r="Z44" s="6">
        <f t="shared" si="23"/>
        <v>8.0357142857137446E-4</v>
      </c>
    </row>
    <row r="45" spans="1:26" s="26" customFormat="1" outlineLevel="1" collapsed="1" x14ac:dyDescent="0.25">
      <c r="A45" s="27"/>
      <c r="B45" s="13" t="str">
        <f>CONCATENATE("     ","Employees' Appreciation                           ")</f>
        <v xml:space="preserve">     Employees' Appreciation                           </v>
      </c>
      <c r="C45" s="13"/>
      <c r="D45" s="1">
        <f>SUM(OSRRefD22_4x_0)</f>
        <v>438</v>
      </c>
      <c r="E45" s="1"/>
      <c r="F45" s="5">
        <f t="shared" si="16"/>
        <v>0</v>
      </c>
      <c r="G45" s="1"/>
      <c r="H45" s="1">
        <f>SUM(OSRRefH22_4x_0)</f>
        <v>583</v>
      </c>
      <c r="I45" s="1"/>
      <c r="J45" s="5">
        <f t="shared" si="17"/>
        <v>0</v>
      </c>
      <c r="K45" s="1"/>
      <c r="L45" s="1">
        <f t="shared" si="18"/>
        <v>-145</v>
      </c>
      <c r="M45" s="1"/>
      <c r="N45" s="5">
        <f t="shared" si="19"/>
        <v>-0.24871355060034306</v>
      </c>
      <c r="O45" s="13"/>
      <c r="P45" s="1">
        <f>SUM(OSRRefP22_4x_0)</f>
        <v>11565.12</v>
      </c>
      <c r="Q45" s="1"/>
      <c r="R45" s="5">
        <f t="shared" si="20"/>
        <v>0</v>
      </c>
      <c r="S45" s="1"/>
      <c r="T45" s="1">
        <f>SUM(OSRRefT22_4x_0)</f>
        <v>11749</v>
      </c>
      <c r="U45" s="1"/>
      <c r="V45" s="5">
        <f t="shared" si="21"/>
        <v>0</v>
      </c>
      <c r="W45" s="1"/>
      <c r="X45" s="1">
        <f t="shared" si="22"/>
        <v>-183.8799999999992</v>
      </c>
      <c r="Y45" s="1"/>
      <c r="Z45" s="5">
        <f t="shared" si="23"/>
        <v>-1.5650693676057467E-2</v>
      </c>
    </row>
    <row r="46" spans="1:26" s="24" customFormat="1" hidden="1" outlineLevel="2" x14ac:dyDescent="0.25">
      <c r="A46" s="25"/>
      <c r="B46" s="11" t="str">
        <f>CONCATENATE("          ", "6277", " - ", "EMPLOYEE APPRECIATION")</f>
        <v xml:space="preserve">          6277 - EMPLOYEE APPRECIATION</v>
      </c>
      <c r="C46" s="11"/>
      <c r="D46" s="7">
        <v>438</v>
      </c>
      <c r="E46" s="2"/>
      <c r="F46" s="6">
        <f t="shared" si="16"/>
        <v>0</v>
      </c>
      <c r="G46" s="2"/>
      <c r="H46" s="7">
        <v>583</v>
      </c>
      <c r="I46" s="2"/>
      <c r="J46" s="6">
        <f t="shared" si="17"/>
        <v>0</v>
      </c>
      <c r="K46" s="2"/>
      <c r="L46" s="7">
        <f t="shared" si="18"/>
        <v>-145</v>
      </c>
      <c r="M46" s="2"/>
      <c r="N46" s="6">
        <f t="shared" si="19"/>
        <v>-0.24871355060034306</v>
      </c>
      <c r="O46" s="11"/>
      <c r="P46" s="7">
        <v>11565.12</v>
      </c>
      <c r="Q46" s="2"/>
      <c r="R46" s="6">
        <f t="shared" si="20"/>
        <v>0</v>
      </c>
      <c r="S46" s="2"/>
      <c r="T46" s="7">
        <v>11749</v>
      </c>
      <c r="U46" s="2"/>
      <c r="V46" s="6">
        <f t="shared" si="21"/>
        <v>0</v>
      </c>
      <c r="W46" s="2"/>
      <c r="X46" s="7">
        <f t="shared" si="22"/>
        <v>-183.8799999999992</v>
      </c>
      <c r="Y46" s="2"/>
      <c r="Z46" s="6">
        <f t="shared" si="23"/>
        <v>-1.5650693676057467E-2</v>
      </c>
    </row>
    <row r="47" spans="1:26" s="26" customFormat="1" outlineLevel="1" collapsed="1" x14ac:dyDescent="0.25">
      <c r="A47" s="27"/>
      <c r="B47" s="13" t="str">
        <f>CONCATENATE("     ","Equipment Rental                                  ")</f>
        <v xml:space="preserve">     Equipment Rental                                  </v>
      </c>
      <c r="C47" s="13"/>
      <c r="D47" s="1">
        <f>SUM(OSRRefD22_5x_0)</f>
        <v>91.26</v>
      </c>
      <c r="E47" s="1"/>
      <c r="F47" s="5">
        <f t="shared" si="16"/>
        <v>0</v>
      </c>
      <c r="G47" s="1"/>
      <c r="H47" s="1">
        <f>SUM(OSRRefH22_5x_0)</f>
        <v>90</v>
      </c>
      <c r="I47" s="1"/>
      <c r="J47" s="5">
        <f t="shared" si="17"/>
        <v>0</v>
      </c>
      <c r="K47" s="1"/>
      <c r="L47" s="1">
        <f t="shared" si="18"/>
        <v>1.2600000000000051</v>
      </c>
      <c r="M47" s="1"/>
      <c r="N47" s="5">
        <f t="shared" si="19"/>
        <v>1.4000000000000058E-2</v>
      </c>
      <c r="O47" s="13"/>
      <c r="P47" s="1">
        <f>SUM(OSRRefP22_5x_0)</f>
        <v>273.77999999999997</v>
      </c>
      <c r="Q47" s="1"/>
      <c r="R47" s="5">
        <f t="shared" si="20"/>
        <v>0</v>
      </c>
      <c r="S47" s="1"/>
      <c r="T47" s="1">
        <f>SUM(OSRRefT22_5x_0)</f>
        <v>180</v>
      </c>
      <c r="U47" s="1"/>
      <c r="V47" s="5">
        <f t="shared" si="21"/>
        <v>0</v>
      </c>
      <c r="W47" s="1"/>
      <c r="X47" s="1">
        <f t="shared" si="22"/>
        <v>93.779999999999973</v>
      </c>
      <c r="Y47" s="1"/>
      <c r="Z47" s="5">
        <f t="shared" si="23"/>
        <v>0.5209999999999998</v>
      </c>
    </row>
    <row r="48" spans="1:26" s="24" customFormat="1" hidden="1" outlineLevel="2" x14ac:dyDescent="0.25">
      <c r="A48" s="25"/>
      <c r="B48" s="11" t="str">
        <f>CONCATENATE("          ", "6351", " - ", "EQUIPMENT RENTAL")</f>
        <v xml:space="preserve">          6351 - EQUIPMENT RENTAL</v>
      </c>
      <c r="C48" s="11"/>
      <c r="D48" s="7">
        <v>91.26</v>
      </c>
      <c r="E48" s="2"/>
      <c r="F48" s="6">
        <f t="shared" si="16"/>
        <v>0</v>
      </c>
      <c r="G48" s="2"/>
      <c r="H48" s="7">
        <v>90</v>
      </c>
      <c r="I48" s="2"/>
      <c r="J48" s="6">
        <f t="shared" si="17"/>
        <v>0</v>
      </c>
      <c r="K48" s="2"/>
      <c r="L48" s="7">
        <f t="shared" si="18"/>
        <v>1.2600000000000051</v>
      </c>
      <c r="M48" s="2"/>
      <c r="N48" s="6">
        <f t="shared" si="19"/>
        <v>1.4000000000000058E-2</v>
      </c>
      <c r="O48" s="11"/>
      <c r="P48" s="7">
        <v>273.77999999999997</v>
      </c>
      <c r="Q48" s="2"/>
      <c r="R48" s="6">
        <f t="shared" si="20"/>
        <v>0</v>
      </c>
      <c r="S48" s="2"/>
      <c r="T48" s="7">
        <v>180</v>
      </c>
      <c r="U48" s="2"/>
      <c r="V48" s="6">
        <f t="shared" si="21"/>
        <v>0</v>
      </c>
      <c r="W48" s="2"/>
      <c r="X48" s="7">
        <f t="shared" si="22"/>
        <v>93.779999999999973</v>
      </c>
      <c r="Y48" s="2"/>
      <c r="Z48" s="6">
        <f t="shared" si="23"/>
        <v>0.5209999999999998</v>
      </c>
    </row>
    <row r="49" spans="1:26" s="26" customFormat="1" outlineLevel="1" collapsed="1" x14ac:dyDescent="0.25">
      <c r="A49" s="27"/>
      <c r="B49" s="13" t="str">
        <f>CONCATENATE("     ","Freight out/Postage                               ")</f>
        <v xml:space="preserve">     Freight out/Postage                               </v>
      </c>
      <c r="C49" s="13"/>
      <c r="D49" s="1">
        <f>SUM(OSRRefD22_6x_0)</f>
        <v>57.75</v>
      </c>
      <c r="E49" s="1"/>
      <c r="F49" s="5">
        <f t="shared" si="16"/>
        <v>0</v>
      </c>
      <c r="G49" s="1"/>
      <c r="H49" s="1">
        <f>SUM(OSRRefH22_6x_0)</f>
        <v>95</v>
      </c>
      <c r="I49" s="1"/>
      <c r="J49" s="5">
        <f t="shared" si="17"/>
        <v>0</v>
      </c>
      <c r="K49" s="1"/>
      <c r="L49" s="1">
        <f t="shared" si="18"/>
        <v>-37.25</v>
      </c>
      <c r="M49" s="1"/>
      <c r="N49" s="5">
        <f t="shared" si="19"/>
        <v>-0.39210526315789473</v>
      </c>
      <c r="O49" s="13"/>
      <c r="P49" s="1">
        <f>SUM(OSRRefP22_6x_0)</f>
        <v>212.45</v>
      </c>
      <c r="Q49" s="1"/>
      <c r="R49" s="5">
        <f t="shared" si="20"/>
        <v>0</v>
      </c>
      <c r="S49" s="1"/>
      <c r="T49" s="1">
        <f>SUM(OSRRefT22_6x_0)</f>
        <v>190</v>
      </c>
      <c r="U49" s="1"/>
      <c r="V49" s="5">
        <f t="shared" si="21"/>
        <v>0</v>
      </c>
      <c r="W49" s="1"/>
      <c r="X49" s="1">
        <f t="shared" si="22"/>
        <v>22.449999999999989</v>
      </c>
      <c r="Y49" s="1"/>
      <c r="Z49" s="5">
        <f t="shared" si="23"/>
        <v>0.11815789473684205</v>
      </c>
    </row>
    <row r="50" spans="1:26" s="24" customFormat="1" hidden="1" outlineLevel="2" x14ac:dyDescent="0.25">
      <c r="A50" s="25"/>
      <c r="B50" s="11" t="str">
        <f>CONCATENATE("          ", "6307", " - ", "POSTAGE")</f>
        <v xml:space="preserve">          6307 - POSTAGE</v>
      </c>
      <c r="C50" s="11"/>
      <c r="D50" s="7">
        <v>57.75</v>
      </c>
      <c r="E50" s="2"/>
      <c r="F50" s="6">
        <f t="shared" si="16"/>
        <v>0</v>
      </c>
      <c r="G50" s="2"/>
      <c r="H50" s="7">
        <v>95</v>
      </c>
      <c r="I50" s="2"/>
      <c r="J50" s="6">
        <f t="shared" si="17"/>
        <v>0</v>
      </c>
      <c r="K50" s="2"/>
      <c r="L50" s="7">
        <f t="shared" si="18"/>
        <v>-37.25</v>
      </c>
      <c r="M50" s="2"/>
      <c r="N50" s="6">
        <f t="shared" si="19"/>
        <v>-0.39210526315789473</v>
      </c>
      <c r="O50" s="11"/>
      <c r="P50" s="7">
        <v>212.45</v>
      </c>
      <c r="Q50" s="2"/>
      <c r="R50" s="6">
        <f t="shared" si="20"/>
        <v>0</v>
      </c>
      <c r="S50" s="2"/>
      <c r="T50" s="7">
        <v>190</v>
      </c>
      <c r="U50" s="2"/>
      <c r="V50" s="6">
        <f t="shared" si="21"/>
        <v>0</v>
      </c>
      <c r="W50" s="2"/>
      <c r="X50" s="7">
        <f t="shared" si="22"/>
        <v>22.449999999999989</v>
      </c>
      <c r="Y50" s="2"/>
      <c r="Z50" s="6">
        <f t="shared" si="23"/>
        <v>0.11815789473684205</v>
      </c>
    </row>
    <row r="51" spans="1:26" s="26" customFormat="1" outlineLevel="1" collapsed="1" x14ac:dyDescent="0.25">
      <c r="A51" s="27"/>
      <c r="B51" s="13" t="str">
        <f>CONCATENATE("     ","General                                           ")</f>
        <v xml:space="preserve">     General                                           </v>
      </c>
      <c r="C51" s="13"/>
      <c r="D51" s="1">
        <f>SUM(OSRRefD22_7x_0)</f>
        <v>700</v>
      </c>
      <c r="E51" s="1"/>
      <c r="F51" s="5">
        <f t="shared" si="16"/>
        <v>0</v>
      </c>
      <c r="G51" s="1"/>
      <c r="H51" s="1">
        <f>SUM(OSRRefH22_7x_0)</f>
        <v>390</v>
      </c>
      <c r="I51" s="1"/>
      <c r="J51" s="5">
        <f t="shared" si="17"/>
        <v>0</v>
      </c>
      <c r="K51" s="1"/>
      <c r="L51" s="1">
        <f t="shared" si="18"/>
        <v>310</v>
      </c>
      <c r="M51" s="1"/>
      <c r="N51" s="5">
        <f t="shared" si="19"/>
        <v>0.79487179487179482</v>
      </c>
      <c r="O51" s="13"/>
      <c r="P51" s="1">
        <f>SUM(OSRRefP22_7x_0)</f>
        <v>700</v>
      </c>
      <c r="Q51" s="1"/>
      <c r="R51" s="5">
        <f t="shared" si="20"/>
        <v>0</v>
      </c>
      <c r="S51" s="1"/>
      <c r="T51" s="1">
        <f>SUM(OSRRefT22_7x_0)</f>
        <v>780</v>
      </c>
      <c r="U51" s="1"/>
      <c r="V51" s="5">
        <f t="shared" si="21"/>
        <v>0</v>
      </c>
      <c r="W51" s="1"/>
      <c r="X51" s="1">
        <f t="shared" si="22"/>
        <v>-80</v>
      </c>
      <c r="Y51" s="1"/>
      <c r="Z51" s="5">
        <f t="shared" si="23"/>
        <v>-0.10256410256410256</v>
      </c>
    </row>
    <row r="52" spans="1:26" s="24" customFormat="1" hidden="1" outlineLevel="2" x14ac:dyDescent="0.25">
      <c r="A52" s="25"/>
      <c r="B52" s="11" t="str">
        <f>CONCATENATE("          ", "6279", " - ", "GENERAL EXPENSE")</f>
        <v xml:space="preserve">          6279 - GENERAL EXPENSE</v>
      </c>
      <c r="C52" s="11"/>
      <c r="D52" s="7">
        <v>700</v>
      </c>
      <c r="E52" s="2"/>
      <c r="F52" s="6">
        <f t="shared" si="16"/>
        <v>0</v>
      </c>
      <c r="G52" s="2"/>
      <c r="H52" s="7">
        <v>390</v>
      </c>
      <c r="I52" s="2"/>
      <c r="J52" s="6">
        <f t="shared" si="17"/>
        <v>0</v>
      </c>
      <c r="K52" s="2"/>
      <c r="L52" s="7">
        <f t="shared" si="18"/>
        <v>310</v>
      </c>
      <c r="M52" s="2"/>
      <c r="N52" s="6">
        <f t="shared" si="19"/>
        <v>0.79487179487179482</v>
      </c>
      <c r="O52" s="11"/>
      <c r="P52" s="7">
        <v>700</v>
      </c>
      <c r="Q52" s="2"/>
      <c r="R52" s="6">
        <f t="shared" si="20"/>
        <v>0</v>
      </c>
      <c r="S52" s="2"/>
      <c r="T52" s="7">
        <v>780</v>
      </c>
      <c r="U52" s="2"/>
      <c r="V52" s="6">
        <f t="shared" si="21"/>
        <v>0</v>
      </c>
      <c r="W52" s="2"/>
      <c r="X52" s="7">
        <f t="shared" si="22"/>
        <v>-80</v>
      </c>
      <c r="Y52" s="2"/>
      <c r="Z52" s="6">
        <f t="shared" si="23"/>
        <v>-0.10256410256410256</v>
      </c>
    </row>
    <row r="53" spans="1:26" s="26" customFormat="1" outlineLevel="1" collapsed="1" x14ac:dyDescent="0.25">
      <c r="A53" s="27"/>
      <c r="B53" s="13" t="str">
        <f>CONCATENATE("     ","Insurance                                         ")</f>
        <v xml:space="preserve">     Insurance                                         </v>
      </c>
      <c r="C53" s="13"/>
      <c r="D53" s="1">
        <f>SUM(OSRRefD22_8x_0)</f>
        <v>65.47</v>
      </c>
      <c r="E53" s="1"/>
      <c r="F53" s="5">
        <f t="shared" si="16"/>
        <v>0</v>
      </c>
      <c r="G53" s="1"/>
      <c r="H53" s="1">
        <f>SUM(OSRRefH22_8x_0)</f>
        <v>65</v>
      </c>
      <c r="I53" s="1"/>
      <c r="J53" s="5">
        <f t="shared" si="17"/>
        <v>0</v>
      </c>
      <c r="K53" s="1"/>
      <c r="L53" s="1">
        <f t="shared" si="18"/>
        <v>0.46999999999999886</v>
      </c>
      <c r="M53" s="1"/>
      <c r="N53" s="5">
        <f t="shared" si="19"/>
        <v>7.2307692307692134E-3</v>
      </c>
      <c r="O53" s="13"/>
      <c r="P53" s="1">
        <f>SUM(OSRRefP22_8x_0)</f>
        <v>196.41</v>
      </c>
      <c r="Q53" s="1"/>
      <c r="R53" s="5">
        <f t="shared" si="20"/>
        <v>0</v>
      </c>
      <c r="S53" s="1"/>
      <c r="T53" s="1">
        <f>SUM(OSRRefT22_8x_0)</f>
        <v>195</v>
      </c>
      <c r="U53" s="1"/>
      <c r="V53" s="5">
        <f t="shared" si="21"/>
        <v>0</v>
      </c>
      <c r="W53" s="1"/>
      <c r="X53" s="1">
        <f t="shared" si="22"/>
        <v>1.4099999999999966</v>
      </c>
      <c r="Y53" s="1"/>
      <c r="Z53" s="5">
        <f t="shared" si="23"/>
        <v>7.2307692307692134E-3</v>
      </c>
    </row>
    <row r="54" spans="1:26" s="24" customFormat="1" hidden="1" outlineLevel="2" x14ac:dyDescent="0.25">
      <c r="A54" s="25"/>
      <c r="B54" s="11" t="str">
        <f>CONCATENATE("          ", "6314", " - ", "LIABILITY INSURANCE")</f>
        <v xml:space="preserve">          6314 - LIABILITY INSURANCE</v>
      </c>
      <c r="C54" s="11"/>
      <c r="D54" s="7">
        <v>65.47</v>
      </c>
      <c r="E54" s="2"/>
      <c r="F54" s="6">
        <f t="shared" si="16"/>
        <v>0</v>
      </c>
      <c r="G54" s="2"/>
      <c r="H54" s="7">
        <v>65</v>
      </c>
      <c r="I54" s="2"/>
      <c r="J54" s="6">
        <f t="shared" si="17"/>
        <v>0</v>
      </c>
      <c r="K54" s="2"/>
      <c r="L54" s="7">
        <f t="shared" si="18"/>
        <v>0.46999999999999886</v>
      </c>
      <c r="M54" s="2"/>
      <c r="N54" s="6">
        <f t="shared" si="19"/>
        <v>7.2307692307692134E-3</v>
      </c>
      <c r="O54" s="11"/>
      <c r="P54" s="7">
        <v>196.41</v>
      </c>
      <c r="Q54" s="2"/>
      <c r="R54" s="6">
        <f t="shared" si="20"/>
        <v>0</v>
      </c>
      <c r="S54" s="2"/>
      <c r="T54" s="7">
        <v>195</v>
      </c>
      <c r="U54" s="2"/>
      <c r="V54" s="6">
        <f t="shared" si="21"/>
        <v>0</v>
      </c>
      <c r="W54" s="2"/>
      <c r="X54" s="7">
        <f t="shared" si="22"/>
        <v>1.4099999999999966</v>
      </c>
      <c r="Y54" s="2"/>
      <c r="Z54" s="6">
        <f t="shared" si="23"/>
        <v>7.2307692307692134E-3</v>
      </c>
    </row>
    <row r="55" spans="1:26" s="26" customFormat="1" outlineLevel="1" collapsed="1" x14ac:dyDescent="0.25">
      <c r="A55" s="27"/>
      <c r="B55" s="13" t="str">
        <f>CONCATENATE("     ","Professional Services                             ")</f>
        <v xml:space="preserve">     Professional Services                             </v>
      </c>
      <c r="C55" s="13"/>
      <c r="D55" s="1">
        <f>SUM(OSRRefD22_9x_0)</f>
        <v>18408.439999999999</v>
      </c>
      <c r="E55" s="1"/>
      <c r="F55" s="5">
        <f t="shared" si="16"/>
        <v>0</v>
      </c>
      <c r="G55" s="1"/>
      <c r="H55" s="1">
        <f>SUM(OSRRefH22_9x_0)</f>
        <v>833</v>
      </c>
      <c r="I55" s="1"/>
      <c r="J55" s="5">
        <f t="shared" si="17"/>
        <v>0</v>
      </c>
      <c r="K55" s="1"/>
      <c r="L55" s="1">
        <f t="shared" si="18"/>
        <v>17575.439999999999</v>
      </c>
      <c r="M55" s="1"/>
      <c r="N55" s="5">
        <f t="shared" si="19"/>
        <v>21.098967587034814</v>
      </c>
      <c r="O55" s="13"/>
      <c r="P55" s="1">
        <f>SUM(OSRRefP22_9x_0)</f>
        <v>27414.18</v>
      </c>
      <c r="Q55" s="1"/>
      <c r="R55" s="5">
        <f t="shared" si="20"/>
        <v>0</v>
      </c>
      <c r="S55" s="1"/>
      <c r="T55" s="1">
        <f>SUM(OSRRefT22_9x_0)</f>
        <v>22499</v>
      </c>
      <c r="U55" s="1"/>
      <c r="V55" s="5">
        <f t="shared" si="21"/>
        <v>0</v>
      </c>
      <c r="W55" s="1"/>
      <c r="X55" s="1">
        <f t="shared" si="22"/>
        <v>4915.18</v>
      </c>
      <c r="Y55" s="1"/>
      <c r="Z55" s="5">
        <f t="shared" si="23"/>
        <v>0.21846215387350551</v>
      </c>
    </row>
    <row r="56" spans="1:26" s="24" customFormat="1" hidden="1" outlineLevel="2" x14ac:dyDescent="0.25">
      <c r="A56" s="25"/>
      <c r="B56" s="11" t="str">
        <f>CONCATENATE("          ", "6334", " - ", "LEGAL COUNCIL EXPENSE")</f>
        <v xml:space="preserve">          6334 - LEGAL COUNCIL EXPENSE</v>
      </c>
      <c r="C56" s="11"/>
      <c r="D56" s="7">
        <v>11970</v>
      </c>
      <c r="E56" s="2"/>
      <c r="F56" s="6">
        <f t="shared" si="16"/>
        <v>0</v>
      </c>
      <c r="G56" s="2"/>
      <c r="H56" s="7">
        <v>833</v>
      </c>
      <c r="I56" s="2"/>
      <c r="J56" s="6">
        <f t="shared" si="17"/>
        <v>0</v>
      </c>
      <c r="K56" s="2"/>
      <c r="L56" s="7">
        <f t="shared" si="18"/>
        <v>11137</v>
      </c>
      <c r="M56" s="2"/>
      <c r="N56" s="6">
        <f t="shared" si="19"/>
        <v>13.369747899159664</v>
      </c>
      <c r="O56" s="11"/>
      <c r="P56" s="7">
        <v>18585</v>
      </c>
      <c r="Q56" s="2"/>
      <c r="R56" s="6">
        <f t="shared" si="20"/>
        <v>0</v>
      </c>
      <c r="S56" s="2"/>
      <c r="T56" s="7">
        <v>2499</v>
      </c>
      <c r="U56" s="2"/>
      <c r="V56" s="6">
        <f t="shared" si="21"/>
        <v>0</v>
      </c>
      <c r="W56" s="2"/>
      <c r="X56" s="7">
        <f t="shared" si="22"/>
        <v>16086</v>
      </c>
      <c r="Y56" s="2"/>
      <c r="Z56" s="6">
        <f t="shared" si="23"/>
        <v>6.4369747899159666</v>
      </c>
    </row>
    <row r="57" spans="1:26" s="24" customFormat="1" hidden="1" outlineLevel="2" x14ac:dyDescent="0.25">
      <c r="A57" s="25"/>
      <c r="B57" s="11" t="str">
        <f>CONCATENATE("          ", "6336", " - ", "PROFESSIONAL SERVICES")</f>
        <v xml:space="preserve">          6336 - PROFESSIONAL SERVICES</v>
      </c>
      <c r="C57" s="11"/>
      <c r="D57" s="7">
        <v>6438.44</v>
      </c>
      <c r="E57" s="2"/>
      <c r="F57" s="6">
        <f t="shared" si="16"/>
        <v>0</v>
      </c>
      <c r="G57" s="2"/>
      <c r="H57" s="7"/>
      <c r="I57" s="2"/>
      <c r="J57" s="6">
        <f t="shared" si="17"/>
        <v>0</v>
      </c>
      <c r="K57" s="2"/>
      <c r="L57" s="7">
        <f t="shared" si="18"/>
        <v>6438.44</v>
      </c>
      <c r="M57" s="2"/>
      <c r="N57" s="6">
        <f t="shared" si="19"/>
        <v>0</v>
      </c>
      <c r="O57" s="11"/>
      <c r="P57" s="7">
        <v>8829.18</v>
      </c>
      <c r="Q57" s="2"/>
      <c r="R57" s="6">
        <f t="shared" si="20"/>
        <v>0</v>
      </c>
      <c r="S57" s="2"/>
      <c r="T57" s="7">
        <v>20000</v>
      </c>
      <c r="U57" s="2"/>
      <c r="V57" s="6">
        <f t="shared" si="21"/>
        <v>0</v>
      </c>
      <c r="W57" s="2"/>
      <c r="X57" s="7">
        <f t="shared" si="22"/>
        <v>-11170.82</v>
      </c>
      <c r="Y57" s="2"/>
      <c r="Z57" s="6">
        <f t="shared" si="23"/>
        <v>-0.55854099999999995</v>
      </c>
    </row>
    <row r="58" spans="1:26" s="26" customFormat="1" outlineLevel="1" collapsed="1" x14ac:dyDescent="0.25">
      <c r="A58" s="27"/>
      <c r="B58" s="13" t="str">
        <f>CONCATENATE("     ","Repair and Maintenance                            ")</f>
        <v xml:space="preserve">     Repair and Maintenance                            </v>
      </c>
      <c r="C58" s="13"/>
      <c r="D58" s="1">
        <f>SUM(OSRRefD22_10x_0)</f>
        <v>11005.12</v>
      </c>
      <c r="E58" s="1"/>
      <c r="F58" s="5">
        <f t="shared" ref="F58:F60" si="24">IF(D$12=0,0,D58/D$12)</f>
        <v>0</v>
      </c>
      <c r="G58" s="1"/>
      <c r="H58" s="1">
        <f>SUM(OSRRefH22_10x_0)</f>
        <v>12920</v>
      </c>
      <c r="I58" s="1"/>
      <c r="J58" s="5">
        <f t="shared" ref="J58:J60" si="25">IF(H$12=0,0,H58/H$12)</f>
        <v>0</v>
      </c>
      <c r="K58" s="1"/>
      <c r="L58" s="1">
        <f t="shared" ref="L58:L60" si="26">+D58-H58</f>
        <v>-1914.8799999999992</v>
      </c>
      <c r="M58" s="1"/>
      <c r="N58" s="5">
        <f t="shared" ref="N58:N60" si="27">IF(H58=0,0,L58/H58)</f>
        <v>-0.1482105263157894</v>
      </c>
      <c r="O58" s="13"/>
      <c r="P58" s="1">
        <f>SUM(OSRRefP22_10x_0)</f>
        <v>31254.14</v>
      </c>
      <c r="Q58" s="1"/>
      <c r="R58" s="5">
        <f t="shared" ref="R58:R60" si="28">IF(P$12=0,0,P58/P$12)</f>
        <v>0</v>
      </c>
      <c r="S58" s="1"/>
      <c r="T58" s="1">
        <f>SUM(OSRRefT22_10x_0)</f>
        <v>25840</v>
      </c>
      <c r="U58" s="1"/>
      <c r="V58" s="5">
        <f t="shared" ref="V58:V60" si="29">IF(T$12=0,0,T58/T$12)</f>
        <v>0</v>
      </c>
      <c r="W58" s="1"/>
      <c r="X58" s="1">
        <f t="shared" ref="X58:X60" si="30">+P58-T58</f>
        <v>5414.1399999999994</v>
      </c>
      <c r="Y58" s="1"/>
      <c r="Z58" s="5">
        <f t="shared" ref="Z58:Z60" si="31">IF(T58=0,0,X58/T58)</f>
        <v>0.2095255417956656</v>
      </c>
    </row>
    <row r="59" spans="1:26" s="24" customFormat="1" hidden="1" outlineLevel="2" x14ac:dyDescent="0.25">
      <c r="A59" s="25"/>
      <c r="B59" s="11" t="str">
        <f>CONCATENATE("          ", "6371", " - ", "COMPUTER SOFTWARE MAINTENANCE")</f>
        <v xml:space="preserve">          6371 - COMPUTER SOFTWARE MAINTENANCE</v>
      </c>
      <c r="C59" s="11"/>
      <c r="D59" s="7">
        <v>11005.12</v>
      </c>
      <c r="E59" s="2"/>
      <c r="F59" s="6">
        <f t="shared" si="24"/>
        <v>0</v>
      </c>
      <c r="G59" s="2"/>
      <c r="H59" s="7">
        <v>12920</v>
      </c>
      <c r="I59" s="2"/>
      <c r="J59" s="6">
        <f t="shared" si="25"/>
        <v>0</v>
      </c>
      <c r="K59" s="2"/>
      <c r="L59" s="7">
        <f t="shared" si="26"/>
        <v>-1914.8799999999992</v>
      </c>
      <c r="M59" s="2"/>
      <c r="N59" s="6">
        <f t="shared" si="27"/>
        <v>-0.1482105263157894</v>
      </c>
      <c r="O59" s="11"/>
      <c r="P59" s="7">
        <v>31200.68</v>
      </c>
      <c r="Q59" s="2"/>
      <c r="R59" s="6">
        <f t="shared" si="28"/>
        <v>0</v>
      </c>
      <c r="S59" s="2"/>
      <c r="T59" s="7">
        <v>25840</v>
      </c>
      <c r="U59" s="2"/>
      <c r="V59" s="6">
        <f t="shared" si="29"/>
        <v>0</v>
      </c>
      <c r="W59" s="2"/>
      <c r="X59" s="7">
        <f t="shared" si="30"/>
        <v>5360.68</v>
      </c>
      <c r="Y59" s="2"/>
      <c r="Z59" s="6">
        <f t="shared" si="31"/>
        <v>0.20745665634674923</v>
      </c>
    </row>
    <row r="60" spans="1:26" s="24" customFormat="1" hidden="1" outlineLevel="2" x14ac:dyDescent="0.25">
      <c r="A60" s="25"/>
      <c r="B60" s="11" t="str">
        <f>CONCATENATE("          ", "6373", " - ", "MAINTENANCE CONTRACTS")</f>
        <v xml:space="preserve">          6373 - MAINTENANCE CONTRACTS</v>
      </c>
      <c r="C60" s="11"/>
      <c r="D60" s="7"/>
      <c r="E60" s="2"/>
      <c r="F60" s="6">
        <f t="shared" si="24"/>
        <v>0</v>
      </c>
      <c r="G60" s="2"/>
      <c r="H60" s="7"/>
      <c r="I60" s="2"/>
      <c r="J60" s="6">
        <f t="shared" si="25"/>
        <v>0</v>
      </c>
      <c r="K60" s="2"/>
      <c r="L60" s="7">
        <f t="shared" si="26"/>
        <v>0</v>
      </c>
      <c r="M60" s="2"/>
      <c r="N60" s="6">
        <f t="shared" si="27"/>
        <v>0</v>
      </c>
      <c r="O60" s="11"/>
      <c r="P60" s="7">
        <v>53.46</v>
      </c>
      <c r="Q60" s="2"/>
      <c r="R60" s="6">
        <f t="shared" si="28"/>
        <v>0</v>
      </c>
      <c r="S60" s="2"/>
      <c r="T60" s="7"/>
      <c r="U60" s="2"/>
      <c r="V60" s="6">
        <f t="shared" si="29"/>
        <v>0</v>
      </c>
      <c r="W60" s="2"/>
      <c r="X60" s="7">
        <f t="shared" si="30"/>
        <v>53.46</v>
      </c>
      <c r="Y60" s="2"/>
      <c r="Z60" s="6">
        <f t="shared" si="31"/>
        <v>0</v>
      </c>
    </row>
    <row r="61" spans="1:26" s="26" customFormat="1" outlineLevel="1" collapsed="1" x14ac:dyDescent="0.25">
      <c r="A61" s="27"/>
      <c r="B61" s="13" t="str">
        <f>CONCATENATE("     ","Subscriptions &amp; Dues                              ")</f>
        <v xml:space="preserve">     Subscriptions &amp; Dues                              </v>
      </c>
      <c r="C61" s="13"/>
      <c r="D61" s="1">
        <f>SUM(OSRRefD22_11x_0)</f>
        <v>0</v>
      </c>
      <c r="E61" s="1"/>
      <c r="F61" s="5">
        <f t="shared" ref="F61:F66" si="32">IF(D$12=0,0,D61/D$12)</f>
        <v>0</v>
      </c>
      <c r="G61" s="1"/>
      <c r="H61" s="1">
        <f>SUM(OSRRefH22_11x_0)</f>
        <v>0</v>
      </c>
      <c r="I61" s="1"/>
      <c r="J61" s="5">
        <f t="shared" ref="J61:J66" si="33">IF(H$12=0,0,H61/H$12)</f>
        <v>0</v>
      </c>
      <c r="K61" s="1"/>
      <c r="L61" s="1">
        <f t="shared" ref="L61:L66" si="34">+D61-H61</f>
        <v>0</v>
      </c>
      <c r="M61" s="1"/>
      <c r="N61" s="5">
        <f t="shared" ref="N61:N66" si="35">IF(H61=0,0,L61/H61)</f>
        <v>0</v>
      </c>
      <c r="O61" s="13"/>
      <c r="P61" s="1">
        <f>SUM(OSRRefP22_11x_0)</f>
        <v>587</v>
      </c>
      <c r="Q61" s="1"/>
      <c r="R61" s="5">
        <f t="shared" ref="R61:R66" si="36">IF(P$12=0,0,P61/P$12)</f>
        <v>0</v>
      </c>
      <c r="S61" s="1"/>
      <c r="T61" s="1">
        <f>SUM(OSRRefT22_11x_0)</f>
        <v>627</v>
      </c>
      <c r="U61" s="1"/>
      <c r="V61" s="5">
        <f t="shared" ref="V61:V66" si="37">IF(T$12=0,0,T61/T$12)</f>
        <v>0</v>
      </c>
      <c r="W61" s="1"/>
      <c r="X61" s="1">
        <f t="shared" ref="X61:X66" si="38">+P61-T61</f>
        <v>-40</v>
      </c>
      <c r="Y61" s="1"/>
      <c r="Z61" s="5">
        <f t="shared" ref="Z61:Z66" si="39">IF(T61=0,0,X61/T61)</f>
        <v>-6.3795853269537475E-2</v>
      </c>
    </row>
    <row r="62" spans="1:26" s="24" customFormat="1" hidden="1" outlineLevel="2" x14ac:dyDescent="0.25">
      <c r="A62" s="25"/>
      <c r="B62" s="11" t="str">
        <f>CONCATENATE("          ", "6258", " - ", "MEMBERSHIP DUES")</f>
        <v xml:space="preserve">          6258 - MEMBERSHIP DUES</v>
      </c>
      <c r="C62" s="11"/>
      <c r="D62" s="7"/>
      <c r="E62" s="2"/>
      <c r="F62" s="6">
        <f t="shared" si="32"/>
        <v>0</v>
      </c>
      <c r="G62" s="2"/>
      <c r="H62" s="7"/>
      <c r="I62" s="2"/>
      <c r="J62" s="6">
        <f t="shared" si="33"/>
        <v>0</v>
      </c>
      <c r="K62" s="2"/>
      <c r="L62" s="7">
        <f t="shared" si="34"/>
        <v>0</v>
      </c>
      <c r="M62" s="2"/>
      <c r="N62" s="6">
        <f t="shared" si="35"/>
        <v>0</v>
      </c>
      <c r="O62" s="11"/>
      <c r="P62" s="7">
        <v>587</v>
      </c>
      <c r="Q62" s="2"/>
      <c r="R62" s="6">
        <f t="shared" si="36"/>
        <v>0</v>
      </c>
      <c r="S62" s="2"/>
      <c r="T62" s="7">
        <v>627</v>
      </c>
      <c r="U62" s="2"/>
      <c r="V62" s="6">
        <f t="shared" si="37"/>
        <v>0</v>
      </c>
      <c r="W62" s="2"/>
      <c r="X62" s="7">
        <f t="shared" si="38"/>
        <v>-40</v>
      </c>
      <c r="Y62" s="2"/>
      <c r="Z62" s="6">
        <f t="shared" si="39"/>
        <v>-6.3795853269537475E-2</v>
      </c>
    </row>
    <row r="63" spans="1:26" s="26" customFormat="1" outlineLevel="1" collapsed="1" x14ac:dyDescent="0.25">
      <c r="A63" s="27"/>
      <c r="B63" s="13" t="str">
        <f>CONCATENATE("     ","Supplies                                          ")</f>
        <v xml:space="preserve">     Supplies                                          </v>
      </c>
      <c r="C63" s="13"/>
      <c r="D63" s="1">
        <f>SUM(OSRRefD22_12x_0)</f>
        <v>1869.25</v>
      </c>
      <c r="E63" s="1"/>
      <c r="F63" s="5">
        <f t="shared" si="32"/>
        <v>0</v>
      </c>
      <c r="G63" s="1"/>
      <c r="H63" s="1">
        <f>SUM(OSRRefH22_12x_0)</f>
        <v>4417</v>
      </c>
      <c r="I63" s="1"/>
      <c r="J63" s="5">
        <f t="shared" si="33"/>
        <v>0</v>
      </c>
      <c r="K63" s="1"/>
      <c r="L63" s="1">
        <f t="shared" si="34"/>
        <v>-2547.75</v>
      </c>
      <c r="M63" s="1"/>
      <c r="N63" s="5">
        <f t="shared" si="35"/>
        <v>-0.57680552411138786</v>
      </c>
      <c r="O63" s="13"/>
      <c r="P63" s="1">
        <f>SUM(OSRRefP22_12x_0)</f>
        <v>9263.82</v>
      </c>
      <c r="Q63" s="1"/>
      <c r="R63" s="5">
        <f t="shared" si="36"/>
        <v>0</v>
      </c>
      <c r="S63" s="1"/>
      <c r="T63" s="1">
        <f>SUM(OSRRefT22_12x_0)</f>
        <v>9651</v>
      </c>
      <c r="U63" s="1"/>
      <c r="V63" s="5">
        <f t="shared" si="37"/>
        <v>0</v>
      </c>
      <c r="W63" s="1"/>
      <c r="X63" s="1">
        <f t="shared" si="38"/>
        <v>-387.18000000000029</v>
      </c>
      <c r="Y63" s="1"/>
      <c r="Z63" s="5">
        <f t="shared" si="39"/>
        <v>-4.011812247435502E-2</v>
      </c>
    </row>
    <row r="64" spans="1:26" s="24" customFormat="1" hidden="1" outlineLevel="2" x14ac:dyDescent="0.25">
      <c r="A64" s="25"/>
      <c r="B64" s="11" t="str">
        <f>CONCATENATE("          ", "6241", " - ", "OFFICE EXPENSE")</f>
        <v xml:space="preserve">          6241 - OFFICE EXPENSE</v>
      </c>
      <c r="C64" s="11"/>
      <c r="D64" s="7">
        <v>1395.77</v>
      </c>
      <c r="E64" s="2"/>
      <c r="F64" s="6">
        <f t="shared" si="32"/>
        <v>0</v>
      </c>
      <c r="G64" s="2"/>
      <c r="H64" s="7">
        <v>4000</v>
      </c>
      <c r="I64" s="2"/>
      <c r="J64" s="6">
        <f t="shared" si="33"/>
        <v>0</v>
      </c>
      <c r="K64" s="2"/>
      <c r="L64" s="7">
        <f t="shared" si="34"/>
        <v>-2604.23</v>
      </c>
      <c r="M64" s="2"/>
      <c r="N64" s="6">
        <f t="shared" si="35"/>
        <v>-0.65105749999999996</v>
      </c>
      <c r="O64" s="11"/>
      <c r="P64" s="7">
        <v>6292.08</v>
      </c>
      <c r="Q64" s="2"/>
      <c r="R64" s="6">
        <f t="shared" si="36"/>
        <v>0</v>
      </c>
      <c r="S64" s="2"/>
      <c r="T64" s="7">
        <v>8400</v>
      </c>
      <c r="U64" s="2"/>
      <c r="V64" s="6">
        <f t="shared" si="37"/>
        <v>0</v>
      </c>
      <c r="W64" s="2"/>
      <c r="X64" s="7">
        <f t="shared" si="38"/>
        <v>-2107.92</v>
      </c>
      <c r="Y64" s="2"/>
      <c r="Z64" s="6">
        <f t="shared" si="39"/>
        <v>-0.25094285714285713</v>
      </c>
    </row>
    <row r="65" spans="1:26" s="24" customFormat="1" hidden="1" outlineLevel="2" x14ac:dyDescent="0.25">
      <c r="A65" s="25"/>
      <c r="B65" s="11" t="str">
        <f>CONCATENATE("          ", "6244", " - ", "SAFETY SUPPLY EXPENSE")</f>
        <v xml:space="preserve">          6244 - SAFETY SUPPLY EXPENSE</v>
      </c>
      <c r="C65" s="11"/>
      <c r="D65" s="7">
        <v>354.41</v>
      </c>
      <c r="E65" s="2"/>
      <c r="F65" s="6">
        <f t="shared" si="32"/>
        <v>0</v>
      </c>
      <c r="G65" s="2"/>
      <c r="H65" s="7">
        <v>417</v>
      </c>
      <c r="I65" s="2"/>
      <c r="J65" s="6">
        <f t="shared" si="33"/>
        <v>0</v>
      </c>
      <c r="K65" s="2"/>
      <c r="L65" s="7">
        <f t="shared" si="34"/>
        <v>-62.589999999999975</v>
      </c>
      <c r="M65" s="2"/>
      <c r="N65" s="6">
        <f t="shared" si="35"/>
        <v>-0.15009592326139082</v>
      </c>
      <c r="O65" s="11"/>
      <c r="P65" s="7">
        <v>1232.33</v>
      </c>
      <c r="Q65" s="2"/>
      <c r="R65" s="6">
        <f t="shared" si="36"/>
        <v>0</v>
      </c>
      <c r="S65" s="2"/>
      <c r="T65" s="7">
        <v>1251</v>
      </c>
      <c r="U65" s="2"/>
      <c r="V65" s="6">
        <f t="shared" si="37"/>
        <v>0</v>
      </c>
      <c r="W65" s="2"/>
      <c r="X65" s="7">
        <f t="shared" si="38"/>
        <v>-18.670000000000073</v>
      </c>
      <c r="Y65" s="2"/>
      <c r="Z65" s="6">
        <f t="shared" si="39"/>
        <v>-1.4924060751398939E-2</v>
      </c>
    </row>
    <row r="66" spans="1:26" s="24" customFormat="1" hidden="1" outlineLevel="2" x14ac:dyDescent="0.25">
      <c r="A66" s="25"/>
      <c r="B66" s="11" t="str">
        <f>CONCATENATE("          ", "6245", " - ", "PRINTING")</f>
        <v xml:space="preserve">          6245 - PRINTING</v>
      </c>
      <c r="C66" s="11"/>
      <c r="D66" s="7">
        <v>119.07</v>
      </c>
      <c r="E66" s="2"/>
      <c r="F66" s="6">
        <f t="shared" si="32"/>
        <v>0</v>
      </c>
      <c r="G66" s="2"/>
      <c r="H66" s="7"/>
      <c r="I66" s="2"/>
      <c r="J66" s="6">
        <f t="shared" si="33"/>
        <v>0</v>
      </c>
      <c r="K66" s="2"/>
      <c r="L66" s="7">
        <f t="shared" si="34"/>
        <v>119.07</v>
      </c>
      <c r="M66" s="2"/>
      <c r="N66" s="6">
        <f t="shared" si="35"/>
        <v>0</v>
      </c>
      <c r="O66" s="11"/>
      <c r="P66" s="7">
        <v>1739.41</v>
      </c>
      <c r="Q66" s="2"/>
      <c r="R66" s="6">
        <f t="shared" si="36"/>
        <v>0</v>
      </c>
      <c r="S66" s="2"/>
      <c r="T66" s="7"/>
      <c r="U66" s="2"/>
      <c r="V66" s="6">
        <f t="shared" si="37"/>
        <v>0</v>
      </c>
      <c r="W66" s="2"/>
      <c r="X66" s="7">
        <f t="shared" si="38"/>
        <v>1739.41</v>
      </c>
      <c r="Y66" s="2"/>
      <c r="Z66" s="6">
        <f t="shared" si="39"/>
        <v>0</v>
      </c>
    </row>
    <row r="67" spans="1:26" s="26" customFormat="1" outlineLevel="1" collapsed="1" x14ac:dyDescent="0.25">
      <c r="A67" s="27"/>
      <c r="B67" s="13" t="str">
        <f>CONCATENATE("     ","Telephone/Data Lines                              ")</f>
        <v xml:space="preserve">     Telephone/Data Lines                              </v>
      </c>
      <c r="C67" s="13"/>
      <c r="D67" s="1">
        <f>SUM(OSRRefD22_13x_0)</f>
        <v>340</v>
      </c>
      <c r="E67" s="1"/>
      <c r="F67" s="5">
        <f t="shared" ref="F67:F72" si="40">IF(D$12=0,0,D67/D$12)</f>
        <v>0</v>
      </c>
      <c r="G67" s="1"/>
      <c r="H67" s="1">
        <f>SUM(OSRRefH22_13x_0)</f>
        <v>290</v>
      </c>
      <c r="I67" s="1"/>
      <c r="J67" s="5">
        <f t="shared" ref="J67:J72" si="41">IF(H$12=0,0,H67/H$12)</f>
        <v>0</v>
      </c>
      <c r="K67" s="1"/>
      <c r="L67" s="1">
        <f t="shared" ref="L67:L72" si="42">+D67-H67</f>
        <v>50</v>
      </c>
      <c r="M67" s="1"/>
      <c r="N67" s="5">
        <f t="shared" ref="N67:N72" si="43">IF(H67=0,0,L67/H67)</f>
        <v>0.17241379310344829</v>
      </c>
      <c r="O67" s="13"/>
      <c r="P67" s="1">
        <f>SUM(OSRRefP22_13x_0)</f>
        <v>1027.6500000000001</v>
      </c>
      <c r="Q67" s="1"/>
      <c r="R67" s="5">
        <f t="shared" ref="R67:R72" si="44">IF(P$12=0,0,P67/P$12)</f>
        <v>0</v>
      </c>
      <c r="S67" s="1"/>
      <c r="T67" s="1">
        <f>SUM(OSRRefT22_13x_0)</f>
        <v>870</v>
      </c>
      <c r="U67" s="1"/>
      <c r="V67" s="5">
        <f t="shared" ref="V67:V72" si="45">IF(T$12=0,0,T67/T$12)</f>
        <v>0</v>
      </c>
      <c r="W67" s="1"/>
      <c r="X67" s="1">
        <f t="shared" ref="X67:X72" si="46">+P67-T67</f>
        <v>157.65000000000009</v>
      </c>
      <c r="Y67" s="1"/>
      <c r="Z67" s="5">
        <f t="shared" ref="Z67:Z72" si="47">IF(T67=0,0,X67/T67)</f>
        <v>0.18120689655172426</v>
      </c>
    </row>
    <row r="68" spans="1:26" s="24" customFormat="1" hidden="1" outlineLevel="2" x14ac:dyDescent="0.25">
      <c r="A68" s="25"/>
      <c r="B68" s="11" t="str">
        <f>CONCATENATE("          ", "6309", " - ", "TELEPHONE")</f>
        <v xml:space="preserve">          6309 - TELEPHONE</v>
      </c>
      <c r="C68" s="11"/>
      <c r="D68" s="7">
        <v>340</v>
      </c>
      <c r="E68" s="2"/>
      <c r="F68" s="6">
        <f t="shared" si="40"/>
        <v>0</v>
      </c>
      <c r="G68" s="2"/>
      <c r="H68" s="7">
        <v>290</v>
      </c>
      <c r="I68" s="2"/>
      <c r="J68" s="6">
        <f t="shared" si="41"/>
        <v>0</v>
      </c>
      <c r="K68" s="2"/>
      <c r="L68" s="7">
        <f t="shared" si="42"/>
        <v>50</v>
      </c>
      <c r="M68" s="2"/>
      <c r="N68" s="6">
        <f t="shared" si="43"/>
        <v>0.17241379310344829</v>
      </c>
      <c r="O68" s="11"/>
      <c r="P68" s="7">
        <v>1027.6500000000001</v>
      </c>
      <c r="Q68" s="2"/>
      <c r="R68" s="6">
        <f t="shared" si="44"/>
        <v>0</v>
      </c>
      <c r="S68" s="2"/>
      <c r="T68" s="7">
        <v>870</v>
      </c>
      <c r="U68" s="2"/>
      <c r="V68" s="6">
        <f t="shared" si="45"/>
        <v>0</v>
      </c>
      <c r="W68" s="2"/>
      <c r="X68" s="7">
        <f t="shared" si="46"/>
        <v>157.65000000000009</v>
      </c>
      <c r="Y68" s="2"/>
      <c r="Z68" s="6">
        <f t="shared" si="47"/>
        <v>0.18120689655172426</v>
      </c>
    </row>
    <row r="69" spans="1:26" s="26" customFormat="1" outlineLevel="1" collapsed="1" x14ac:dyDescent="0.25">
      <c r="A69" s="27"/>
      <c r="B69" s="13" t="str">
        <f>CONCATENATE("     ","Training                                          ")</f>
        <v xml:space="preserve">     Training                                          </v>
      </c>
      <c r="C69" s="13"/>
      <c r="D69" s="1">
        <f>SUM(OSRRefD22_14x_0)</f>
        <v>414</v>
      </c>
      <c r="E69" s="1"/>
      <c r="F69" s="5">
        <f t="shared" si="40"/>
        <v>0</v>
      </c>
      <c r="G69" s="1"/>
      <c r="H69" s="1">
        <f>SUM(OSRRefH22_14x_0)</f>
        <v>2000</v>
      </c>
      <c r="I69" s="1"/>
      <c r="J69" s="5">
        <f t="shared" si="41"/>
        <v>0</v>
      </c>
      <c r="K69" s="1"/>
      <c r="L69" s="1">
        <f t="shared" si="42"/>
        <v>-1586</v>
      </c>
      <c r="M69" s="1"/>
      <c r="N69" s="5">
        <f t="shared" si="43"/>
        <v>-0.79300000000000004</v>
      </c>
      <c r="O69" s="13"/>
      <c r="P69" s="1">
        <f>SUM(OSRRefP22_14x_0)</f>
        <v>5314.98</v>
      </c>
      <c r="Q69" s="1"/>
      <c r="R69" s="5">
        <f t="shared" si="44"/>
        <v>0</v>
      </c>
      <c r="S69" s="1"/>
      <c r="T69" s="1">
        <f>SUM(OSRRefT22_14x_0)</f>
        <v>6000</v>
      </c>
      <c r="U69" s="1"/>
      <c r="V69" s="5">
        <f t="shared" si="45"/>
        <v>0</v>
      </c>
      <c r="W69" s="1"/>
      <c r="X69" s="1">
        <f t="shared" si="46"/>
        <v>-685.02000000000044</v>
      </c>
      <c r="Y69" s="1"/>
      <c r="Z69" s="5">
        <f t="shared" si="47"/>
        <v>-0.11417000000000008</v>
      </c>
    </row>
    <row r="70" spans="1:26" s="24" customFormat="1" hidden="1" outlineLevel="2" x14ac:dyDescent="0.25">
      <c r="A70" s="25"/>
      <c r="B70" s="11" t="str">
        <f>CONCATENATE("          ", "6376", " - ", "TRAINING")</f>
        <v xml:space="preserve">          6376 - TRAINING</v>
      </c>
      <c r="C70" s="11"/>
      <c r="D70" s="7">
        <v>414</v>
      </c>
      <c r="E70" s="2"/>
      <c r="F70" s="6">
        <f t="shared" si="40"/>
        <v>0</v>
      </c>
      <c r="G70" s="2"/>
      <c r="H70" s="7">
        <v>2000</v>
      </c>
      <c r="I70" s="2"/>
      <c r="J70" s="6">
        <f t="shared" si="41"/>
        <v>0</v>
      </c>
      <c r="K70" s="2"/>
      <c r="L70" s="7">
        <f t="shared" si="42"/>
        <v>-1586</v>
      </c>
      <c r="M70" s="2"/>
      <c r="N70" s="6">
        <f t="shared" si="43"/>
        <v>-0.79300000000000004</v>
      </c>
      <c r="O70" s="11"/>
      <c r="P70" s="7">
        <v>5314.98</v>
      </c>
      <c r="Q70" s="2"/>
      <c r="R70" s="6">
        <f t="shared" si="44"/>
        <v>0</v>
      </c>
      <c r="S70" s="2"/>
      <c r="T70" s="7">
        <v>6000</v>
      </c>
      <c r="U70" s="2"/>
      <c r="V70" s="6">
        <f t="shared" si="45"/>
        <v>0</v>
      </c>
      <c r="W70" s="2"/>
      <c r="X70" s="7">
        <f t="shared" si="46"/>
        <v>-685.02000000000044</v>
      </c>
      <c r="Y70" s="2"/>
      <c r="Z70" s="6">
        <f t="shared" si="47"/>
        <v>-0.11417000000000008</v>
      </c>
    </row>
    <row r="71" spans="1:26" s="26" customFormat="1" outlineLevel="1" collapsed="1" x14ac:dyDescent="0.25">
      <c r="A71" s="27"/>
      <c r="B71" s="13" t="str">
        <f>CONCATENATE("     ","Travel                                            ")</f>
        <v xml:space="preserve">     Travel                                            </v>
      </c>
      <c r="C71" s="13"/>
      <c r="D71" s="1">
        <f>SUM(OSRRefD22_15x_0)</f>
        <v>71.94</v>
      </c>
      <c r="E71" s="1"/>
      <c r="F71" s="5">
        <f t="shared" si="40"/>
        <v>0</v>
      </c>
      <c r="G71" s="1"/>
      <c r="H71" s="1">
        <f>SUM(OSRRefH22_15x_0)</f>
        <v>0</v>
      </c>
      <c r="I71" s="1"/>
      <c r="J71" s="5">
        <f t="shared" si="41"/>
        <v>0</v>
      </c>
      <c r="K71" s="1"/>
      <c r="L71" s="1">
        <f t="shared" si="42"/>
        <v>71.94</v>
      </c>
      <c r="M71" s="1"/>
      <c r="N71" s="5">
        <f t="shared" si="43"/>
        <v>0</v>
      </c>
      <c r="O71" s="13"/>
      <c r="P71" s="1">
        <f>SUM(OSRRefP22_15x_0)</f>
        <v>1435.88</v>
      </c>
      <c r="Q71" s="1"/>
      <c r="R71" s="5">
        <f t="shared" si="44"/>
        <v>0</v>
      </c>
      <c r="S71" s="1"/>
      <c r="T71" s="1">
        <f>SUM(OSRRefT22_15x_0)</f>
        <v>1000</v>
      </c>
      <c r="U71" s="1"/>
      <c r="V71" s="5">
        <f t="shared" si="45"/>
        <v>0</v>
      </c>
      <c r="W71" s="1"/>
      <c r="X71" s="1">
        <f t="shared" si="46"/>
        <v>435.88000000000011</v>
      </c>
      <c r="Y71" s="1"/>
      <c r="Z71" s="5">
        <f t="shared" si="47"/>
        <v>0.4358800000000001</v>
      </c>
    </row>
    <row r="72" spans="1:26" s="24" customFormat="1" hidden="1" outlineLevel="2" x14ac:dyDescent="0.25">
      <c r="A72" s="25"/>
      <c r="B72" s="11" t="str">
        <f>CONCATENATE("          ", "6292", " - ", "TRAVEL/CONFERENCE")</f>
        <v xml:space="preserve">          6292 - TRAVEL/CONFERENCE</v>
      </c>
      <c r="C72" s="11"/>
      <c r="D72" s="7">
        <v>71.94</v>
      </c>
      <c r="E72" s="2"/>
      <c r="F72" s="6">
        <f t="shared" si="40"/>
        <v>0</v>
      </c>
      <c r="G72" s="2"/>
      <c r="H72" s="7"/>
      <c r="I72" s="2"/>
      <c r="J72" s="6">
        <f t="shared" si="41"/>
        <v>0</v>
      </c>
      <c r="K72" s="2"/>
      <c r="L72" s="7">
        <f t="shared" si="42"/>
        <v>71.94</v>
      </c>
      <c r="M72" s="2"/>
      <c r="N72" s="6">
        <f t="shared" si="43"/>
        <v>0</v>
      </c>
      <c r="O72" s="11"/>
      <c r="P72" s="7">
        <v>1435.88</v>
      </c>
      <c r="Q72" s="2"/>
      <c r="R72" s="6">
        <f t="shared" si="44"/>
        <v>0</v>
      </c>
      <c r="S72" s="2"/>
      <c r="T72" s="7">
        <v>1000</v>
      </c>
      <c r="U72" s="2"/>
      <c r="V72" s="6">
        <f t="shared" si="45"/>
        <v>0</v>
      </c>
      <c r="W72" s="2"/>
      <c r="X72" s="7">
        <f t="shared" si="46"/>
        <v>435.88000000000011</v>
      </c>
      <c r="Y72" s="2"/>
      <c r="Z72" s="6">
        <f t="shared" si="47"/>
        <v>0.4358800000000001</v>
      </c>
    </row>
    <row r="73" spans="1:26" s="63" customFormat="1" x14ac:dyDescent="0.25">
      <c r="A73" s="36"/>
      <c r="B73" s="36"/>
      <c r="C73" s="36"/>
      <c r="D73" s="1"/>
      <c r="E73" s="1"/>
      <c r="F73" s="5"/>
      <c r="G73" s="1"/>
      <c r="H73" s="1"/>
      <c r="I73" s="1"/>
      <c r="J73" s="5"/>
      <c r="K73" s="1"/>
      <c r="L73" s="1"/>
      <c r="M73" s="1"/>
      <c r="N73" s="5"/>
      <c r="O73" s="36"/>
      <c r="P73" s="1"/>
      <c r="Q73" s="1"/>
      <c r="R73" s="5"/>
      <c r="S73" s="1"/>
      <c r="T73" s="1"/>
      <c r="U73" s="1"/>
      <c r="V73" s="5"/>
      <c r="W73" s="1"/>
      <c r="X73" s="1"/>
      <c r="Y73" s="1"/>
      <c r="Z73" s="5"/>
    </row>
    <row r="74" spans="1:26" s="23" customFormat="1" x14ac:dyDescent="0.25">
      <c r="A74" s="10"/>
      <c r="B74" s="28" t="s">
        <v>0</v>
      </c>
      <c r="C74" s="10"/>
      <c r="D74" s="4">
        <f>SUM(0)</f>
        <v>0</v>
      </c>
      <c r="E74" s="4"/>
      <c r="F74" s="12">
        <f>IF(D$12=0,0,D74/D$12)</f>
        <v>0</v>
      </c>
      <c r="G74" s="4"/>
      <c r="H74" s="4">
        <f>SUM(0)</f>
        <v>0</v>
      </c>
      <c r="I74" s="4"/>
      <c r="J74" s="12">
        <f>IF(H$12=0,0,H74/H$12)</f>
        <v>0</v>
      </c>
      <c r="K74" s="4"/>
      <c r="L74" s="4">
        <f>+D74-H74</f>
        <v>0</v>
      </c>
      <c r="M74" s="4"/>
      <c r="N74" s="12">
        <f>IF(H74=0,0,L74/H74)</f>
        <v>0</v>
      </c>
      <c r="O74" s="10"/>
      <c r="P74" s="4">
        <f>SUM(0)</f>
        <v>0</v>
      </c>
      <c r="Q74" s="4"/>
      <c r="R74" s="12">
        <f>IF(P$12=0,0,P74/P$12)</f>
        <v>0</v>
      </c>
      <c r="S74" s="4"/>
      <c r="T74" s="4">
        <f>SUM(0)</f>
        <v>0</v>
      </c>
      <c r="U74" s="4"/>
      <c r="V74" s="12">
        <f>IF(T$12=0,0,T74/T$12)</f>
        <v>0</v>
      </c>
      <c r="W74" s="4"/>
      <c r="X74" s="4">
        <f>+P74-T74</f>
        <v>0</v>
      </c>
      <c r="Y74" s="4"/>
      <c r="Z74" s="12">
        <f>IF(T74=0,0,X74/T74)</f>
        <v>0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10"/>
      <c r="B76" s="29" t="s">
        <v>3</v>
      </c>
      <c r="C76" s="29"/>
      <c r="D76" s="22">
        <f>+D16-D18+D74</f>
        <v>-67587.980000000025</v>
      </c>
      <c r="E76" s="14"/>
      <c r="F76" s="20">
        <f>IF(D$12=0,0,D76/D$12)</f>
        <v>0</v>
      </c>
      <c r="G76" s="14"/>
      <c r="H76" s="22">
        <f>+H16-H18+H74</f>
        <v>-55111.270203673834</v>
      </c>
      <c r="I76" s="14"/>
      <c r="J76" s="20">
        <f>IF(H$12=0,0,H76/H$12)</f>
        <v>0</v>
      </c>
      <c r="K76" s="15"/>
      <c r="L76" s="22">
        <f>+D76-H76</f>
        <v>-12476.709796326191</v>
      </c>
      <c r="M76" s="15"/>
      <c r="N76" s="20">
        <f>IF(H76=0,0,L76/H76)</f>
        <v>0.22639125808961064</v>
      </c>
      <c r="O76" s="28"/>
      <c r="P76" s="22">
        <f>+P16-P18+P74</f>
        <v>-201594.34999999998</v>
      </c>
      <c r="Q76" s="14"/>
      <c r="R76" s="20">
        <f>IF(P$12=0,0,P76/P$12)</f>
        <v>0</v>
      </c>
      <c r="S76" s="14"/>
      <c r="T76" s="22">
        <f>+T16-T18+T74</f>
        <v>-187370.12816193997</v>
      </c>
      <c r="U76" s="14"/>
      <c r="V76" s="20">
        <f>IF(T$12=0,0,T76/T$12)</f>
        <v>0</v>
      </c>
      <c r="W76" s="15"/>
      <c r="X76" s="22">
        <f>+P76-T76</f>
        <v>-14224.22183806001</v>
      </c>
      <c r="Y76" s="15"/>
      <c r="Z76" s="20">
        <f>IF(T76=0,0,X76/T76)</f>
        <v>7.5915099048052742E-2</v>
      </c>
    </row>
    <row r="77" spans="1:26" x14ac:dyDescent="0.25">
      <c r="A77" s="9"/>
      <c r="B77" s="10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52"/>
      <c r="B78" s="10" t="s">
        <v>14</v>
      </c>
      <c r="C78" s="10"/>
      <c r="D78" s="4"/>
      <c r="E78" s="4"/>
      <c r="F78" s="12">
        <f>IF(D$12=0,0,D78/D$12)</f>
        <v>0</v>
      </c>
      <c r="G78" s="4"/>
      <c r="H78" s="4"/>
      <c r="I78" s="4"/>
      <c r="J78" s="12">
        <f>IF(H$12=0,0,H78/H$12)</f>
        <v>0</v>
      </c>
      <c r="K78" s="4"/>
      <c r="L78" s="4">
        <f>+D78-H78</f>
        <v>0</v>
      </c>
      <c r="M78" s="4"/>
      <c r="N78" s="12">
        <f>IF(H78=0,0,L78/H78)</f>
        <v>0</v>
      </c>
      <c r="O78" s="10"/>
      <c r="P78" s="4"/>
      <c r="Q78" s="4"/>
      <c r="R78" s="12">
        <f>IF(P$12=0,0,P78/P$12)</f>
        <v>0</v>
      </c>
      <c r="S78" s="4"/>
      <c r="T78" s="4"/>
      <c r="U78" s="4"/>
      <c r="V78" s="12">
        <f>IF(T$12=0,0,T78/T$12)</f>
        <v>0</v>
      </c>
      <c r="W78" s="4"/>
      <c r="X78" s="4">
        <f>+P78-T78</f>
        <v>0</v>
      </c>
      <c r="Y78" s="4"/>
      <c r="Z78" s="12">
        <f>IF(T78=0,0,X78/T78)</f>
        <v>0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9" t="s">
        <v>4</v>
      </c>
      <c r="C80" s="29"/>
      <c r="D80" s="35">
        <f>+D76-D78</f>
        <v>-67587.980000000025</v>
      </c>
      <c r="E80" s="14"/>
      <c r="F80" s="32">
        <f>IF(D$12=0,0,D80/D$12)</f>
        <v>0</v>
      </c>
      <c r="G80" s="14"/>
      <c r="H80" s="35">
        <f>+H76-H78</f>
        <v>-55111.270203673834</v>
      </c>
      <c r="I80" s="14"/>
      <c r="J80" s="32">
        <f>IF(H$12=0,0,H80/H$12)</f>
        <v>0</v>
      </c>
      <c r="K80" s="15"/>
      <c r="L80" s="35">
        <f>D80-H80</f>
        <v>-12476.709796326191</v>
      </c>
      <c r="M80" s="15"/>
      <c r="N80" s="32">
        <f>IF(H80=0,0,L80/H80)</f>
        <v>0.22639125808961064</v>
      </c>
      <c r="O80" s="28"/>
      <c r="P80" s="35">
        <f>+P76-P78</f>
        <v>-201594.34999999998</v>
      </c>
      <c r="Q80" s="14"/>
      <c r="R80" s="32">
        <f>IF(P$12=0,0,P80/P$12)</f>
        <v>0</v>
      </c>
      <c r="S80" s="14"/>
      <c r="T80" s="35">
        <f>+T76-T78</f>
        <v>-187370.12816193997</v>
      </c>
      <c r="U80" s="14"/>
      <c r="V80" s="32">
        <f>IF(T$12=0,0,T80/T$12)</f>
        <v>0</v>
      </c>
      <c r="W80" s="15"/>
      <c r="X80" s="35">
        <f>P80-T80</f>
        <v>-14224.22183806001</v>
      </c>
      <c r="Y80" s="15"/>
      <c r="Z80" s="32">
        <f>IF(T80=0,0,X80/T80)</f>
        <v>7.5915099048052742E-2</v>
      </c>
    </row>
    <row r="81" spans="1:26" ht="15.75" thickTop="1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9" t="s">
        <v>5</v>
      </c>
      <c r="C83" s="29"/>
      <c r="D83" s="30">
        <f>SUM(D80:D82)</f>
        <v>-67587.980000000025</v>
      </c>
      <c r="E83" s="14"/>
      <c r="F83" s="31">
        <f>IF(D$12=0,0,D83/D$12)</f>
        <v>0</v>
      </c>
      <c r="G83" s="14"/>
      <c r="H83" s="30">
        <f>SUM(H80:H82)</f>
        <v>-55111.270203673834</v>
      </c>
      <c r="I83" s="14"/>
      <c r="J83" s="31">
        <f>IF(H$12=0,0,H83/H$12)</f>
        <v>0</v>
      </c>
      <c r="K83" s="15"/>
      <c r="L83" s="30">
        <f>+D83-H83</f>
        <v>-12476.709796326191</v>
      </c>
      <c r="M83" s="15"/>
      <c r="N83" s="31">
        <f>IF(H83=0,0,L83/H83)</f>
        <v>0.22639125808961064</v>
      </c>
      <c r="O83" s="28"/>
      <c r="P83" s="30">
        <f>SUM(P80:P82)</f>
        <v>-201594.34999999998</v>
      </c>
      <c r="Q83" s="14"/>
      <c r="R83" s="31">
        <f>IF(P$12=0,0,P83/P$12)</f>
        <v>0</v>
      </c>
      <c r="S83" s="14"/>
      <c r="T83" s="30">
        <f>SUM(T80:T82)</f>
        <v>-187370.12816193997</v>
      </c>
      <c r="U83" s="14"/>
      <c r="V83" s="31">
        <f>IF(T$12=0,0,T83/T$12)</f>
        <v>0</v>
      </c>
      <c r="W83" s="15"/>
      <c r="X83" s="30">
        <f>+P83-T83</f>
        <v>-14224.22183806001</v>
      </c>
      <c r="Y83" s="15"/>
      <c r="Z83" s="31">
        <f>IF(T83=0,0,X83/T83)</f>
        <v>7.5915099048052742E-2</v>
      </c>
    </row>
    <row r="84" spans="1:26" ht="15.75" thickTop="1" x14ac:dyDescent="0.25">
      <c r="A84" s="9"/>
      <c r="C84" s="9"/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6" x14ac:dyDescent="0.25">
      <c r="A85" s="9"/>
      <c r="B85" s="53">
        <v>43756.452095914348</v>
      </c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  <row r="86" spans="1:26" x14ac:dyDescent="0.25">
      <c r="A86" s="9"/>
      <c r="B86" s="55" t="s">
        <v>314</v>
      </c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25">
      <c r="A87" s="9"/>
      <c r="B87" s="56"/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25"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</sheetData>
  <pageMargins left="0.25" right="0.25" top="0.75" bottom="0.75" header="0.3" footer="0.3"/>
  <pageSetup scale="55" fitToWidth="2"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str">
        <f>CONCATENATE("Period ",RIGHT(202003,2),", ",2020)</f>
        <v>Period 03, 2020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43736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tr">
        <f>CONCATENATE("Department ","204", " - ", "Information Technology")</f>
        <v>Department 204 - Information Technology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58210.09</v>
      </c>
      <c r="E18" s="21"/>
      <c r="F18" s="33">
        <f t="shared" ref="F18:F29" si="0">IF(D$12=0,0,D18/D$12)</f>
        <v>0</v>
      </c>
      <c r="G18" s="21"/>
      <c r="H18" s="21">
        <f>SUM(OSRRefH22x_0)</f>
        <v>65150.765232076883</v>
      </c>
      <c r="I18" s="21"/>
      <c r="J18" s="33">
        <f t="shared" ref="J18:J29" si="1">IF(H$12=0,0,H18/H$12)</f>
        <v>0</v>
      </c>
      <c r="K18" s="4"/>
      <c r="L18" s="21">
        <f t="shared" ref="L18:L29" si="2">+D18-H18</f>
        <v>-6940.6752320768865</v>
      </c>
      <c r="M18" s="4"/>
      <c r="N18" s="33">
        <f t="shared" ref="N18:N29" si="3">IF(H18=0,0,L18/H18)</f>
        <v>-0.10653252049079011</v>
      </c>
      <c r="O18" s="10"/>
      <c r="P18" s="21">
        <f>SUM(OSRRefP22x_0)</f>
        <v>182666.01999999996</v>
      </c>
      <c r="Q18" s="21"/>
      <c r="R18" s="33">
        <f t="shared" ref="R18:R29" si="4">IF(P$12=0,0,P18/P$12)</f>
        <v>0</v>
      </c>
      <c r="S18" s="21"/>
      <c r="T18" s="21">
        <f>SUM(OSRRefT22x_0)</f>
        <v>193359.92322230761</v>
      </c>
      <c r="U18" s="21"/>
      <c r="V18" s="33">
        <f t="shared" ref="V18:V29" si="5">IF(T$12=0,0,T18/T$12)</f>
        <v>0</v>
      </c>
      <c r="W18" s="4"/>
      <c r="X18" s="21">
        <f t="shared" ref="X18:X29" si="6">+P18-T18</f>
        <v>-10693.90322230765</v>
      </c>
      <c r="Y18" s="4"/>
      <c r="Z18" s="33">
        <f t="shared" ref="Z18:Z29" si="7">IF(T18=0,0,X18/T18)</f>
        <v>-5.5305686122003553E-2</v>
      </c>
    </row>
    <row r="19" spans="1:26" s="26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12204.130000000001</v>
      </c>
      <c r="E19" s="1"/>
      <c r="F19" s="5">
        <f t="shared" si="0"/>
        <v>0</v>
      </c>
      <c r="G19" s="1"/>
      <c r="H19" s="1">
        <f>SUM(OSRRefH22_0x_0)</f>
        <v>13849.540693615387</v>
      </c>
      <c r="I19" s="1"/>
      <c r="J19" s="5">
        <f t="shared" si="1"/>
        <v>0</v>
      </c>
      <c r="K19" s="1"/>
      <c r="L19" s="1">
        <f t="shared" si="2"/>
        <v>-1645.4106936153858</v>
      </c>
      <c r="M19" s="1"/>
      <c r="N19" s="5">
        <f t="shared" si="3"/>
        <v>-0.11880615610407334</v>
      </c>
      <c r="O19" s="13"/>
      <c r="P19" s="1">
        <f>SUM(OSRRefP22_0x_0)</f>
        <v>36909.32</v>
      </c>
      <c r="Q19" s="1"/>
      <c r="R19" s="5">
        <f t="shared" si="4"/>
        <v>0</v>
      </c>
      <c r="S19" s="1"/>
      <c r="T19" s="1">
        <f>SUM(OSRRefT22_0x_0)</f>
        <v>43907.713222307713</v>
      </c>
      <c r="U19" s="1"/>
      <c r="V19" s="5">
        <f t="shared" si="5"/>
        <v>0</v>
      </c>
      <c r="W19" s="1"/>
      <c r="X19" s="1">
        <f t="shared" si="6"/>
        <v>-6998.3932223077136</v>
      </c>
      <c r="Y19" s="1"/>
      <c r="Z19" s="5">
        <f t="shared" si="7"/>
        <v>-0.15938869753645279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7">
        <v>1823.88</v>
      </c>
      <c r="E20" s="2"/>
      <c r="F20" s="6">
        <f t="shared" si="0"/>
        <v>0</v>
      </c>
      <c r="G20" s="2"/>
      <c r="H20" s="7">
        <v>2309.1979705384601</v>
      </c>
      <c r="I20" s="2"/>
      <c r="J20" s="6">
        <f t="shared" si="1"/>
        <v>0</v>
      </c>
      <c r="K20" s="2"/>
      <c r="L20" s="7">
        <f t="shared" si="2"/>
        <v>-485.31797053846003</v>
      </c>
      <c r="M20" s="2"/>
      <c r="N20" s="6">
        <f t="shared" si="3"/>
        <v>-0.21016732940627578</v>
      </c>
      <c r="O20" s="11"/>
      <c r="P20" s="7">
        <v>5554.85</v>
      </c>
      <c r="Q20" s="2"/>
      <c r="R20" s="6">
        <f t="shared" si="4"/>
        <v>0</v>
      </c>
      <c r="S20" s="2"/>
      <c r="T20" s="7">
        <v>7278.07953</v>
      </c>
      <c r="U20" s="2"/>
      <c r="V20" s="6">
        <f t="shared" si="5"/>
        <v>0</v>
      </c>
      <c r="W20" s="2"/>
      <c r="X20" s="7">
        <f t="shared" si="6"/>
        <v>-1723.2295299999996</v>
      </c>
      <c r="Y20" s="2"/>
      <c r="Z20" s="6">
        <f t="shared" si="7"/>
        <v>-0.23676981309381206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7">
        <v>89.42</v>
      </c>
      <c r="E21" s="2"/>
      <c r="F21" s="6">
        <f t="shared" si="0"/>
        <v>0</v>
      </c>
      <c r="G21" s="2"/>
      <c r="H21" s="7">
        <v>102.590789230769</v>
      </c>
      <c r="I21" s="2"/>
      <c r="J21" s="6">
        <f t="shared" si="1"/>
        <v>0</v>
      </c>
      <c r="K21" s="2"/>
      <c r="L21" s="7">
        <f t="shared" si="2"/>
        <v>-13.170789230769003</v>
      </c>
      <c r="M21" s="2"/>
      <c r="N21" s="6">
        <f t="shared" si="3"/>
        <v>-0.12838179069996689</v>
      </c>
      <c r="O21" s="11"/>
      <c r="P21" s="7">
        <v>262.58999999999997</v>
      </c>
      <c r="Q21" s="2"/>
      <c r="R21" s="6">
        <f t="shared" si="4"/>
        <v>0</v>
      </c>
      <c r="S21" s="2"/>
      <c r="T21" s="7">
        <v>336.67140000000001</v>
      </c>
      <c r="U21" s="2"/>
      <c r="V21" s="6">
        <f t="shared" si="5"/>
        <v>0</v>
      </c>
      <c r="W21" s="2"/>
      <c r="X21" s="7">
        <f t="shared" si="6"/>
        <v>-74.081400000000031</v>
      </c>
      <c r="Y21" s="2"/>
      <c r="Z21" s="6">
        <f t="shared" si="7"/>
        <v>-0.22004066873515252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7">
        <v>5268.48</v>
      </c>
      <c r="E22" s="2"/>
      <c r="F22" s="6">
        <f t="shared" si="0"/>
        <v>0</v>
      </c>
      <c r="G22" s="2"/>
      <c r="H22" s="7">
        <v>7007.1923076923094</v>
      </c>
      <c r="I22" s="2"/>
      <c r="J22" s="6">
        <f t="shared" si="1"/>
        <v>0</v>
      </c>
      <c r="K22" s="2"/>
      <c r="L22" s="7">
        <f t="shared" si="2"/>
        <v>-1738.7123076923099</v>
      </c>
      <c r="M22" s="2"/>
      <c r="N22" s="6">
        <f t="shared" si="3"/>
        <v>-0.24813252317673623</v>
      </c>
      <c r="O22" s="11"/>
      <c r="P22" s="7">
        <v>15170.34</v>
      </c>
      <c r="Q22" s="2"/>
      <c r="R22" s="6">
        <f t="shared" si="4"/>
        <v>0</v>
      </c>
      <c r="S22" s="2"/>
      <c r="T22" s="7">
        <v>21818.307692307699</v>
      </c>
      <c r="U22" s="2"/>
      <c r="V22" s="6">
        <f t="shared" si="5"/>
        <v>0</v>
      </c>
      <c r="W22" s="2"/>
      <c r="X22" s="7">
        <f t="shared" si="6"/>
        <v>-6647.9676923076986</v>
      </c>
      <c r="Y22" s="2"/>
      <c r="Z22" s="6">
        <f t="shared" si="7"/>
        <v>-0.30469676136483848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7">
        <v>68.38</v>
      </c>
      <c r="E23" s="2"/>
      <c r="F23" s="6">
        <f t="shared" si="0"/>
        <v>0</v>
      </c>
      <c r="G23" s="2"/>
      <c r="H23" s="7">
        <v>78.451779999999999</v>
      </c>
      <c r="I23" s="2"/>
      <c r="J23" s="6">
        <f t="shared" si="1"/>
        <v>0</v>
      </c>
      <c r="K23" s="2"/>
      <c r="L23" s="7">
        <f t="shared" si="2"/>
        <v>-10.071780000000004</v>
      </c>
      <c r="M23" s="2"/>
      <c r="N23" s="6">
        <f t="shared" si="3"/>
        <v>-0.12838179069996888</v>
      </c>
      <c r="O23" s="11"/>
      <c r="P23" s="7">
        <v>200.8</v>
      </c>
      <c r="Q23" s="2"/>
      <c r="R23" s="6">
        <f t="shared" si="4"/>
        <v>0</v>
      </c>
      <c r="S23" s="2"/>
      <c r="T23" s="7">
        <v>257.45460000000003</v>
      </c>
      <c r="U23" s="2"/>
      <c r="V23" s="6">
        <f t="shared" si="5"/>
        <v>0</v>
      </c>
      <c r="W23" s="2"/>
      <c r="X23" s="7">
        <f t="shared" si="6"/>
        <v>-56.654600000000016</v>
      </c>
      <c r="Y23" s="2"/>
      <c r="Z23" s="6">
        <f t="shared" si="7"/>
        <v>-0.22005666241737382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7">
        <v>1339.05</v>
      </c>
      <c r="E24" s="2"/>
      <c r="F24" s="6">
        <f t="shared" si="0"/>
        <v>0</v>
      </c>
      <c r="G24" s="2"/>
      <c r="H24" s="7">
        <v>1608.0676923076899</v>
      </c>
      <c r="I24" s="2"/>
      <c r="J24" s="6">
        <f t="shared" si="1"/>
        <v>0</v>
      </c>
      <c r="K24" s="2"/>
      <c r="L24" s="7">
        <f t="shared" si="2"/>
        <v>-269.01769230768991</v>
      </c>
      <c r="M24" s="2"/>
      <c r="N24" s="6">
        <f t="shared" si="3"/>
        <v>-0.16729251734523107</v>
      </c>
      <c r="O24" s="11"/>
      <c r="P24" s="7">
        <v>4017.15</v>
      </c>
      <c r="Q24" s="2"/>
      <c r="R24" s="6">
        <f t="shared" si="4"/>
        <v>0</v>
      </c>
      <c r="S24" s="2"/>
      <c r="T24" s="7">
        <v>5226.22</v>
      </c>
      <c r="U24" s="2"/>
      <c r="V24" s="6">
        <f t="shared" si="5"/>
        <v>0</v>
      </c>
      <c r="W24" s="2"/>
      <c r="X24" s="7">
        <f t="shared" si="6"/>
        <v>-1209.0700000000002</v>
      </c>
      <c r="Y24" s="2"/>
      <c r="Z24" s="6">
        <f t="shared" si="7"/>
        <v>-0.23134693908790677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5"/>
      <c r="B26" s="11" t="str">
        <f>CONCATENATE("          ", "6117", " - ", "RETIREMENT STAFF HOURLY")</f>
        <v xml:space="preserve">          6117 - RETIREMENT STAFF HOURLY</v>
      </c>
      <c r="C26" s="11"/>
      <c r="D26" s="7">
        <v>576.28</v>
      </c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576.28</v>
      </c>
      <c r="M26" s="2"/>
      <c r="N26" s="6">
        <f t="shared" si="3"/>
        <v>0</v>
      </c>
      <c r="O26" s="11"/>
      <c r="P26" s="7">
        <v>1135.94</v>
      </c>
      <c r="Q26" s="2"/>
      <c r="R26" s="6">
        <f t="shared" si="4"/>
        <v>0</v>
      </c>
      <c r="S26" s="2"/>
      <c r="T26" s="7"/>
      <c r="U26" s="2"/>
      <c r="V26" s="6">
        <f t="shared" si="5"/>
        <v>0</v>
      </c>
      <c r="W26" s="2"/>
      <c r="X26" s="7">
        <f t="shared" si="6"/>
        <v>1135.94</v>
      </c>
      <c r="Y26" s="2"/>
      <c r="Z26" s="6">
        <f t="shared" si="7"/>
        <v>0</v>
      </c>
    </row>
    <row r="27" spans="1:26" s="24" customFormat="1" hidden="1" outlineLevel="2" x14ac:dyDescent="0.25">
      <c r="A27" s="25"/>
      <c r="B27" s="11" t="str">
        <f>CONCATENATE("          ", "6118", " - ", "VACATION")</f>
        <v xml:space="preserve">          6118 - VACATION</v>
      </c>
      <c r="C27" s="11"/>
      <c r="D27" s="7">
        <v>1408.62</v>
      </c>
      <c r="E27" s="2"/>
      <c r="F27" s="6">
        <f t="shared" si="0"/>
        <v>0</v>
      </c>
      <c r="G27" s="2"/>
      <c r="H27" s="7">
        <v>1313.44807692308</v>
      </c>
      <c r="I27" s="2"/>
      <c r="J27" s="6">
        <f t="shared" si="1"/>
        <v>0</v>
      </c>
      <c r="K27" s="2"/>
      <c r="L27" s="7">
        <f t="shared" si="2"/>
        <v>95.171923076919938</v>
      </c>
      <c r="M27" s="2"/>
      <c r="N27" s="6">
        <f t="shared" si="3"/>
        <v>7.2459600610838254E-2</v>
      </c>
      <c r="O27" s="11"/>
      <c r="P27" s="7">
        <v>5240.63</v>
      </c>
      <c r="Q27" s="2"/>
      <c r="R27" s="6">
        <f t="shared" si="4"/>
        <v>0</v>
      </c>
      <c r="S27" s="2"/>
      <c r="T27" s="7">
        <v>4300.25000000001</v>
      </c>
      <c r="U27" s="2"/>
      <c r="V27" s="6">
        <f t="shared" si="5"/>
        <v>0</v>
      </c>
      <c r="W27" s="2"/>
      <c r="X27" s="7">
        <f t="shared" si="6"/>
        <v>940.3799999999901</v>
      </c>
      <c r="Y27" s="2"/>
      <c r="Z27" s="6">
        <f t="shared" si="7"/>
        <v>0.21868030928434112</v>
      </c>
    </row>
    <row r="28" spans="1:26" s="24" customFormat="1" hidden="1" outlineLevel="2" x14ac:dyDescent="0.25">
      <c r="A28" s="25"/>
      <c r="B28" s="11" t="str">
        <f>CONCATENATE("          ", "6119", " - ", "SICK LEAVE")</f>
        <v xml:space="preserve">          6119 - SICK LEAVE</v>
      </c>
      <c r="C28" s="11"/>
      <c r="D28" s="7">
        <v>941.7</v>
      </c>
      <c r="E28" s="2"/>
      <c r="F28" s="6">
        <f t="shared" si="0"/>
        <v>0</v>
      </c>
      <c r="G28" s="2"/>
      <c r="H28" s="7">
        <v>1430.59207692308</v>
      </c>
      <c r="I28" s="2"/>
      <c r="J28" s="6">
        <f t="shared" si="1"/>
        <v>0</v>
      </c>
      <c r="K28" s="2"/>
      <c r="L28" s="7">
        <f t="shared" si="2"/>
        <v>-488.89207692307991</v>
      </c>
      <c r="M28" s="2"/>
      <c r="N28" s="6">
        <f t="shared" si="3"/>
        <v>-0.34174107686559391</v>
      </c>
      <c r="O28" s="11"/>
      <c r="P28" s="7">
        <v>3510.71</v>
      </c>
      <c r="Q28" s="2"/>
      <c r="R28" s="6">
        <f t="shared" si="4"/>
        <v>0</v>
      </c>
      <c r="S28" s="2"/>
      <c r="T28" s="7">
        <v>4690.7300000000096</v>
      </c>
      <c r="U28" s="2"/>
      <c r="V28" s="6">
        <f t="shared" si="5"/>
        <v>0</v>
      </c>
      <c r="W28" s="2"/>
      <c r="X28" s="7">
        <f t="shared" si="6"/>
        <v>-1180.0200000000095</v>
      </c>
      <c r="Y28" s="2"/>
      <c r="Z28" s="6">
        <f t="shared" si="7"/>
        <v>-0.25156425545704125</v>
      </c>
    </row>
    <row r="29" spans="1:26" s="24" customFormat="1" hidden="1" outlineLevel="2" x14ac:dyDescent="0.25">
      <c r="A29" s="25"/>
      <c r="B29" s="11" t="str">
        <f>CONCATENATE("          ", "6156", " - ", "EMPLOYEE MEALS")</f>
        <v xml:space="preserve">          6156 - EMPLOYEE MEALS</v>
      </c>
      <c r="C29" s="11"/>
      <c r="D29" s="7">
        <v>688.32</v>
      </c>
      <c r="E29" s="2"/>
      <c r="F29" s="6">
        <f t="shared" si="0"/>
        <v>0</v>
      </c>
      <c r="G29" s="2"/>
      <c r="H29" s="7"/>
      <c r="I29" s="2"/>
      <c r="J29" s="6">
        <f t="shared" si="1"/>
        <v>0</v>
      </c>
      <c r="K29" s="2"/>
      <c r="L29" s="7">
        <f t="shared" si="2"/>
        <v>688.32</v>
      </c>
      <c r="M29" s="2"/>
      <c r="N29" s="6">
        <f t="shared" si="3"/>
        <v>0</v>
      </c>
      <c r="O29" s="11"/>
      <c r="P29" s="7">
        <v>1816.31</v>
      </c>
      <c r="Q29" s="2"/>
      <c r="R29" s="6">
        <f t="shared" si="4"/>
        <v>0</v>
      </c>
      <c r="S29" s="2"/>
      <c r="T29" s="7"/>
      <c r="U29" s="2"/>
      <c r="V29" s="6">
        <f t="shared" si="5"/>
        <v>0</v>
      </c>
      <c r="W29" s="2"/>
      <c r="X29" s="7">
        <f t="shared" si="6"/>
        <v>1816.31</v>
      </c>
      <c r="Y29" s="2"/>
      <c r="Z29" s="6">
        <f t="shared" si="7"/>
        <v>0</v>
      </c>
    </row>
    <row r="30" spans="1:26" s="26" customFormat="1" outlineLevel="1" collapsed="1" x14ac:dyDescent="0.25">
      <c r="A30" s="27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25237.439999999999</v>
      </c>
      <c r="E30" s="1"/>
      <c r="F30" s="5">
        <f t="shared" ref="F30:F40" si="8">IF(D$12=0,0,D30/D$12)</f>
        <v>0</v>
      </c>
      <c r="G30" s="1"/>
      <c r="H30" s="1">
        <f>SUM(OSRRefH22_1x_0)</f>
        <v>27920.224538461502</v>
      </c>
      <c r="I30" s="1"/>
      <c r="J30" s="5">
        <f t="shared" ref="J30:J40" si="9">IF(H$12=0,0,H30/H$12)</f>
        <v>0</v>
      </c>
      <c r="K30" s="1"/>
      <c r="L30" s="1">
        <f t="shared" ref="L30:L40" si="10">+D30-H30</f>
        <v>-2682.784538461503</v>
      </c>
      <c r="M30" s="1"/>
      <c r="N30" s="5">
        <f t="shared" ref="N30:N40" si="11">IF(H30=0,0,L30/H30)</f>
        <v>-9.608749867916834E-2</v>
      </c>
      <c r="O30" s="13"/>
      <c r="P30" s="1">
        <f>SUM(OSRRefP22_1x_0)</f>
        <v>78219.34</v>
      </c>
      <c r="Q30" s="1"/>
      <c r="R30" s="5">
        <f t="shared" ref="R30:R40" si="12">IF(P$12=0,0,P30/P$12)</f>
        <v>0</v>
      </c>
      <c r="S30" s="1"/>
      <c r="T30" s="1">
        <f>SUM(OSRRefT22_1x_0)</f>
        <v>91509.209999999905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-13289.869999999908</v>
      </c>
      <c r="Y30" s="1"/>
      <c r="Z30" s="5">
        <f t="shared" ref="Z30:Z40" si="15">IF(T30=0,0,X30/T30)</f>
        <v>-0.14522986265535373</v>
      </c>
    </row>
    <row r="31" spans="1:26" s="24" customFormat="1" hidden="1" outlineLevel="2" x14ac:dyDescent="0.25">
      <c r="A31" s="25"/>
      <c r="B31" s="11" t="str">
        <f>CONCATENATE("          ", "6001", " - ", "ADMINISTRATIVE SALARIES")</f>
        <v xml:space="preserve">          6001 - ADMINISTRATIVE SALARIES</v>
      </c>
      <c r="C31" s="11"/>
      <c r="D31" s="7"/>
      <c r="E31" s="2"/>
      <c r="F31" s="6">
        <f t="shared" si="8"/>
        <v>0</v>
      </c>
      <c r="G31" s="2"/>
      <c r="H31" s="7">
        <v>0</v>
      </c>
      <c r="I31" s="2"/>
      <c r="J31" s="6">
        <f t="shared" si="9"/>
        <v>0</v>
      </c>
      <c r="K31" s="2"/>
      <c r="L31" s="7">
        <f t="shared" si="10"/>
        <v>0</v>
      </c>
      <c r="M31" s="2"/>
      <c r="N31" s="6">
        <f t="shared" si="11"/>
        <v>0</v>
      </c>
      <c r="O31" s="11"/>
      <c r="P31" s="7"/>
      <c r="Q31" s="2"/>
      <c r="R31" s="6">
        <f t="shared" si="12"/>
        <v>0</v>
      </c>
      <c r="S31" s="2"/>
      <c r="T31" s="7">
        <v>0</v>
      </c>
      <c r="U31" s="2"/>
      <c r="V31" s="6">
        <f t="shared" si="13"/>
        <v>0</v>
      </c>
      <c r="W31" s="2"/>
      <c r="X31" s="7">
        <f t="shared" si="14"/>
        <v>0</v>
      </c>
      <c r="Y31" s="2"/>
      <c r="Z31" s="6">
        <f t="shared" si="15"/>
        <v>0</v>
      </c>
    </row>
    <row r="32" spans="1:26" s="24" customFormat="1" hidden="1" outlineLevel="2" x14ac:dyDescent="0.25">
      <c r="A32" s="25"/>
      <c r="B32" s="11" t="str">
        <f>CONCATENATE("          ", "6002", " - ", "STAFF SALARIES")</f>
        <v xml:space="preserve">          6002 - STAFF SALARIES</v>
      </c>
      <c r="C32" s="11"/>
      <c r="D32" s="7">
        <v>12087.98</v>
      </c>
      <c r="E32" s="2"/>
      <c r="F32" s="6">
        <f t="shared" si="8"/>
        <v>0</v>
      </c>
      <c r="G32" s="2"/>
      <c r="H32" s="7">
        <v>18698.461538461499</v>
      </c>
      <c r="I32" s="2"/>
      <c r="J32" s="6">
        <f t="shared" si="9"/>
        <v>0</v>
      </c>
      <c r="K32" s="2"/>
      <c r="L32" s="7">
        <f t="shared" si="10"/>
        <v>-6610.4815384614994</v>
      </c>
      <c r="M32" s="2"/>
      <c r="N32" s="6">
        <f t="shared" si="11"/>
        <v>-0.3535307717623814</v>
      </c>
      <c r="O32" s="11"/>
      <c r="P32" s="7">
        <v>37101.199999999997</v>
      </c>
      <c r="Q32" s="2"/>
      <c r="R32" s="6">
        <f t="shared" si="12"/>
        <v>0</v>
      </c>
      <c r="S32" s="2"/>
      <c r="T32" s="7">
        <v>60769.999999999898</v>
      </c>
      <c r="U32" s="2"/>
      <c r="V32" s="6">
        <f t="shared" si="13"/>
        <v>0</v>
      </c>
      <c r="W32" s="2"/>
      <c r="X32" s="7">
        <f t="shared" si="14"/>
        <v>-23668.799999999901</v>
      </c>
      <c r="Y32" s="2"/>
      <c r="Z32" s="6">
        <f t="shared" si="15"/>
        <v>-0.38948165213098473</v>
      </c>
    </row>
    <row r="33" spans="1:26" s="24" customFormat="1" hidden="1" outlineLevel="2" x14ac:dyDescent="0.25">
      <c r="A33" s="25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5"/>
      <c r="B34" s="11" t="str">
        <f>CONCATENATE("          ", "6004", " - ", "STAFF HOURLY")</f>
        <v xml:space="preserve">          6004 - STAFF HOURLY</v>
      </c>
      <c r="C34" s="11"/>
      <c r="D34" s="7">
        <v>7570.46</v>
      </c>
      <c r="E34" s="2"/>
      <c r="F34" s="6">
        <f t="shared" si="8"/>
        <v>0</v>
      </c>
      <c r="G34" s="2"/>
      <c r="H34" s="7">
        <v>7541.7630000000008</v>
      </c>
      <c r="I34" s="2"/>
      <c r="J34" s="6">
        <f t="shared" si="9"/>
        <v>0</v>
      </c>
      <c r="K34" s="2"/>
      <c r="L34" s="7">
        <f t="shared" si="10"/>
        <v>28.696999999999207</v>
      </c>
      <c r="M34" s="2"/>
      <c r="N34" s="6">
        <f t="shared" si="11"/>
        <v>3.8050784677268702E-3</v>
      </c>
      <c r="O34" s="11"/>
      <c r="P34" s="7">
        <v>21314.14</v>
      </c>
      <c r="Q34" s="2"/>
      <c r="R34" s="6">
        <f t="shared" si="12"/>
        <v>0</v>
      </c>
      <c r="S34" s="2"/>
      <c r="T34" s="7">
        <v>25139.21</v>
      </c>
      <c r="U34" s="2"/>
      <c r="V34" s="6">
        <f t="shared" si="13"/>
        <v>0</v>
      </c>
      <c r="W34" s="2"/>
      <c r="X34" s="7">
        <f t="shared" si="14"/>
        <v>-3825.0699999999997</v>
      </c>
      <c r="Y34" s="2"/>
      <c r="Z34" s="6">
        <f t="shared" si="15"/>
        <v>-0.15215553710717242</v>
      </c>
    </row>
    <row r="35" spans="1:26" s="24" customFormat="1" hidden="1" outlineLevel="2" x14ac:dyDescent="0.25">
      <c r="A35" s="25"/>
      <c r="B35" s="11" t="str">
        <f>CONCATENATE("          ", "6005", " - ", "TEMPORARY WAGES-HOURLY")</f>
        <v xml:space="preserve">          6005 - TEMPORARY WAGES-HOURLY</v>
      </c>
      <c r="C35" s="11"/>
      <c r="D35" s="7">
        <v>2774.75</v>
      </c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2774.75</v>
      </c>
      <c r="M35" s="2"/>
      <c r="N35" s="6">
        <f t="shared" si="11"/>
        <v>0</v>
      </c>
      <c r="O35" s="11"/>
      <c r="P35" s="7">
        <v>6611.25</v>
      </c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6611.25</v>
      </c>
      <c r="Y35" s="2"/>
      <c r="Z35" s="6">
        <f t="shared" si="15"/>
        <v>0</v>
      </c>
    </row>
    <row r="36" spans="1:26" s="24" customFormat="1" hidden="1" outlineLevel="2" x14ac:dyDescent="0.25">
      <c r="A36" s="25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5"/>
      <c r="B37" s="11" t="str">
        <f>CONCATENATE("          ", "6007", " - ", "STUDENT HOURLY")</f>
        <v xml:space="preserve">          6007 - STUDENT HOURLY</v>
      </c>
      <c r="C37" s="11"/>
      <c r="D37" s="7">
        <v>2804.25</v>
      </c>
      <c r="E37" s="2"/>
      <c r="F37" s="6">
        <f t="shared" si="8"/>
        <v>0</v>
      </c>
      <c r="G37" s="2"/>
      <c r="H37" s="7">
        <v>1680</v>
      </c>
      <c r="I37" s="2"/>
      <c r="J37" s="6">
        <f t="shared" si="9"/>
        <v>0</v>
      </c>
      <c r="K37" s="2"/>
      <c r="L37" s="7">
        <f t="shared" si="10"/>
        <v>1124.25</v>
      </c>
      <c r="M37" s="2"/>
      <c r="N37" s="6">
        <f t="shared" si="11"/>
        <v>0.66919642857142858</v>
      </c>
      <c r="O37" s="11"/>
      <c r="P37" s="7">
        <v>10672.75</v>
      </c>
      <c r="Q37" s="2"/>
      <c r="R37" s="6">
        <f t="shared" si="12"/>
        <v>0</v>
      </c>
      <c r="S37" s="2"/>
      <c r="T37" s="7">
        <v>1680</v>
      </c>
      <c r="U37" s="2"/>
      <c r="V37" s="6">
        <f t="shared" si="13"/>
        <v>0</v>
      </c>
      <c r="W37" s="2"/>
      <c r="X37" s="7">
        <f t="shared" si="14"/>
        <v>8992.75</v>
      </c>
      <c r="Y37" s="2"/>
      <c r="Z37" s="6">
        <f t="shared" si="15"/>
        <v>5.3528273809523812</v>
      </c>
    </row>
    <row r="38" spans="1:26" s="24" customFormat="1" hidden="1" outlineLevel="2" x14ac:dyDescent="0.25">
      <c r="A38" s="25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>
        <v>2520</v>
      </c>
      <c r="Q38" s="2"/>
      <c r="R38" s="6">
        <f t="shared" si="12"/>
        <v>0</v>
      </c>
      <c r="S38" s="2"/>
      <c r="T38" s="7">
        <v>3920</v>
      </c>
      <c r="U38" s="2"/>
      <c r="V38" s="6">
        <f t="shared" si="13"/>
        <v>0</v>
      </c>
      <c r="W38" s="2"/>
      <c r="X38" s="7">
        <f t="shared" si="14"/>
        <v>-1400</v>
      </c>
      <c r="Y38" s="2"/>
      <c r="Z38" s="6">
        <f t="shared" si="15"/>
        <v>-0.35714285714285715</v>
      </c>
    </row>
    <row r="39" spans="1:26" s="24" customFormat="1" hidden="1" outlineLevel="2" x14ac:dyDescent="0.25">
      <c r="A39" s="25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4" customFormat="1" hidden="1" outlineLevel="2" x14ac:dyDescent="0.25">
      <c r="A40" s="25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8"/>
        <v>0</v>
      </c>
      <c r="G40" s="2"/>
      <c r="H40" s="7">
        <v>0</v>
      </c>
      <c r="I40" s="2"/>
      <c r="J40" s="6">
        <f t="shared" si="9"/>
        <v>0</v>
      </c>
      <c r="K40" s="2"/>
      <c r="L40" s="7">
        <f t="shared" si="10"/>
        <v>0</v>
      </c>
      <c r="M40" s="2"/>
      <c r="N40" s="6">
        <f t="shared" si="11"/>
        <v>0</v>
      </c>
      <c r="O40" s="11"/>
      <c r="P40" s="7"/>
      <c r="Q40" s="2"/>
      <c r="R40" s="6">
        <f t="shared" si="12"/>
        <v>0</v>
      </c>
      <c r="S40" s="2"/>
      <c r="T40" s="7">
        <v>0</v>
      </c>
      <c r="U40" s="2"/>
      <c r="V40" s="6">
        <f t="shared" si="13"/>
        <v>0</v>
      </c>
      <c r="W40" s="2"/>
      <c r="X40" s="7">
        <f t="shared" si="14"/>
        <v>0</v>
      </c>
      <c r="Y40" s="2"/>
      <c r="Z40" s="6">
        <f t="shared" si="15"/>
        <v>0</v>
      </c>
    </row>
    <row r="41" spans="1:26" s="26" customFormat="1" outlineLevel="1" collapsed="1" x14ac:dyDescent="0.25">
      <c r="A41" s="27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9.99</v>
      </c>
      <c r="E41" s="1"/>
      <c r="F41" s="5">
        <f t="shared" ref="F41:F55" si="16">IF(D$12=0,0,D41/D$12)</f>
        <v>0</v>
      </c>
      <c r="G41" s="1"/>
      <c r="H41" s="1">
        <f>SUM(OSRRefH22_2x_0)</f>
        <v>0</v>
      </c>
      <c r="I41" s="1"/>
      <c r="J41" s="5">
        <f t="shared" ref="J41:J55" si="17">IF(H$12=0,0,H41/H$12)</f>
        <v>0</v>
      </c>
      <c r="K41" s="1"/>
      <c r="L41" s="1">
        <f t="shared" ref="L41:L55" si="18">+D41-H41</f>
        <v>9.99</v>
      </c>
      <c r="M41" s="1"/>
      <c r="N41" s="5">
        <f t="shared" ref="N41:N55" si="19">IF(H41=0,0,L41/H41)</f>
        <v>0</v>
      </c>
      <c r="O41" s="13"/>
      <c r="P41" s="1">
        <f>SUM(OSRRefP22_2x_0)</f>
        <v>9.99</v>
      </c>
      <c r="Q41" s="1"/>
      <c r="R41" s="5">
        <f t="shared" ref="R41:R55" si="20">IF(P$12=0,0,P41/P$12)</f>
        <v>0</v>
      </c>
      <c r="S41" s="1"/>
      <c r="T41" s="1">
        <f>SUM(OSRRefT22_2x_0)</f>
        <v>0</v>
      </c>
      <c r="U41" s="1"/>
      <c r="V41" s="5">
        <f t="shared" ref="V41:V55" si="21">IF(T$12=0,0,T41/T$12)</f>
        <v>0</v>
      </c>
      <c r="W41" s="1"/>
      <c r="X41" s="1">
        <f t="shared" ref="X41:X55" si="22">+P41-T41</f>
        <v>9.99</v>
      </c>
      <c r="Y41" s="1"/>
      <c r="Z41" s="5">
        <f t="shared" ref="Z41:Z55" si="23">IF(T41=0,0,X41/T41)</f>
        <v>0</v>
      </c>
    </row>
    <row r="42" spans="1:26" s="24" customFormat="1" hidden="1" outlineLevel="2" x14ac:dyDescent="0.25">
      <c r="A42" s="25"/>
      <c r="B42" s="11" t="str">
        <f>CONCATENATE("          ", "6362", " - ", "ADVERTISING EXPENSE")</f>
        <v xml:space="preserve">          6362 - ADVERTISING EXPENSE</v>
      </c>
      <c r="C42" s="11"/>
      <c r="D42" s="7">
        <v>9.99</v>
      </c>
      <c r="E42" s="2"/>
      <c r="F42" s="6">
        <f t="shared" si="16"/>
        <v>0</v>
      </c>
      <c r="G42" s="2"/>
      <c r="H42" s="7"/>
      <c r="I42" s="2"/>
      <c r="J42" s="6">
        <f t="shared" si="17"/>
        <v>0</v>
      </c>
      <c r="K42" s="2"/>
      <c r="L42" s="7">
        <f t="shared" si="18"/>
        <v>9.99</v>
      </c>
      <c r="M42" s="2"/>
      <c r="N42" s="6">
        <f t="shared" si="19"/>
        <v>0</v>
      </c>
      <c r="O42" s="11"/>
      <c r="P42" s="7">
        <v>9.99</v>
      </c>
      <c r="Q42" s="2"/>
      <c r="R42" s="6">
        <f t="shared" si="20"/>
        <v>0</v>
      </c>
      <c r="S42" s="2"/>
      <c r="T42" s="7"/>
      <c r="U42" s="2"/>
      <c r="V42" s="6">
        <f t="shared" si="21"/>
        <v>0</v>
      </c>
      <c r="W42" s="2"/>
      <c r="X42" s="7">
        <f t="shared" si="22"/>
        <v>9.99</v>
      </c>
      <c r="Y42" s="2"/>
      <c r="Z42" s="6">
        <f t="shared" si="23"/>
        <v>0</v>
      </c>
    </row>
    <row r="43" spans="1:26" s="26" customFormat="1" outlineLevel="1" collapsed="1" x14ac:dyDescent="0.25">
      <c r="A43" s="27"/>
      <c r="B43" s="13" t="str">
        <f>CONCATENATE("     ","Depreciation                                      ")</f>
        <v xml:space="preserve">     Depreciation                                      </v>
      </c>
      <c r="C43" s="13"/>
      <c r="D43" s="1">
        <f>SUM(OSRRefD22_3x_0)</f>
        <v>6175.97</v>
      </c>
      <c r="E43" s="1"/>
      <c r="F43" s="5">
        <f t="shared" si="16"/>
        <v>0</v>
      </c>
      <c r="G43" s="1"/>
      <c r="H43" s="1">
        <f>SUM(OSRRefH22_3x_0)</f>
        <v>6176</v>
      </c>
      <c r="I43" s="1"/>
      <c r="J43" s="5">
        <f t="shared" si="17"/>
        <v>0</v>
      </c>
      <c r="K43" s="1"/>
      <c r="L43" s="1">
        <f t="shared" si="18"/>
        <v>-2.9999999999745341E-2</v>
      </c>
      <c r="M43" s="1"/>
      <c r="N43" s="5">
        <f t="shared" si="19"/>
        <v>-4.8575129533266417E-6</v>
      </c>
      <c r="O43" s="13"/>
      <c r="P43" s="1">
        <f>SUM(OSRRefP22_3x_0)</f>
        <v>18527.91</v>
      </c>
      <c r="Q43" s="1"/>
      <c r="R43" s="5">
        <f t="shared" si="20"/>
        <v>0</v>
      </c>
      <c r="S43" s="1"/>
      <c r="T43" s="1">
        <f>SUM(OSRRefT22_3x_0)</f>
        <v>18528</v>
      </c>
      <c r="U43" s="1"/>
      <c r="V43" s="5">
        <f t="shared" si="21"/>
        <v>0</v>
      </c>
      <c r="W43" s="1"/>
      <c r="X43" s="1">
        <f t="shared" si="22"/>
        <v>-9.0000000000145519E-2</v>
      </c>
      <c r="Y43" s="1"/>
      <c r="Z43" s="5">
        <f t="shared" si="23"/>
        <v>-4.8575129533757298E-6</v>
      </c>
    </row>
    <row r="44" spans="1:26" s="24" customFormat="1" hidden="1" outlineLevel="2" x14ac:dyDescent="0.25">
      <c r="A44" s="25"/>
      <c r="B44" s="11" t="str">
        <f>CONCATENATE("          ", "6322", " - ", "EQUIPMENT DEPRECIATION EXPENSE")</f>
        <v xml:space="preserve">          6322 - EQUIPMENT DEPRECIATION EXPENSE</v>
      </c>
      <c r="C44" s="11"/>
      <c r="D44" s="7">
        <v>6175.97</v>
      </c>
      <c r="E44" s="2"/>
      <c r="F44" s="6">
        <f t="shared" si="16"/>
        <v>0</v>
      </c>
      <c r="G44" s="2"/>
      <c r="H44" s="7">
        <v>6176</v>
      </c>
      <c r="I44" s="2"/>
      <c r="J44" s="6">
        <f t="shared" si="17"/>
        <v>0</v>
      </c>
      <c r="K44" s="2"/>
      <c r="L44" s="7">
        <f t="shared" si="18"/>
        <v>-2.9999999999745341E-2</v>
      </c>
      <c r="M44" s="2"/>
      <c r="N44" s="6">
        <f t="shared" si="19"/>
        <v>-4.8575129533266417E-6</v>
      </c>
      <c r="O44" s="11"/>
      <c r="P44" s="7">
        <v>18527.91</v>
      </c>
      <c r="Q44" s="2"/>
      <c r="R44" s="6">
        <f t="shared" si="20"/>
        <v>0</v>
      </c>
      <c r="S44" s="2"/>
      <c r="T44" s="7">
        <v>18528</v>
      </c>
      <c r="U44" s="2"/>
      <c r="V44" s="6">
        <f t="shared" si="21"/>
        <v>0</v>
      </c>
      <c r="W44" s="2"/>
      <c r="X44" s="7">
        <f t="shared" si="22"/>
        <v>-9.0000000000145519E-2</v>
      </c>
      <c r="Y44" s="2"/>
      <c r="Z44" s="6">
        <f t="shared" si="23"/>
        <v>-4.8575129533757298E-6</v>
      </c>
    </row>
    <row r="45" spans="1:26" s="26" customFormat="1" outlineLevel="1" collapsed="1" x14ac:dyDescent="0.25">
      <c r="A45" s="27"/>
      <c r="B45" s="13" t="str">
        <f>CONCATENATE("     ","Employees' Appreciation                           ")</f>
        <v xml:space="preserve">     Employees' Appreciation                           </v>
      </c>
      <c r="C45" s="13"/>
      <c r="D45" s="1">
        <f>SUM(OSRRefD22_4x_0)</f>
        <v>0</v>
      </c>
      <c r="E45" s="1"/>
      <c r="F45" s="5">
        <f t="shared" si="16"/>
        <v>0</v>
      </c>
      <c r="G45" s="1"/>
      <c r="H45" s="1">
        <f>SUM(OSRRefH22_4x_0)</f>
        <v>100</v>
      </c>
      <c r="I45" s="1"/>
      <c r="J45" s="5">
        <f t="shared" si="17"/>
        <v>0</v>
      </c>
      <c r="K45" s="1"/>
      <c r="L45" s="1">
        <f t="shared" si="18"/>
        <v>-100</v>
      </c>
      <c r="M45" s="1"/>
      <c r="N45" s="5">
        <f t="shared" si="19"/>
        <v>-1</v>
      </c>
      <c r="O45" s="13"/>
      <c r="P45" s="1">
        <f>SUM(OSRRefP22_4x_0)</f>
        <v>0</v>
      </c>
      <c r="Q45" s="1"/>
      <c r="R45" s="5">
        <f t="shared" si="20"/>
        <v>0</v>
      </c>
      <c r="S45" s="1"/>
      <c r="T45" s="1">
        <f>SUM(OSRRefT22_4x_0)</f>
        <v>300</v>
      </c>
      <c r="U45" s="1"/>
      <c r="V45" s="5">
        <f t="shared" si="21"/>
        <v>0</v>
      </c>
      <c r="W45" s="1"/>
      <c r="X45" s="1">
        <f t="shared" si="22"/>
        <v>-300</v>
      </c>
      <c r="Y45" s="1"/>
      <c r="Z45" s="5">
        <f t="shared" si="23"/>
        <v>-1</v>
      </c>
    </row>
    <row r="46" spans="1:26" s="24" customFormat="1" hidden="1" outlineLevel="2" x14ac:dyDescent="0.25">
      <c r="A46" s="25"/>
      <c r="B46" s="11" t="str">
        <f>CONCATENATE("          ", "6277", " - ", "EMPLOYEE APPRECIATION")</f>
        <v xml:space="preserve">          6277 - EMPLOYEE APPRECIATION</v>
      </c>
      <c r="C46" s="11"/>
      <c r="D46" s="7"/>
      <c r="E46" s="2"/>
      <c r="F46" s="6">
        <f t="shared" si="16"/>
        <v>0</v>
      </c>
      <c r="G46" s="2"/>
      <c r="H46" s="7">
        <v>100</v>
      </c>
      <c r="I46" s="2"/>
      <c r="J46" s="6">
        <f t="shared" si="17"/>
        <v>0</v>
      </c>
      <c r="K46" s="2"/>
      <c r="L46" s="7">
        <f t="shared" si="18"/>
        <v>-100</v>
      </c>
      <c r="M46" s="2"/>
      <c r="N46" s="6">
        <f t="shared" si="19"/>
        <v>-1</v>
      </c>
      <c r="O46" s="11"/>
      <c r="P46" s="7"/>
      <c r="Q46" s="2"/>
      <c r="R46" s="6">
        <f t="shared" si="20"/>
        <v>0</v>
      </c>
      <c r="S46" s="2"/>
      <c r="T46" s="7">
        <v>300</v>
      </c>
      <c r="U46" s="2"/>
      <c r="V46" s="6">
        <f t="shared" si="21"/>
        <v>0</v>
      </c>
      <c r="W46" s="2"/>
      <c r="X46" s="7">
        <f t="shared" si="22"/>
        <v>-300</v>
      </c>
      <c r="Y46" s="2"/>
      <c r="Z46" s="6">
        <f t="shared" si="23"/>
        <v>-1</v>
      </c>
    </row>
    <row r="47" spans="1:26" s="26" customFormat="1" outlineLevel="1" collapsed="1" x14ac:dyDescent="0.25">
      <c r="A47" s="27"/>
      <c r="B47" s="13" t="str">
        <f>CONCATENATE("     ","Insurance                                         ")</f>
        <v xml:space="preserve">     Insurance                                         </v>
      </c>
      <c r="C47" s="13"/>
      <c r="D47" s="1">
        <f>SUM(OSRRefD22_5x_0)</f>
        <v>56.34</v>
      </c>
      <c r="E47" s="1"/>
      <c r="F47" s="5">
        <f t="shared" si="16"/>
        <v>0</v>
      </c>
      <c r="G47" s="1"/>
      <c r="H47" s="1">
        <f>SUM(OSRRefH22_5x_0)</f>
        <v>55</v>
      </c>
      <c r="I47" s="1"/>
      <c r="J47" s="5">
        <f t="shared" si="17"/>
        <v>0</v>
      </c>
      <c r="K47" s="1"/>
      <c r="L47" s="1">
        <f t="shared" si="18"/>
        <v>1.3400000000000034</v>
      </c>
      <c r="M47" s="1"/>
      <c r="N47" s="5">
        <f t="shared" si="19"/>
        <v>2.4363636363636424E-2</v>
      </c>
      <c r="O47" s="13"/>
      <c r="P47" s="1">
        <f>SUM(OSRRefP22_5x_0)</f>
        <v>169.02</v>
      </c>
      <c r="Q47" s="1"/>
      <c r="R47" s="5">
        <f t="shared" si="20"/>
        <v>0</v>
      </c>
      <c r="S47" s="1"/>
      <c r="T47" s="1">
        <f>SUM(OSRRefT22_5x_0)</f>
        <v>165</v>
      </c>
      <c r="U47" s="1"/>
      <c r="V47" s="5">
        <f t="shared" si="21"/>
        <v>0</v>
      </c>
      <c r="W47" s="1"/>
      <c r="X47" s="1">
        <f t="shared" si="22"/>
        <v>4.0200000000000102</v>
      </c>
      <c r="Y47" s="1"/>
      <c r="Z47" s="5">
        <f t="shared" si="23"/>
        <v>2.4363636363636424E-2</v>
      </c>
    </row>
    <row r="48" spans="1:26" s="24" customFormat="1" hidden="1" outlineLevel="2" x14ac:dyDescent="0.25">
      <c r="A48" s="25"/>
      <c r="B48" s="11" t="str">
        <f>CONCATENATE("          ", "6314", " - ", "LIABILITY INSURANCE")</f>
        <v xml:space="preserve">          6314 - LIABILITY INSURANCE</v>
      </c>
      <c r="C48" s="11"/>
      <c r="D48" s="7">
        <v>56.34</v>
      </c>
      <c r="E48" s="2"/>
      <c r="F48" s="6">
        <f t="shared" si="16"/>
        <v>0</v>
      </c>
      <c r="G48" s="2"/>
      <c r="H48" s="7">
        <v>55</v>
      </c>
      <c r="I48" s="2"/>
      <c r="J48" s="6">
        <f t="shared" si="17"/>
        <v>0</v>
      </c>
      <c r="K48" s="2"/>
      <c r="L48" s="7">
        <f t="shared" si="18"/>
        <v>1.3400000000000034</v>
      </c>
      <c r="M48" s="2"/>
      <c r="N48" s="6">
        <f t="shared" si="19"/>
        <v>2.4363636363636424E-2</v>
      </c>
      <c r="O48" s="11"/>
      <c r="P48" s="7">
        <v>169.02</v>
      </c>
      <c r="Q48" s="2"/>
      <c r="R48" s="6">
        <f t="shared" si="20"/>
        <v>0</v>
      </c>
      <c r="S48" s="2"/>
      <c r="T48" s="7">
        <v>165</v>
      </c>
      <c r="U48" s="2"/>
      <c r="V48" s="6">
        <f t="shared" si="21"/>
        <v>0</v>
      </c>
      <c r="W48" s="2"/>
      <c r="X48" s="7">
        <f t="shared" si="22"/>
        <v>4.0200000000000102</v>
      </c>
      <c r="Y48" s="2"/>
      <c r="Z48" s="6">
        <f t="shared" si="23"/>
        <v>2.4363636363636424E-2</v>
      </c>
    </row>
    <row r="49" spans="1:26" s="26" customFormat="1" outlineLevel="1" collapsed="1" x14ac:dyDescent="0.25">
      <c r="A49" s="27"/>
      <c r="B49" s="13" t="str">
        <f>CONCATENATE("     ","Professional Services                             ")</f>
        <v xml:space="preserve">     Professional Services                             </v>
      </c>
      <c r="C49" s="13"/>
      <c r="D49" s="1">
        <f>SUM(OSRRefD22_6x_0)</f>
        <v>0</v>
      </c>
      <c r="E49" s="1"/>
      <c r="F49" s="5">
        <f t="shared" si="16"/>
        <v>0</v>
      </c>
      <c r="G49" s="1"/>
      <c r="H49" s="1">
        <f>SUM(OSRRefH22_6x_0)</f>
        <v>500</v>
      </c>
      <c r="I49" s="1"/>
      <c r="J49" s="5">
        <f t="shared" si="17"/>
        <v>0</v>
      </c>
      <c r="K49" s="1"/>
      <c r="L49" s="1">
        <f t="shared" si="18"/>
        <v>-500</v>
      </c>
      <c r="M49" s="1"/>
      <c r="N49" s="5">
        <f t="shared" si="19"/>
        <v>-1</v>
      </c>
      <c r="O49" s="13"/>
      <c r="P49" s="1">
        <f>SUM(OSRRefP22_6x_0)</f>
        <v>0</v>
      </c>
      <c r="Q49" s="1"/>
      <c r="R49" s="5">
        <f t="shared" si="20"/>
        <v>0</v>
      </c>
      <c r="S49" s="1"/>
      <c r="T49" s="1">
        <f>SUM(OSRRefT22_6x_0)</f>
        <v>1500</v>
      </c>
      <c r="U49" s="1"/>
      <c r="V49" s="5">
        <f t="shared" si="21"/>
        <v>0</v>
      </c>
      <c r="W49" s="1"/>
      <c r="X49" s="1">
        <f t="shared" si="22"/>
        <v>-1500</v>
      </c>
      <c r="Y49" s="1"/>
      <c r="Z49" s="5">
        <f t="shared" si="23"/>
        <v>-1</v>
      </c>
    </row>
    <row r="50" spans="1:26" s="24" customFormat="1" hidden="1" outlineLevel="2" x14ac:dyDescent="0.25">
      <c r="A50" s="25"/>
      <c r="B50" s="11" t="str">
        <f>CONCATENATE("          ", "6332", " - ", "CONSULTANT FEES")</f>
        <v xml:space="preserve">          6332 - CONSULTANT FEES</v>
      </c>
      <c r="C50" s="11"/>
      <c r="D50" s="7"/>
      <c r="E50" s="2"/>
      <c r="F50" s="6">
        <f t="shared" si="16"/>
        <v>0</v>
      </c>
      <c r="G50" s="2"/>
      <c r="H50" s="7">
        <v>500</v>
      </c>
      <c r="I50" s="2"/>
      <c r="J50" s="6">
        <f t="shared" si="17"/>
        <v>0</v>
      </c>
      <c r="K50" s="2"/>
      <c r="L50" s="7">
        <f t="shared" si="18"/>
        <v>-500</v>
      </c>
      <c r="M50" s="2"/>
      <c r="N50" s="6">
        <f t="shared" si="19"/>
        <v>-1</v>
      </c>
      <c r="O50" s="11"/>
      <c r="P50" s="7"/>
      <c r="Q50" s="2"/>
      <c r="R50" s="6">
        <f t="shared" si="20"/>
        <v>0</v>
      </c>
      <c r="S50" s="2"/>
      <c r="T50" s="7">
        <v>1500</v>
      </c>
      <c r="U50" s="2"/>
      <c r="V50" s="6">
        <f t="shared" si="21"/>
        <v>0</v>
      </c>
      <c r="W50" s="2"/>
      <c r="X50" s="7">
        <f t="shared" si="22"/>
        <v>-1500</v>
      </c>
      <c r="Y50" s="2"/>
      <c r="Z50" s="6">
        <f t="shared" si="23"/>
        <v>-1</v>
      </c>
    </row>
    <row r="51" spans="1:26" s="26" customFormat="1" outlineLevel="1" collapsed="1" x14ac:dyDescent="0.25">
      <c r="A51" s="27"/>
      <c r="B51" s="13" t="str">
        <f>CONCATENATE("     ","Repair and Maintenance                            ")</f>
        <v xml:space="preserve">     Repair and Maintenance                            </v>
      </c>
      <c r="C51" s="13"/>
      <c r="D51" s="1">
        <f>SUM(OSRRefD22_7x_0)</f>
        <v>9551.630000000001</v>
      </c>
      <c r="E51" s="1"/>
      <c r="F51" s="5">
        <f t="shared" si="16"/>
        <v>0</v>
      </c>
      <c r="G51" s="1"/>
      <c r="H51" s="1">
        <f>SUM(OSRRefH22_7x_0)</f>
        <v>13600</v>
      </c>
      <c r="I51" s="1"/>
      <c r="J51" s="5">
        <f t="shared" si="17"/>
        <v>0</v>
      </c>
      <c r="K51" s="1"/>
      <c r="L51" s="1">
        <f t="shared" si="18"/>
        <v>-4048.369999999999</v>
      </c>
      <c r="M51" s="1"/>
      <c r="N51" s="5">
        <f t="shared" si="19"/>
        <v>-0.29767426470588226</v>
      </c>
      <c r="O51" s="13"/>
      <c r="P51" s="1">
        <f>SUM(OSRRefP22_7x_0)</f>
        <v>28688.36</v>
      </c>
      <c r="Q51" s="1"/>
      <c r="R51" s="5">
        <f t="shared" si="20"/>
        <v>0</v>
      </c>
      <c r="S51" s="1"/>
      <c r="T51" s="1">
        <f>SUM(OSRRefT22_7x_0)</f>
        <v>27700</v>
      </c>
      <c r="U51" s="1"/>
      <c r="V51" s="5">
        <f t="shared" si="21"/>
        <v>0</v>
      </c>
      <c r="W51" s="1"/>
      <c r="X51" s="1">
        <f t="shared" si="22"/>
        <v>988.36000000000058</v>
      </c>
      <c r="Y51" s="1"/>
      <c r="Z51" s="5">
        <f t="shared" si="23"/>
        <v>3.5680866425992802E-2</v>
      </c>
    </row>
    <row r="52" spans="1:26" s="24" customFormat="1" hidden="1" outlineLevel="2" x14ac:dyDescent="0.25">
      <c r="A52" s="25"/>
      <c r="B52" s="11" t="str">
        <f>CONCATENATE("          ", "6371", " - ", "COMPUTER SOFTWARE MAINTENANCE")</f>
        <v xml:space="preserve">          6371 - COMPUTER SOFTWARE MAINTENANCE</v>
      </c>
      <c r="C52" s="11"/>
      <c r="D52" s="7">
        <v>90.95</v>
      </c>
      <c r="E52" s="2"/>
      <c r="F52" s="6">
        <f t="shared" si="16"/>
        <v>0</v>
      </c>
      <c r="G52" s="2"/>
      <c r="H52" s="7">
        <v>1000</v>
      </c>
      <c r="I52" s="2"/>
      <c r="J52" s="6">
        <f t="shared" si="17"/>
        <v>0</v>
      </c>
      <c r="K52" s="2"/>
      <c r="L52" s="7">
        <f t="shared" si="18"/>
        <v>-909.05</v>
      </c>
      <c r="M52" s="2"/>
      <c r="N52" s="6">
        <f t="shared" si="19"/>
        <v>-0.90904999999999991</v>
      </c>
      <c r="O52" s="11"/>
      <c r="P52" s="7">
        <v>272.85000000000002</v>
      </c>
      <c r="Q52" s="2"/>
      <c r="R52" s="6">
        <f t="shared" si="20"/>
        <v>0</v>
      </c>
      <c r="S52" s="2"/>
      <c r="T52" s="7">
        <v>2000</v>
      </c>
      <c r="U52" s="2"/>
      <c r="V52" s="6">
        <f t="shared" si="21"/>
        <v>0</v>
      </c>
      <c r="W52" s="2"/>
      <c r="X52" s="7">
        <f t="shared" si="22"/>
        <v>-1727.15</v>
      </c>
      <c r="Y52" s="2"/>
      <c r="Z52" s="6">
        <f t="shared" si="23"/>
        <v>-0.86357500000000009</v>
      </c>
    </row>
    <row r="53" spans="1:26" s="24" customFormat="1" hidden="1" outlineLevel="2" x14ac:dyDescent="0.25">
      <c r="A53" s="25"/>
      <c r="B53" s="11" t="str">
        <f>CONCATENATE("          ", "6372", " - ", "COMPUTER HARDWARE MAINTENANCE")</f>
        <v xml:space="preserve">          6372 - COMPUTER HARDWARE MAINTENANCE</v>
      </c>
      <c r="C53" s="11"/>
      <c r="D53" s="7"/>
      <c r="E53" s="2"/>
      <c r="F53" s="6">
        <f t="shared" si="16"/>
        <v>0</v>
      </c>
      <c r="G53" s="2"/>
      <c r="H53" s="7">
        <v>1000</v>
      </c>
      <c r="I53" s="2"/>
      <c r="J53" s="6">
        <f t="shared" si="17"/>
        <v>0</v>
      </c>
      <c r="K53" s="2"/>
      <c r="L53" s="7">
        <f t="shared" si="18"/>
        <v>-1000</v>
      </c>
      <c r="M53" s="2"/>
      <c r="N53" s="6">
        <f t="shared" si="19"/>
        <v>-1</v>
      </c>
      <c r="O53" s="11"/>
      <c r="P53" s="7"/>
      <c r="Q53" s="2"/>
      <c r="R53" s="6">
        <f t="shared" si="20"/>
        <v>0</v>
      </c>
      <c r="S53" s="2"/>
      <c r="T53" s="7">
        <v>2500</v>
      </c>
      <c r="U53" s="2"/>
      <c r="V53" s="6">
        <f t="shared" si="21"/>
        <v>0</v>
      </c>
      <c r="W53" s="2"/>
      <c r="X53" s="7">
        <f t="shared" si="22"/>
        <v>-2500</v>
      </c>
      <c r="Y53" s="2"/>
      <c r="Z53" s="6">
        <f t="shared" si="23"/>
        <v>-1</v>
      </c>
    </row>
    <row r="54" spans="1:26" s="24" customFormat="1" hidden="1" outlineLevel="2" x14ac:dyDescent="0.25">
      <c r="A54" s="25"/>
      <c r="B54" s="11" t="str">
        <f>CONCATENATE("          ", "6373", " - ", "MAINTENANCE CONTRACTS")</f>
        <v xml:space="preserve">          6373 - MAINTENANCE CONTRACTS</v>
      </c>
      <c r="C54" s="11"/>
      <c r="D54" s="7">
        <v>9407</v>
      </c>
      <c r="E54" s="2"/>
      <c r="F54" s="6">
        <f t="shared" si="16"/>
        <v>0</v>
      </c>
      <c r="G54" s="2"/>
      <c r="H54" s="7">
        <v>11600</v>
      </c>
      <c r="I54" s="2"/>
      <c r="J54" s="6">
        <f t="shared" si="17"/>
        <v>0</v>
      </c>
      <c r="K54" s="2"/>
      <c r="L54" s="7">
        <f t="shared" si="18"/>
        <v>-2193</v>
      </c>
      <c r="M54" s="2"/>
      <c r="N54" s="6">
        <f t="shared" si="19"/>
        <v>-0.18905172413793103</v>
      </c>
      <c r="O54" s="11"/>
      <c r="P54" s="7">
        <v>28330.15</v>
      </c>
      <c r="Q54" s="2"/>
      <c r="R54" s="6">
        <f t="shared" si="20"/>
        <v>0</v>
      </c>
      <c r="S54" s="2"/>
      <c r="T54" s="7">
        <v>23200</v>
      </c>
      <c r="U54" s="2"/>
      <c r="V54" s="6">
        <f t="shared" si="21"/>
        <v>0</v>
      </c>
      <c r="W54" s="2"/>
      <c r="X54" s="7">
        <f t="shared" si="22"/>
        <v>5130.1500000000015</v>
      </c>
      <c r="Y54" s="2"/>
      <c r="Z54" s="6">
        <f t="shared" si="23"/>
        <v>0.22112715517241385</v>
      </c>
    </row>
    <row r="55" spans="1:26" s="24" customFormat="1" hidden="1" outlineLevel="2" x14ac:dyDescent="0.25">
      <c r="A55" s="25"/>
      <c r="B55" s="11" t="str">
        <f>CONCATENATE("          ", "6375", " - ", "OUTSIDE REPAIRS &amp; MAINTENANCE")</f>
        <v xml:space="preserve">          6375 - OUTSIDE REPAIRS &amp; MAINTENANCE</v>
      </c>
      <c r="C55" s="11"/>
      <c r="D55" s="7">
        <v>53.68</v>
      </c>
      <c r="E55" s="2"/>
      <c r="F55" s="6">
        <f t="shared" si="16"/>
        <v>0</v>
      </c>
      <c r="G55" s="2"/>
      <c r="H55" s="7"/>
      <c r="I55" s="2"/>
      <c r="J55" s="6">
        <f t="shared" si="17"/>
        <v>0</v>
      </c>
      <c r="K55" s="2"/>
      <c r="L55" s="7">
        <f t="shared" si="18"/>
        <v>53.68</v>
      </c>
      <c r="M55" s="2"/>
      <c r="N55" s="6">
        <f t="shared" si="19"/>
        <v>0</v>
      </c>
      <c r="O55" s="11"/>
      <c r="P55" s="7">
        <v>85.36</v>
      </c>
      <c r="Q55" s="2"/>
      <c r="R55" s="6">
        <f t="shared" si="20"/>
        <v>0</v>
      </c>
      <c r="S55" s="2"/>
      <c r="T55" s="7"/>
      <c r="U55" s="2"/>
      <c r="V55" s="6">
        <f t="shared" si="21"/>
        <v>0</v>
      </c>
      <c r="W55" s="2"/>
      <c r="X55" s="7">
        <f t="shared" si="22"/>
        <v>85.36</v>
      </c>
      <c r="Y55" s="2"/>
      <c r="Z55" s="6">
        <f t="shared" si="23"/>
        <v>0</v>
      </c>
    </row>
    <row r="56" spans="1:26" s="26" customFormat="1" outlineLevel="1" collapsed="1" x14ac:dyDescent="0.25">
      <c r="A56" s="27"/>
      <c r="B56" s="13" t="str">
        <f>CONCATENATE("     ","Subscriptions &amp; Dues                              ")</f>
        <v xml:space="preserve">     Subscriptions &amp; Dues                              </v>
      </c>
      <c r="C56" s="13"/>
      <c r="D56" s="1">
        <f>SUM(OSRRefD22_8x_0)</f>
        <v>0</v>
      </c>
      <c r="E56" s="1"/>
      <c r="F56" s="5">
        <f t="shared" ref="F56:F62" si="24">IF(D$12=0,0,D56/D$12)</f>
        <v>0</v>
      </c>
      <c r="G56" s="1"/>
      <c r="H56" s="1">
        <f>SUM(OSRRefH22_8x_0)</f>
        <v>100</v>
      </c>
      <c r="I56" s="1"/>
      <c r="J56" s="5">
        <f t="shared" ref="J56:J62" si="25">IF(H$12=0,0,H56/H$12)</f>
        <v>0</v>
      </c>
      <c r="K56" s="1"/>
      <c r="L56" s="1">
        <f t="shared" ref="L56:L62" si="26">+D56-H56</f>
        <v>-100</v>
      </c>
      <c r="M56" s="1"/>
      <c r="N56" s="5">
        <f t="shared" ref="N56:N62" si="27">IF(H56=0,0,L56/H56)</f>
        <v>-1</v>
      </c>
      <c r="O56" s="13"/>
      <c r="P56" s="1">
        <f>SUM(OSRRefP22_8x_0)</f>
        <v>0</v>
      </c>
      <c r="Q56" s="1"/>
      <c r="R56" s="5">
        <f t="shared" ref="R56:R62" si="28">IF(P$12=0,0,P56/P$12)</f>
        <v>0</v>
      </c>
      <c r="S56" s="1"/>
      <c r="T56" s="1">
        <f>SUM(OSRRefT22_8x_0)</f>
        <v>300</v>
      </c>
      <c r="U56" s="1"/>
      <c r="V56" s="5">
        <f t="shared" ref="V56:V62" si="29">IF(T$12=0,0,T56/T$12)</f>
        <v>0</v>
      </c>
      <c r="W56" s="1"/>
      <c r="X56" s="1">
        <f t="shared" ref="X56:X62" si="30">+P56-T56</f>
        <v>-300</v>
      </c>
      <c r="Y56" s="1"/>
      <c r="Z56" s="5">
        <f t="shared" ref="Z56:Z62" si="31">IF(T56=0,0,X56/T56)</f>
        <v>-1</v>
      </c>
    </row>
    <row r="57" spans="1:26" s="24" customFormat="1" hidden="1" outlineLevel="2" x14ac:dyDescent="0.25">
      <c r="A57" s="25"/>
      <c r="B57" s="11" t="str">
        <f>CONCATENATE("          ", "6275", " - ", "SUBSCRIPTIONS")</f>
        <v xml:space="preserve">          6275 - SUBSCRIPTIONS</v>
      </c>
      <c r="C57" s="11"/>
      <c r="D57" s="7"/>
      <c r="E57" s="2"/>
      <c r="F57" s="6">
        <f t="shared" si="24"/>
        <v>0</v>
      </c>
      <c r="G57" s="2"/>
      <c r="H57" s="7">
        <v>100</v>
      </c>
      <c r="I57" s="2"/>
      <c r="J57" s="6">
        <f t="shared" si="25"/>
        <v>0</v>
      </c>
      <c r="K57" s="2"/>
      <c r="L57" s="7">
        <f t="shared" si="26"/>
        <v>-100</v>
      </c>
      <c r="M57" s="2"/>
      <c r="N57" s="6">
        <f t="shared" si="27"/>
        <v>-1</v>
      </c>
      <c r="O57" s="11"/>
      <c r="P57" s="7"/>
      <c r="Q57" s="2"/>
      <c r="R57" s="6">
        <f t="shared" si="28"/>
        <v>0</v>
      </c>
      <c r="S57" s="2"/>
      <c r="T57" s="7">
        <v>300</v>
      </c>
      <c r="U57" s="2"/>
      <c r="V57" s="6">
        <f t="shared" si="29"/>
        <v>0</v>
      </c>
      <c r="W57" s="2"/>
      <c r="X57" s="7">
        <f t="shared" si="30"/>
        <v>-300</v>
      </c>
      <c r="Y57" s="2"/>
      <c r="Z57" s="6">
        <f t="shared" si="31"/>
        <v>-1</v>
      </c>
    </row>
    <row r="58" spans="1:26" s="26" customFormat="1" outlineLevel="1" collapsed="1" x14ac:dyDescent="0.25">
      <c r="A58" s="27"/>
      <c r="B58" s="13" t="str">
        <f>CONCATENATE("     ","Supplies                                          ")</f>
        <v xml:space="preserve">     Supplies                                          </v>
      </c>
      <c r="C58" s="13"/>
      <c r="D58" s="1">
        <f>SUM(OSRRefD22_9x_0)</f>
        <v>3475.86</v>
      </c>
      <c r="E58" s="1"/>
      <c r="F58" s="5">
        <f t="shared" si="24"/>
        <v>0</v>
      </c>
      <c r="G58" s="1"/>
      <c r="H58" s="1">
        <f>SUM(OSRRefH22_9x_0)</f>
        <v>400</v>
      </c>
      <c r="I58" s="1"/>
      <c r="J58" s="5">
        <f t="shared" si="25"/>
        <v>0</v>
      </c>
      <c r="K58" s="1"/>
      <c r="L58" s="1">
        <f t="shared" si="26"/>
        <v>3075.86</v>
      </c>
      <c r="M58" s="1"/>
      <c r="N58" s="5">
        <f t="shared" si="27"/>
        <v>7.6896500000000003</v>
      </c>
      <c r="O58" s="13"/>
      <c r="P58" s="1">
        <f>SUM(OSRRefP22_9x_0)</f>
        <v>13542.64</v>
      </c>
      <c r="Q58" s="1"/>
      <c r="R58" s="5">
        <f t="shared" si="28"/>
        <v>0</v>
      </c>
      <c r="S58" s="1"/>
      <c r="T58" s="1">
        <f>SUM(OSRRefT22_9x_0)</f>
        <v>1100</v>
      </c>
      <c r="U58" s="1"/>
      <c r="V58" s="5">
        <f t="shared" si="29"/>
        <v>0</v>
      </c>
      <c r="W58" s="1"/>
      <c r="X58" s="1">
        <f t="shared" si="30"/>
        <v>12442.64</v>
      </c>
      <c r="Y58" s="1"/>
      <c r="Z58" s="5">
        <f t="shared" si="31"/>
        <v>11.311490909090908</v>
      </c>
    </row>
    <row r="59" spans="1:26" s="24" customFormat="1" hidden="1" outlineLevel="2" x14ac:dyDescent="0.25">
      <c r="A59" s="25"/>
      <c r="B59" s="11" t="str">
        <f>CONCATENATE("          ", "6241", " - ", "OFFICE EXPENSE")</f>
        <v xml:space="preserve">          6241 - OFFICE EXPENSE</v>
      </c>
      <c r="C59" s="11"/>
      <c r="D59" s="7">
        <v>3475.86</v>
      </c>
      <c r="E59" s="2"/>
      <c r="F59" s="6">
        <f t="shared" si="24"/>
        <v>0</v>
      </c>
      <c r="G59" s="2"/>
      <c r="H59" s="7">
        <v>400</v>
      </c>
      <c r="I59" s="2"/>
      <c r="J59" s="6">
        <f t="shared" si="25"/>
        <v>0</v>
      </c>
      <c r="K59" s="2"/>
      <c r="L59" s="7">
        <f t="shared" si="26"/>
        <v>3075.86</v>
      </c>
      <c r="M59" s="2"/>
      <c r="N59" s="6">
        <f t="shared" si="27"/>
        <v>7.6896500000000003</v>
      </c>
      <c r="O59" s="11"/>
      <c r="P59" s="7">
        <v>13542.64</v>
      </c>
      <c r="Q59" s="2"/>
      <c r="R59" s="6">
        <f t="shared" si="28"/>
        <v>0</v>
      </c>
      <c r="S59" s="2"/>
      <c r="T59" s="7">
        <v>1100</v>
      </c>
      <c r="U59" s="2"/>
      <c r="V59" s="6">
        <f t="shared" si="29"/>
        <v>0</v>
      </c>
      <c r="W59" s="2"/>
      <c r="X59" s="7">
        <f t="shared" si="30"/>
        <v>12442.64</v>
      </c>
      <c r="Y59" s="2"/>
      <c r="Z59" s="6">
        <f t="shared" si="31"/>
        <v>11.311490909090908</v>
      </c>
    </row>
    <row r="60" spans="1:26" s="26" customFormat="1" outlineLevel="1" collapsed="1" x14ac:dyDescent="0.25">
      <c r="A60" s="27"/>
      <c r="B60" s="13" t="str">
        <f>CONCATENATE("     ","Telephone/Data Lines                              ")</f>
        <v xml:space="preserve">     Telephone/Data Lines                              </v>
      </c>
      <c r="C60" s="13"/>
      <c r="D60" s="1">
        <f>SUM(OSRRefD22_10x_0)</f>
        <v>854.7299999999999</v>
      </c>
      <c r="E60" s="1"/>
      <c r="F60" s="5">
        <f t="shared" si="24"/>
        <v>0</v>
      </c>
      <c r="G60" s="1"/>
      <c r="H60" s="1">
        <f>SUM(OSRRefH22_10x_0)</f>
        <v>450</v>
      </c>
      <c r="I60" s="1"/>
      <c r="J60" s="5">
        <f t="shared" si="25"/>
        <v>0</v>
      </c>
      <c r="K60" s="1"/>
      <c r="L60" s="1">
        <f t="shared" si="26"/>
        <v>404.7299999999999</v>
      </c>
      <c r="M60" s="1"/>
      <c r="N60" s="5">
        <f t="shared" si="27"/>
        <v>0.89939999999999976</v>
      </c>
      <c r="O60" s="13"/>
      <c r="P60" s="1">
        <f>SUM(OSRRefP22_10x_0)</f>
        <v>5833.54</v>
      </c>
      <c r="Q60" s="1"/>
      <c r="R60" s="5">
        <f t="shared" si="28"/>
        <v>0</v>
      </c>
      <c r="S60" s="1"/>
      <c r="T60" s="1">
        <f>SUM(OSRRefT22_10x_0)</f>
        <v>1350</v>
      </c>
      <c r="U60" s="1"/>
      <c r="V60" s="5">
        <f t="shared" si="29"/>
        <v>0</v>
      </c>
      <c r="W60" s="1"/>
      <c r="X60" s="1">
        <f t="shared" si="30"/>
        <v>4483.54</v>
      </c>
      <c r="Y60" s="1"/>
      <c r="Z60" s="5">
        <f t="shared" si="31"/>
        <v>3.3211407407407405</v>
      </c>
    </row>
    <row r="61" spans="1:26" s="24" customFormat="1" hidden="1" outlineLevel="2" x14ac:dyDescent="0.25">
      <c r="A61" s="25"/>
      <c r="B61" s="11" t="str">
        <f>CONCATENATE("          ", "6303", " - ", "DATA PHONE LINES")</f>
        <v xml:space="preserve">          6303 - DATA PHONE LINES</v>
      </c>
      <c r="C61" s="11"/>
      <c r="D61" s="7">
        <v>116.55</v>
      </c>
      <c r="E61" s="2"/>
      <c r="F61" s="6">
        <f t="shared" si="24"/>
        <v>0</v>
      </c>
      <c r="G61" s="2"/>
      <c r="H61" s="7">
        <v>200</v>
      </c>
      <c r="I61" s="2"/>
      <c r="J61" s="6">
        <f t="shared" si="25"/>
        <v>0</v>
      </c>
      <c r="K61" s="2"/>
      <c r="L61" s="7">
        <f t="shared" si="26"/>
        <v>-83.45</v>
      </c>
      <c r="M61" s="2"/>
      <c r="N61" s="6">
        <f t="shared" si="27"/>
        <v>-0.41725000000000001</v>
      </c>
      <c r="O61" s="11"/>
      <c r="P61" s="7">
        <v>507.62</v>
      </c>
      <c r="Q61" s="2"/>
      <c r="R61" s="6">
        <f t="shared" si="28"/>
        <v>0</v>
      </c>
      <c r="S61" s="2"/>
      <c r="T61" s="7">
        <v>600</v>
      </c>
      <c r="U61" s="2"/>
      <c r="V61" s="6">
        <f t="shared" si="29"/>
        <v>0</v>
      </c>
      <c r="W61" s="2"/>
      <c r="X61" s="7">
        <f t="shared" si="30"/>
        <v>-92.38</v>
      </c>
      <c r="Y61" s="2"/>
      <c r="Z61" s="6">
        <f t="shared" si="31"/>
        <v>-0.15396666666666667</v>
      </c>
    </row>
    <row r="62" spans="1:26" s="24" customFormat="1" hidden="1" outlineLevel="2" x14ac:dyDescent="0.25">
      <c r="A62" s="25"/>
      <c r="B62" s="11" t="str">
        <f>CONCATENATE("          ", "6309", " - ", "TELEPHONE")</f>
        <v xml:space="preserve">          6309 - TELEPHONE</v>
      </c>
      <c r="C62" s="11"/>
      <c r="D62" s="7">
        <v>738.18</v>
      </c>
      <c r="E62" s="2"/>
      <c r="F62" s="6">
        <f t="shared" si="24"/>
        <v>0</v>
      </c>
      <c r="G62" s="2"/>
      <c r="H62" s="7">
        <v>250</v>
      </c>
      <c r="I62" s="2"/>
      <c r="J62" s="6">
        <f t="shared" si="25"/>
        <v>0</v>
      </c>
      <c r="K62" s="2"/>
      <c r="L62" s="7">
        <f t="shared" si="26"/>
        <v>488.17999999999995</v>
      </c>
      <c r="M62" s="2"/>
      <c r="N62" s="6">
        <f t="shared" si="27"/>
        <v>1.9527199999999998</v>
      </c>
      <c r="O62" s="11"/>
      <c r="P62" s="7">
        <v>5325.92</v>
      </c>
      <c r="Q62" s="2"/>
      <c r="R62" s="6">
        <f t="shared" si="28"/>
        <v>0</v>
      </c>
      <c r="S62" s="2"/>
      <c r="T62" s="7">
        <v>750</v>
      </c>
      <c r="U62" s="2"/>
      <c r="V62" s="6">
        <f t="shared" si="29"/>
        <v>0</v>
      </c>
      <c r="W62" s="2"/>
      <c r="X62" s="7">
        <f t="shared" si="30"/>
        <v>4575.92</v>
      </c>
      <c r="Y62" s="2"/>
      <c r="Z62" s="6">
        <f t="shared" si="31"/>
        <v>6.1012266666666664</v>
      </c>
    </row>
    <row r="63" spans="1:26" s="26" customFormat="1" outlineLevel="1" collapsed="1" x14ac:dyDescent="0.25">
      <c r="A63" s="27"/>
      <c r="B63" s="13" t="str">
        <f>CONCATENATE("     ","Training                                          ")</f>
        <v xml:space="preserve">     Training                                          </v>
      </c>
      <c r="C63" s="13"/>
      <c r="D63" s="1">
        <f>SUM(OSRRefD22_11x_0)</f>
        <v>49</v>
      </c>
      <c r="E63" s="1"/>
      <c r="F63" s="5">
        <f t="shared" ref="F63:F67" si="32">IF(D$12=0,0,D63/D$12)</f>
        <v>0</v>
      </c>
      <c r="G63" s="1"/>
      <c r="H63" s="1">
        <f>SUM(OSRRefH22_11x_0)</f>
        <v>1000</v>
      </c>
      <c r="I63" s="1"/>
      <c r="J63" s="5">
        <f t="shared" ref="J63:J67" si="33">IF(H$12=0,0,H63/H$12)</f>
        <v>0</v>
      </c>
      <c r="K63" s="1"/>
      <c r="L63" s="1">
        <f t="shared" ref="L63:L67" si="34">+D63-H63</f>
        <v>-951</v>
      </c>
      <c r="M63" s="1"/>
      <c r="N63" s="5">
        <f t="shared" ref="N63:N67" si="35">IF(H63=0,0,L63/H63)</f>
        <v>-0.95099999999999996</v>
      </c>
      <c r="O63" s="13"/>
      <c r="P63" s="1">
        <f>SUM(OSRRefP22_11x_0)</f>
        <v>147</v>
      </c>
      <c r="Q63" s="1"/>
      <c r="R63" s="5">
        <f t="shared" ref="R63:R67" si="36">IF(P$12=0,0,P63/P$12)</f>
        <v>0</v>
      </c>
      <c r="S63" s="1"/>
      <c r="T63" s="1">
        <f>SUM(OSRRefT22_11x_0)</f>
        <v>3000</v>
      </c>
      <c r="U63" s="1"/>
      <c r="V63" s="5">
        <f t="shared" ref="V63:V67" si="37">IF(T$12=0,0,T63/T$12)</f>
        <v>0</v>
      </c>
      <c r="W63" s="1"/>
      <c r="X63" s="1">
        <f t="shared" ref="X63:X67" si="38">+P63-T63</f>
        <v>-2853</v>
      </c>
      <c r="Y63" s="1"/>
      <c r="Z63" s="5">
        <f t="shared" ref="Z63:Z67" si="39">IF(T63=0,0,X63/T63)</f>
        <v>-0.95099999999999996</v>
      </c>
    </row>
    <row r="64" spans="1:26" s="24" customFormat="1" hidden="1" outlineLevel="2" x14ac:dyDescent="0.25">
      <c r="A64" s="25"/>
      <c r="B64" s="11" t="str">
        <f>CONCATENATE("          ", "6376", " - ", "TRAINING")</f>
        <v xml:space="preserve">          6376 - TRAINING</v>
      </c>
      <c r="C64" s="11"/>
      <c r="D64" s="7">
        <v>49</v>
      </c>
      <c r="E64" s="2"/>
      <c r="F64" s="6">
        <f t="shared" si="32"/>
        <v>0</v>
      </c>
      <c r="G64" s="2"/>
      <c r="H64" s="7">
        <v>1000</v>
      </c>
      <c r="I64" s="2"/>
      <c r="J64" s="6">
        <f t="shared" si="33"/>
        <v>0</v>
      </c>
      <c r="K64" s="2"/>
      <c r="L64" s="7">
        <f t="shared" si="34"/>
        <v>-951</v>
      </c>
      <c r="M64" s="2"/>
      <c r="N64" s="6">
        <f t="shared" si="35"/>
        <v>-0.95099999999999996</v>
      </c>
      <c r="O64" s="11"/>
      <c r="P64" s="7">
        <v>147</v>
      </c>
      <c r="Q64" s="2"/>
      <c r="R64" s="6">
        <f t="shared" si="36"/>
        <v>0</v>
      </c>
      <c r="S64" s="2"/>
      <c r="T64" s="7">
        <v>3000</v>
      </c>
      <c r="U64" s="2"/>
      <c r="V64" s="6">
        <f t="shared" si="37"/>
        <v>0</v>
      </c>
      <c r="W64" s="2"/>
      <c r="X64" s="7">
        <f t="shared" si="38"/>
        <v>-2853</v>
      </c>
      <c r="Y64" s="2"/>
      <c r="Z64" s="6">
        <f t="shared" si="39"/>
        <v>-0.95099999999999996</v>
      </c>
    </row>
    <row r="65" spans="1:26" s="26" customFormat="1" outlineLevel="1" collapsed="1" x14ac:dyDescent="0.25">
      <c r="A65" s="27"/>
      <c r="B65" s="13" t="str">
        <f>CONCATENATE("     ","Travel                                            ")</f>
        <v xml:space="preserve">     Travel                                            </v>
      </c>
      <c r="C65" s="13"/>
      <c r="D65" s="1">
        <f>SUM(OSRRefD22_12x_0)</f>
        <v>595</v>
      </c>
      <c r="E65" s="1"/>
      <c r="F65" s="5">
        <f t="shared" si="32"/>
        <v>0</v>
      </c>
      <c r="G65" s="1"/>
      <c r="H65" s="1">
        <f>SUM(OSRRefH22_12x_0)</f>
        <v>1000</v>
      </c>
      <c r="I65" s="1"/>
      <c r="J65" s="5">
        <f t="shared" si="33"/>
        <v>0</v>
      </c>
      <c r="K65" s="1"/>
      <c r="L65" s="1">
        <f t="shared" si="34"/>
        <v>-405</v>
      </c>
      <c r="M65" s="1"/>
      <c r="N65" s="5">
        <f t="shared" si="35"/>
        <v>-0.40500000000000003</v>
      </c>
      <c r="O65" s="13"/>
      <c r="P65" s="1">
        <f>SUM(OSRRefP22_12x_0)</f>
        <v>618.9</v>
      </c>
      <c r="Q65" s="1"/>
      <c r="R65" s="5">
        <f t="shared" si="36"/>
        <v>0</v>
      </c>
      <c r="S65" s="1"/>
      <c r="T65" s="1">
        <f>SUM(OSRRefT22_12x_0)</f>
        <v>4000</v>
      </c>
      <c r="U65" s="1"/>
      <c r="V65" s="5">
        <f t="shared" si="37"/>
        <v>0</v>
      </c>
      <c r="W65" s="1"/>
      <c r="X65" s="1">
        <f t="shared" si="38"/>
        <v>-3381.1</v>
      </c>
      <c r="Y65" s="1"/>
      <c r="Z65" s="5">
        <f t="shared" si="39"/>
        <v>-0.845275</v>
      </c>
    </row>
    <row r="66" spans="1:26" s="24" customFormat="1" hidden="1" outlineLevel="2" x14ac:dyDescent="0.25">
      <c r="A66" s="25"/>
      <c r="B66" s="11" t="str">
        <f>CONCATENATE("          ", "6292", " - ", "TRAVEL/CONFERENCE")</f>
        <v xml:space="preserve">          6292 - TRAVEL/CONFERENCE</v>
      </c>
      <c r="C66" s="11"/>
      <c r="D66" s="7">
        <v>595</v>
      </c>
      <c r="E66" s="2"/>
      <c r="F66" s="6">
        <f t="shared" si="32"/>
        <v>0</v>
      </c>
      <c r="G66" s="2"/>
      <c r="H66" s="7">
        <v>1000</v>
      </c>
      <c r="I66" s="2"/>
      <c r="J66" s="6">
        <f t="shared" si="33"/>
        <v>0</v>
      </c>
      <c r="K66" s="2"/>
      <c r="L66" s="7">
        <f t="shared" si="34"/>
        <v>-405</v>
      </c>
      <c r="M66" s="2"/>
      <c r="N66" s="6">
        <f t="shared" si="35"/>
        <v>-0.40500000000000003</v>
      </c>
      <c r="O66" s="11"/>
      <c r="P66" s="7">
        <v>595</v>
      </c>
      <c r="Q66" s="2"/>
      <c r="R66" s="6">
        <f t="shared" si="36"/>
        <v>0</v>
      </c>
      <c r="S66" s="2"/>
      <c r="T66" s="7">
        <v>4000</v>
      </c>
      <c r="U66" s="2"/>
      <c r="V66" s="6">
        <f t="shared" si="37"/>
        <v>0</v>
      </c>
      <c r="W66" s="2"/>
      <c r="X66" s="7">
        <f t="shared" si="38"/>
        <v>-3405</v>
      </c>
      <c r="Y66" s="2"/>
      <c r="Z66" s="6">
        <f t="shared" si="39"/>
        <v>-0.85124999999999995</v>
      </c>
    </row>
    <row r="67" spans="1:26" s="24" customFormat="1" hidden="1" outlineLevel="2" x14ac:dyDescent="0.25">
      <c r="A67" s="25"/>
      <c r="B67" s="11" t="str">
        <f>CONCATENATE("          ", "6294", " - ", "TRAVEL OPERATIONAL")</f>
        <v xml:space="preserve">          6294 - TRAVEL OPERATIONAL</v>
      </c>
      <c r="C67" s="11"/>
      <c r="D67" s="7"/>
      <c r="E67" s="2"/>
      <c r="F67" s="6">
        <f t="shared" si="32"/>
        <v>0</v>
      </c>
      <c r="G67" s="2"/>
      <c r="H67" s="7"/>
      <c r="I67" s="2"/>
      <c r="J67" s="6">
        <f t="shared" si="33"/>
        <v>0</v>
      </c>
      <c r="K67" s="2"/>
      <c r="L67" s="7">
        <f t="shared" si="34"/>
        <v>0</v>
      </c>
      <c r="M67" s="2"/>
      <c r="N67" s="6">
        <f t="shared" si="35"/>
        <v>0</v>
      </c>
      <c r="O67" s="11"/>
      <c r="P67" s="7">
        <v>23.9</v>
      </c>
      <c r="Q67" s="2"/>
      <c r="R67" s="6">
        <f t="shared" si="36"/>
        <v>0</v>
      </c>
      <c r="S67" s="2"/>
      <c r="T67" s="7"/>
      <c r="U67" s="2"/>
      <c r="V67" s="6">
        <f t="shared" si="37"/>
        <v>0</v>
      </c>
      <c r="W67" s="2"/>
      <c r="X67" s="7">
        <f t="shared" si="38"/>
        <v>23.9</v>
      </c>
      <c r="Y67" s="2"/>
      <c r="Z67" s="6">
        <f t="shared" si="39"/>
        <v>0</v>
      </c>
    </row>
    <row r="68" spans="1:26" s="63" customFormat="1" x14ac:dyDescent="0.25">
      <c r="A68" s="36"/>
      <c r="B68" s="36"/>
      <c r="C68" s="36"/>
      <c r="D68" s="1"/>
      <c r="E68" s="1"/>
      <c r="F68" s="5"/>
      <c r="G68" s="1"/>
      <c r="H68" s="1"/>
      <c r="I68" s="1"/>
      <c r="J68" s="5"/>
      <c r="K68" s="1"/>
      <c r="L68" s="1"/>
      <c r="M68" s="1"/>
      <c r="N68" s="5"/>
      <c r="O68" s="36"/>
      <c r="P68" s="1"/>
      <c r="Q68" s="1"/>
      <c r="R68" s="5"/>
      <c r="S68" s="1"/>
      <c r="T68" s="1"/>
      <c r="U68" s="1"/>
      <c r="V68" s="5"/>
      <c r="W68" s="1"/>
      <c r="X68" s="1"/>
      <c r="Y68" s="1"/>
      <c r="Z68" s="5"/>
    </row>
    <row r="69" spans="1:26" s="23" customFormat="1" x14ac:dyDescent="0.25">
      <c r="A69" s="10"/>
      <c r="B69" s="28" t="s">
        <v>0</v>
      </c>
      <c r="C69" s="10"/>
      <c r="D69" s="4">
        <f>SUM(0)</f>
        <v>0</v>
      </c>
      <c r="E69" s="4"/>
      <c r="F69" s="12">
        <f>IF(D$12=0,0,D69/D$12)</f>
        <v>0</v>
      </c>
      <c r="G69" s="4"/>
      <c r="H69" s="4">
        <f>SUM(0)</f>
        <v>0</v>
      </c>
      <c r="I69" s="4"/>
      <c r="J69" s="12">
        <f>IF(H$12=0,0,H69/H$12)</f>
        <v>0</v>
      </c>
      <c r="K69" s="4"/>
      <c r="L69" s="4">
        <f>+D69-H69</f>
        <v>0</v>
      </c>
      <c r="M69" s="4"/>
      <c r="N69" s="12">
        <f>IF(H69=0,0,L69/H69)</f>
        <v>0</v>
      </c>
      <c r="O69" s="10"/>
      <c r="P69" s="4">
        <f>SUM(0)</f>
        <v>0</v>
      </c>
      <c r="Q69" s="4"/>
      <c r="R69" s="12">
        <f>IF(P$12=0,0,P69/P$12)</f>
        <v>0</v>
      </c>
      <c r="S69" s="4"/>
      <c r="T69" s="4">
        <f>SUM(0)</f>
        <v>0</v>
      </c>
      <c r="U69" s="4"/>
      <c r="V69" s="12">
        <f>IF(T$12=0,0,T69/T$12)</f>
        <v>0</v>
      </c>
      <c r="W69" s="4"/>
      <c r="X69" s="4">
        <f>+P69-T69</f>
        <v>0</v>
      </c>
      <c r="Y69" s="4"/>
      <c r="Z69" s="12">
        <f>IF(T69=0,0,X69/T69)</f>
        <v>0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10"/>
      <c r="B71" s="29" t="s">
        <v>3</v>
      </c>
      <c r="C71" s="29"/>
      <c r="D71" s="22">
        <f>+D16-D18+D69</f>
        <v>-58210.09</v>
      </c>
      <c r="E71" s="14"/>
      <c r="F71" s="20">
        <f>IF(D$12=0,0,D71/D$12)</f>
        <v>0</v>
      </c>
      <c r="G71" s="14"/>
      <c r="H71" s="22">
        <f>+H16-H18+H69</f>
        <v>-65150.765232076883</v>
      </c>
      <c r="I71" s="14"/>
      <c r="J71" s="20">
        <f>IF(H$12=0,0,H71/H$12)</f>
        <v>0</v>
      </c>
      <c r="K71" s="15"/>
      <c r="L71" s="22">
        <f>+D71-H71</f>
        <v>6940.6752320768865</v>
      </c>
      <c r="M71" s="15"/>
      <c r="N71" s="20">
        <f>IF(H71=0,0,L71/H71)</f>
        <v>-0.10653252049079011</v>
      </c>
      <c r="O71" s="28"/>
      <c r="P71" s="22">
        <f>+P16-P18+P69</f>
        <v>-182666.01999999996</v>
      </c>
      <c r="Q71" s="14"/>
      <c r="R71" s="20">
        <f>IF(P$12=0,0,P71/P$12)</f>
        <v>0</v>
      </c>
      <c r="S71" s="14"/>
      <c r="T71" s="22">
        <f>+T16-T18+T69</f>
        <v>-193359.92322230761</v>
      </c>
      <c r="U71" s="14"/>
      <c r="V71" s="20">
        <f>IF(T$12=0,0,T71/T$12)</f>
        <v>0</v>
      </c>
      <c r="W71" s="15"/>
      <c r="X71" s="22">
        <f>+P71-T71</f>
        <v>10693.90322230765</v>
      </c>
      <c r="Y71" s="15"/>
      <c r="Z71" s="20">
        <f>IF(T71=0,0,X71/T71)</f>
        <v>-5.5305686122003553E-2</v>
      </c>
    </row>
    <row r="72" spans="1:26" x14ac:dyDescent="0.25">
      <c r="A72" s="9"/>
      <c r="B72" s="10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52"/>
      <c r="B73" s="10" t="s">
        <v>14</v>
      </c>
      <c r="C73" s="10"/>
      <c r="D73" s="4"/>
      <c r="E73" s="4"/>
      <c r="F73" s="12">
        <f>IF(D$12=0,0,D73/D$12)</f>
        <v>0</v>
      </c>
      <c r="G73" s="4"/>
      <c r="H73" s="4"/>
      <c r="I73" s="4"/>
      <c r="J73" s="12">
        <f>IF(H$12=0,0,H73/H$12)</f>
        <v>0</v>
      </c>
      <c r="K73" s="4"/>
      <c r="L73" s="4">
        <f>+D73-H73</f>
        <v>0</v>
      </c>
      <c r="M73" s="4"/>
      <c r="N73" s="12">
        <f>IF(H73=0,0,L73/H73)</f>
        <v>0</v>
      </c>
      <c r="O73" s="10"/>
      <c r="P73" s="4"/>
      <c r="Q73" s="4"/>
      <c r="R73" s="12">
        <f>IF(P$12=0,0,P73/P$12)</f>
        <v>0</v>
      </c>
      <c r="S73" s="4"/>
      <c r="T73" s="4"/>
      <c r="U73" s="4"/>
      <c r="V73" s="12">
        <f>IF(T$12=0,0,T73/T$12)</f>
        <v>0</v>
      </c>
      <c r="W73" s="4"/>
      <c r="X73" s="4">
        <f>+P73-T73</f>
        <v>0</v>
      </c>
      <c r="Y73" s="4"/>
      <c r="Z73" s="12">
        <f>IF(T73=0,0,X73/T73)</f>
        <v>0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9" t="s">
        <v>4</v>
      </c>
      <c r="C75" s="29"/>
      <c r="D75" s="35">
        <f>+D71-D73</f>
        <v>-58210.09</v>
      </c>
      <c r="E75" s="14"/>
      <c r="F75" s="32">
        <f>IF(D$12=0,0,D75/D$12)</f>
        <v>0</v>
      </c>
      <c r="G75" s="14"/>
      <c r="H75" s="35">
        <f>+H71-H73</f>
        <v>-65150.765232076883</v>
      </c>
      <c r="I75" s="14"/>
      <c r="J75" s="32">
        <f>IF(H$12=0,0,H75/H$12)</f>
        <v>0</v>
      </c>
      <c r="K75" s="15"/>
      <c r="L75" s="35">
        <f>D75-H75</f>
        <v>6940.6752320768865</v>
      </c>
      <c r="M75" s="15"/>
      <c r="N75" s="32">
        <f>IF(H75=0,0,L75/H75)</f>
        <v>-0.10653252049079011</v>
      </c>
      <c r="O75" s="28"/>
      <c r="P75" s="35">
        <f>+P71-P73</f>
        <v>-182666.01999999996</v>
      </c>
      <c r="Q75" s="14"/>
      <c r="R75" s="32">
        <f>IF(P$12=0,0,P75/P$12)</f>
        <v>0</v>
      </c>
      <c r="S75" s="14"/>
      <c r="T75" s="35">
        <f>+T71-T73</f>
        <v>-193359.92322230761</v>
      </c>
      <c r="U75" s="14"/>
      <c r="V75" s="32">
        <f>IF(T$12=0,0,T75/T$12)</f>
        <v>0</v>
      </c>
      <c r="W75" s="15"/>
      <c r="X75" s="35">
        <f>P75-T75</f>
        <v>10693.90322230765</v>
      </c>
      <c r="Y75" s="15"/>
      <c r="Z75" s="32">
        <f>IF(T75=0,0,X75/T75)</f>
        <v>-5.5305686122003553E-2</v>
      </c>
    </row>
    <row r="76" spans="1:26" ht="15.75" thickTop="1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9" t="s">
        <v>5</v>
      </c>
      <c r="C78" s="29"/>
      <c r="D78" s="30">
        <f>SUM(D75:D77)</f>
        <v>-58210.09</v>
      </c>
      <c r="E78" s="14"/>
      <c r="F78" s="31">
        <f>IF(D$12=0,0,D78/D$12)</f>
        <v>0</v>
      </c>
      <c r="G78" s="14"/>
      <c r="H78" s="30">
        <f>SUM(H75:H77)</f>
        <v>-65150.765232076883</v>
      </c>
      <c r="I78" s="14"/>
      <c r="J78" s="31">
        <f>IF(H$12=0,0,H78/H$12)</f>
        <v>0</v>
      </c>
      <c r="K78" s="15"/>
      <c r="L78" s="30">
        <f>+D78-H78</f>
        <v>6940.6752320768865</v>
      </c>
      <c r="M78" s="15"/>
      <c r="N78" s="31">
        <f>IF(H78=0,0,L78/H78)</f>
        <v>-0.10653252049079011</v>
      </c>
      <c r="O78" s="28"/>
      <c r="P78" s="30">
        <f>SUM(P75:P77)</f>
        <v>-182666.01999999996</v>
      </c>
      <c r="Q78" s="14"/>
      <c r="R78" s="31">
        <f>IF(P$12=0,0,P78/P$12)</f>
        <v>0</v>
      </c>
      <c r="S78" s="14"/>
      <c r="T78" s="30">
        <f>SUM(T75:T77)</f>
        <v>-193359.92322230761</v>
      </c>
      <c r="U78" s="14"/>
      <c r="V78" s="31">
        <f>IF(T$12=0,0,T78/T$12)</f>
        <v>0</v>
      </c>
      <c r="W78" s="15"/>
      <c r="X78" s="30">
        <f>+P78-T78</f>
        <v>10693.90322230765</v>
      </c>
      <c r="Y78" s="15"/>
      <c r="Z78" s="31">
        <f>IF(T78=0,0,X78/T78)</f>
        <v>-5.5305686122003553E-2</v>
      </c>
    </row>
    <row r="79" spans="1:26" ht="15.75" thickTop="1" x14ac:dyDescent="0.25">
      <c r="A79" s="9"/>
      <c r="C79" s="9"/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A80" s="9"/>
      <c r="B80" s="53">
        <v>43756.452111956016</v>
      </c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1:24" x14ac:dyDescent="0.25">
      <c r="A81" s="9"/>
      <c r="B81" s="55" t="s">
        <v>314</v>
      </c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A82" s="9"/>
      <c r="B82" s="56"/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4" x14ac:dyDescent="0.25"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</sheetData>
  <pageMargins left="0.25" right="0.25" top="0.75" bottom="0.75" header="0.3" footer="0.3"/>
  <pageSetup scale="55" fitToWidth="2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str">
        <f>CONCATENATE("Period ",RIGHT(202003,2),", ",2020)</f>
        <v>Period 03, 2020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43736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tr">
        <f>CONCATENATE("Department ","205", " - ", "Maintenance")</f>
        <v>Department 205 - Maintenance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6663.1600000000008</v>
      </c>
      <c r="E18" s="21"/>
      <c r="F18" s="33">
        <f t="shared" ref="F18:F28" si="0">IF(D$12=0,0,D18/D$12)</f>
        <v>0</v>
      </c>
      <c r="G18" s="21"/>
      <c r="H18" s="21">
        <f>SUM(OSRRefH22x_0)</f>
        <v>7260.5090453384582</v>
      </c>
      <c r="I18" s="21"/>
      <c r="J18" s="33">
        <f t="shared" ref="J18:J28" si="1">IF(H$12=0,0,H18/H$12)</f>
        <v>0</v>
      </c>
      <c r="K18" s="4"/>
      <c r="L18" s="21">
        <f t="shared" ref="L18:L28" si="2">+D18-H18</f>
        <v>-597.34904533845747</v>
      </c>
      <c r="M18" s="4"/>
      <c r="N18" s="33">
        <f t="shared" ref="N18:N28" si="3">IF(H18=0,0,L18/H18)</f>
        <v>-8.2273714089231773E-2</v>
      </c>
      <c r="O18" s="10"/>
      <c r="P18" s="21">
        <f>SUM(OSRRefP22x_0)</f>
        <v>24123.579999999994</v>
      </c>
      <c r="Q18" s="21"/>
      <c r="R18" s="33">
        <f t="shared" ref="R18:R28" si="4">IF(P$12=0,0,P18/P$12)</f>
        <v>0</v>
      </c>
      <c r="S18" s="21"/>
      <c r="T18" s="21">
        <f>SUM(OSRRefT22x_0)</f>
        <v>27978.404397350001</v>
      </c>
      <c r="U18" s="21"/>
      <c r="V18" s="33">
        <f t="shared" ref="V18:V28" si="5">IF(T$12=0,0,T18/T$12)</f>
        <v>0</v>
      </c>
      <c r="W18" s="4"/>
      <c r="X18" s="21">
        <f t="shared" ref="X18:X28" si="6">+P18-T18</f>
        <v>-3854.8243973500066</v>
      </c>
      <c r="Y18" s="4"/>
      <c r="Z18" s="33">
        <f t="shared" ref="Z18:Z28" si="7">IF(T18=0,0,X18/T18)</f>
        <v>-0.137778564588734</v>
      </c>
    </row>
    <row r="19" spans="1:26" s="26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2487.9799999999996</v>
      </c>
      <c r="E19" s="1"/>
      <c r="F19" s="5">
        <f t="shared" si="0"/>
        <v>0</v>
      </c>
      <c r="G19" s="1"/>
      <c r="H19" s="1">
        <f>SUM(OSRRefH22_0x_0)</f>
        <v>2294.782322261538</v>
      </c>
      <c r="I19" s="1"/>
      <c r="J19" s="5">
        <f t="shared" si="1"/>
        <v>0</v>
      </c>
      <c r="K19" s="1"/>
      <c r="L19" s="1">
        <f t="shared" si="2"/>
        <v>193.19767773846161</v>
      </c>
      <c r="M19" s="1"/>
      <c r="N19" s="5">
        <f t="shared" si="3"/>
        <v>8.4189979966406037E-2</v>
      </c>
      <c r="O19" s="13"/>
      <c r="P19" s="1">
        <f>SUM(OSRRefP22_0x_0)</f>
        <v>8592.7199999999993</v>
      </c>
      <c r="Q19" s="1"/>
      <c r="R19" s="5">
        <f t="shared" si="4"/>
        <v>0</v>
      </c>
      <c r="S19" s="1"/>
      <c r="T19" s="1">
        <f>SUM(OSRRefT22_0x_0)</f>
        <v>7254.7925473499999</v>
      </c>
      <c r="U19" s="1"/>
      <c r="V19" s="5">
        <f t="shared" si="5"/>
        <v>0</v>
      </c>
      <c r="W19" s="1"/>
      <c r="X19" s="1">
        <f t="shared" si="6"/>
        <v>1337.9274526499994</v>
      </c>
      <c r="Y19" s="1"/>
      <c r="Z19" s="5">
        <f t="shared" si="7"/>
        <v>0.18441980854968926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7">
        <v>316.26</v>
      </c>
      <c r="E20" s="2"/>
      <c r="F20" s="6">
        <f t="shared" si="0"/>
        <v>0</v>
      </c>
      <c r="G20" s="2"/>
      <c r="H20" s="7">
        <v>321.40351195384602</v>
      </c>
      <c r="I20" s="2"/>
      <c r="J20" s="6">
        <f t="shared" si="1"/>
        <v>0</v>
      </c>
      <c r="K20" s="2"/>
      <c r="L20" s="7">
        <f t="shared" si="2"/>
        <v>-5.1435119538460299</v>
      </c>
      <c r="M20" s="2"/>
      <c r="N20" s="6">
        <f t="shared" si="3"/>
        <v>-1.6003284850803514E-2</v>
      </c>
      <c r="O20" s="11"/>
      <c r="P20" s="7">
        <v>984.93</v>
      </c>
      <c r="Q20" s="2"/>
      <c r="R20" s="6">
        <f t="shared" si="4"/>
        <v>0</v>
      </c>
      <c r="S20" s="2"/>
      <c r="T20" s="7">
        <v>1044.56141385</v>
      </c>
      <c r="U20" s="2"/>
      <c r="V20" s="6">
        <f t="shared" si="5"/>
        <v>0</v>
      </c>
      <c r="W20" s="2"/>
      <c r="X20" s="7">
        <f t="shared" si="6"/>
        <v>-59.631413850000058</v>
      </c>
      <c r="Y20" s="2"/>
      <c r="Z20" s="6">
        <f t="shared" si="7"/>
        <v>-5.7087513533754929E-2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7">
        <v>279.89</v>
      </c>
      <c r="E21" s="2"/>
      <c r="F21" s="6">
        <f t="shared" si="0"/>
        <v>0</v>
      </c>
      <c r="G21" s="2"/>
      <c r="H21" s="7">
        <v>284.32010661538499</v>
      </c>
      <c r="I21" s="2"/>
      <c r="J21" s="6">
        <f t="shared" si="1"/>
        <v>0</v>
      </c>
      <c r="K21" s="2"/>
      <c r="L21" s="7">
        <f t="shared" si="2"/>
        <v>-4.4301066153850002</v>
      </c>
      <c r="M21" s="2"/>
      <c r="N21" s="6">
        <f t="shared" si="3"/>
        <v>-1.5581404594005173E-2</v>
      </c>
      <c r="O21" s="11"/>
      <c r="P21" s="7">
        <v>861</v>
      </c>
      <c r="Q21" s="2"/>
      <c r="R21" s="6">
        <f t="shared" si="4"/>
        <v>0</v>
      </c>
      <c r="S21" s="2"/>
      <c r="T21" s="7">
        <v>924.04034650000096</v>
      </c>
      <c r="U21" s="2"/>
      <c r="V21" s="6">
        <f t="shared" si="5"/>
        <v>0</v>
      </c>
      <c r="W21" s="2"/>
      <c r="X21" s="7">
        <f t="shared" si="6"/>
        <v>-63.040346500000965</v>
      </c>
      <c r="Y21" s="2"/>
      <c r="Z21" s="6">
        <f t="shared" si="7"/>
        <v>-6.8222504286506169E-2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7">
        <v>695.14</v>
      </c>
      <c r="E22" s="2"/>
      <c r="F22" s="6">
        <f t="shared" si="0"/>
        <v>0</v>
      </c>
      <c r="G22" s="2"/>
      <c r="H22" s="7">
        <v>663</v>
      </c>
      <c r="I22" s="2"/>
      <c r="J22" s="6">
        <f t="shared" si="1"/>
        <v>0</v>
      </c>
      <c r="K22" s="2"/>
      <c r="L22" s="7">
        <f t="shared" si="2"/>
        <v>32.139999999999986</v>
      </c>
      <c r="M22" s="2"/>
      <c r="N22" s="6">
        <f t="shared" si="3"/>
        <v>4.847662141779787E-2</v>
      </c>
      <c r="O22" s="11"/>
      <c r="P22" s="7">
        <v>2085.42</v>
      </c>
      <c r="Q22" s="2"/>
      <c r="R22" s="6">
        <f t="shared" si="4"/>
        <v>0</v>
      </c>
      <c r="S22" s="2"/>
      <c r="T22" s="7">
        <v>1989</v>
      </c>
      <c r="U22" s="2"/>
      <c r="V22" s="6">
        <f t="shared" si="5"/>
        <v>0</v>
      </c>
      <c r="W22" s="2"/>
      <c r="X22" s="7">
        <f t="shared" si="6"/>
        <v>96.420000000000073</v>
      </c>
      <c r="Y22" s="2"/>
      <c r="Z22" s="6">
        <f t="shared" si="7"/>
        <v>4.8476621417797926E-2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7">
        <v>10.75</v>
      </c>
      <c r="E23" s="2"/>
      <c r="F23" s="6">
        <f t="shared" si="0"/>
        <v>0</v>
      </c>
      <c r="G23" s="2"/>
      <c r="H23" s="7">
        <v>10.919236</v>
      </c>
      <c r="I23" s="2"/>
      <c r="J23" s="6">
        <f t="shared" si="1"/>
        <v>0</v>
      </c>
      <c r="K23" s="2"/>
      <c r="L23" s="7">
        <f t="shared" si="2"/>
        <v>-0.16923599999999972</v>
      </c>
      <c r="M23" s="2"/>
      <c r="N23" s="6">
        <f t="shared" si="3"/>
        <v>-1.549888655213604E-2</v>
      </c>
      <c r="O23" s="11"/>
      <c r="P23" s="7">
        <v>33.07</v>
      </c>
      <c r="Q23" s="2"/>
      <c r="R23" s="6">
        <f t="shared" si="4"/>
        <v>0</v>
      </c>
      <c r="S23" s="2"/>
      <c r="T23" s="7">
        <v>35.487516999999997</v>
      </c>
      <c r="U23" s="2"/>
      <c r="V23" s="6">
        <f t="shared" si="5"/>
        <v>0</v>
      </c>
      <c r="W23" s="2"/>
      <c r="X23" s="7">
        <f t="shared" si="6"/>
        <v>-2.4175169999999966</v>
      </c>
      <c r="Y23" s="2"/>
      <c r="Z23" s="6">
        <f t="shared" si="7"/>
        <v>-6.812302478079818E-2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7">
        <v>429.26</v>
      </c>
      <c r="E24" s="2"/>
      <c r="F24" s="6">
        <f t="shared" si="0"/>
        <v>0</v>
      </c>
      <c r="G24" s="2"/>
      <c r="H24" s="7">
        <v>361.174729230769</v>
      </c>
      <c r="I24" s="2"/>
      <c r="J24" s="6">
        <f t="shared" si="1"/>
        <v>0</v>
      </c>
      <c r="K24" s="2"/>
      <c r="L24" s="7">
        <f t="shared" si="2"/>
        <v>68.085270769230988</v>
      </c>
      <c r="M24" s="2"/>
      <c r="N24" s="6">
        <f t="shared" si="3"/>
        <v>0.18851061621680784</v>
      </c>
      <c r="O24" s="11"/>
      <c r="P24" s="7">
        <v>1287.78</v>
      </c>
      <c r="Q24" s="2"/>
      <c r="R24" s="6">
        <f t="shared" si="4"/>
        <v>0</v>
      </c>
      <c r="S24" s="2"/>
      <c r="T24" s="7">
        <v>1173.8178700000001</v>
      </c>
      <c r="U24" s="2"/>
      <c r="V24" s="6">
        <f t="shared" si="5"/>
        <v>0</v>
      </c>
      <c r="W24" s="2"/>
      <c r="X24" s="7">
        <f t="shared" si="6"/>
        <v>113.96212999999989</v>
      </c>
      <c r="Y24" s="2"/>
      <c r="Z24" s="6">
        <f t="shared" si="7"/>
        <v>9.7086722661668012E-2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5"/>
      <c r="B26" s="11" t="str">
        <f>CONCATENATE("          ", "6118", " - ", "VACATION")</f>
        <v xml:space="preserve">          6118 - VACATION</v>
      </c>
      <c r="C26" s="11"/>
      <c r="D26" s="7">
        <v>387.96</v>
      </c>
      <c r="E26" s="2"/>
      <c r="F26" s="6">
        <f t="shared" si="0"/>
        <v>0</v>
      </c>
      <c r="G26" s="2"/>
      <c r="H26" s="7">
        <v>419.97061538461503</v>
      </c>
      <c r="I26" s="2"/>
      <c r="J26" s="6">
        <f t="shared" si="1"/>
        <v>0</v>
      </c>
      <c r="K26" s="2"/>
      <c r="L26" s="7">
        <f t="shared" si="2"/>
        <v>-32.010615384615051</v>
      </c>
      <c r="M26" s="2"/>
      <c r="N26" s="6">
        <f t="shared" si="3"/>
        <v>-7.622108359962107E-2</v>
      </c>
      <c r="O26" s="11"/>
      <c r="P26" s="7">
        <v>1479.11</v>
      </c>
      <c r="Q26" s="2"/>
      <c r="R26" s="6">
        <f t="shared" si="4"/>
        <v>0</v>
      </c>
      <c r="S26" s="2"/>
      <c r="T26" s="7">
        <v>1364.904499999999</v>
      </c>
      <c r="U26" s="2"/>
      <c r="V26" s="6">
        <f t="shared" si="5"/>
        <v>0</v>
      </c>
      <c r="W26" s="2"/>
      <c r="X26" s="7">
        <f t="shared" si="6"/>
        <v>114.20550000000094</v>
      </c>
      <c r="Y26" s="2"/>
      <c r="Z26" s="6">
        <f t="shared" si="7"/>
        <v>8.36728870041831E-2</v>
      </c>
    </row>
    <row r="27" spans="1:26" s="24" customFormat="1" hidden="1" outlineLevel="2" x14ac:dyDescent="0.25">
      <c r="A27" s="25"/>
      <c r="B27" s="11" t="str">
        <f>CONCATENATE("          ", "6119", " - ", "SICK LEAVE")</f>
        <v xml:space="preserve">          6119 - SICK LEAVE</v>
      </c>
      <c r="C27" s="11"/>
      <c r="D27" s="7">
        <v>193.72</v>
      </c>
      <c r="E27" s="2"/>
      <c r="F27" s="6">
        <f t="shared" si="0"/>
        <v>0</v>
      </c>
      <c r="G27" s="2"/>
      <c r="H27" s="7">
        <v>83.994123076923103</v>
      </c>
      <c r="I27" s="2"/>
      <c r="J27" s="6">
        <f t="shared" si="1"/>
        <v>0</v>
      </c>
      <c r="K27" s="2"/>
      <c r="L27" s="7">
        <f t="shared" si="2"/>
        <v>109.7258769230769</v>
      </c>
      <c r="M27" s="2"/>
      <c r="N27" s="6">
        <f t="shared" si="3"/>
        <v>1.3063518363372668</v>
      </c>
      <c r="O27" s="11"/>
      <c r="P27" s="7">
        <v>1426.2</v>
      </c>
      <c r="Q27" s="2"/>
      <c r="R27" s="6">
        <f t="shared" si="4"/>
        <v>0</v>
      </c>
      <c r="S27" s="2"/>
      <c r="T27" s="7">
        <v>272.98090000000019</v>
      </c>
      <c r="U27" s="2"/>
      <c r="V27" s="6">
        <f t="shared" si="5"/>
        <v>0</v>
      </c>
      <c r="W27" s="2"/>
      <c r="X27" s="7">
        <f t="shared" si="6"/>
        <v>1153.2190999999998</v>
      </c>
      <c r="Y27" s="2"/>
      <c r="Z27" s="6">
        <f t="shared" si="7"/>
        <v>4.2245413506952278</v>
      </c>
    </row>
    <row r="28" spans="1:26" s="24" customFormat="1" hidden="1" outlineLevel="2" x14ac:dyDescent="0.25">
      <c r="A28" s="25"/>
      <c r="B28" s="11" t="str">
        <f>CONCATENATE("          ", "6156", " - ", "EMPLOYEE MEALS")</f>
        <v xml:space="preserve">          6156 - EMPLOYEE MEALS</v>
      </c>
      <c r="C28" s="11"/>
      <c r="D28" s="7">
        <v>175</v>
      </c>
      <c r="E28" s="2"/>
      <c r="F28" s="6">
        <f t="shared" si="0"/>
        <v>0</v>
      </c>
      <c r="G28" s="2"/>
      <c r="H28" s="7">
        <v>150</v>
      </c>
      <c r="I28" s="2"/>
      <c r="J28" s="6">
        <f t="shared" si="1"/>
        <v>0</v>
      </c>
      <c r="K28" s="2"/>
      <c r="L28" s="7">
        <f t="shared" si="2"/>
        <v>25</v>
      </c>
      <c r="M28" s="2"/>
      <c r="N28" s="6">
        <f t="shared" si="3"/>
        <v>0.16666666666666666</v>
      </c>
      <c r="O28" s="11"/>
      <c r="P28" s="7">
        <v>435.21</v>
      </c>
      <c r="Q28" s="2"/>
      <c r="R28" s="6">
        <f t="shared" si="4"/>
        <v>0</v>
      </c>
      <c r="S28" s="2"/>
      <c r="T28" s="7">
        <v>450</v>
      </c>
      <c r="U28" s="2"/>
      <c r="V28" s="6">
        <f t="shared" si="5"/>
        <v>0</v>
      </c>
      <c r="W28" s="2"/>
      <c r="X28" s="7">
        <f t="shared" si="6"/>
        <v>-14.79000000000002</v>
      </c>
      <c r="Y28" s="2"/>
      <c r="Z28" s="6">
        <f t="shared" si="7"/>
        <v>-3.2866666666666711E-2</v>
      </c>
    </row>
    <row r="29" spans="1:26" s="26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4199.74</v>
      </c>
      <c r="E29" s="1"/>
      <c r="F29" s="5">
        <f t="shared" ref="F29:F39" si="8">IF(D$12=0,0,D29/D$12)</f>
        <v>0</v>
      </c>
      <c r="G29" s="1"/>
      <c r="H29" s="1">
        <f>SUM(OSRRefH22_1x_0)</f>
        <v>3905.7267230769203</v>
      </c>
      <c r="I29" s="1"/>
      <c r="J29" s="5">
        <f t="shared" ref="J29:J39" si="9">IF(H$12=0,0,H29/H$12)</f>
        <v>0</v>
      </c>
      <c r="K29" s="1"/>
      <c r="L29" s="1">
        <f t="shared" ref="L29:L39" si="10">+D29-H29</f>
        <v>294.0132769230795</v>
      </c>
      <c r="M29" s="1"/>
      <c r="N29" s="5">
        <f t="shared" ref="N29:N39" si="11">IF(H29=0,0,L29/H29)</f>
        <v>7.5277482980544194E-2</v>
      </c>
      <c r="O29" s="13"/>
      <c r="P29" s="1">
        <f>SUM(OSRRefP22_1x_0)</f>
        <v>12021.85</v>
      </c>
      <c r="Q29" s="1"/>
      <c r="R29" s="5">
        <f t="shared" ref="R29:R39" si="12">IF(P$12=0,0,P29/P$12)</f>
        <v>0</v>
      </c>
      <c r="S29" s="1"/>
      <c r="T29" s="1">
        <f>SUM(OSRRefT22_1x_0)</f>
        <v>12693.611850000001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-671.76185000000078</v>
      </c>
      <c r="Y29" s="1"/>
      <c r="Z29" s="5">
        <f t="shared" ref="Z29:Z39" si="15">IF(T29=0,0,X29/T29)</f>
        <v>-5.2921253457108089E-2</v>
      </c>
    </row>
    <row r="30" spans="1:26" s="24" customFormat="1" hidden="1" outlineLevel="2" x14ac:dyDescent="0.25">
      <c r="A30" s="25"/>
      <c r="B30" s="11" t="str">
        <f>CONCATENATE("          ", "6001", " - ", "ADMINISTRATIVE SALARIES")</f>
        <v xml:space="preserve">          6001 - ADMINISTRATIVE SALARIES</v>
      </c>
      <c r="C30" s="11"/>
      <c r="D30" s="7"/>
      <c r="E30" s="2"/>
      <c r="F30" s="6">
        <f t="shared" si="8"/>
        <v>0</v>
      </c>
      <c r="G30" s="2"/>
      <c r="H30" s="7">
        <v>0</v>
      </c>
      <c r="I30" s="2"/>
      <c r="J30" s="6">
        <f t="shared" si="9"/>
        <v>0</v>
      </c>
      <c r="K30" s="2"/>
      <c r="L30" s="7">
        <f t="shared" si="10"/>
        <v>0</v>
      </c>
      <c r="M30" s="2"/>
      <c r="N30" s="6">
        <f t="shared" si="11"/>
        <v>0</v>
      </c>
      <c r="O30" s="11"/>
      <c r="P30" s="7"/>
      <c r="Q30" s="2"/>
      <c r="R30" s="6">
        <f t="shared" si="12"/>
        <v>0</v>
      </c>
      <c r="S30" s="2"/>
      <c r="T30" s="7">
        <v>0</v>
      </c>
      <c r="U30" s="2"/>
      <c r="V30" s="6">
        <f t="shared" si="13"/>
        <v>0</v>
      </c>
      <c r="W30" s="2"/>
      <c r="X30" s="7">
        <f t="shared" si="14"/>
        <v>0</v>
      </c>
      <c r="Y30" s="2"/>
      <c r="Z30" s="6">
        <f t="shared" si="15"/>
        <v>0</v>
      </c>
    </row>
    <row r="31" spans="1:26" s="24" customFormat="1" hidden="1" outlineLevel="2" x14ac:dyDescent="0.25">
      <c r="A31" s="25"/>
      <c r="B31" s="11" t="str">
        <f>CONCATENATE("          ", "6002", " - ", "STAFF SALARIES")</f>
        <v xml:space="preserve">          6002 - STAFF SALARIES</v>
      </c>
      <c r="C31" s="11"/>
      <c r="D31" s="7">
        <v>4199.74</v>
      </c>
      <c r="E31" s="2"/>
      <c r="F31" s="6">
        <f t="shared" si="8"/>
        <v>0</v>
      </c>
      <c r="G31" s="2"/>
      <c r="H31" s="7">
        <v>3905.7267230769203</v>
      </c>
      <c r="I31" s="2"/>
      <c r="J31" s="6">
        <f t="shared" si="9"/>
        <v>0</v>
      </c>
      <c r="K31" s="2"/>
      <c r="L31" s="7">
        <f t="shared" si="10"/>
        <v>294.0132769230795</v>
      </c>
      <c r="M31" s="2"/>
      <c r="N31" s="6">
        <f t="shared" si="11"/>
        <v>7.5277482980544194E-2</v>
      </c>
      <c r="O31" s="11"/>
      <c r="P31" s="7">
        <v>12021.85</v>
      </c>
      <c r="Q31" s="2"/>
      <c r="R31" s="6">
        <f t="shared" si="12"/>
        <v>0</v>
      </c>
      <c r="S31" s="2"/>
      <c r="T31" s="7">
        <v>12693.611850000001</v>
      </c>
      <c r="U31" s="2"/>
      <c r="V31" s="6">
        <f t="shared" si="13"/>
        <v>0</v>
      </c>
      <c r="W31" s="2"/>
      <c r="X31" s="7">
        <f t="shared" si="14"/>
        <v>-671.76185000000078</v>
      </c>
      <c r="Y31" s="2"/>
      <c r="Z31" s="6">
        <f t="shared" si="15"/>
        <v>-5.2921253457108089E-2</v>
      </c>
    </row>
    <row r="32" spans="1:26" s="24" customFormat="1" hidden="1" outlineLevel="2" x14ac:dyDescent="0.25">
      <c r="A32" s="25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5"/>
      <c r="B33" s="11" t="str">
        <f>CONCATENATE("          ", "6004", " - ", "STAFF HOURLY")</f>
        <v xml:space="preserve">          6004 - STAFF HOURLY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5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25">
      <c r="A35" s="25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5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5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5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5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6" customFormat="1" outlineLevel="1" collapsed="1" x14ac:dyDescent="0.25">
      <c r="A40" s="27"/>
      <c r="B40" s="13" t="str">
        <f>CONCATENATE("     ","General                                           ")</f>
        <v xml:space="preserve">     General                                           </v>
      </c>
      <c r="C40" s="13"/>
      <c r="D40" s="1">
        <f>SUM(OSRRefD22_2x_0)</f>
        <v>-180.9</v>
      </c>
      <c r="E40" s="1"/>
      <c r="F40" s="5">
        <f t="shared" ref="F40:F52" si="16">IF(D$12=0,0,D40/D$12)</f>
        <v>0</v>
      </c>
      <c r="G40" s="1"/>
      <c r="H40" s="1">
        <f>SUM(OSRRefH22_2x_0)</f>
        <v>-500</v>
      </c>
      <c r="I40" s="1"/>
      <c r="J40" s="5">
        <f t="shared" ref="J40:J52" si="17">IF(H$12=0,0,H40/H$12)</f>
        <v>0</v>
      </c>
      <c r="K40" s="1"/>
      <c r="L40" s="1">
        <f t="shared" ref="L40:L52" si="18">+D40-H40</f>
        <v>319.10000000000002</v>
      </c>
      <c r="M40" s="1"/>
      <c r="N40" s="5">
        <f t="shared" ref="N40:N52" si="19">IF(H40=0,0,L40/H40)</f>
        <v>-0.6382000000000001</v>
      </c>
      <c r="O40" s="13"/>
      <c r="P40" s="1">
        <f>SUM(OSRRefP22_2x_0)</f>
        <v>-180.9</v>
      </c>
      <c r="Q40" s="1"/>
      <c r="R40" s="5">
        <f t="shared" ref="R40:R52" si="20">IF(P$12=0,0,P40/P$12)</f>
        <v>0</v>
      </c>
      <c r="S40" s="1"/>
      <c r="T40" s="1">
        <f>SUM(OSRRefT22_2x_0)</f>
        <v>-1500</v>
      </c>
      <c r="U40" s="1"/>
      <c r="V40" s="5">
        <f t="shared" ref="V40:V52" si="21">IF(T$12=0,0,T40/T$12)</f>
        <v>0</v>
      </c>
      <c r="W40" s="1"/>
      <c r="X40" s="1">
        <f t="shared" ref="X40:X52" si="22">+P40-T40</f>
        <v>1319.1</v>
      </c>
      <c r="Y40" s="1"/>
      <c r="Z40" s="5">
        <f t="shared" ref="Z40:Z52" si="23">IF(T40=0,0,X40/T40)</f>
        <v>-0.87939999999999996</v>
      </c>
    </row>
    <row r="41" spans="1:26" s="24" customFormat="1" hidden="1" outlineLevel="2" x14ac:dyDescent="0.25">
      <c r="A41" s="25"/>
      <c r="B41" s="11" t="str">
        <f>CONCATENATE("          ", "6279", " - ", "GENERAL EXPENSE")</f>
        <v xml:space="preserve">          6279 - GENERAL EXPENSE</v>
      </c>
      <c r="C41" s="11"/>
      <c r="D41" s="7">
        <v>-180.9</v>
      </c>
      <c r="E41" s="2"/>
      <c r="F41" s="6">
        <f t="shared" si="16"/>
        <v>0</v>
      </c>
      <c r="G41" s="2"/>
      <c r="H41" s="7">
        <v>-500</v>
      </c>
      <c r="I41" s="2"/>
      <c r="J41" s="6">
        <f t="shared" si="17"/>
        <v>0</v>
      </c>
      <c r="K41" s="2"/>
      <c r="L41" s="7">
        <f t="shared" si="18"/>
        <v>319.10000000000002</v>
      </c>
      <c r="M41" s="2"/>
      <c r="N41" s="6">
        <f t="shared" si="19"/>
        <v>-0.6382000000000001</v>
      </c>
      <c r="O41" s="11"/>
      <c r="P41" s="7">
        <v>-180.9</v>
      </c>
      <c r="Q41" s="2"/>
      <c r="R41" s="6">
        <f t="shared" si="20"/>
        <v>0</v>
      </c>
      <c r="S41" s="2"/>
      <c r="T41" s="7">
        <v>-1500</v>
      </c>
      <c r="U41" s="2"/>
      <c r="V41" s="6">
        <f t="shared" si="21"/>
        <v>0</v>
      </c>
      <c r="W41" s="2"/>
      <c r="X41" s="7">
        <f t="shared" si="22"/>
        <v>1319.1</v>
      </c>
      <c r="Y41" s="2"/>
      <c r="Z41" s="6">
        <f t="shared" si="23"/>
        <v>-0.87939999999999996</v>
      </c>
    </row>
    <row r="42" spans="1:26" s="26" customFormat="1" outlineLevel="1" collapsed="1" x14ac:dyDescent="0.25">
      <c r="A42" s="27"/>
      <c r="B42" s="13" t="str">
        <f>CONCATENATE("     ","Insurance                                         ")</f>
        <v xml:space="preserve">     Insurance                                         </v>
      </c>
      <c r="C42" s="13"/>
      <c r="D42" s="1">
        <f>SUM(OSRRefD22_3x_0)</f>
        <v>24.56</v>
      </c>
      <c r="E42" s="1"/>
      <c r="F42" s="5">
        <f t="shared" si="16"/>
        <v>0</v>
      </c>
      <c r="G42" s="1"/>
      <c r="H42" s="1">
        <f>SUM(OSRRefH22_3x_0)</f>
        <v>25</v>
      </c>
      <c r="I42" s="1"/>
      <c r="J42" s="5">
        <f t="shared" si="17"/>
        <v>0</v>
      </c>
      <c r="K42" s="1"/>
      <c r="L42" s="1">
        <f t="shared" si="18"/>
        <v>-0.44000000000000128</v>
      </c>
      <c r="M42" s="1"/>
      <c r="N42" s="5">
        <f t="shared" si="19"/>
        <v>-1.760000000000005E-2</v>
      </c>
      <c r="O42" s="13"/>
      <c r="P42" s="1">
        <f>SUM(OSRRefP22_3x_0)</f>
        <v>73.680000000000007</v>
      </c>
      <c r="Q42" s="1"/>
      <c r="R42" s="5">
        <f t="shared" si="20"/>
        <v>0</v>
      </c>
      <c r="S42" s="1"/>
      <c r="T42" s="1">
        <f>SUM(OSRRefT22_3x_0)</f>
        <v>75</v>
      </c>
      <c r="U42" s="1"/>
      <c r="V42" s="5">
        <f t="shared" si="21"/>
        <v>0</v>
      </c>
      <c r="W42" s="1"/>
      <c r="X42" s="1">
        <f t="shared" si="22"/>
        <v>-1.3199999999999932</v>
      </c>
      <c r="Y42" s="1"/>
      <c r="Z42" s="5">
        <f t="shared" si="23"/>
        <v>-1.7599999999999907E-2</v>
      </c>
    </row>
    <row r="43" spans="1:26" s="24" customFormat="1" hidden="1" outlineLevel="2" x14ac:dyDescent="0.25">
      <c r="A43" s="25"/>
      <c r="B43" s="11" t="str">
        <f>CONCATENATE("          ", "6314", " - ", "LIABILITY INSURANCE")</f>
        <v xml:space="preserve">          6314 - LIABILITY INSURANCE</v>
      </c>
      <c r="C43" s="11"/>
      <c r="D43" s="7">
        <v>24.56</v>
      </c>
      <c r="E43" s="2"/>
      <c r="F43" s="6">
        <f t="shared" si="16"/>
        <v>0</v>
      </c>
      <c r="G43" s="2"/>
      <c r="H43" s="7">
        <v>25</v>
      </c>
      <c r="I43" s="2"/>
      <c r="J43" s="6">
        <f t="shared" si="17"/>
        <v>0</v>
      </c>
      <c r="K43" s="2"/>
      <c r="L43" s="7">
        <f t="shared" si="18"/>
        <v>-0.44000000000000128</v>
      </c>
      <c r="M43" s="2"/>
      <c r="N43" s="6">
        <f t="shared" si="19"/>
        <v>-1.760000000000005E-2</v>
      </c>
      <c r="O43" s="11"/>
      <c r="P43" s="7">
        <v>73.680000000000007</v>
      </c>
      <c r="Q43" s="2"/>
      <c r="R43" s="6">
        <f t="shared" si="20"/>
        <v>0</v>
      </c>
      <c r="S43" s="2"/>
      <c r="T43" s="7">
        <v>75</v>
      </c>
      <c r="U43" s="2"/>
      <c r="V43" s="6">
        <f t="shared" si="21"/>
        <v>0</v>
      </c>
      <c r="W43" s="2"/>
      <c r="X43" s="7">
        <f t="shared" si="22"/>
        <v>-1.3199999999999932</v>
      </c>
      <c r="Y43" s="2"/>
      <c r="Z43" s="6">
        <f t="shared" si="23"/>
        <v>-1.7599999999999907E-2</v>
      </c>
    </row>
    <row r="44" spans="1:26" s="26" customFormat="1" outlineLevel="1" collapsed="1" x14ac:dyDescent="0.25">
      <c r="A44" s="27"/>
      <c r="B44" s="13" t="str">
        <f>CONCATENATE("     ","Professional Services                             ")</f>
        <v xml:space="preserve">     Professional Services                             </v>
      </c>
      <c r="C44" s="13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0</v>
      </c>
      <c r="I44" s="1"/>
      <c r="J44" s="5">
        <f t="shared" si="17"/>
        <v>0</v>
      </c>
      <c r="K44" s="1"/>
      <c r="L44" s="1">
        <f t="shared" si="18"/>
        <v>0</v>
      </c>
      <c r="M44" s="1"/>
      <c r="N44" s="5">
        <f t="shared" si="19"/>
        <v>0</v>
      </c>
      <c r="O44" s="13"/>
      <c r="P44" s="1">
        <f>SUM(OSRRefP22_4x_0)</f>
        <v>0</v>
      </c>
      <c r="Q44" s="1"/>
      <c r="R44" s="5">
        <f t="shared" si="20"/>
        <v>0</v>
      </c>
      <c r="S44" s="1"/>
      <c r="T44" s="1">
        <f>SUM(OSRRefT22_4x_0)</f>
        <v>4500</v>
      </c>
      <c r="U44" s="1"/>
      <c r="V44" s="5">
        <f t="shared" si="21"/>
        <v>0</v>
      </c>
      <c r="W44" s="1"/>
      <c r="X44" s="1">
        <f t="shared" si="22"/>
        <v>-4500</v>
      </c>
      <c r="Y44" s="1"/>
      <c r="Z44" s="5">
        <f t="shared" si="23"/>
        <v>-1</v>
      </c>
    </row>
    <row r="45" spans="1:26" s="24" customFormat="1" hidden="1" outlineLevel="2" x14ac:dyDescent="0.25">
      <c r="A45" s="25"/>
      <c r="B45" s="11" t="str">
        <f>CONCATENATE("          ", "6336", " - ", "PROFESSIONAL SERVICES")</f>
        <v xml:space="preserve">          6336 - PROFESSIONAL SERVICES</v>
      </c>
      <c r="C45" s="11"/>
      <c r="D45" s="7"/>
      <c r="E45" s="2"/>
      <c r="F45" s="6">
        <f t="shared" si="16"/>
        <v>0</v>
      </c>
      <c r="G45" s="2"/>
      <c r="H45" s="7"/>
      <c r="I45" s="2"/>
      <c r="J45" s="6">
        <f t="shared" si="17"/>
        <v>0</v>
      </c>
      <c r="K45" s="2"/>
      <c r="L45" s="7">
        <f t="shared" si="18"/>
        <v>0</v>
      </c>
      <c r="M45" s="2"/>
      <c r="N45" s="6">
        <f t="shared" si="19"/>
        <v>0</v>
      </c>
      <c r="O45" s="11"/>
      <c r="P45" s="7"/>
      <c r="Q45" s="2"/>
      <c r="R45" s="6">
        <f t="shared" si="20"/>
        <v>0</v>
      </c>
      <c r="S45" s="2"/>
      <c r="T45" s="7">
        <v>4500</v>
      </c>
      <c r="U45" s="2"/>
      <c r="V45" s="6">
        <f t="shared" si="21"/>
        <v>0</v>
      </c>
      <c r="W45" s="2"/>
      <c r="X45" s="7">
        <f t="shared" si="22"/>
        <v>-4500</v>
      </c>
      <c r="Y45" s="2"/>
      <c r="Z45" s="6">
        <f t="shared" si="23"/>
        <v>-1</v>
      </c>
    </row>
    <row r="46" spans="1:26" s="26" customFormat="1" outlineLevel="1" collapsed="1" x14ac:dyDescent="0.25">
      <c r="A46" s="27"/>
      <c r="B46" s="13" t="str">
        <f>CONCATENATE("     ","Repair and Maintenance                            ")</f>
        <v xml:space="preserve">     Repair and Maintenance                            </v>
      </c>
      <c r="C46" s="13"/>
      <c r="D46" s="1">
        <f>SUM(OSRRefD22_5x_0)</f>
        <v>0</v>
      </c>
      <c r="E46" s="1"/>
      <c r="F46" s="5">
        <f t="shared" si="16"/>
        <v>0</v>
      </c>
      <c r="G46" s="1"/>
      <c r="H46" s="1">
        <f>SUM(OSRRefH22_5x_0)</f>
        <v>1500</v>
      </c>
      <c r="I46" s="1"/>
      <c r="J46" s="5">
        <f t="shared" si="17"/>
        <v>0</v>
      </c>
      <c r="K46" s="1"/>
      <c r="L46" s="1">
        <f t="shared" si="18"/>
        <v>-1500</v>
      </c>
      <c r="M46" s="1"/>
      <c r="N46" s="5">
        <f t="shared" si="19"/>
        <v>-1</v>
      </c>
      <c r="O46" s="13"/>
      <c r="P46" s="1">
        <f>SUM(OSRRefP22_5x_0)</f>
        <v>2811.9</v>
      </c>
      <c r="Q46" s="1"/>
      <c r="R46" s="5">
        <f t="shared" si="20"/>
        <v>0</v>
      </c>
      <c r="S46" s="1"/>
      <c r="T46" s="1">
        <f>SUM(OSRRefT22_5x_0)</f>
        <v>4500</v>
      </c>
      <c r="U46" s="1"/>
      <c r="V46" s="5">
        <f t="shared" si="21"/>
        <v>0</v>
      </c>
      <c r="W46" s="1"/>
      <c r="X46" s="1">
        <f t="shared" si="22"/>
        <v>-1688.1</v>
      </c>
      <c r="Y46" s="1"/>
      <c r="Z46" s="5">
        <f t="shared" si="23"/>
        <v>-0.37513333333333332</v>
      </c>
    </row>
    <row r="47" spans="1:26" s="24" customFormat="1" hidden="1" outlineLevel="2" x14ac:dyDescent="0.25">
      <c r="A47" s="25"/>
      <c r="B47" s="11" t="str">
        <f>CONCATENATE("          ", "6373", " - ", "MAINTENANCE CONTRACTS")</f>
        <v xml:space="preserve">          6373 - MAINTENANCE CONTRACTS</v>
      </c>
      <c r="C47" s="11"/>
      <c r="D47" s="7"/>
      <c r="E47" s="2"/>
      <c r="F47" s="6">
        <f t="shared" si="16"/>
        <v>0</v>
      </c>
      <c r="G47" s="2"/>
      <c r="H47" s="7">
        <v>1500</v>
      </c>
      <c r="I47" s="2"/>
      <c r="J47" s="6">
        <f t="shared" si="17"/>
        <v>0</v>
      </c>
      <c r="K47" s="2"/>
      <c r="L47" s="7">
        <f t="shared" si="18"/>
        <v>-1500</v>
      </c>
      <c r="M47" s="2"/>
      <c r="N47" s="6">
        <f t="shared" si="19"/>
        <v>-1</v>
      </c>
      <c r="O47" s="11"/>
      <c r="P47" s="7">
        <v>2811.9</v>
      </c>
      <c r="Q47" s="2"/>
      <c r="R47" s="6">
        <f t="shared" si="20"/>
        <v>0</v>
      </c>
      <c r="S47" s="2"/>
      <c r="T47" s="7">
        <v>4500</v>
      </c>
      <c r="U47" s="2"/>
      <c r="V47" s="6">
        <f t="shared" si="21"/>
        <v>0</v>
      </c>
      <c r="W47" s="2"/>
      <c r="X47" s="7">
        <f t="shared" si="22"/>
        <v>-1688.1</v>
      </c>
      <c r="Y47" s="2"/>
      <c r="Z47" s="6">
        <f t="shared" si="23"/>
        <v>-0.37513333333333332</v>
      </c>
    </row>
    <row r="48" spans="1:26" s="26" customFormat="1" outlineLevel="1" collapsed="1" x14ac:dyDescent="0.25">
      <c r="A48" s="27"/>
      <c r="B48" s="13" t="str">
        <f>CONCATENATE("     ","Services                                          ")</f>
        <v xml:space="preserve">     Services                                          </v>
      </c>
      <c r="C48" s="13"/>
      <c r="D48" s="1">
        <f>SUM(OSRRefD22_6x_0)</f>
        <v>13.26</v>
      </c>
      <c r="E48" s="1"/>
      <c r="F48" s="5">
        <f t="shared" si="16"/>
        <v>0</v>
      </c>
      <c r="G48" s="1"/>
      <c r="H48" s="1">
        <f>SUM(OSRRefH22_6x_0)</f>
        <v>10</v>
      </c>
      <c r="I48" s="1"/>
      <c r="J48" s="5">
        <f t="shared" si="17"/>
        <v>0</v>
      </c>
      <c r="K48" s="1"/>
      <c r="L48" s="1">
        <f t="shared" si="18"/>
        <v>3.26</v>
      </c>
      <c r="M48" s="1"/>
      <c r="N48" s="5">
        <f t="shared" si="19"/>
        <v>0.32599999999999996</v>
      </c>
      <c r="O48" s="13"/>
      <c r="P48" s="1">
        <f>SUM(OSRRefP22_6x_0)</f>
        <v>26.52</v>
      </c>
      <c r="Q48" s="1"/>
      <c r="R48" s="5">
        <f t="shared" si="20"/>
        <v>0</v>
      </c>
      <c r="S48" s="1"/>
      <c r="T48" s="1">
        <f>SUM(OSRRefT22_6x_0)</f>
        <v>30</v>
      </c>
      <c r="U48" s="1"/>
      <c r="V48" s="5">
        <f t="shared" si="21"/>
        <v>0</v>
      </c>
      <c r="W48" s="1"/>
      <c r="X48" s="1">
        <f t="shared" si="22"/>
        <v>-3.4800000000000004</v>
      </c>
      <c r="Y48" s="1"/>
      <c r="Z48" s="5">
        <f t="shared" si="23"/>
        <v>-0.11600000000000002</v>
      </c>
    </row>
    <row r="49" spans="1:26" s="24" customFormat="1" hidden="1" outlineLevel="2" x14ac:dyDescent="0.25">
      <c r="A49" s="25"/>
      <c r="B49" s="11" t="str">
        <f>CONCATENATE("          ", "6286", " - ", "LAUNDRY EXPENSE")</f>
        <v xml:space="preserve">          6286 - LAUNDRY EXPENSE</v>
      </c>
      <c r="C49" s="11"/>
      <c r="D49" s="7">
        <v>13.26</v>
      </c>
      <c r="E49" s="2"/>
      <c r="F49" s="6">
        <f t="shared" si="16"/>
        <v>0</v>
      </c>
      <c r="G49" s="2"/>
      <c r="H49" s="7">
        <v>10</v>
      </c>
      <c r="I49" s="2"/>
      <c r="J49" s="6">
        <f t="shared" si="17"/>
        <v>0</v>
      </c>
      <c r="K49" s="2"/>
      <c r="L49" s="7">
        <f t="shared" si="18"/>
        <v>3.26</v>
      </c>
      <c r="M49" s="2"/>
      <c r="N49" s="6">
        <f t="shared" si="19"/>
        <v>0.32599999999999996</v>
      </c>
      <c r="O49" s="11"/>
      <c r="P49" s="7">
        <v>26.52</v>
      </c>
      <c r="Q49" s="2"/>
      <c r="R49" s="6">
        <f t="shared" si="20"/>
        <v>0</v>
      </c>
      <c r="S49" s="2"/>
      <c r="T49" s="7">
        <v>30</v>
      </c>
      <c r="U49" s="2"/>
      <c r="V49" s="6">
        <f t="shared" si="21"/>
        <v>0</v>
      </c>
      <c r="W49" s="2"/>
      <c r="X49" s="7">
        <f t="shared" si="22"/>
        <v>-3.4800000000000004</v>
      </c>
      <c r="Y49" s="2"/>
      <c r="Z49" s="6">
        <f t="shared" si="23"/>
        <v>-0.11600000000000002</v>
      </c>
    </row>
    <row r="50" spans="1:26" s="26" customFormat="1" outlineLevel="1" collapsed="1" x14ac:dyDescent="0.25">
      <c r="A50" s="27"/>
      <c r="B50" s="13" t="str">
        <f>CONCATENATE("     ","Supplies                                          ")</f>
        <v xml:space="preserve">     Supplies                                          </v>
      </c>
      <c r="C50" s="13"/>
      <c r="D50" s="1">
        <f>SUM(OSRRefD22_7x_0)</f>
        <v>37.42</v>
      </c>
      <c r="E50" s="1"/>
      <c r="F50" s="5">
        <f t="shared" si="16"/>
        <v>0</v>
      </c>
      <c r="G50" s="1"/>
      <c r="H50" s="1">
        <f>SUM(OSRRefH22_7x_0)</f>
        <v>10</v>
      </c>
      <c r="I50" s="1"/>
      <c r="J50" s="5">
        <f t="shared" si="17"/>
        <v>0</v>
      </c>
      <c r="K50" s="1"/>
      <c r="L50" s="1">
        <f t="shared" si="18"/>
        <v>27.42</v>
      </c>
      <c r="M50" s="1"/>
      <c r="N50" s="5">
        <f t="shared" si="19"/>
        <v>2.742</v>
      </c>
      <c r="O50" s="13"/>
      <c r="P50" s="1">
        <f>SUM(OSRRefP22_7x_0)</f>
        <v>597.36</v>
      </c>
      <c r="Q50" s="1"/>
      <c r="R50" s="5">
        <f t="shared" si="20"/>
        <v>0</v>
      </c>
      <c r="S50" s="1"/>
      <c r="T50" s="1">
        <f>SUM(OSRRefT22_7x_0)</f>
        <v>230</v>
      </c>
      <c r="U50" s="1"/>
      <c r="V50" s="5">
        <f t="shared" si="21"/>
        <v>0</v>
      </c>
      <c r="W50" s="1"/>
      <c r="X50" s="1">
        <f t="shared" si="22"/>
        <v>367.36</v>
      </c>
      <c r="Y50" s="1"/>
      <c r="Z50" s="5">
        <f t="shared" si="23"/>
        <v>1.5972173913043479</v>
      </c>
    </row>
    <row r="51" spans="1:26" s="24" customFormat="1" hidden="1" outlineLevel="2" x14ac:dyDescent="0.25">
      <c r="A51" s="25"/>
      <c r="B51" s="11" t="str">
        <f>CONCATENATE("          ", "6234", " - ", "EXPENDABLE SUPPLIES &amp; EQUIPMEN")</f>
        <v xml:space="preserve">          6234 - EXPENDABLE SUPPLIES &amp; EQUIPMEN</v>
      </c>
      <c r="C51" s="11"/>
      <c r="D51" s="7"/>
      <c r="E51" s="2"/>
      <c r="F51" s="6">
        <f t="shared" si="16"/>
        <v>0</v>
      </c>
      <c r="G51" s="2"/>
      <c r="H51" s="7">
        <v>0</v>
      </c>
      <c r="I51" s="2"/>
      <c r="J51" s="6">
        <f t="shared" si="17"/>
        <v>0</v>
      </c>
      <c r="K51" s="2"/>
      <c r="L51" s="7">
        <f t="shared" si="18"/>
        <v>0</v>
      </c>
      <c r="M51" s="2"/>
      <c r="N51" s="6">
        <f t="shared" si="19"/>
        <v>0</v>
      </c>
      <c r="O51" s="11"/>
      <c r="P51" s="7">
        <v>559.94000000000005</v>
      </c>
      <c r="Q51" s="2"/>
      <c r="R51" s="6">
        <f t="shared" si="20"/>
        <v>0</v>
      </c>
      <c r="S51" s="2"/>
      <c r="T51" s="7">
        <v>200</v>
      </c>
      <c r="U51" s="2"/>
      <c r="V51" s="6">
        <f t="shared" si="21"/>
        <v>0</v>
      </c>
      <c r="W51" s="2"/>
      <c r="X51" s="7">
        <f t="shared" si="22"/>
        <v>359.94000000000005</v>
      </c>
      <c r="Y51" s="2"/>
      <c r="Z51" s="6">
        <f t="shared" si="23"/>
        <v>1.7997000000000003</v>
      </c>
    </row>
    <row r="52" spans="1:26" s="24" customFormat="1" hidden="1" outlineLevel="2" x14ac:dyDescent="0.25">
      <c r="A52" s="25"/>
      <c r="B52" s="11" t="str">
        <f>CONCATENATE("          ", "6241", " - ", "OFFICE EXPENSE")</f>
        <v xml:space="preserve">          6241 - OFFICE EXPENSE</v>
      </c>
      <c r="C52" s="11"/>
      <c r="D52" s="7">
        <v>37.42</v>
      </c>
      <c r="E52" s="2"/>
      <c r="F52" s="6">
        <f t="shared" si="16"/>
        <v>0</v>
      </c>
      <c r="G52" s="2"/>
      <c r="H52" s="7">
        <v>10</v>
      </c>
      <c r="I52" s="2"/>
      <c r="J52" s="6">
        <f t="shared" si="17"/>
        <v>0</v>
      </c>
      <c r="K52" s="2"/>
      <c r="L52" s="7">
        <f t="shared" si="18"/>
        <v>27.42</v>
      </c>
      <c r="M52" s="2"/>
      <c r="N52" s="6">
        <f t="shared" si="19"/>
        <v>2.742</v>
      </c>
      <c r="O52" s="11"/>
      <c r="P52" s="7">
        <v>37.42</v>
      </c>
      <c r="Q52" s="2"/>
      <c r="R52" s="6">
        <f t="shared" si="20"/>
        <v>0</v>
      </c>
      <c r="S52" s="2"/>
      <c r="T52" s="7">
        <v>30</v>
      </c>
      <c r="U52" s="2"/>
      <c r="V52" s="6">
        <f t="shared" si="21"/>
        <v>0</v>
      </c>
      <c r="W52" s="2"/>
      <c r="X52" s="7">
        <f t="shared" si="22"/>
        <v>7.4200000000000017</v>
      </c>
      <c r="Y52" s="2"/>
      <c r="Z52" s="6">
        <f t="shared" si="23"/>
        <v>0.24733333333333338</v>
      </c>
    </row>
    <row r="53" spans="1:26" s="26" customFormat="1" outlineLevel="1" collapsed="1" x14ac:dyDescent="0.25">
      <c r="A53" s="27"/>
      <c r="B53" s="13" t="str">
        <f>CONCATENATE("     ","Telephone/Data Lines                              ")</f>
        <v xml:space="preserve">     Telephone/Data Lines                              </v>
      </c>
      <c r="C53" s="13"/>
      <c r="D53" s="1">
        <f>SUM(OSRRefD22_8x_0)</f>
        <v>65</v>
      </c>
      <c r="E53" s="1"/>
      <c r="F53" s="5">
        <f t="shared" ref="F53:F56" si="24">IF(D$12=0,0,D53/D$12)</f>
        <v>0</v>
      </c>
      <c r="G53" s="1"/>
      <c r="H53" s="1">
        <f>SUM(OSRRefH22_8x_0)</f>
        <v>15</v>
      </c>
      <c r="I53" s="1"/>
      <c r="J53" s="5">
        <f t="shared" ref="J53:J56" si="25">IF(H$12=0,0,H53/H$12)</f>
        <v>0</v>
      </c>
      <c r="K53" s="1"/>
      <c r="L53" s="1">
        <f t="shared" ref="L53:L56" si="26">+D53-H53</f>
        <v>50</v>
      </c>
      <c r="M53" s="1"/>
      <c r="N53" s="5">
        <f t="shared" ref="N53:N56" si="27">IF(H53=0,0,L53/H53)</f>
        <v>3.3333333333333335</v>
      </c>
      <c r="O53" s="13"/>
      <c r="P53" s="1">
        <f>SUM(OSRRefP22_8x_0)</f>
        <v>164.35</v>
      </c>
      <c r="Q53" s="1"/>
      <c r="R53" s="5">
        <f t="shared" ref="R53:R56" si="28">IF(P$12=0,0,P53/P$12)</f>
        <v>0</v>
      </c>
      <c r="S53" s="1"/>
      <c r="T53" s="1">
        <f>SUM(OSRRefT22_8x_0)</f>
        <v>195</v>
      </c>
      <c r="U53" s="1"/>
      <c r="V53" s="5">
        <f t="shared" ref="V53:V56" si="29">IF(T$12=0,0,T53/T$12)</f>
        <v>0</v>
      </c>
      <c r="W53" s="1"/>
      <c r="X53" s="1">
        <f t="shared" ref="X53:X56" si="30">+P53-T53</f>
        <v>-30.650000000000006</v>
      </c>
      <c r="Y53" s="1"/>
      <c r="Z53" s="5">
        <f t="shared" ref="Z53:Z56" si="31">IF(T53=0,0,X53/T53)</f>
        <v>-0.15717948717948721</v>
      </c>
    </row>
    <row r="54" spans="1:26" s="24" customFormat="1" hidden="1" outlineLevel="2" x14ac:dyDescent="0.25">
      <c r="A54" s="25"/>
      <c r="B54" s="11" t="str">
        <f>CONCATENATE("          ", "6309", " - ", "TELEPHONE")</f>
        <v xml:space="preserve">          6309 - TELEPHONE</v>
      </c>
      <c r="C54" s="11"/>
      <c r="D54" s="7">
        <v>65</v>
      </c>
      <c r="E54" s="2"/>
      <c r="F54" s="6">
        <f t="shared" si="24"/>
        <v>0</v>
      </c>
      <c r="G54" s="2"/>
      <c r="H54" s="7">
        <v>15</v>
      </c>
      <c r="I54" s="2"/>
      <c r="J54" s="6">
        <f t="shared" si="25"/>
        <v>0</v>
      </c>
      <c r="K54" s="2"/>
      <c r="L54" s="7">
        <f t="shared" si="26"/>
        <v>50</v>
      </c>
      <c r="M54" s="2"/>
      <c r="N54" s="6">
        <f t="shared" si="27"/>
        <v>3.3333333333333335</v>
      </c>
      <c r="O54" s="11"/>
      <c r="P54" s="7">
        <v>164.35</v>
      </c>
      <c r="Q54" s="2"/>
      <c r="R54" s="6">
        <f t="shared" si="28"/>
        <v>0</v>
      </c>
      <c r="S54" s="2"/>
      <c r="T54" s="7">
        <v>195</v>
      </c>
      <c r="U54" s="2"/>
      <c r="V54" s="6">
        <f t="shared" si="29"/>
        <v>0</v>
      </c>
      <c r="W54" s="2"/>
      <c r="X54" s="7">
        <f t="shared" si="30"/>
        <v>-30.650000000000006</v>
      </c>
      <c r="Y54" s="2"/>
      <c r="Z54" s="6">
        <f t="shared" si="31"/>
        <v>-0.15717948717948721</v>
      </c>
    </row>
    <row r="55" spans="1:26" s="26" customFormat="1" outlineLevel="1" collapsed="1" x14ac:dyDescent="0.25">
      <c r="A55" s="27"/>
      <c r="B55" s="13" t="str">
        <f>CONCATENATE("     ","Travel                                            ")</f>
        <v xml:space="preserve">     Travel                                            </v>
      </c>
      <c r="C55" s="13"/>
      <c r="D55" s="1">
        <f>SUM(OSRRefD22_9x_0)</f>
        <v>16.100000000000001</v>
      </c>
      <c r="E55" s="1"/>
      <c r="F55" s="5">
        <f t="shared" si="24"/>
        <v>0</v>
      </c>
      <c r="G55" s="1"/>
      <c r="H55" s="1">
        <f>SUM(OSRRefH22_9x_0)</f>
        <v>0</v>
      </c>
      <c r="I55" s="1"/>
      <c r="J55" s="5">
        <f t="shared" si="25"/>
        <v>0</v>
      </c>
      <c r="K55" s="1"/>
      <c r="L55" s="1">
        <f t="shared" si="26"/>
        <v>16.100000000000001</v>
      </c>
      <c r="M55" s="1"/>
      <c r="N55" s="5">
        <f t="shared" si="27"/>
        <v>0</v>
      </c>
      <c r="O55" s="13"/>
      <c r="P55" s="1">
        <f>SUM(OSRRefP22_9x_0)</f>
        <v>16.100000000000001</v>
      </c>
      <c r="Q55" s="1"/>
      <c r="R55" s="5">
        <f t="shared" si="28"/>
        <v>0</v>
      </c>
      <c r="S55" s="1"/>
      <c r="T55" s="1">
        <f>SUM(OSRRefT22_9x_0)</f>
        <v>0</v>
      </c>
      <c r="U55" s="1"/>
      <c r="V55" s="5">
        <f t="shared" si="29"/>
        <v>0</v>
      </c>
      <c r="W55" s="1"/>
      <c r="X55" s="1">
        <f t="shared" si="30"/>
        <v>16.100000000000001</v>
      </c>
      <c r="Y55" s="1"/>
      <c r="Z55" s="5">
        <f t="shared" si="31"/>
        <v>0</v>
      </c>
    </row>
    <row r="56" spans="1:26" s="24" customFormat="1" hidden="1" outlineLevel="2" x14ac:dyDescent="0.25">
      <c r="A56" s="25"/>
      <c r="B56" s="11" t="str">
        <f>CONCATENATE("          ", "6292", " - ", "TRAVEL/CONFERENCE")</f>
        <v xml:space="preserve">          6292 - TRAVEL/CONFERENCE</v>
      </c>
      <c r="C56" s="11"/>
      <c r="D56" s="7">
        <v>16.100000000000001</v>
      </c>
      <c r="E56" s="2"/>
      <c r="F56" s="6">
        <f t="shared" si="24"/>
        <v>0</v>
      </c>
      <c r="G56" s="2"/>
      <c r="H56" s="7"/>
      <c r="I56" s="2"/>
      <c r="J56" s="6">
        <f t="shared" si="25"/>
        <v>0</v>
      </c>
      <c r="K56" s="2"/>
      <c r="L56" s="7">
        <f t="shared" si="26"/>
        <v>16.100000000000001</v>
      </c>
      <c r="M56" s="2"/>
      <c r="N56" s="6">
        <f t="shared" si="27"/>
        <v>0</v>
      </c>
      <c r="O56" s="11"/>
      <c r="P56" s="7">
        <v>16.100000000000001</v>
      </c>
      <c r="Q56" s="2"/>
      <c r="R56" s="6">
        <f t="shared" si="28"/>
        <v>0</v>
      </c>
      <c r="S56" s="2"/>
      <c r="T56" s="7"/>
      <c r="U56" s="2"/>
      <c r="V56" s="6">
        <f t="shared" si="29"/>
        <v>0</v>
      </c>
      <c r="W56" s="2"/>
      <c r="X56" s="7">
        <f t="shared" si="30"/>
        <v>16.100000000000001</v>
      </c>
      <c r="Y56" s="2"/>
      <c r="Z56" s="6">
        <f t="shared" si="31"/>
        <v>0</v>
      </c>
    </row>
    <row r="57" spans="1:26" s="63" customFormat="1" x14ac:dyDescent="0.25">
      <c r="A57" s="36"/>
      <c r="B57" s="36"/>
      <c r="C57" s="36"/>
      <c r="D57" s="1"/>
      <c r="E57" s="1"/>
      <c r="F57" s="5"/>
      <c r="G57" s="1"/>
      <c r="H57" s="1"/>
      <c r="I57" s="1"/>
      <c r="J57" s="5"/>
      <c r="K57" s="1"/>
      <c r="L57" s="1"/>
      <c r="M57" s="1"/>
      <c r="N57" s="5"/>
      <c r="O57" s="36"/>
      <c r="P57" s="1"/>
      <c r="Q57" s="1"/>
      <c r="R57" s="5"/>
      <c r="S57" s="1"/>
      <c r="T57" s="1"/>
      <c r="U57" s="1"/>
      <c r="V57" s="5"/>
      <c r="W57" s="1"/>
      <c r="X57" s="1"/>
      <c r="Y57" s="1"/>
      <c r="Z57" s="5"/>
    </row>
    <row r="58" spans="1:26" s="23" customFormat="1" x14ac:dyDescent="0.25">
      <c r="A58" s="10"/>
      <c r="B58" s="28" t="s">
        <v>0</v>
      </c>
      <c r="C58" s="10"/>
      <c r="D58" s="4">
        <f>SUM(0)</f>
        <v>0</v>
      </c>
      <c r="E58" s="4"/>
      <c r="F58" s="12">
        <f>IF(D$12=0,0,D58/D$12)</f>
        <v>0</v>
      </c>
      <c r="G58" s="4"/>
      <c r="H58" s="4">
        <f>SUM(0)</f>
        <v>0</v>
      </c>
      <c r="I58" s="4"/>
      <c r="J58" s="12">
        <f>IF(H$12=0,0,H58/H$12)</f>
        <v>0</v>
      </c>
      <c r="K58" s="4"/>
      <c r="L58" s="4">
        <f>+D58-H58</f>
        <v>0</v>
      </c>
      <c r="M58" s="4"/>
      <c r="N58" s="12">
        <f>IF(H58=0,0,L58/H58)</f>
        <v>0</v>
      </c>
      <c r="O58" s="10"/>
      <c r="P58" s="4">
        <f>SUM(0)</f>
        <v>0</v>
      </c>
      <c r="Q58" s="4"/>
      <c r="R58" s="12">
        <f>IF(P$12=0,0,P58/P$12)</f>
        <v>0</v>
      </c>
      <c r="S58" s="4"/>
      <c r="T58" s="4">
        <f>SUM(0)</f>
        <v>0</v>
      </c>
      <c r="U58" s="4"/>
      <c r="V58" s="12">
        <f>IF(T$12=0,0,T58/T$12)</f>
        <v>0</v>
      </c>
      <c r="W58" s="4"/>
      <c r="X58" s="4">
        <f>+P58-T58</f>
        <v>0</v>
      </c>
      <c r="Y58" s="4"/>
      <c r="Z58" s="12">
        <f>IF(T58=0,0,X58/T58)</f>
        <v>0</v>
      </c>
    </row>
    <row r="59" spans="1:26" x14ac:dyDescent="0.25">
      <c r="A59" s="9"/>
      <c r="B59" s="10"/>
      <c r="C59" s="10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O59" s="10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25">
      <c r="A60" s="10"/>
      <c r="B60" s="29" t="s">
        <v>3</v>
      </c>
      <c r="C60" s="29"/>
      <c r="D60" s="22">
        <f>+D16-D18+D58</f>
        <v>-6663.1600000000008</v>
      </c>
      <c r="E60" s="14"/>
      <c r="F60" s="20">
        <f>IF(D$12=0,0,D60/D$12)</f>
        <v>0</v>
      </c>
      <c r="G60" s="14"/>
      <c r="H60" s="22">
        <f>+H16-H18+H58</f>
        <v>-7260.5090453384582</v>
      </c>
      <c r="I60" s="14"/>
      <c r="J60" s="20">
        <f>IF(H$12=0,0,H60/H$12)</f>
        <v>0</v>
      </c>
      <c r="K60" s="15"/>
      <c r="L60" s="22">
        <f>+D60-H60</f>
        <v>597.34904533845747</v>
      </c>
      <c r="M60" s="15"/>
      <c r="N60" s="20">
        <f>IF(H60=0,0,L60/H60)</f>
        <v>-8.2273714089231773E-2</v>
      </c>
      <c r="O60" s="28"/>
      <c r="P60" s="22">
        <f>+P16-P18+P58</f>
        <v>-24123.579999999994</v>
      </c>
      <c r="Q60" s="14"/>
      <c r="R60" s="20">
        <f>IF(P$12=0,0,P60/P$12)</f>
        <v>0</v>
      </c>
      <c r="S60" s="14"/>
      <c r="T60" s="22">
        <f>+T16-T18+T58</f>
        <v>-27978.404397350001</v>
      </c>
      <c r="U60" s="14"/>
      <c r="V60" s="20">
        <f>IF(T$12=0,0,T60/T$12)</f>
        <v>0</v>
      </c>
      <c r="W60" s="15"/>
      <c r="X60" s="22">
        <f>+P60-T60</f>
        <v>3854.8243973500066</v>
      </c>
      <c r="Y60" s="15"/>
      <c r="Z60" s="20">
        <f>IF(T60=0,0,X60/T60)</f>
        <v>-0.137778564588734</v>
      </c>
    </row>
    <row r="61" spans="1:26" x14ac:dyDescent="0.25">
      <c r="A61" s="9"/>
      <c r="B61" s="10"/>
      <c r="C61" s="9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25">
      <c r="A62" s="52"/>
      <c r="B62" s="10" t="s">
        <v>14</v>
      </c>
      <c r="C62" s="10"/>
      <c r="D62" s="4"/>
      <c r="E62" s="4"/>
      <c r="F62" s="12">
        <f>IF(D$12=0,0,D62/D$12)</f>
        <v>0</v>
      </c>
      <c r="G62" s="4"/>
      <c r="H62" s="4"/>
      <c r="I62" s="4"/>
      <c r="J62" s="12">
        <f>IF(H$12=0,0,H62/H$12)</f>
        <v>0</v>
      </c>
      <c r="K62" s="4"/>
      <c r="L62" s="4">
        <f>+D62-H62</f>
        <v>0</v>
      </c>
      <c r="M62" s="4"/>
      <c r="N62" s="12">
        <f>IF(H62=0,0,L62/H62)</f>
        <v>0</v>
      </c>
      <c r="O62" s="10"/>
      <c r="P62" s="4"/>
      <c r="Q62" s="4"/>
      <c r="R62" s="12">
        <f>IF(P$12=0,0,P62/P$12)</f>
        <v>0</v>
      </c>
      <c r="S62" s="4"/>
      <c r="T62" s="4">
        <v>0</v>
      </c>
      <c r="U62" s="4"/>
      <c r="V62" s="12">
        <f>IF(T$12=0,0,T62/T$12)</f>
        <v>0</v>
      </c>
      <c r="W62" s="4"/>
      <c r="X62" s="4">
        <f>+P62-T62</f>
        <v>0</v>
      </c>
      <c r="Y62" s="4"/>
      <c r="Z62" s="12">
        <f>IF(T62=0,0,X62/T62)</f>
        <v>0</v>
      </c>
    </row>
    <row r="63" spans="1:26" x14ac:dyDescent="0.25">
      <c r="A63" s="9"/>
      <c r="B63" s="10"/>
      <c r="C63" s="10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O63" s="10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ht="15.75" thickBot="1" x14ac:dyDescent="0.3">
      <c r="A64" s="10"/>
      <c r="B64" s="29" t="s">
        <v>4</v>
      </c>
      <c r="C64" s="29"/>
      <c r="D64" s="35">
        <f>+D60-D62</f>
        <v>-6663.1600000000008</v>
      </c>
      <c r="E64" s="14"/>
      <c r="F64" s="32">
        <f>IF(D$12=0,0,D64/D$12)</f>
        <v>0</v>
      </c>
      <c r="G64" s="14"/>
      <c r="H64" s="35">
        <f>+H60-H62</f>
        <v>-7260.5090453384582</v>
      </c>
      <c r="I64" s="14"/>
      <c r="J64" s="32">
        <f>IF(H$12=0,0,H64/H$12)</f>
        <v>0</v>
      </c>
      <c r="K64" s="15"/>
      <c r="L64" s="35">
        <f>D64-H64</f>
        <v>597.34904533845747</v>
      </c>
      <c r="M64" s="15"/>
      <c r="N64" s="32">
        <f>IF(H64=0,0,L64/H64)</f>
        <v>-8.2273714089231773E-2</v>
      </c>
      <c r="O64" s="28"/>
      <c r="P64" s="35">
        <f>+P60-P62</f>
        <v>-24123.579999999994</v>
      </c>
      <c r="Q64" s="14"/>
      <c r="R64" s="32">
        <f>IF(P$12=0,0,P64/P$12)</f>
        <v>0</v>
      </c>
      <c r="S64" s="14"/>
      <c r="T64" s="35">
        <f>+T60-T62</f>
        <v>-27978.404397350001</v>
      </c>
      <c r="U64" s="14"/>
      <c r="V64" s="32">
        <f>IF(T$12=0,0,T64/T$12)</f>
        <v>0</v>
      </c>
      <c r="W64" s="15"/>
      <c r="X64" s="35">
        <f>P64-T64</f>
        <v>3854.8243973500066</v>
      </c>
      <c r="Y64" s="15"/>
      <c r="Z64" s="32">
        <f>IF(T64=0,0,X64/T64)</f>
        <v>-0.137778564588734</v>
      </c>
    </row>
    <row r="65" spans="1:26" ht="15.75" thickTop="1" x14ac:dyDescent="0.25">
      <c r="A65" s="9"/>
      <c r="B65" s="9"/>
      <c r="C65" s="9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x14ac:dyDescent="0.25">
      <c r="A66" s="9"/>
      <c r="B66" s="9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ht="15.75" thickBot="1" x14ac:dyDescent="0.3">
      <c r="A67" s="10"/>
      <c r="B67" s="29" t="s">
        <v>5</v>
      </c>
      <c r="C67" s="29"/>
      <c r="D67" s="30">
        <f>SUM(D64:D66)</f>
        <v>-6663.1600000000008</v>
      </c>
      <c r="E67" s="14"/>
      <c r="F67" s="31">
        <f>IF(D$12=0,0,D67/D$12)</f>
        <v>0</v>
      </c>
      <c r="G67" s="14"/>
      <c r="H67" s="30">
        <f>SUM(H64:H66)</f>
        <v>-7260.5090453384582</v>
      </c>
      <c r="I67" s="14"/>
      <c r="J67" s="31">
        <f>IF(H$12=0,0,H67/H$12)</f>
        <v>0</v>
      </c>
      <c r="K67" s="15"/>
      <c r="L67" s="30">
        <f>+D67-H67</f>
        <v>597.34904533845747</v>
      </c>
      <c r="M67" s="15"/>
      <c r="N67" s="31">
        <f>IF(H67=0,0,L67/H67)</f>
        <v>-8.2273714089231773E-2</v>
      </c>
      <c r="O67" s="28"/>
      <c r="P67" s="30">
        <f>SUM(P64:P66)</f>
        <v>-24123.579999999994</v>
      </c>
      <c r="Q67" s="14"/>
      <c r="R67" s="31">
        <f>IF(P$12=0,0,P67/P$12)</f>
        <v>0</v>
      </c>
      <c r="S67" s="14"/>
      <c r="T67" s="30">
        <f>SUM(T64:T66)</f>
        <v>-27978.404397350001</v>
      </c>
      <c r="U67" s="14"/>
      <c r="V67" s="31">
        <f>IF(T$12=0,0,T67/T$12)</f>
        <v>0</v>
      </c>
      <c r="W67" s="15"/>
      <c r="X67" s="30">
        <f>+P67-T67</f>
        <v>3854.8243973500066</v>
      </c>
      <c r="Y67" s="15"/>
      <c r="Z67" s="31">
        <f>IF(T67=0,0,X67/T67)</f>
        <v>-0.137778564588734</v>
      </c>
    </row>
    <row r="68" spans="1:26" ht="15.75" thickTop="1" x14ac:dyDescent="0.25">
      <c r="A68" s="9"/>
      <c r="C68" s="9"/>
      <c r="D68" s="18"/>
      <c r="E68" s="18"/>
      <c r="G68" s="18"/>
      <c r="H68" s="18"/>
      <c r="I68" s="18"/>
      <c r="J68" s="43"/>
      <c r="K68" s="18"/>
      <c r="L68" s="18"/>
      <c r="M68" s="18"/>
      <c r="P68" s="18"/>
      <c r="Q68" s="18"/>
      <c r="R68" s="43"/>
      <c r="S68" s="18"/>
      <c r="T68" s="18"/>
      <c r="U68" s="18"/>
      <c r="V68" s="43"/>
      <c r="W68" s="18"/>
      <c r="X68" s="18"/>
    </row>
    <row r="69" spans="1:26" x14ac:dyDescent="0.25">
      <c r="A69" s="9"/>
      <c r="B69" s="53">
        <v>43756.452126354168</v>
      </c>
      <c r="D69" s="18"/>
      <c r="E69" s="18"/>
      <c r="G69" s="18"/>
      <c r="H69" s="18"/>
      <c r="I69" s="18"/>
      <c r="J69" s="43"/>
      <c r="K69" s="18"/>
      <c r="L69" s="18"/>
      <c r="M69" s="18"/>
      <c r="P69" s="18"/>
      <c r="Q69" s="18"/>
      <c r="R69" s="43"/>
      <c r="S69" s="18"/>
      <c r="T69" s="18"/>
      <c r="U69" s="18"/>
      <c r="V69" s="43"/>
      <c r="W69" s="18"/>
      <c r="X69" s="18"/>
    </row>
    <row r="70" spans="1:26" x14ac:dyDescent="0.25">
      <c r="A70" s="9"/>
      <c r="B70" s="55" t="s">
        <v>314</v>
      </c>
      <c r="D70" s="18"/>
      <c r="E70" s="18"/>
      <c r="G70" s="18"/>
      <c r="H70" s="18"/>
      <c r="I70" s="18"/>
      <c r="J70" s="43"/>
      <c r="K70" s="18"/>
      <c r="L70" s="18"/>
      <c r="M70" s="18"/>
      <c r="P70" s="18"/>
      <c r="Q70" s="18"/>
      <c r="R70" s="43"/>
      <c r="S70" s="18"/>
      <c r="T70" s="18"/>
      <c r="U70" s="18"/>
      <c r="V70" s="43"/>
      <c r="W70" s="18"/>
      <c r="X70" s="18"/>
    </row>
    <row r="71" spans="1:26" x14ac:dyDescent="0.25">
      <c r="A71" s="9"/>
      <c r="B71" s="56"/>
      <c r="D71" s="18"/>
      <c r="E71" s="18"/>
      <c r="G71" s="18"/>
      <c r="H71" s="18"/>
      <c r="I71" s="18"/>
      <c r="J71" s="43"/>
      <c r="K71" s="18"/>
      <c r="L71" s="18"/>
      <c r="M71" s="18"/>
      <c r="P71" s="18"/>
      <c r="Q71" s="18"/>
      <c r="R71" s="43"/>
      <c r="S71" s="18"/>
      <c r="T71" s="18"/>
      <c r="U71" s="18"/>
      <c r="V71" s="43"/>
      <c r="W71" s="18"/>
      <c r="X71" s="18"/>
    </row>
    <row r="72" spans="1:26" x14ac:dyDescent="0.25">
      <c r="D72" s="18"/>
      <c r="E72" s="18"/>
      <c r="G72" s="18"/>
      <c r="H72" s="18"/>
      <c r="I72" s="18"/>
      <c r="J72" s="43"/>
      <c r="K72" s="18"/>
      <c r="L72" s="18"/>
      <c r="M72" s="18"/>
      <c r="P72" s="18"/>
      <c r="Q72" s="18"/>
      <c r="R72" s="43"/>
      <c r="S72" s="18"/>
      <c r="T72" s="18"/>
      <c r="U72" s="18"/>
      <c r="V72" s="43"/>
      <c r="W72" s="18"/>
      <c r="X72" s="18"/>
    </row>
  </sheetData>
  <pageMargins left="0.25" right="0.25" top="0.75" bottom="0.75" header="0.3" footer="0.3"/>
  <pageSetup scale="55" fitToWidth="2"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str">
        <f>CONCATENATE("Period ",RIGHT(202003,2),", ",2020)</f>
        <v>Period 03, 2020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43736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tr">
        <f>CONCATENATE("Department ","206", " - ", "Graphics")</f>
        <v>Department 206 - Graphics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11478.149999999996</v>
      </c>
      <c r="E18" s="21"/>
      <c r="F18" s="33">
        <f t="shared" ref="F18:F28" si="0">IF(D$12=0,0,D18/D$12)</f>
        <v>0</v>
      </c>
      <c r="G18" s="21"/>
      <c r="H18" s="21">
        <f>SUM(OSRRefH22x_0)</f>
        <v>14514.563089515999</v>
      </c>
      <c r="I18" s="21"/>
      <c r="J18" s="33">
        <f t="shared" ref="J18:J28" si="1">IF(H$12=0,0,H18/H$12)</f>
        <v>0</v>
      </c>
      <c r="K18" s="4"/>
      <c r="L18" s="21">
        <f t="shared" ref="L18:L28" si="2">+D18-H18</f>
        <v>-3036.4130895160033</v>
      </c>
      <c r="M18" s="4"/>
      <c r="N18" s="33">
        <f t="shared" ref="N18:N28" si="3">IF(H18=0,0,L18/H18)</f>
        <v>-0.20919769136621358</v>
      </c>
      <c r="O18" s="10"/>
      <c r="P18" s="21">
        <f>SUM(OSRRefP22x_0)</f>
        <v>25426.049999999996</v>
      </c>
      <c r="Q18" s="21"/>
      <c r="R18" s="33">
        <f t="shared" ref="R18:R28" si="4">IF(P$12=0,0,P18/P$12)</f>
        <v>0</v>
      </c>
      <c r="S18" s="21"/>
      <c r="T18" s="21">
        <f>SUM(OSRRefT22x_0)</f>
        <v>44850.346415927008</v>
      </c>
      <c r="U18" s="21"/>
      <c r="V18" s="33">
        <f t="shared" ref="V18:V28" si="5">IF(T$12=0,0,T18/T$12)</f>
        <v>0</v>
      </c>
      <c r="W18" s="4"/>
      <c r="X18" s="21">
        <f t="shared" ref="X18:X28" si="6">+P18-T18</f>
        <v>-19424.296415927012</v>
      </c>
      <c r="Y18" s="4"/>
      <c r="Z18" s="33">
        <f t="shared" ref="Z18:Z28" si="7">IF(T18=0,0,X18/T18)</f>
        <v>-0.43309133525508653</v>
      </c>
    </row>
    <row r="19" spans="1:26" s="26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1726.3899999999999</v>
      </c>
      <c r="E19" s="1"/>
      <c r="F19" s="5">
        <f t="shared" si="0"/>
        <v>0</v>
      </c>
      <c r="G19" s="1"/>
      <c r="H19" s="1">
        <f>SUM(OSRRefH22_0x_0)</f>
        <v>5677.2236095160006</v>
      </c>
      <c r="I19" s="1"/>
      <c r="J19" s="5">
        <f t="shared" si="1"/>
        <v>0</v>
      </c>
      <c r="K19" s="1"/>
      <c r="L19" s="1">
        <f t="shared" si="2"/>
        <v>-3950.8336095160007</v>
      </c>
      <c r="M19" s="1"/>
      <c r="N19" s="5">
        <f t="shared" si="3"/>
        <v>-0.69590945878787047</v>
      </c>
      <c r="O19" s="13"/>
      <c r="P19" s="1">
        <f>SUM(OSRRefP22_0x_0)</f>
        <v>5833.15</v>
      </c>
      <c r="Q19" s="1"/>
      <c r="R19" s="5">
        <f t="shared" si="4"/>
        <v>0</v>
      </c>
      <c r="S19" s="1"/>
      <c r="T19" s="1">
        <f>SUM(OSRRefT22_0x_0)</f>
        <v>17032.493105927002</v>
      </c>
      <c r="U19" s="1"/>
      <c r="V19" s="5">
        <f t="shared" si="5"/>
        <v>0</v>
      </c>
      <c r="W19" s="1"/>
      <c r="X19" s="1">
        <f t="shared" si="6"/>
        <v>-11199.343105927002</v>
      </c>
      <c r="Y19" s="1"/>
      <c r="Z19" s="5">
        <f t="shared" si="7"/>
        <v>-0.65752811618810114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7">
        <v>389.05</v>
      </c>
      <c r="E20" s="2"/>
      <c r="F20" s="6">
        <f t="shared" si="0"/>
        <v>0</v>
      </c>
      <c r="G20" s="2"/>
      <c r="H20" s="7">
        <v>1220.223187116</v>
      </c>
      <c r="I20" s="2"/>
      <c r="J20" s="6">
        <f t="shared" si="1"/>
        <v>0</v>
      </c>
      <c r="K20" s="2"/>
      <c r="L20" s="7">
        <f t="shared" si="2"/>
        <v>-831.17318711600001</v>
      </c>
      <c r="M20" s="2"/>
      <c r="N20" s="6">
        <f t="shared" si="3"/>
        <v>-0.68116488515554241</v>
      </c>
      <c r="O20" s="11"/>
      <c r="P20" s="7">
        <v>1878.21</v>
      </c>
      <c r="Q20" s="2"/>
      <c r="R20" s="6">
        <f t="shared" si="4"/>
        <v>0</v>
      </c>
      <c r="S20" s="2"/>
      <c r="T20" s="7">
        <v>3130.5917331270002</v>
      </c>
      <c r="U20" s="2"/>
      <c r="V20" s="6">
        <f t="shared" si="5"/>
        <v>0</v>
      </c>
      <c r="W20" s="2"/>
      <c r="X20" s="7">
        <f t="shared" si="6"/>
        <v>-1252.3817331270002</v>
      </c>
      <c r="Y20" s="2"/>
      <c r="Z20" s="6">
        <f t="shared" si="7"/>
        <v>-0.40004632985983618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7">
        <v>32.659999999999997</v>
      </c>
      <c r="E21" s="2"/>
      <c r="F21" s="6">
        <f t="shared" si="0"/>
        <v>0</v>
      </c>
      <c r="G21" s="2"/>
      <c r="H21" s="7">
        <v>54.210882480000002</v>
      </c>
      <c r="I21" s="2"/>
      <c r="J21" s="6">
        <f t="shared" si="1"/>
        <v>0</v>
      </c>
      <c r="K21" s="2"/>
      <c r="L21" s="7">
        <f t="shared" si="2"/>
        <v>-21.550882480000006</v>
      </c>
      <c r="M21" s="2"/>
      <c r="N21" s="6">
        <f t="shared" si="3"/>
        <v>-0.39753793876996496</v>
      </c>
      <c r="O21" s="11"/>
      <c r="P21" s="7">
        <v>97.22</v>
      </c>
      <c r="Q21" s="2"/>
      <c r="R21" s="6">
        <f t="shared" si="4"/>
        <v>0</v>
      </c>
      <c r="S21" s="2"/>
      <c r="T21" s="7">
        <v>167.77036806000001</v>
      </c>
      <c r="U21" s="2"/>
      <c r="V21" s="6">
        <f t="shared" si="5"/>
        <v>0</v>
      </c>
      <c r="W21" s="2"/>
      <c r="X21" s="7">
        <f t="shared" si="6"/>
        <v>-70.550368060000011</v>
      </c>
      <c r="Y21" s="2"/>
      <c r="Z21" s="6">
        <f t="shared" si="7"/>
        <v>-0.42051745415953884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7">
        <v>700.91</v>
      </c>
      <c r="E22" s="2"/>
      <c r="F22" s="6">
        <f t="shared" si="0"/>
        <v>0</v>
      </c>
      <c r="G22" s="2"/>
      <c r="H22" s="7">
        <v>2589</v>
      </c>
      <c r="I22" s="2"/>
      <c r="J22" s="6">
        <f t="shared" si="1"/>
        <v>0</v>
      </c>
      <c r="K22" s="2"/>
      <c r="L22" s="7">
        <f t="shared" si="2"/>
        <v>-1888.0900000000001</v>
      </c>
      <c r="M22" s="2"/>
      <c r="N22" s="6">
        <f t="shared" si="3"/>
        <v>-0.72927385090768637</v>
      </c>
      <c r="O22" s="11"/>
      <c r="P22" s="7">
        <v>2102.73</v>
      </c>
      <c r="Q22" s="2"/>
      <c r="R22" s="6">
        <f t="shared" si="4"/>
        <v>0</v>
      </c>
      <c r="S22" s="2"/>
      <c r="T22" s="7">
        <v>7920</v>
      </c>
      <c r="U22" s="2"/>
      <c r="V22" s="6">
        <f t="shared" si="5"/>
        <v>0</v>
      </c>
      <c r="W22" s="2"/>
      <c r="X22" s="7">
        <f t="shared" si="6"/>
        <v>-5817.27</v>
      </c>
      <c r="Y22" s="2"/>
      <c r="Z22" s="6">
        <f t="shared" si="7"/>
        <v>-0.73450378787878789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7">
        <v>24.98</v>
      </c>
      <c r="E23" s="2"/>
      <c r="F23" s="6">
        <f t="shared" si="0"/>
        <v>0</v>
      </c>
      <c r="G23" s="2"/>
      <c r="H23" s="7">
        <v>41.455380720000001</v>
      </c>
      <c r="I23" s="2"/>
      <c r="J23" s="6">
        <f t="shared" si="1"/>
        <v>0</v>
      </c>
      <c r="K23" s="2"/>
      <c r="L23" s="7">
        <f t="shared" si="2"/>
        <v>-16.47538072</v>
      </c>
      <c r="M23" s="2"/>
      <c r="N23" s="6">
        <f t="shared" si="3"/>
        <v>-0.39742442196536171</v>
      </c>
      <c r="O23" s="11"/>
      <c r="P23" s="7">
        <v>74.349999999999994</v>
      </c>
      <c r="Q23" s="2"/>
      <c r="R23" s="6">
        <f t="shared" si="4"/>
        <v>0</v>
      </c>
      <c r="S23" s="2"/>
      <c r="T23" s="7">
        <v>128.29498734000001</v>
      </c>
      <c r="U23" s="2"/>
      <c r="V23" s="6">
        <f t="shared" si="5"/>
        <v>0</v>
      </c>
      <c r="W23" s="2"/>
      <c r="X23" s="7">
        <f t="shared" si="6"/>
        <v>-53.944987340000011</v>
      </c>
      <c r="Y23" s="2"/>
      <c r="Z23" s="6">
        <f t="shared" si="7"/>
        <v>-0.4204761889647185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7"/>
      <c r="E24" s="2"/>
      <c r="F24" s="6">
        <f t="shared" si="0"/>
        <v>0</v>
      </c>
      <c r="G24" s="2"/>
      <c r="H24" s="7">
        <v>599.79643920000001</v>
      </c>
      <c r="I24" s="2"/>
      <c r="J24" s="6">
        <f t="shared" si="1"/>
        <v>0</v>
      </c>
      <c r="K24" s="2"/>
      <c r="L24" s="7">
        <f t="shared" si="2"/>
        <v>-599.79643920000001</v>
      </c>
      <c r="M24" s="2"/>
      <c r="N24" s="6">
        <f t="shared" si="3"/>
        <v>-1</v>
      </c>
      <c r="O24" s="11"/>
      <c r="P24" s="7"/>
      <c r="Q24" s="2"/>
      <c r="R24" s="6">
        <f t="shared" si="4"/>
        <v>0</v>
      </c>
      <c r="S24" s="2"/>
      <c r="T24" s="7">
        <v>1949.3384274</v>
      </c>
      <c r="U24" s="2"/>
      <c r="V24" s="6">
        <f t="shared" si="5"/>
        <v>0</v>
      </c>
      <c r="W24" s="2"/>
      <c r="X24" s="7">
        <f t="shared" si="6"/>
        <v>-1949.3384274</v>
      </c>
      <c r="Y24" s="2"/>
      <c r="Z24" s="6">
        <f t="shared" si="7"/>
        <v>-1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5"/>
      <c r="B26" s="11" t="str">
        <f>CONCATENATE("          ", "6118", " - ", "VACATION")</f>
        <v xml:space="preserve">          6118 - VACATION</v>
      </c>
      <c r="C26" s="11"/>
      <c r="D26" s="7">
        <v>184.8</v>
      </c>
      <c r="E26" s="2"/>
      <c r="F26" s="6">
        <f t="shared" si="0"/>
        <v>0</v>
      </c>
      <c r="G26" s="2"/>
      <c r="H26" s="7">
        <v>554.71885999999995</v>
      </c>
      <c r="I26" s="2"/>
      <c r="J26" s="6">
        <f t="shared" si="1"/>
        <v>0</v>
      </c>
      <c r="K26" s="2"/>
      <c r="L26" s="7">
        <f t="shared" si="2"/>
        <v>-369.91885999999994</v>
      </c>
      <c r="M26" s="2"/>
      <c r="N26" s="6">
        <f t="shared" si="3"/>
        <v>-0.66685827123310715</v>
      </c>
      <c r="O26" s="11"/>
      <c r="P26" s="7">
        <v>554.4</v>
      </c>
      <c r="Q26" s="2"/>
      <c r="R26" s="6">
        <f t="shared" si="4"/>
        <v>0</v>
      </c>
      <c r="S26" s="2"/>
      <c r="T26" s="7">
        <v>1802.8362950000001</v>
      </c>
      <c r="U26" s="2"/>
      <c r="V26" s="6">
        <f t="shared" si="5"/>
        <v>0</v>
      </c>
      <c r="W26" s="2"/>
      <c r="X26" s="7">
        <f t="shared" si="6"/>
        <v>-1248.436295</v>
      </c>
      <c r="Y26" s="2"/>
      <c r="Z26" s="6">
        <f t="shared" si="7"/>
        <v>-0.69248455806132969</v>
      </c>
    </row>
    <row r="27" spans="1:26" s="24" customFormat="1" hidden="1" outlineLevel="2" x14ac:dyDescent="0.25">
      <c r="A27" s="25"/>
      <c r="B27" s="11" t="str">
        <f>CONCATENATE("          ", "6119", " - ", "SICK LEAVE")</f>
        <v xml:space="preserve">          6119 - SICK LEAVE</v>
      </c>
      <c r="C27" s="11"/>
      <c r="D27" s="7">
        <v>221.4</v>
      </c>
      <c r="E27" s="2"/>
      <c r="F27" s="6">
        <f t="shared" si="0"/>
        <v>0</v>
      </c>
      <c r="G27" s="2"/>
      <c r="H27" s="7">
        <v>617.81885999999997</v>
      </c>
      <c r="I27" s="2"/>
      <c r="J27" s="6">
        <f t="shared" si="1"/>
        <v>0</v>
      </c>
      <c r="K27" s="2"/>
      <c r="L27" s="7">
        <f t="shared" si="2"/>
        <v>-396.41886</v>
      </c>
      <c r="M27" s="2"/>
      <c r="N27" s="6">
        <f t="shared" si="3"/>
        <v>-0.6416425358073401</v>
      </c>
      <c r="O27" s="11"/>
      <c r="P27" s="7">
        <v>664.2</v>
      </c>
      <c r="Q27" s="2"/>
      <c r="R27" s="6">
        <f t="shared" si="4"/>
        <v>0</v>
      </c>
      <c r="S27" s="2"/>
      <c r="T27" s="7">
        <v>1933.6612950000001</v>
      </c>
      <c r="U27" s="2"/>
      <c r="V27" s="6">
        <f t="shared" si="5"/>
        <v>0</v>
      </c>
      <c r="W27" s="2"/>
      <c r="X27" s="7">
        <f t="shared" si="6"/>
        <v>-1269.4612950000001</v>
      </c>
      <c r="Y27" s="2"/>
      <c r="Z27" s="6">
        <f t="shared" si="7"/>
        <v>-0.65650654449283996</v>
      </c>
    </row>
    <row r="28" spans="1:26" s="24" customFormat="1" hidden="1" outlineLevel="2" x14ac:dyDescent="0.25">
      <c r="A28" s="25"/>
      <c r="B28" s="11" t="str">
        <f>CONCATENATE("          ", "6156", " - ", "EMPLOYEE MEALS")</f>
        <v xml:space="preserve">          6156 - EMPLOYEE MEALS</v>
      </c>
      <c r="C28" s="11"/>
      <c r="D28" s="7">
        <v>172.59</v>
      </c>
      <c r="E28" s="2"/>
      <c r="F28" s="6">
        <f t="shared" si="0"/>
        <v>0</v>
      </c>
      <c r="G28" s="2"/>
      <c r="H28" s="7"/>
      <c r="I28" s="2"/>
      <c r="J28" s="6">
        <f t="shared" si="1"/>
        <v>0</v>
      </c>
      <c r="K28" s="2"/>
      <c r="L28" s="7">
        <f t="shared" si="2"/>
        <v>172.59</v>
      </c>
      <c r="M28" s="2"/>
      <c r="N28" s="6">
        <f t="shared" si="3"/>
        <v>0</v>
      </c>
      <c r="O28" s="11"/>
      <c r="P28" s="7">
        <v>462.04</v>
      </c>
      <c r="Q28" s="2"/>
      <c r="R28" s="6">
        <f t="shared" si="4"/>
        <v>0</v>
      </c>
      <c r="S28" s="2"/>
      <c r="T28" s="7"/>
      <c r="U28" s="2"/>
      <c r="V28" s="6">
        <f t="shared" si="5"/>
        <v>0</v>
      </c>
      <c r="W28" s="2"/>
      <c r="X28" s="7">
        <f t="shared" si="6"/>
        <v>462.04</v>
      </c>
      <c r="Y28" s="2"/>
      <c r="Z28" s="6">
        <f t="shared" si="7"/>
        <v>0</v>
      </c>
    </row>
    <row r="29" spans="1:26" s="26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9238.5199999999986</v>
      </c>
      <c r="E29" s="1"/>
      <c r="F29" s="5">
        <f t="shared" ref="F29:F39" si="8">IF(D$12=0,0,D29/D$12)</f>
        <v>0</v>
      </c>
      <c r="G29" s="1"/>
      <c r="H29" s="1">
        <f>SUM(OSRRefH22_1x_0)</f>
        <v>15123.339480000001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-5884.8194800000019</v>
      </c>
      <c r="M29" s="1"/>
      <c r="N29" s="5">
        <f t="shared" ref="N29:N39" si="11">IF(H29=0,0,L29/H29)</f>
        <v>-0.38912169417227166</v>
      </c>
      <c r="O29" s="13"/>
      <c r="P29" s="1">
        <f>SUM(OSRRefP22_1x_0)</f>
        <v>31527.599999999999</v>
      </c>
      <c r="Q29" s="1"/>
      <c r="R29" s="5">
        <f t="shared" ref="R29:R39" si="12">IF(P$12=0,0,P29/P$12)</f>
        <v>0</v>
      </c>
      <c r="S29" s="1"/>
      <c r="T29" s="1">
        <f>SUM(OSRRefT22_1x_0)</f>
        <v>46675.853309999999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-15148.25331</v>
      </c>
      <c r="Y29" s="1"/>
      <c r="Z29" s="5">
        <f t="shared" ref="Z29:Z39" si="15">IF(T29=0,0,X29/T29)</f>
        <v>-0.32454153991341356</v>
      </c>
    </row>
    <row r="30" spans="1:26" s="24" customFormat="1" hidden="1" outlineLevel="2" x14ac:dyDescent="0.25">
      <c r="A30" s="25"/>
      <c r="B30" s="11" t="str">
        <f>CONCATENATE("          ", "6001", " - ", "ADMINISTRATIVE SALARIES")</f>
        <v xml:space="preserve">          6001 - ADMINISTRATIVE SALARIES</v>
      </c>
      <c r="C30" s="11"/>
      <c r="D30" s="7"/>
      <c r="E30" s="2"/>
      <c r="F30" s="6">
        <f t="shared" si="8"/>
        <v>0</v>
      </c>
      <c r="G30" s="2"/>
      <c r="H30" s="7">
        <v>6276.93948</v>
      </c>
      <c r="I30" s="2"/>
      <c r="J30" s="6">
        <f t="shared" si="9"/>
        <v>0</v>
      </c>
      <c r="K30" s="2"/>
      <c r="L30" s="7">
        <f t="shared" si="10"/>
        <v>-6276.93948</v>
      </c>
      <c r="M30" s="2"/>
      <c r="N30" s="6">
        <f t="shared" si="11"/>
        <v>-1</v>
      </c>
      <c r="O30" s="11"/>
      <c r="P30" s="7"/>
      <c r="Q30" s="2"/>
      <c r="R30" s="6">
        <f t="shared" si="12"/>
        <v>0</v>
      </c>
      <c r="S30" s="2"/>
      <c r="T30" s="7">
        <v>20400.053309999999</v>
      </c>
      <c r="U30" s="2"/>
      <c r="V30" s="6">
        <f t="shared" si="13"/>
        <v>0</v>
      </c>
      <c r="W30" s="2"/>
      <c r="X30" s="7">
        <f t="shared" si="14"/>
        <v>-20400.053309999999</v>
      </c>
      <c r="Y30" s="2"/>
      <c r="Z30" s="6">
        <f t="shared" si="15"/>
        <v>-1</v>
      </c>
    </row>
    <row r="31" spans="1:26" s="24" customFormat="1" hidden="1" outlineLevel="2" x14ac:dyDescent="0.25">
      <c r="A31" s="25"/>
      <c r="B31" s="11" t="str">
        <f>CONCATENATE("          ", "6002", " - ", "STAFF SALARIES")</f>
        <v xml:space="preserve">          6002 - STAFF SALARIES</v>
      </c>
      <c r="C31" s="11"/>
      <c r="D31" s="7"/>
      <c r="E31" s="2"/>
      <c r="F31" s="6">
        <f t="shared" si="8"/>
        <v>0</v>
      </c>
      <c r="G31" s="2"/>
      <c r="H31" s="7">
        <v>0</v>
      </c>
      <c r="I31" s="2"/>
      <c r="J31" s="6">
        <f t="shared" si="9"/>
        <v>0</v>
      </c>
      <c r="K31" s="2"/>
      <c r="L31" s="7">
        <f t="shared" si="10"/>
        <v>0</v>
      </c>
      <c r="M31" s="2"/>
      <c r="N31" s="6">
        <f t="shared" si="11"/>
        <v>0</v>
      </c>
      <c r="O31" s="11"/>
      <c r="P31" s="7"/>
      <c r="Q31" s="2"/>
      <c r="R31" s="6">
        <f t="shared" si="12"/>
        <v>0</v>
      </c>
      <c r="S31" s="2"/>
      <c r="T31" s="7">
        <v>0</v>
      </c>
      <c r="U31" s="2"/>
      <c r="V31" s="6">
        <f t="shared" si="13"/>
        <v>0</v>
      </c>
      <c r="W31" s="2"/>
      <c r="X31" s="7">
        <f t="shared" si="14"/>
        <v>0</v>
      </c>
      <c r="Y31" s="2"/>
      <c r="Z31" s="6">
        <f t="shared" si="15"/>
        <v>0</v>
      </c>
    </row>
    <row r="32" spans="1:26" s="24" customFormat="1" hidden="1" outlineLevel="2" x14ac:dyDescent="0.25">
      <c r="A32" s="25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5"/>
      <c r="B33" s="11" t="str">
        <f>CONCATENATE("          ", "6004", " - ", "STAFF HOURLY")</f>
        <v xml:space="preserve">          6004 - STAFF HOURLY</v>
      </c>
      <c r="C33" s="11"/>
      <c r="D33" s="7">
        <v>4597.5</v>
      </c>
      <c r="E33" s="2"/>
      <c r="F33" s="6">
        <f t="shared" si="8"/>
        <v>0</v>
      </c>
      <c r="G33" s="2"/>
      <c r="H33" s="7">
        <v>3996.4</v>
      </c>
      <c r="I33" s="2"/>
      <c r="J33" s="6">
        <f t="shared" si="9"/>
        <v>0</v>
      </c>
      <c r="K33" s="2"/>
      <c r="L33" s="7">
        <f t="shared" si="10"/>
        <v>601.09999999999991</v>
      </c>
      <c r="M33" s="2"/>
      <c r="N33" s="6">
        <f t="shared" si="11"/>
        <v>0.15041036933239912</v>
      </c>
      <c r="O33" s="11"/>
      <c r="P33" s="7">
        <v>14718.75</v>
      </c>
      <c r="Q33" s="2"/>
      <c r="R33" s="6">
        <f t="shared" si="12"/>
        <v>0</v>
      </c>
      <c r="S33" s="2"/>
      <c r="T33" s="7">
        <v>12988.3</v>
      </c>
      <c r="U33" s="2"/>
      <c r="V33" s="6">
        <f t="shared" si="13"/>
        <v>0</v>
      </c>
      <c r="W33" s="2"/>
      <c r="X33" s="7">
        <f t="shared" si="14"/>
        <v>1730.4500000000007</v>
      </c>
      <c r="Y33" s="2"/>
      <c r="Z33" s="6">
        <f t="shared" si="15"/>
        <v>0.13323144676362578</v>
      </c>
    </row>
    <row r="34" spans="1:26" s="24" customFormat="1" hidden="1" outlineLevel="2" x14ac:dyDescent="0.25">
      <c r="A34" s="25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25">
      <c r="A35" s="25"/>
      <c r="B35" s="11" t="str">
        <f>CONCATENATE("          ", "6006", " - ", "TEMPORARY PART TIME")</f>
        <v xml:space="preserve">          6006 - TEMPORARY PART TIME</v>
      </c>
      <c r="C35" s="11"/>
      <c r="D35" s="7">
        <v>498.75</v>
      </c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498.75</v>
      </c>
      <c r="M35" s="2"/>
      <c r="N35" s="6">
        <f t="shared" si="11"/>
        <v>0</v>
      </c>
      <c r="O35" s="11"/>
      <c r="P35" s="7">
        <v>2361.4299999999998</v>
      </c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2361.4299999999998</v>
      </c>
      <c r="Y35" s="2"/>
      <c r="Z35" s="6">
        <f t="shared" si="15"/>
        <v>0</v>
      </c>
    </row>
    <row r="36" spans="1:26" s="24" customFormat="1" hidden="1" outlineLevel="2" x14ac:dyDescent="0.25">
      <c r="A36" s="25"/>
      <c r="B36" s="11" t="str">
        <f>CONCATENATE("          ", "6007", " - ", "STUDENT HOURLY")</f>
        <v xml:space="preserve">          6007 - STUDENT HOURLY</v>
      </c>
      <c r="C36" s="11"/>
      <c r="D36" s="7">
        <v>3193.89</v>
      </c>
      <c r="E36" s="2"/>
      <c r="F36" s="6">
        <f t="shared" si="8"/>
        <v>0</v>
      </c>
      <c r="G36" s="2"/>
      <c r="H36" s="7">
        <v>4850</v>
      </c>
      <c r="I36" s="2"/>
      <c r="J36" s="6">
        <f t="shared" si="9"/>
        <v>0</v>
      </c>
      <c r="K36" s="2"/>
      <c r="L36" s="7">
        <f t="shared" si="10"/>
        <v>-1656.1100000000001</v>
      </c>
      <c r="M36" s="2"/>
      <c r="N36" s="6">
        <f t="shared" si="11"/>
        <v>-0.34146597938144335</v>
      </c>
      <c r="O36" s="11"/>
      <c r="P36" s="7">
        <v>13189.85</v>
      </c>
      <c r="Q36" s="2"/>
      <c r="R36" s="6">
        <f t="shared" si="12"/>
        <v>0</v>
      </c>
      <c r="S36" s="2"/>
      <c r="T36" s="7">
        <v>4850</v>
      </c>
      <c r="U36" s="2"/>
      <c r="V36" s="6">
        <f t="shared" si="13"/>
        <v>0</v>
      </c>
      <c r="W36" s="2"/>
      <c r="X36" s="7">
        <f t="shared" si="14"/>
        <v>8339.85</v>
      </c>
      <c r="Y36" s="2"/>
      <c r="Z36" s="6">
        <f t="shared" si="15"/>
        <v>1.7195567010309278</v>
      </c>
    </row>
    <row r="37" spans="1:26" s="24" customFormat="1" hidden="1" outlineLevel="2" x14ac:dyDescent="0.25">
      <c r="A37" s="25"/>
      <c r="B37" s="11" t="str">
        <f>CONCATENATE("          ", "6008", " - ", "STUDENT HOURLY-FICA EXEMPT")</f>
        <v xml:space="preserve">          6008 - STUDENT HOURLY-FICA EXEMPT</v>
      </c>
      <c r="C37" s="11"/>
      <c r="D37" s="7">
        <v>948.38</v>
      </c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948.38</v>
      </c>
      <c r="M37" s="2"/>
      <c r="N37" s="6">
        <f t="shared" si="11"/>
        <v>0</v>
      </c>
      <c r="O37" s="11"/>
      <c r="P37" s="7">
        <v>1257.57</v>
      </c>
      <c r="Q37" s="2"/>
      <c r="R37" s="6">
        <f t="shared" si="12"/>
        <v>0</v>
      </c>
      <c r="S37" s="2"/>
      <c r="T37" s="7">
        <v>8437.5</v>
      </c>
      <c r="U37" s="2"/>
      <c r="V37" s="6">
        <f t="shared" si="13"/>
        <v>0</v>
      </c>
      <c r="W37" s="2"/>
      <c r="X37" s="7">
        <f t="shared" si="14"/>
        <v>-7179.93</v>
      </c>
      <c r="Y37" s="2"/>
      <c r="Z37" s="6">
        <f t="shared" si="15"/>
        <v>-0.85095466666666675</v>
      </c>
    </row>
    <row r="38" spans="1:26" s="24" customFormat="1" hidden="1" outlineLevel="2" x14ac:dyDescent="0.25">
      <c r="A38" s="25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5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6" customFormat="1" outlineLevel="1" collapsed="1" x14ac:dyDescent="0.25">
      <c r="A40" s="27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-472.7</v>
      </c>
      <c r="E40" s="1"/>
      <c r="F40" s="5">
        <f t="shared" ref="F40:F52" si="16">IF(D$12=0,0,D40/D$12)</f>
        <v>0</v>
      </c>
      <c r="G40" s="1"/>
      <c r="H40" s="1">
        <f>SUM(OSRRefH22_2x_0)</f>
        <v>-9000</v>
      </c>
      <c r="I40" s="1"/>
      <c r="J40" s="5">
        <f t="shared" ref="J40:J52" si="17">IF(H$12=0,0,H40/H$12)</f>
        <v>0</v>
      </c>
      <c r="K40" s="1"/>
      <c r="L40" s="1">
        <f t="shared" ref="L40:L52" si="18">+D40-H40</f>
        <v>8527.2999999999993</v>
      </c>
      <c r="M40" s="1"/>
      <c r="N40" s="5">
        <f t="shared" ref="N40:N52" si="19">IF(H40=0,0,L40/H40)</f>
        <v>-0.94747777777777775</v>
      </c>
      <c r="O40" s="13"/>
      <c r="P40" s="1">
        <f>SUM(OSRRefP22_2x_0)</f>
        <v>-14196.94</v>
      </c>
      <c r="Q40" s="1"/>
      <c r="R40" s="5">
        <f t="shared" ref="R40:R52" si="20">IF(P$12=0,0,P40/P$12)</f>
        <v>0</v>
      </c>
      <c r="S40" s="1"/>
      <c r="T40" s="1">
        <f>SUM(OSRRefT22_2x_0)</f>
        <v>-27000</v>
      </c>
      <c r="U40" s="1"/>
      <c r="V40" s="5">
        <f t="shared" ref="V40:V52" si="21">IF(T$12=0,0,T40/T$12)</f>
        <v>0</v>
      </c>
      <c r="W40" s="1"/>
      <c r="X40" s="1">
        <f t="shared" ref="X40:X52" si="22">+P40-T40</f>
        <v>12803.06</v>
      </c>
      <c r="Y40" s="1"/>
      <c r="Z40" s="5">
        <f t="shared" ref="Z40:Z52" si="23">IF(T40=0,0,X40/T40)</f>
        <v>-0.47418740740740739</v>
      </c>
    </row>
    <row r="41" spans="1:26" s="24" customFormat="1" hidden="1" outlineLevel="2" x14ac:dyDescent="0.25">
      <c r="A41" s="25"/>
      <c r="B41" s="11" t="str">
        <f>CONCATENATE("          ", "6362", " - ", "ADVERTISING EXPENSE")</f>
        <v xml:space="preserve">          6362 - ADVERTISING EXPENSE</v>
      </c>
      <c r="C41" s="11"/>
      <c r="D41" s="7">
        <v>-472.7</v>
      </c>
      <c r="E41" s="2"/>
      <c r="F41" s="6">
        <f t="shared" si="16"/>
        <v>0</v>
      </c>
      <c r="G41" s="2"/>
      <c r="H41" s="7">
        <v>-9000</v>
      </c>
      <c r="I41" s="2"/>
      <c r="J41" s="6">
        <f t="shared" si="17"/>
        <v>0</v>
      </c>
      <c r="K41" s="2"/>
      <c r="L41" s="7">
        <f t="shared" si="18"/>
        <v>8527.2999999999993</v>
      </c>
      <c r="M41" s="2"/>
      <c r="N41" s="6">
        <f t="shared" si="19"/>
        <v>-0.94747777777777775</v>
      </c>
      <c r="O41" s="11"/>
      <c r="P41" s="7">
        <v>-14196.94</v>
      </c>
      <c r="Q41" s="2"/>
      <c r="R41" s="6">
        <f t="shared" si="20"/>
        <v>0</v>
      </c>
      <c r="S41" s="2"/>
      <c r="T41" s="7">
        <v>-27000</v>
      </c>
      <c r="U41" s="2"/>
      <c r="V41" s="6">
        <f t="shared" si="21"/>
        <v>0</v>
      </c>
      <c r="W41" s="2"/>
      <c r="X41" s="7">
        <f t="shared" si="22"/>
        <v>12803.06</v>
      </c>
      <c r="Y41" s="2"/>
      <c r="Z41" s="6">
        <f t="shared" si="23"/>
        <v>-0.47418740740740739</v>
      </c>
    </row>
    <row r="42" spans="1:26" s="26" customFormat="1" outlineLevel="1" collapsed="1" x14ac:dyDescent="0.25">
      <c r="A42" s="27"/>
      <c r="B42" s="13" t="str">
        <f>CONCATENATE("     ","Depreciation                                      ")</f>
        <v xml:space="preserve">     Depreciation                                      </v>
      </c>
      <c r="C42" s="13"/>
      <c r="D42" s="1">
        <f>SUM(OSRRefD22_3x_0)</f>
        <v>295.67</v>
      </c>
      <c r="E42" s="1"/>
      <c r="F42" s="5">
        <f t="shared" si="16"/>
        <v>0</v>
      </c>
      <c r="G42" s="1"/>
      <c r="H42" s="1">
        <f>SUM(OSRRefH22_3x_0)</f>
        <v>289</v>
      </c>
      <c r="I42" s="1"/>
      <c r="J42" s="5">
        <f t="shared" si="17"/>
        <v>0</v>
      </c>
      <c r="K42" s="1"/>
      <c r="L42" s="1">
        <f t="shared" si="18"/>
        <v>6.6700000000000159</v>
      </c>
      <c r="M42" s="1"/>
      <c r="N42" s="5">
        <f t="shared" si="19"/>
        <v>2.3079584775086561E-2</v>
      </c>
      <c r="O42" s="13"/>
      <c r="P42" s="1">
        <f>SUM(OSRRefP22_3x_0)</f>
        <v>887.01</v>
      </c>
      <c r="Q42" s="1"/>
      <c r="R42" s="5">
        <f t="shared" si="20"/>
        <v>0</v>
      </c>
      <c r="S42" s="1"/>
      <c r="T42" s="1">
        <f>SUM(OSRRefT22_3x_0)</f>
        <v>867</v>
      </c>
      <c r="U42" s="1"/>
      <c r="V42" s="5">
        <f t="shared" si="21"/>
        <v>0</v>
      </c>
      <c r="W42" s="1"/>
      <c r="X42" s="1">
        <f t="shared" si="22"/>
        <v>20.009999999999991</v>
      </c>
      <c r="Y42" s="1"/>
      <c r="Z42" s="5">
        <f t="shared" si="23"/>
        <v>2.3079584775086495E-2</v>
      </c>
    </row>
    <row r="43" spans="1:26" s="24" customFormat="1" hidden="1" outlineLevel="2" x14ac:dyDescent="0.25">
      <c r="A43" s="25"/>
      <c r="B43" s="11" t="str">
        <f>CONCATENATE("          ", "6322", " - ", "EQUIPMENT DEPRECIATION EXPENSE")</f>
        <v xml:space="preserve">          6322 - EQUIPMENT DEPRECIATION EXPENSE</v>
      </c>
      <c r="C43" s="11"/>
      <c r="D43" s="7">
        <v>295.67</v>
      </c>
      <c r="E43" s="2"/>
      <c r="F43" s="6">
        <f t="shared" si="16"/>
        <v>0</v>
      </c>
      <c r="G43" s="2"/>
      <c r="H43" s="7">
        <v>289</v>
      </c>
      <c r="I43" s="2"/>
      <c r="J43" s="6">
        <f t="shared" si="17"/>
        <v>0</v>
      </c>
      <c r="K43" s="2"/>
      <c r="L43" s="7">
        <f t="shared" si="18"/>
        <v>6.6700000000000159</v>
      </c>
      <c r="M43" s="2"/>
      <c r="N43" s="6">
        <f t="shared" si="19"/>
        <v>2.3079584775086561E-2</v>
      </c>
      <c r="O43" s="11"/>
      <c r="P43" s="7">
        <v>887.01</v>
      </c>
      <c r="Q43" s="2"/>
      <c r="R43" s="6">
        <f t="shared" si="20"/>
        <v>0</v>
      </c>
      <c r="S43" s="2"/>
      <c r="T43" s="7">
        <v>867</v>
      </c>
      <c r="U43" s="2"/>
      <c r="V43" s="6">
        <f t="shared" si="21"/>
        <v>0</v>
      </c>
      <c r="W43" s="2"/>
      <c r="X43" s="7">
        <f t="shared" si="22"/>
        <v>20.009999999999991</v>
      </c>
      <c r="Y43" s="2"/>
      <c r="Z43" s="6">
        <f t="shared" si="23"/>
        <v>2.3079584775086495E-2</v>
      </c>
    </row>
    <row r="44" spans="1:26" s="26" customFormat="1" outlineLevel="1" collapsed="1" x14ac:dyDescent="0.25">
      <c r="A44" s="27"/>
      <c r="B44" s="13" t="str">
        <f>CONCATENATE("     ","Employees' Appreciation                           ")</f>
        <v xml:space="preserve">     Employees' Appreciation                           </v>
      </c>
      <c r="C44" s="13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200</v>
      </c>
      <c r="I44" s="1"/>
      <c r="J44" s="5">
        <f t="shared" si="17"/>
        <v>0</v>
      </c>
      <c r="K44" s="1"/>
      <c r="L44" s="1">
        <f t="shared" si="18"/>
        <v>-200</v>
      </c>
      <c r="M44" s="1"/>
      <c r="N44" s="5">
        <f t="shared" si="19"/>
        <v>-1</v>
      </c>
      <c r="O44" s="13"/>
      <c r="P44" s="1">
        <f>SUM(OSRRefP22_4x_0)</f>
        <v>0</v>
      </c>
      <c r="Q44" s="1"/>
      <c r="R44" s="5">
        <f t="shared" si="20"/>
        <v>0</v>
      </c>
      <c r="S44" s="1"/>
      <c r="T44" s="1">
        <f>SUM(OSRRefT22_4x_0)</f>
        <v>600</v>
      </c>
      <c r="U44" s="1"/>
      <c r="V44" s="5">
        <f t="shared" si="21"/>
        <v>0</v>
      </c>
      <c r="W44" s="1"/>
      <c r="X44" s="1">
        <f t="shared" si="22"/>
        <v>-600</v>
      </c>
      <c r="Y44" s="1"/>
      <c r="Z44" s="5">
        <f t="shared" si="23"/>
        <v>-1</v>
      </c>
    </row>
    <row r="45" spans="1:26" s="24" customFormat="1" hidden="1" outlineLevel="2" x14ac:dyDescent="0.25">
      <c r="A45" s="25"/>
      <c r="B45" s="11" t="str">
        <f>CONCATENATE("          ", "6277", " - ", "EMPLOYEE APPRECIATION")</f>
        <v xml:space="preserve">          6277 - EMPLOYEE APPRECIATION</v>
      </c>
      <c r="C45" s="11"/>
      <c r="D45" s="7"/>
      <c r="E45" s="2"/>
      <c r="F45" s="6">
        <f t="shared" si="16"/>
        <v>0</v>
      </c>
      <c r="G45" s="2"/>
      <c r="H45" s="7">
        <v>200</v>
      </c>
      <c r="I45" s="2"/>
      <c r="J45" s="6">
        <f t="shared" si="17"/>
        <v>0</v>
      </c>
      <c r="K45" s="2"/>
      <c r="L45" s="7">
        <f t="shared" si="18"/>
        <v>-200</v>
      </c>
      <c r="M45" s="2"/>
      <c r="N45" s="6">
        <f t="shared" si="19"/>
        <v>-1</v>
      </c>
      <c r="O45" s="11"/>
      <c r="P45" s="7"/>
      <c r="Q45" s="2"/>
      <c r="R45" s="6">
        <f t="shared" si="20"/>
        <v>0</v>
      </c>
      <c r="S45" s="2"/>
      <c r="T45" s="7">
        <v>600</v>
      </c>
      <c r="U45" s="2"/>
      <c r="V45" s="6">
        <f t="shared" si="21"/>
        <v>0</v>
      </c>
      <c r="W45" s="2"/>
      <c r="X45" s="7">
        <f t="shared" si="22"/>
        <v>-600</v>
      </c>
      <c r="Y45" s="2"/>
      <c r="Z45" s="6">
        <f t="shared" si="23"/>
        <v>-1</v>
      </c>
    </row>
    <row r="46" spans="1:26" s="26" customFormat="1" outlineLevel="1" collapsed="1" x14ac:dyDescent="0.25">
      <c r="A46" s="27"/>
      <c r="B46" s="13" t="str">
        <f>CONCATENATE("     ","General                                           ")</f>
        <v xml:space="preserve">     General                                           </v>
      </c>
      <c r="C46" s="13"/>
      <c r="D46" s="1">
        <f>SUM(OSRRefD22_5x_0)</f>
        <v>333.96</v>
      </c>
      <c r="E46" s="1"/>
      <c r="F46" s="5">
        <f t="shared" si="16"/>
        <v>0</v>
      </c>
      <c r="G46" s="1"/>
      <c r="H46" s="1">
        <f>SUM(OSRRefH22_5x_0)</f>
        <v>0</v>
      </c>
      <c r="I46" s="1"/>
      <c r="J46" s="5">
        <f t="shared" si="17"/>
        <v>0</v>
      </c>
      <c r="K46" s="1"/>
      <c r="L46" s="1">
        <f t="shared" si="18"/>
        <v>333.96</v>
      </c>
      <c r="M46" s="1"/>
      <c r="N46" s="5">
        <f t="shared" si="19"/>
        <v>0</v>
      </c>
      <c r="O46" s="13"/>
      <c r="P46" s="1">
        <f>SUM(OSRRefP22_5x_0)</f>
        <v>333.96</v>
      </c>
      <c r="Q46" s="1"/>
      <c r="R46" s="5">
        <f t="shared" si="20"/>
        <v>0</v>
      </c>
      <c r="S46" s="1"/>
      <c r="T46" s="1">
        <f>SUM(OSRRefT22_5x_0)</f>
        <v>0</v>
      </c>
      <c r="U46" s="1"/>
      <c r="V46" s="5">
        <f t="shared" si="21"/>
        <v>0</v>
      </c>
      <c r="W46" s="1"/>
      <c r="X46" s="1">
        <f t="shared" si="22"/>
        <v>333.96</v>
      </c>
      <c r="Y46" s="1"/>
      <c r="Z46" s="5">
        <f t="shared" si="23"/>
        <v>0</v>
      </c>
    </row>
    <row r="47" spans="1:26" s="24" customFormat="1" hidden="1" outlineLevel="2" x14ac:dyDescent="0.25">
      <c r="A47" s="25"/>
      <c r="B47" s="11" t="str">
        <f>CONCATENATE("          ", "6279", " - ", "GENERAL EXPENSE")</f>
        <v xml:space="preserve">          6279 - GENERAL EXPENSE</v>
      </c>
      <c r="C47" s="11"/>
      <c r="D47" s="7">
        <v>333.96</v>
      </c>
      <c r="E47" s="2"/>
      <c r="F47" s="6">
        <f t="shared" si="16"/>
        <v>0</v>
      </c>
      <c r="G47" s="2"/>
      <c r="H47" s="7"/>
      <c r="I47" s="2"/>
      <c r="J47" s="6">
        <f t="shared" si="17"/>
        <v>0</v>
      </c>
      <c r="K47" s="2"/>
      <c r="L47" s="7">
        <f t="shared" si="18"/>
        <v>333.96</v>
      </c>
      <c r="M47" s="2"/>
      <c r="N47" s="6">
        <f t="shared" si="19"/>
        <v>0</v>
      </c>
      <c r="O47" s="11"/>
      <c r="P47" s="7">
        <v>333.96</v>
      </c>
      <c r="Q47" s="2"/>
      <c r="R47" s="6">
        <f t="shared" si="20"/>
        <v>0</v>
      </c>
      <c r="S47" s="2"/>
      <c r="T47" s="7"/>
      <c r="U47" s="2"/>
      <c r="V47" s="6">
        <f t="shared" si="21"/>
        <v>0</v>
      </c>
      <c r="W47" s="2"/>
      <c r="X47" s="7">
        <f t="shared" si="22"/>
        <v>333.96</v>
      </c>
      <c r="Y47" s="2"/>
      <c r="Z47" s="6">
        <f t="shared" si="23"/>
        <v>0</v>
      </c>
    </row>
    <row r="48" spans="1:26" s="26" customFormat="1" outlineLevel="1" collapsed="1" x14ac:dyDescent="0.25">
      <c r="A48" s="27"/>
      <c r="B48" s="13" t="str">
        <f>CONCATENATE("     ","Repair and Maintenance                            ")</f>
        <v xml:space="preserve">     Repair and Maintenance                            </v>
      </c>
      <c r="C48" s="13"/>
      <c r="D48" s="1">
        <f>SUM(OSRRefD22_6x_0)</f>
        <v>0</v>
      </c>
      <c r="E48" s="1"/>
      <c r="F48" s="5">
        <f t="shared" si="16"/>
        <v>0</v>
      </c>
      <c r="G48" s="1"/>
      <c r="H48" s="1">
        <f>SUM(OSRRefH22_6x_0)</f>
        <v>400</v>
      </c>
      <c r="I48" s="1"/>
      <c r="J48" s="5">
        <f t="shared" si="17"/>
        <v>0</v>
      </c>
      <c r="K48" s="1"/>
      <c r="L48" s="1">
        <f t="shared" si="18"/>
        <v>-400</v>
      </c>
      <c r="M48" s="1"/>
      <c r="N48" s="5">
        <f t="shared" si="19"/>
        <v>-1</v>
      </c>
      <c r="O48" s="13"/>
      <c r="P48" s="1">
        <f>SUM(OSRRefP22_6x_0)</f>
        <v>0</v>
      </c>
      <c r="Q48" s="1"/>
      <c r="R48" s="5">
        <f t="shared" si="20"/>
        <v>0</v>
      </c>
      <c r="S48" s="1"/>
      <c r="T48" s="1">
        <f>SUM(OSRRefT22_6x_0)</f>
        <v>1200</v>
      </c>
      <c r="U48" s="1"/>
      <c r="V48" s="5">
        <f t="shared" si="21"/>
        <v>0</v>
      </c>
      <c r="W48" s="1"/>
      <c r="X48" s="1">
        <f t="shared" si="22"/>
        <v>-1200</v>
      </c>
      <c r="Y48" s="1"/>
      <c r="Z48" s="5">
        <f t="shared" si="23"/>
        <v>-1</v>
      </c>
    </row>
    <row r="49" spans="1:26" s="24" customFormat="1" hidden="1" outlineLevel="2" x14ac:dyDescent="0.25">
      <c r="A49" s="25"/>
      <c r="B49" s="11" t="str">
        <f>CONCATENATE("          ", "6371", " - ", "COMPUTER SOFTWARE MAINTENANCE")</f>
        <v xml:space="preserve">          6371 - COMPUTER SOFTWARE MAINTENANCE</v>
      </c>
      <c r="C49" s="11"/>
      <c r="D49" s="7"/>
      <c r="E49" s="2"/>
      <c r="F49" s="6">
        <f t="shared" si="16"/>
        <v>0</v>
      </c>
      <c r="G49" s="2"/>
      <c r="H49" s="7">
        <v>400</v>
      </c>
      <c r="I49" s="2"/>
      <c r="J49" s="6">
        <f t="shared" si="17"/>
        <v>0</v>
      </c>
      <c r="K49" s="2"/>
      <c r="L49" s="7">
        <f t="shared" si="18"/>
        <v>-400</v>
      </c>
      <c r="M49" s="2"/>
      <c r="N49" s="6">
        <f t="shared" si="19"/>
        <v>-1</v>
      </c>
      <c r="O49" s="11"/>
      <c r="P49" s="7"/>
      <c r="Q49" s="2"/>
      <c r="R49" s="6">
        <f t="shared" si="20"/>
        <v>0</v>
      </c>
      <c r="S49" s="2"/>
      <c r="T49" s="7">
        <v>1200</v>
      </c>
      <c r="U49" s="2"/>
      <c r="V49" s="6">
        <f t="shared" si="21"/>
        <v>0</v>
      </c>
      <c r="W49" s="2"/>
      <c r="X49" s="7">
        <f t="shared" si="22"/>
        <v>-1200</v>
      </c>
      <c r="Y49" s="2"/>
      <c r="Z49" s="6">
        <f t="shared" si="23"/>
        <v>-1</v>
      </c>
    </row>
    <row r="50" spans="1:26" s="26" customFormat="1" outlineLevel="1" collapsed="1" x14ac:dyDescent="0.25">
      <c r="A50" s="27"/>
      <c r="B50" s="13" t="str">
        <f>CONCATENATE("     ","Supplies                                          ")</f>
        <v xml:space="preserve">     Supplies                                          </v>
      </c>
      <c r="C50" s="13"/>
      <c r="D50" s="1">
        <f>SUM(OSRRefD22_7x_0)</f>
        <v>206.31</v>
      </c>
      <c r="E50" s="1"/>
      <c r="F50" s="5">
        <f t="shared" si="16"/>
        <v>0</v>
      </c>
      <c r="G50" s="1"/>
      <c r="H50" s="1">
        <f>SUM(OSRRefH22_7x_0)</f>
        <v>975</v>
      </c>
      <c r="I50" s="1"/>
      <c r="J50" s="5">
        <f t="shared" si="17"/>
        <v>0</v>
      </c>
      <c r="K50" s="1"/>
      <c r="L50" s="1">
        <f t="shared" si="18"/>
        <v>-768.69</v>
      </c>
      <c r="M50" s="1"/>
      <c r="N50" s="5">
        <f t="shared" si="19"/>
        <v>-0.7884000000000001</v>
      </c>
      <c r="O50" s="13"/>
      <c r="P50" s="1">
        <f>SUM(OSRRefP22_7x_0)</f>
        <v>697.5</v>
      </c>
      <c r="Q50" s="1"/>
      <c r="R50" s="5">
        <f t="shared" si="20"/>
        <v>0</v>
      </c>
      <c r="S50" s="1"/>
      <c r="T50" s="1">
        <f>SUM(OSRRefT22_7x_0)</f>
        <v>2925</v>
      </c>
      <c r="U50" s="1"/>
      <c r="V50" s="5">
        <f t="shared" si="21"/>
        <v>0</v>
      </c>
      <c r="W50" s="1"/>
      <c r="X50" s="1">
        <f t="shared" si="22"/>
        <v>-2227.5</v>
      </c>
      <c r="Y50" s="1"/>
      <c r="Z50" s="5">
        <f t="shared" si="23"/>
        <v>-0.7615384615384615</v>
      </c>
    </row>
    <row r="51" spans="1:26" s="24" customFormat="1" hidden="1" outlineLevel="2" x14ac:dyDescent="0.25">
      <c r="A51" s="25"/>
      <c r="B51" s="11" t="str">
        <f>CONCATENATE("          ", "6241", " - ", "OFFICE EXPENSE")</f>
        <v xml:space="preserve">          6241 - OFFICE EXPENSE</v>
      </c>
      <c r="C51" s="11"/>
      <c r="D51" s="7">
        <v>206.31</v>
      </c>
      <c r="E51" s="2"/>
      <c r="F51" s="6">
        <f t="shared" si="16"/>
        <v>0</v>
      </c>
      <c r="G51" s="2"/>
      <c r="H51" s="7">
        <v>975</v>
      </c>
      <c r="I51" s="2"/>
      <c r="J51" s="6">
        <f t="shared" si="17"/>
        <v>0</v>
      </c>
      <c r="K51" s="2"/>
      <c r="L51" s="7">
        <f t="shared" si="18"/>
        <v>-768.69</v>
      </c>
      <c r="M51" s="2"/>
      <c r="N51" s="6">
        <f t="shared" si="19"/>
        <v>-0.7884000000000001</v>
      </c>
      <c r="O51" s="11"/>
      <c r="P51" s="7">
        <v>351.08</v>
      </c>
      <c r="Q51" s="2"/>
      <c r="R51" s="6">
        <f t="shared" si="20"/>
        <v>0</v>
      </c>
      <c r="S51" s="2"/>
      <c r="T51" s="7">
        <v>2925</v>
      </c>
      <c r="U51" s="2"/>
      <c r="V51" s="6">
        <f t="shared" si="21"/>
        <v>0</v>
      </c>
      <c r="W51" s="2"/>
      <c r="X51" s="7">
        <f t="shared" si="22"/>
        <v>-2573.92</v>
      </c>
      <c r="Y51" s="2"/>
      <c r="Z51" s="6">
        <f t="shared" si="23"/>
        <v>-0.87997264957264965</v>
      </c>
    </row>
    <row r="52" spans="1:26" s="24" customFormat="1" hidden="1" outlineLevel="2" x14ac:dyDescent="0.25">
      <c r="A52" s="25"/>
      <c r="B52" s="11" t="str">
        <f>CONCATENATE("          ", "6245", " - ", "PRINTING")</f>
        <v xml:space="preserve">          6245 - PRINTING</v>
      </c>
      <c r="C52" s="11"/>
      <c r="D52" s="7"/>
      <c r="E52" s="2"/>
      <c r="F52" s="6">
        <f t="shared" si="16"/>
        <v>0</v>
      </c>
      <c r="G52" s="2"/>
      <c r="H52" s="7"/>
      <c r="I52" s="2"/>
      <c r="J52" s="6">
        <f t="shared" si="17"/>
        <v>0</v>
      </c>
      <c r="K52" s="2"/>
      <c r="L52" s="7">
        <f t="shared" si="18"/>
        <v>0</v>
      </c>
      <c r="M52" s="2"/>
      <c r="N52" s="6">
        <f t="shared" si="19"/>
        <v>0</v>
      </c>
      <c r="O52" s="11"/>
      <c r="P52" s="7">
        <v>346.42</v>
      </c>
      <c r="Q52" s="2"/>
      <c r="R52" s="6">
        <f t="shared" si="20"/>
        <v>0</v>
      </c>
      <c r="S52" s="2"/>
      <c r="T52" s="7"/>
      <c r="U52" s="2"/>
      <c r="V52" s="6">
        <f t="shared" si="21"/>
        <v>0</v>
      </c>
      <c r="W52" s="2"/>
      <c r="X52" s="7">
        <f t="shared" si="22"/>
        <v>346.42</v>
      </c>
      <c r="Y52" s="2"/>
      <c r="Z52" s="6">
        <f t="shared" si="23"/>
        <v>0</v>
      </c>
    </row>
    <row r="53" spans="1:26" s="26" customFormat="1" outlineLevel="1" collapsed="1" x14ac:dyDescent="0.25">
      <c r="A53" s="27"/>
      <c r="B53" s="13" t="str">
        <f>CONCATENATE("     ","Telephone/Data Lines                              ")</f>
        <v xml:space="preserve">     Telephone/Data Lines                              </v>
      </c>
      <c r="C53" s="13"/>
      <c r="D53" s="1">
        <f>SUM(OSRRefD22_8x_0)</f>
        <v>150</v>
      </c>
      <c r="E53" s="1"/>
      <c r="F53" s="5">
        <f t="shared" ref="F53:F58" si="24">IF(D$12=0,0,D53/D$12)</f>
        <v>0</v>
      </c>
      <c r="G53" s="1"/>
      <c r="H53" s="1">
        <f>SUM(OSRRefH22_8x_0)</f>
        <v>150</v>
      </c>
      <c r="I53" s="1"/>
      <c r="J53" s="5">
        <f t="shared" ref="J53:J58" si="25">IF(H$12=0,0,H53/H$12)</f>
        <v>0</v>
      </c>
      <c r="K53" s="1"/>
      <c r="L53" s="1">
        <f t="shared" ref="L53:L58" si="26">+D53-H53</f>
        <v>0</v>
      </c>
      <c r="M53" s="1"/>
      <c r="N53" s="5">
        <f t="shared" ref="N53:N58" si="27">IF(H53=0,0,L53/H53)</f>
        <v>0</v>
      </c>
      <c r="O53" s="13"/>
      <c r="P53" s="1">
        <f>SUM(OSRRefP22_8x_0)</f>
        <v>225.45</v>
      </c>
      <c r="Q53" s="1"/>
      <c r="R53" s="5">
        <f t="shared" ref="R53:R58" si="28">IF(P$12=0,0,P53/P$12)</f>
        <v>0</v>
      </c>
      <c r="S53" s="1"/>
      <c r="T53" s="1">
        <f>SUM(OSRRefT22_8x_0)</f>
        <v>450</v>
      </c>
      <c r="U53" s="1"/>
      <c r="V53" s="5">
        <f t="shared" ref="V53:V58" si="29">IF(T$12=0,0,T53/T$12)</f>
        <v>0</v>
      </c>
      <c r="W53" s="1"/>
      <c r="X53" s="1">
        <f t="shared" ref="X53:X58" si="30">+P53-T53</f>
        <v>-224.55</v>
      </c>
      <c r="Y53" s="1"/>
      <c r="Z53" s="5">
        <f t="shared" ref="Z53:Z58" si="31">IF(T53=0,0,X53/T53)</f>
        <v>-0.499</v>
      </c>
    </row>
    <row r="54" spans="1:26" s="24" customFormat="1" hidden="1" outlineLevel="2" x14ac:dyDescent="0.25">
      <c r="A54" s="25"/>
      <c r="B54" s="11" t="str">
        <f>CONCATENATE("          ", "6309", " - ", "TELEPHONE")</f>
        <v xml:space="preserve">          6309 - TELEPHONE</v>
      </c>
      <c r="C54" s="11"/>
      <c r="D54" s="7">
        <v>150</v>
      </c>
      <c r="E54" s="2"/>
      <c r="F54" s="6">
        <f t="shared" si="24"/>
        <v>0</v>
      </c>
      <c r="G54" s="2"/>
      <c r="H54" s="7">
        <v>150</v>
      </c>
      <c r="I54" s="2"/>
      <c r="J54" s="6">
        <f t="shared" si="25"/>
        <v>0</v>
      </c>
      <c r="K54" s="2"/>
      <c r="L54" s="7">
        <f t="shared" si="26"/>
        <v>0</v>
      </c>
      <c r="M54" s="2"/>
      <c r="N54" s="6">
        <f t="shared" si="27"/>
        <v>0</v>
      </c>
      <c r="O54" s="11"/>
      <c r="P54" s="7">
        <v>225.45</v>
      </c>
      <c r="Q54" s="2"/>
      <c r="R54" s="6">
        <f t="shared" si="28"/>
        <v>0</v>
      </c>
      <c r="S54" s="2"/>
      <c r="T54" s="7">
        <v>450</v>
      </c>
      <c r="U54" s="2"/>
      <c r="V54" s="6">
        <f t="shared" si="29"/>
        <v>0</v>
      </c>
      <c r="W54" s="2"/>
      <c r="X54" s="7">
        <f t="shared" si="30"/>
        <v>-224.55</v>
      </c>
      <c r="Y54" s="2"/>
      <c r="Z54" s="6">
        <f t="shared" si="31"/>
        <v>-0.499</v>
      </c>
    </row>
    <row r="55" spans="1:26" s="26" customFormat="1" outlineLevel="1" collapsed="1" x14ac:dyDescent="0.25">
      <c r="A55" s="27"/>
      <c r="B55" s="13" t="str">
        <f>CONCATENATE("     ","Training                                          ")</f>
        <v xml:space="preserve">     Training                                          </v>
      </c>
      <c r="C55" s="13"/>
      <c r="D55" s="1">
        <f>SUM(OSRRefD22_9x_0)</f>
        <v>0</v>
      </c>
      <c r="E55" s="1"/>
      <c r="F55" s="5">
        <f t="shared" si="24"/>
        <v>0</v>
      </c>
      <c r="G55" s="1"/>
      <c r="H55" s="1">
        <f>SUM(OSRRefH22_9x_0)</f>
        <v>200</v>
      </c>
      <c r="I55" s="1"/>
      <c r="J55" s="5">
        <f t="shared" si="25"/>
        <v>0</v>
      </c>
      <c r="K55" s="1"/>
      <c r="L55" s="1">
        <f t="shared" si="26"/>
        <v>-200</v>
      </c>
      <c r="M55" s="1"/>
      <c r="N55" s="5">
        <f t="shared" si="27"/>
        <v>-1</v>
      </c>
      <c r="O55" s="13"/>
      <c r="P55" s="1">
        <f>SUM(OSRRefP22_9x_0)</f>
        <v>0</v>
      </c>
      <c r="Q55" s="1"/>
      <c r="R55" s="5">
        <f t="shared" si="28"/>
        <v>0</v>
      </c>
      <c r="S55" s="1"/>
      <c r="T55" s="1">
        <f>SUM(OSRRefT22_9x_0)</f>
        <v>600</v>
      </c>
      <c r="U55" s="1"/>
      <c r="V55" s="5">
        <f t="shared" si="29"/>
        <v>0</v>
      </c>
      <c r="W55" s="1"/>
      <c r="X55" s="1">
        <f t="shared" si="30"/>
        <v>-600</v>
      </c>
      <c r="Y55" s="1"/>
      <c r="Z55" s="5">
        <f t="shared" si="31"/>
        <v>-1</v>
      </c>
    </row>
    <row r="56" spans="1:26" s="24" customFormat="1" hidden="1" outlineLevel="2" x14ac:dyDescent="0.25">
      <c r="A56" s="25"/>
      <c r="B56" s="11" t="str">
        <f>CONCATENATE("          ", "6376", " - ", "TRAINING")</f>
        <v xml:space="preserve">          6376 - TRAINING</v>
      </c>
      <c r="C56" s="11"/>
      <c r="D56" s="7"/>
      <c r="E56" s="2"/>
      <c r="F56" s="6">
        <f t="shared" si="24"/>
        <v>0</v>
      </c>
      <c r="G56" s="2"/>
      <c r="H56" s="7">
        <v>200</v>
      </c>
      <c r="I56" s="2"/>
      <c r="J56" s="6">
        <f t="shared" si="25"/>
        <v>0</v>
      </c>
      <c r="K56" s="2"/>
      <c r="L56" s="7">
        <f t="shared" si="26"/>
        <v>-200</v>
      </c>
      <c r="M56" s="2"/>
      <c r="N56" s="6">
        <f t="shared" si="27"/>
        <v>-1</v>
      </c>
      <c r="O56" s="11"/>
      <c r="P56" s="7"/>
      <c r="Q56" s="2"/>
      <c r="R56" s="6">
        <f t="shared" si="28"/>
        <v>0</v>
      </c>
      <c r="S56" s="2"/>
      <c r="T56" s="7">
        <v>600</v>
      </c>
      <c r="U56" s="2"/>
      <c r="V56" s="6">
        <f t="shared" si="29"/>
        <v>0</v>
      </c>
      <c r="W56" s="2"/>
      <c r="X56" s="7">
        <f t="shared" si="30"/>
        <v>-600</v>
      </c>
      <c r="Y56" s="2"/>
      <c r="Z56" s="6">
        <f t="shared" si="31"/>
        <v>-1</v>
      </c>
    </row>
    <row r="57" spans="1:26" s="26" customFormat="1" outlineLevel="1" collapsed="1" x14ac:dyDescent="0.25">
      <c r="A57" s="27"/>
      <c r="B57" s="13" t="str">
        <f>CONCATENATE("     ","Travel                                            ")</f>
        <v xml:space="preserve">     Travel                                            </v>
      </c>
      <c r="C57" s="13"/>
      <c r="D57" s="1">
        <f>SUM(OSRRefD22_10x_0)</f>
        <v>0</v>
      </c>
      <c r="E57" s="1"/>
      <c r="F57" s="5">
        <f t="shared" si="24"/>
        <v>0</v>
      </c>
      <c r="G57" s="1"/>
      <c r="H57" s="1">
        <f>SUM(OSRRefH22_10x_0)</f>
        <v>500</v>
      </c>
      <c r="I57" s="1"/>
      <c r="J57" s="5">
        <f t="shared" si="25"/>
        <v>0</v>
      </c>
      <c r="K57" s="1"/>
      <c r="L57" s="1">
        <f t="shared" si="26"/>
        <v>-500</v>
      </c>
      <c r="M57" s="1"/>
      <c r="N57" s="5">
        <f t="shared" si="27"/>
        <v>-1</v>
      </c>
      <c r="O57" s="13"/>
      <c r="P57" s="1">
        <f>SUM(OSRRefP22_10x_0)</f>
        <v>118.32</v>
      </c>
      <c r="Q57" s="1"/>
      <c r="R57" s="5">
        <f t="shared" si="28"/>
        <v>0</v>
      </c>
      <c r="S57" s="1"/>
      <c r="T57" s="1">
        <f>SUM(OSRRefT22_10x_0)</f>
        <v>1500</v>
      </c>
      <c r="U57" s="1"/>
      <c r="V57" s="5">
        <f t="shared" si="29"/>
        <v>0</v>
      </c>
      <c r="W57" s="1"/>
      <c r="X57" s="1">
        <f t="shared" si="30"/>
        <v>-1381.68</v>
      </c>
      <c r="Y57" s="1"/>
      <c r="Z57" s="5">
        <f t="shared" si="31"/>
        <v>-0.92112000000000005</v>
      </c>
    </row>
    <row r="58" spans="1:26" s="24" customFormat="1" hidden="1" outlineLevel="2" x14ac:dyDescent="0.25">
      <c r="A58" s="25"/>
      <c r="B58" s="11" t="str">
        <f>CONCATENATE("          ", "6292", " - ", "TRAVEL/CONFERENCE")</f>
        <v xml:space="preserve">          6292 - TRAVEL/CONFERENCE</v>
      </c>
      <c r="C58" s="11"/>
      <c r="D58" s="7"/>
      <c r="E58" s="2"/>
      <c r="F58" s="6">
        <f t="shared" si="24"/>
        <v>0</v>
      </c>
      <c r="G58" s="2"/>
      <c r="H58" s="7">
        <v>500</v>
      </c>
      <c r="I58" s="2"/>
      <c r="J58" s="6">
        <f t="shared" si="25"/>
        <v>0</v>
      </c>
      <c r="K58" s="2"/>
      <c r="L58" s="7">
        <f t="shared" si="26"/>
        <v>-500</v>
      </c>
      <c r="M58" s="2"/>
      <c r="N58" s="6">
        <f t="shared" si="27"/>
        <v>-1</v>
      </c>
      <c r="O58" s="11"/>
      <c r="P58" s="7">
        <v>118.32</v>
      </c>
      <c r="Q58" s="2"/>
      <c r="R58" s="6">
        <f t="shared" si="28"/>
        <v>0</v>
      </c>
      <c r="S58" s="2"/>
      <c r="T58" s="7">
        <v>1500</v>
      </c>
      <c r="U58" s="2"/>
      <c r="V58" s="6">
        <f t="shared" si="29"/>
        <v>0</v>
      </c>
      <c r="W58" s="2"/>
      <c r="X58" s="7">
        <f t="shared" si="30"/>
        <v>-1381.68</v>
      </c>
      <c r="Y58" s="2"/>
      <c r="Z58" s="6">
        <f t="shared" si="31"/>
        <v>-0.92112000000000005</v>
      </c>
    </row>
    <row r="59" spans="1:26" s="63" customFormat="1" x14ac:dyDescent="0.25">
      <c r="A59" s="36"/>
      <c r="B59" s="36"/>
      <c r="C59" s="36"/>
      <c r="D59" s="1"/>
      <c r="E59" s="1"/>
      <c r="F59" s="5"/>
      <c r="G59" s="1"/>
      <c r="H59" s="1"/>
      <c r="I59" s="1"/>
      <c r="J59" s="5"/>
      <c r="K59" s="1"/>
      <c r="L59" s="1"/>
      <c r="M59" s="1"/>
      <c r="N59" s="5"/>
      <c r="O59" s="36"/>
      <c r="P59" s="1"/>
      <c r="Q59" s="1"/>
      <c r="R59" s="5"/>
      <c r="S59" s="1"/>
      <c r="T59" s="1"/>
      <c r="U59" s="1"/>
      <c r="V59" s="5"/>
      <c r="W59" s="1"/>
      <c r="X59" s="1"/>
      <c r="Y59" s="1"/>
      <c r="Z59" s="5"/>
    </row>
    <row r="60" spans="1:26" s="23" customFormat="1" x14ac:dyDescent="0.25">
      <c r="A60" s="10"/>
      <c r="B60" s="28" t="s">
        <v>0</v>
      </c>
      <c r="C60" s="10"/>
      <c r="D60" s="4">
        <f>SUM(0)</f>
        <v>0</v>
      </c>
      <c r="E60" s="4"/>
      <c r="F60" s="12">
        <f>IF(D$12=0,0,D60/D$12)</f>
        <v>0</v>
      </c>
      <c r="G60" s="4"/>
      <c r="H60" s="4">
        <f>SUM(0)</f>
        <v>0</v>
      </c>
      <c r="I60" s="4"/>
      <c r="J60" s="12">
        <f>IF(H$12=0,0,H60/H$12)</f>
        <v>0</v>
      </c>
      <c r="K60" s="4"/>
      <c r="L60" s="4">
        <f>+D60-H60</f>
        <v>0</v>
      </c>
      <c r="M60" s="4"/>
      <c r="N60" s="12">
        <f>IF(H60=0,0,L60/H60)</f>
        <v>0</v>
      </c>
      <c r="O60" s="10"/>
      <c r="P60" s="4">
        <f>SUM(0)</f>
        <v>0</v>
      </c>
      <c r="Q60" s="4"/>
      <c r="R60" s="12">
        <f>IF(P$12=0,0,P60/P$12)</f>
        <v>0</v>
      </c>
      <c r="S60" s="4"/>
      <c r="T60" s="4">
        <f>SUM(0)</f>
        <v>0</v>
      </c>
      <c r="U60" s="4"/>
      <c r="V60" s="12">
        <f>IF(T$12=0,0,T60/T$12)</f>
        <v>0</v>
      </c>
      <c r="W60" s="4"/>
      <c r="X60" s="4">
        <f>+P60-T60</f>
        <v>0</v>
      </c>
      <c r="Y60" s="4"/>
      <c r="Z60" s="12">
        <f>IF(T60=0,0,X60/T60)</f>
        <v>0</v>
      </c>
    </row>
    <row r="61" spans="1:26" x14ac:dyDescent="0.25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25">
      <c r="A62" s="10"/>
      <c r="B62" s="29" t="s">
        <v>3</v>
      </c>
      <c r="C62" s="29"/>
      <c r="D62" s="22">
        <f>+D16-D18+D60</f>
        <v>-11478.149999999996</v>
      </c>
      <c r="E62" s="14"/>
      <c r="F62" s="20">
        <f>IF(D$12=0,0,D62/D$12)</f>
        <v>0</v>
      </c>
      <c r="G62" s="14"/>
      <c r="H62" s="22">
        <f>+H16-H18+H60</f>
        <v>-14514.563089515999</v>
      </c>
      <c r="I62" s="14"/>
      <c r="J62" s="20">
        <f>IF(H$12=0,0,H62/H$12)</f>
        <v>0</v>
      </c>
      <c r="K62" s="15"/>
      <c r="L62" s="22">
        <f>+D62-H62</f>
        <v>3036.4130895160033</v>
      </c>
      <c r="M62" s="15"/>
      <c r="N62" s="20">
        <f>IF(H62=0,0,L62/H62)</f>
        <v>-0.20919769136621358</v>
      </c>
      <c r="O62" s="28"/>
      <c r="P62" s="22">
        <f>+P16-P18+P60</f>
        <v>-25426.049999999996</v>
      </c>
      <c r="Q62" s="14"/>
      <c r="R62" s="20">
        <f>IF(P$12=0,0,P62/P$12)</f>
        <v>0</v>
      </c>
      <c r="S62" s="14"/>
      <c r="T62" s="22">
        <f>+T16-T18+T60</f>
        <v>-44850.346415927008</v>
      </c>
      <c r="U62" s="14"/>
      <c r="V62" s="20">
        <f>IF(T$12=0,0,T62/T$12)</f>
        <v>0</v>
      </c>
      <c r="W62" s="15"/>
      <c r="X62" s="22">
        <f>+P62-T62</f>
        <v>19424.296415927012</v>
      </c>
      <c r="Y62" s="15"/>
      <c r="Z62" s="20">
        <f>IF(T62=0,0,X62/T62)</f>
        <v>-0.43309133525508653</v>
      </c>
    </row>
    <row r="63" spans="1:26" x14ac:dyDescent="0.25">
      <c r="A63" s="9"/>
      <c r="B63" s="10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x14ac:dyDescent="0.25">
      <c r="A64" s="52"/>
      <c r="B64" s="10" t="s">
        <v>14</v>
      </c>
      <c r="C64" s="10"/>
      <c r="D64" s="4"/>
      <c r="E64" s="4"/>
      <c r="F64" s="12">
        <f>IF(D$12=0,0,D64/D$12)</f>
        <v>0</v>
      </c>
      <c r="G64" s="4"/>
      <c r="H64" s="4"/>
      <c r="I64" s="4"/>
      <c r="J64" s="12">
        <f>IF(H$12=0,0,H64/H$12)</f>
        <v>0</v>
      </c>
      <c r="K64" s="4"/>
      <c r="L64" s="4">
        <f>+D64-H64</f>
        <v>0</v>
      </c>
      <c r="M64" s="4"/>
      <c r="N64" s="12">
        <f>IF(H64=0,0,L64/H64)</f>
        <v>0</v>
      </c>
      <c r="O64" s="10"/>
      <c r="P64" s="4"/>
      <c r="Q64" s="4"/>
      <c r="R64" s="12">
        <f>IF(P$12=0,0,P64/P$12)</f>
        <v>0</v>
      </c>
      <c r="S64" s="4"/>
      <c r="T64" s="4">
        <v>0</v>
      </c>
      <c r="U64" s="4"/>
      <c r="V64" s="12">
        <f>IF(T$12=0,0,T64/T$12)</f>
        <v>0</v>
      </c>
      <c r="W64" s="4"/>
      <c r="X64" s="4">
        <f>+P64-T64</f>
        <v>0</v>
      </c>
      <c r="Y64" s="4"/>
      <c r="Z64" s="12">
        <f>IF(T64=0,0,X64/T64)</f>
        <v>0</v>
      </c>
    </row>
    <row r="65" spans="1:26" x14ac:dyDescent="0.25">
      <c r="A65" s="9"/>
      <c r="B65" s="10"/>
      <c r="C65" s="10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O65" s="10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ht="15.75" thickBot="1" x14ac:dyDescent="0.3">
      <c r="A66" s="10"/>
      <c r="B66" s="29" t="s">
        <v>4</v>
      </c>
      <c r="C66" s="29"/>
      <c r="D66" s="35">
        <f>+D62-D64</f>
        <v>-11478.149999999996</v>
      </c>
      <c r="E66" s="14"/>
      <c r="F66" s="32">
        <f>IF(D$12=0,0,D66/D$12)</f>
        <v>0</v>
      </c>
      <c r="G66" s="14"/>
      <c r="H66" s="35">
        <f>+H62-H64</f>
        <v>-14514.563089515999</v>
      </c>
      <c r="I66" s="14"/>
      <c r="J66" s="32">
        <f>IF(H$12=0,0,H66/H$12)</f>
        <v>0</v>
      </c>
      <c r="K66" s="15"/>
      <c r="L66" s="35">
        <f>D66-H66</f>
        <v>3036.4130895160033</v>
      </c>
      <c r="M66" s="15"/>
      <c r="N66" s="32">
        <f>IF(H66=0,0,L66/H66)</f>
        <v>-0.20919769136621358</v>
      </c>
      <c r="O66" s="28"/>
      <c r="P66" s="35">
        <f>+P62-P64</f>
        <v>-25426.049999999996</v>
      </c>
      <c r="Q66" s="14"/>
      <c r="R66" s="32">
        <f>IF(P$12=0,0,P66/P$12)</f>
        <v>0</v>
      </c>
      <c r="S66" s="14"/>
      <c r="T66" s="35">
        <f>+T62-T64</f>
        <v>-44850.346415927008</v>
      </c>
      <c r="U66" s="14"/>
      <c r="V66" s="32">
        <f>IF(T$12=0,0,T66/T$12)</f>
        <v>0</v>
      </c>
      <c r="W66" s="15"/>
      <c r="X66" s="35">
        <f>P66-T66</f>
        <v>19424.296415927012</v>
      </c>
      <c r="Y66" s="15"/>
      <c r="Z66" s="32">
        <f>IF(T66=0,0,X66/T66)</f>
        <v>-0.43309133525508653</v>
      </c>
    </row>
    <row r="67" spans="1:26" ht="15.75" thickTop="1" x14ac:dyDescent="0.25">
      <c r="A67" s="9"/>
      <c r="B67" s="9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.75" thickBot="1" x14ac:dyDescent="0.3">
      <c r="A69" s="10"/>
      <c r="B69" s="29" t="s">
        <v>5</v>
      </c>
      <c r="C69" s="29"/>
      <c r="D69" s="30">
        <f>SUM(D66:D68)</f>
        <v>-11478.149999999996</v>
      </c>
      <c r="E69" s="14"/>
      <c r="F69" s="31">
        <f>IF(D$12=0,0,D69/D$12)</f>
        <v>0</v>
      </c>
      <c r="G69" s="14"/>
      <c r="H69" s="30">
        <f>SUM(H66:H68)</f>
        <v>-14514.563089515999</v>
      </c>
      <c r="I69" s="14"/>
      <c r="J69" s="31">
        <f>IF(H$12=0,0,H69/H$12)</f>
        <v>0</v>
      </c>
      <c r="K69" s="15"/>
      <c r="L69" s="30">
        <f>+D69-H69</f>
        <v>3036.4130895160033</v>
      </c>
      <c r="M69" s="15"/>
      <c r="N69" s="31">
        <f>IF(H69=0,0,L69/H69)</f>
        <v>-0.20919769136621358</v>
      </c>
      <c r="O69" s="28"/>
      <c r="P69" s="30">
        <f>SUM(P66:P68)</f>
        <v>-25426.049999999996</v>
      </c>
      <c r="Q69" s="14"/>
      <c r="R69" s="31">
        <f>IF(P$12=0,0,P69/P$12)</f>
        <v>0</v>
      </c>
      <c r="S69" s="14"/>
      <c r="T69" s="30">
        <f>SUM(T66:T68)</f>
        <v>-44850.346415927008</v>
      </c>
      <c r="U69" s="14"/>
      <c r="V69" s="31">
        <f>IF(T$12=0,0,T69/T$12)</f>
        <v>0</v>
      </c>
      <c r="W69" s="15"/>
      <c r="X69" s="30">
        <f>+P69-T69</f>
        <v>19424.296415927012</v>
      </c>
      <c r="Y69" s="15"/>
      <c r="Z69" s="31">
        <f>IF(T69=0,0,X69/T69)</f>
        <v>-0.43309133525508653</v>
      </c>
    </row>
    <row r="70" spans="1:26" ht="15.75" thickTop="1" x14ac:dyDescent="0.25">
      <c r="A70" s="9"/>
      <c r="C70" s="9"/>
      <c r="D70" s="18"/>
      <c r="E70" s="18"/>
      <c r="G70" s="18"/>
      <c r="H70" s="18"/>
      <c r="I70" s="18"/>
      <c r="J70" s="43"/>
      <c r="K70" s="18"/>
      <c r="L70" s="18"/>
      <c r="M70" s="18"/>
      <c r="P70" s="18"/>
      <c r="Q70" s="18"/>
      <c r="R70" s="43"/>
      <c r="S70" s="18"/>
      <c r="T70" s="18"/>
      <c r="U70" s="18"/>
      <c r="V70" s="43"/>
      <c r="W70" s="18"/>
      <c r="X70" s="18"/>
    </row>
    <row r="71" spans="1:26" x14ac:dyDescent="0.25">
      <c r="A71" s="9"/>
      <c r="B71" s="53">
        <v>43756.452141319445</v>
      </c>
      <c r="D71" s="18"/>
      <c r="E71" s="18"/>
      <c r="G71" s="18"/>
      <c r="H71" s="18"/>
      <c r="I71" s="18"/>
      <c r="J71" s="43"/>
      <c r="K71" s="18"/>
      <c r="L71" s="18"/>
      <c r="M71" s="18"/>
      <c r="P71" s="18"/>
      <c r="Q71" s="18"/>
      <c r="R71" s="43"/>
      <c r="S71" s="18"/>
      <c r="T71" s="18"/>
      <c r="U71" s="18"/>
      <c r="V71" s="43"/>
      <c r="W71" s="18"/>
      <c r="X71" s="18"/>
    </row>
    <row r="72" spans="1:26" x14ac:dyDescent="0.25">
      <c r="A72" s="9"/>
      <c r="B72" s="55" t="s">
        <v>314</v>
      </c>
      <c r="D72" s="18"/>
      <c r="E72" s="18"/>
      <c r="G72" s="18"/>
      <c r="H72" s="18"/>
      <c r="I72" s="18"/>
      <c r="J72" s="43"/>
      <c r="K72" s="18"/>
      <c r="L72" s="18"/>
      <c r="M72" s="18"/>
      <c r="P72" s="18"/>
      <c r="Q72" s="18"/>
      <c r="R72" s="43"/>
      <c r="S72" s="18"/>
      <c r="T72" s="18"/>
      <c r="U72" s="18"/>
      <c r="V72" s="43"/>
      <c r="W72" s="18"/>
      <c r="X72" s="18"/>
    </row>
    <row r="73" spans="1:26" x14ac:dyDescent="0.25">
      <c r="A73" s="9"/>
      <c r="B73" s="56"/>
      <c r="D73" s="18"/>
      <c r="E73" s="18"/>
      <c r="G73" s="18"/>
      <c r="H73" s="18"/>
      <c r="I73" s="18"/>
      <c r="J73" s="43"/>
      <c r="K73" s="18"/>
      <c r="L73" s="18"/>
      <c r="M73" s="18"/>
      <c r="P73" s="18"/>
      <c r="Q73" s="18"/>
      <c r="R73" s="43"/>
      <c r="S73" s="18"/>
      <c r="T73" s="18"/>
      <c r="U73" s="18"/>
      <c r="V73" s="43"/>
      <c r="W73" s="18"/>
      <c r="X73" s="18"/>
    </row>
    <row r="74" spans="1:26" x14ac:dyDescent="0.25">
      <c r="D74" s="18"/>
      <c r="E74" s="18"/>
      <c r="G74" s="18"/>
      <c r="H74" s="18"/>
      <c r="I74" s="18"/>
      <c r="J74" s="43"/>
      <c r="K74" s="18"/>
      <c r="L74" s="18"/>
      <c r="M74" s="18"/>
      <c r="P74" s="18"/>
      <c r="Q74" s="18"/>
      <c r="R74" s="43"/>
      <c r="S74" s="18"/>
      <c r="T74" s="18"/>
      <c r="U74" s="18"/>
      <c r="V74" s="43"/>
      <c r="W74" s="18"/>
      <c r="X74" s="18"/>
    </row>
  </sheetData>
  <pageMargins left="0.25" right="0.25" top="0.75" bottom="0.75" header="0.3" footer="0.3"/>
  <pageSetup scale="55" fitToWidth="2"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28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str">
        <f>CONCATENATE("Period ",RIGHT(202003,2),", ",2020)</f>
        <v>Period 03, 2020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43736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">
        <v>308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1488001.7999999996</v>
      </c>
      <c r="E12" s="4"/>
      <c r="F12" s="12"/>
      <c r="G12" s="4"/>
      <c r="H12" s="4">
        <f>SUM(OSRRefH13x_0)</f>
        <v>1546783.3387500001</v>
      </c>
      <c r="I12" s="4"/>
      <c r="J12" s="12"/>
      <c r="K12" s="4"/>
      <c r="L12" s="4">
        <f t="shared" ref="L12:L103" si="0">+D12-H12</f>
        <v>-58781.538750000531</v>
      </c>
      <c r="M12" s="4"/>
      <c r="N12" s="12">
        <f t="shared" ref="N12:N103" si="1">IF(H12=0,0,L12/H12)</f>
        <v>-3.8002438529951825E-2</v>
      </c>
      <c r="O12" s="10"/>
      <c r="P12" s="4">
        <f>SUM(OSRRefP13x_0)</f>
        <v>4730489.1699999981</v>
      </c>
      <c r="Q12" s="4"/>
      <c r="R12" s="12"/>
      <c r="S12" s="4"/>
      <c r="T12" s="4">
        <f>SUM(OSRRefT13x_0)</f>
        <v>5004051.9752000002</v>
      </c>
      <c r="U12" s="4"/>
      <c r="V12" s="12"/>
      <c r="W12" s="4"/>
      <c r="X12" s="4">
        <f t="shared" ref="X12:X103" si="2">+P12-T12</f>
        <v>-273562.80520000216</v>
      </c>
      <c r="Y12" s="4"/>
      <c r="Z12" s="12">
        <f t="shared" ref="Z12:Z103" si="3">IF(T12=0,0,X12/T12)</f>
        <v>-5.466825815474638E-2</v>
      </c>
    </row>
    <row r="13" spans="1:26" s="24" customFormat="1" hidden="1" outlineLevel="1" x14ac:dyDescent="0.25">
      <c r="A13" s="46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595806.33875</v>
      </c>
      <c r="I13" s="2"/>
      <c r="J13" s="19"/>
      <c r="K13" s="2"/>
      <c r="L13" s="2">
        <f t="shared" si="0"/>
        <v>-595806.33875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1415567.9752</v>
      </c>
      <c r="U13" s="2"/>
      <c r="V13" s="19"/>
      <c r="W13" s="2"/>
      <c r="X13" s="2">
        <f t="shared" si="2"/>
        <v>-1415567.9752</v>
      </c>
      <c r="Y13" s="2"/>
      <c r="Z13" s="19">
        <f t="shared" si="3"/>
        <v>-1</v>
      </c>
    </row>
    <row r="14" spans="1:26" s="24" customFormat="1" hidden="1" outlineLevel="1" x14ac:dyDescent="0.25">
      <c r="A14" s="46"/>
      <c r="B14" s="11" t="str">
        <f>CONCATENATE("          ", "4001", " - ", "TAXABLE SALES-NEW TEXT")</f>
        <v xml:space="preserve">          4001 - TAXABLE SALES-NEW TEXT</v>
      </c>
      <c r="C14" s="11"/>
      <c r="D14" s="2">
        <f>--336733.45</f>
        <v>336733.45</v>
      </c>
      <c r="E14" s="2"/>
      <c r="F14" s="19"/>
      <c r="G14" s="2"/>
      <c r="H14" s="2"/>
      <c r="I14" s="2"/>
      <c r="J14" s="19"/>
      <c r="K14" s="2"/>
      <c r="L14" s="2">
        <f t="shared" si="0"/>
        <v>336733.45</v>
      </c>
      <c r="M14" s="2"/>
      <c r="N14" s="19">
        <f t="shared" si="1"/>
        <v>0</v>
      </c>
      <c r="O14" s="11"/>
      <c r="P14" s="2">
        <f>--1463955.42</f>
        <v>1463955.42</v>
      </c>
      <c r="Q14" s="2"/>
      <c r="R14" s="19"/>
      <c r="S14" s="2"/>
      <c r="T14" s="2"/>
      <c r="U14" s="2"/>
      <c r="V14" s="19"/>
      <c r="W14" s="2"/>
      <c r="X14" s="2">
        <f t="shared" si="2"/>
        <v>1463955.42</v>
      </c>
      <c r="Y14" s="2"/>
      <c r="Z14" s="19">
        <f t="shared" si="3"/>
        <v>0</v>
      </c>
    </row>
    <row r="15" spans="1:26" s="24" customFormat="1" hidden="1" outlineLevel="1" x14ac:dyDescent="0.25">
      <c r="A15" s="46"/>
      <c r="B15" s="11" t="str">
        <f>CONCATENATE("          ", "4002", " - ", "TAXABLE SALES-USED TEXT")</f>
        <v xml:space="preserve">          4002 - TAXABLE SALES-USED TEXT</v>
      </c>
      <c r="C15" s="11"/>
      <c r="D15" s="2">
        <f>--101849.66</f>
        <v>101849.66</v>
      </c>
      <c r="E15" s="2"/>
      <c r="F15" s="19"/>
      <c r="G15" s="2"/>
      <c r="H15" s="2"/>
      <c r="I15" s="2"/>
      <c r="J15" s="19"/>
      <c r="K15" s="2"/>
      <c r="L15" s="2">
        <f t="shared" si="0"/>
        <v>101849.66</v>
      </c>
      <c r="M15" s="2"/>
      <c r="N15" s="19">
        <f t="shared" si="1"/>
        <v>0</v>
      </c>
      <c r="O15" s="11"/>
      <c r="P15" s="2">
        <f>--657310.58</f>
        <v>657310.57999999996</v>
      </c>
      <c r="Q15" s="2"/>
      <c r="R15" s="19"/>
      <c r="S15" s="2"/>
      <c r="T15" s="2"/>
      <c r="U15" s="2"/>
      <c r="V15" s="19"/>
      <c r="W15" s="2"/>
      <c r="X15" s="2">
        <f t="shared" si="2"/>
        <v>657310.57999999996</v>
      </c>
      <c r="Y15" s="2"/>
      <c r="Z15" s="19">
        <f t="shared" si="3"/>
        <v>0</v>
      </c>
    </row>
    <row r="16" spans="1:26" s="24" customFormat="1" hidden="1" outlineLevel="1" x14ac:dyDescent="0.25">
      <c r="A16" s="46"/>
      <c r="B16" s="11" t="str">
        <f>CONCATENATE("          ", "4003", " - ", "TAXABLE SALES-RENTAL TEXT")</f>
        <v xml:space="preserve">          4003 - TAXABLE SALES-RENTAL TEXT</v>
      </c>
      <c r="C16" s="11"/>
      <c r="D16" s="2">
        <f>--2800.64</f>
        <v>2800.64</v>
      </c>
      <c r="E16" s="2"/>
      <c r="F16" s="19"/>
      <c r="G16" s="2"/>
      <c r="H16" s="2"/>
      <c r="I16" s="2"/>
      <c r="J16" s="19"/>
      <c r="K16" s="2"/>
      <c r="L16" s="2">
        <f t="shared" si="0"/>
        <v>2800.64</v>
      </c>
      <c r="M16" s="2"/>
      <c r="N16" s="19">
        <f t="shared" si="1"/>
        <v>0</v>
      </c>
      <c r="O16" s="11"/>
      <c r="P16" s="2">
        <f>--15536.69</f>
        <v>15536.69</v>
      </c>
      <c r="Q16" s="2"/>
      <c r="R16" s="19"/>
      <c r="S16" s="2"/>
      <c r="T16" s="2"/>
      <c r="U16" s="2"/>
      <c r="V16" s="19"/>
      <c r="W16" s="2"/>
      <c r="X16" s="2">
        <f t="shared" si="2"/>
        <v>15536.69</v>
      </c>
      <c r="Y16" s="2"/>
      <c r="Z16" s="19">
        <f t="shared" si="3"/>
        <v>0</v>
      </c>
    </row>
    <row r="17" spans="1:26" s="24" customFormat="1" hidden="1" outlineLevel="1" x14ac:dyDescent="0.25">
      <c r="A17" s="46"/>
      <c r="B17" s="11" t="str">
        <f>CONCATENATE("          ", "4004", " - ", "TAXABLE SALES-DIGITAL TEXT")</f>
        <v xml:space="preserve">          4004 - TAXABLE SALES-DIGITAL TEXT</v>
      </c>
      <c r="C17" s="11"/>
      <c r="D17" s="2">
        <f>--7290.37</f>
        <v>7290.37</v>
      </c>
      <c r="E17" s="2"/>
      <c r="F17" s="19"/>
      <c r="G17" s="2"/>
      <c r="H17" s="2"/>
      <c r="I17" s="2"/>
      <c r="J17" s="19"/>
      <c r="K17" s="2"/>
      <c r="L17" s="2">
        <f t="shared" si="0"/>
        <v>7290.37</v>
      </c>
      <c r="M17" s="2"/>
      <c r="N17" s="19">
        <f t="shared" si="1"/>
        <v>0</v>
      </c>
      <c r="O17" s="11"/>
      <c r="P17" s="2">
        <f>--29700.44</f>
        <v>29700.44</v>
      </c>
      <c r="Q17" s="2"/>
      <c r="R17" s="19"/>
      <c r="S17" s="2"/>
      <c r="T17" s="2"/>
      <c r="U17" s="2"/>
      <c r="V17" s="19"/>
      <c r="W17" s="2"/>
      <c r="X17" s="2">
        <f t="shared" si="2"/>
        <v>29700.44</v>
      </c>
      <c r="Y17" s="2"/>
      <c r="Z17" s="19">
        <f t="shared" si="3"/>
        <v>0</v>
      </c>
    </row>
    <row r="18" spans="1:26" s="24" customFormat="1" hidden="1" outlineLevel="1" x14ac:dyDescent="0.25">
      <c r="A18" s="46"/>
      <c r="B18" s="11" t="str">
        <f>CONCATENATE("          ", "4011", " - ", "TAXABLE SALES-NO VALUE TEXT")</f>
        <v xml:space="preserve">          4011 - TAXABLE SALES-NO VALUE TEXT</v>
      </c>
      <c r="C18" s="11"/>
      <c r="D18" s="2">
        <f>--9.6</f>
        <v>9.6</v>
      </c>
      <c r="E18" s="2"/>
      <c r="F18" s="19"/>
      <c r="G18" s="2"/>
      <c r="H18" s="2"/>
      <c r="I18" s="2"/>
      <c r="J18" s="19"/>
      <c r="K18" s="2"/>
      <c r="L18" s="2">
        <f t="shared" si="0"/>
        <v>9.6</v>
      </c>
      <c r="M18" s="2"/>
      <c r="N18" s="19">
        <f t="shared" si="1"/>
        <v>0</v>
      </c>
      <c r="O18" s="11"/>
      <c r="P18" s="2">
        <f>--9.6</f>
        <v>9.6</v>
      </c>
      <c r="Q18" s="2"/>
      <c r="R18" s="19"/>
      <c r="S18" s="2"/>
      <c r="T18" s="2"/>
      <c r="U18" s="2"/>
      <c r="V18" s="19"/>
      <c r="W18" s="2"/>
      <c r="X18" s="2">
        <f t="shared" si="2"/>
        <v>9.6</v>
      </c>
      <c r="Y18" s="2"/>
      <c r="Z18" s="19">
        <f t="shared" si="3"/>
        <v>0</v>
      </c>
    </row>
    <row r="19" spans="1:26" s="24" customFormat="1" hidden="1" outlineLevel="1" x14ac:dyDescent="0.25">
      <c r="A19" s="46"/>
      <c r="B19" s="11" t="str">
        <f>CONCATENATE("          ", "4013", " - ", "TAXABLE SALES-TRADE BOOKS")</f>
        <v xml:space="preserve">          4013 - TAXABLE SALES-TRADE BOOKS</v>
      </c>
      <c r="C19" s="11"/>
      <c r="D19" s="2">
        <f>--29.95</f>
        <v>29.95</v>
      </c>
      <c r="E19" s="2"/>
      <c r="F19" s="19"/>
      <c r="G19" s="2"/>
      <c r="H19" s="2"/>
      <c r="I19" s="2"/>
      <c r="J19" s="19"/>
      <c r="K19" s="2"/>
      <c r="L19" s="2">
        <f t="shared" si="0"/>
        <v>29.95</v>
      </c>
      <c r="M19" s="2"/>
      <c r="N19" s="19">
        <f t="shared" si="1"/>
        <v>0</v>
      </c>
      <c r="O19" s="11"/>
      <c r="P19" s="2">
        <f>--140.76</f>
        <v>140.76</v>
      </c>
      <c r="Q19" s="2"/>
      <c r="R19" s="19"/>
      <c r="S19" s="2"/>
      <c r="T19" s="2"/>
      <c r="U19" s="2"/>
      <c r="V19" s="19"/>
      <c r="W19" s="2"/>
      <c r="X19" s="2">
        <f t="shared" si="2"/>
        <v>140.76</v>
      </c>
      <c r="Y19" s="2"/>
      <c r="Z19" s="19">
        <f t="shared" si="3"/>
        <v>0</v>
      </c>
    </row>
    <row r="20" spans="1:26" s="24" customFormat="1" hidden="1" outlineLevel="1" x14ac:dyDescent="0.25">
      <c r="A20" s="46"/>
      <c r="B20" s="11" t="str">
        <f>CONCATENATE("          ", "4014", " - ", "TAXABLE SALES-REMAINDERS")</f>
        <v xml:space="preserve">          4014 - TAXABLE SALES-REMAINDERS</v>
      </c>
      <c r="C20" s="11"/>
      <c r="D20" s="2">
        <f>--97.44</f>
        <v>97.44</v>
      </c>
      <c r="E20" s="2"/>
      <c r="F20" s="19"/>
      <c r="G20" s="2"/>
      <c r="H20" s="2"/>
      <c r="I20" s="2"/>
      <c r="J20" s="19"/>
      <c r="K20" s="2"/>
      <c r="L20" s="2">
        <f t="shared" si="0"/>
        <v>97.44</v>
      </c>
      <c r="M20" s="2"/>
      <c r="N20" s="19">
        <f t="shared" si="1"/>
        <v>0</v>
      </c>
      <c r="O20" s="11"/>
      <c r="P20" s="2">
        <f>--523.09</f>
        <v>523.09</v>
      </c>
      <c r="Q20" s="2"/>
      <c r="R20" s="19"/>
      <c r="S20" s="2"/>
      <c r="T20" s="2"/>
      <c r="U20" s="2"/>
      <c r="V20" s="19"/>
      <c r="W20" s="2"/>
      <c r="X20" s="2">
        <f t="shared" si="2"/>
        <v>523.09</v>
      </c>
      <c r="Y20" s="2"/>
      <c r="Z20" s="19">
        <f t="shared" si="3"/>
        <v>0</v>
      </c>
    </row>
    <row r="21" spans="1:26" s="24" customFormat="1" hidden="1" outlineLevel="1" x14ac:dyDescent="0.25">
      <c r="A21" s="46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--65.39</f>
        <v>65.39</v>
      </c>
      <c r="E21" s="2"/>
      <c r="F21" s="19"/>
      <c r="G21" s="2"/>
      <c r="H21" s="2"/>
      <c r="I21" s="2"/>
      <c r="J21" s="19"/>
      <c r="K21" s="2"/>
      <c r="L21" s="2">
        <f t="shared" si="0"/>
        <v>65.39</v>
      </c>
      <c r="M21" s="2"/>
      <c r="N21" s="19">
        <f t="shared" si="1"/>
        <v>0</v>
      </c>
      <c r="O21" s="11"/>
      <c r="P21" s="2">
        <f>--222.69</f>
        <v>222.69</v>
      </c>
      <c r="Q21" s="2"/>
      <c r="R21" s="19"/>
      <c r="S21" s="2"/>
      <c r="T21" s="2"/>
      <c r="U21" s="2"/>
      <c r="V21" s="19"/>
      <c r="W21" s="2"/>
      <c r="X21" s="2">
        <f t="shared" si="2"/>
        <v>222.69</v>
      </c>
      <c r="Y21" s="2"/>
      <c r="Z21" s="19">
        <f t="shared" si="3"/>
        <v>0</v>
      </c>
    </row>
    <row r="22" spans="1:26" s="24" customFormat="1" hidden="1" outlineLevel="1" x14ac:dyDescent="0.25">
      <c r="A22" s="46"/>
      <c r="B22" s="11" t="str">
        <f>CONCATENATE("          ", "4018", " - ", "TAXABLE SALES-STUDY GUIDES")</f>
        <v xml:space="preserve">          4018 - TAXABLE SALES-STUDY GUIDES</v>
      </c>
      <c r="C22" s="11"/>
      <c r="D22" s="2">
        <f>--696.02</f>
        <v>696.02</v>
      </c>
      <c r="E22" s="2"/>
      <c r="F22" s="19"/>
      <c r="G22" s="2"/>
      <c r="H22" s="2"/>
      <c r="I22" s="2"/>
      <c r="J22" s="19"/>
      <c r="K22" s="2"/>
      <c r="L22" s="2">
        <f t="shared" si="0"/>
        <v>696.02</v>
      </c>
      <c r="M22" s="2"/>
      <c r="N22" s="19">
        <f t="shared" si="1"/>
        <v>0</v>
      </c>
      <c r="O22" s="11"/>
      <c r="P22" s="2">
        <f>--2060.15</f>
        <v>2060.15</v>
      </c>
      <c r="Q22" s="2"/>
      <c r="R22" s="19"/>
      <c r="S22" s="2"/>
      <c r="T22" s="2"/>
      <c r="U22" s="2"/>
      <c r="V22" s="19"/>
      <c r="W22" s="2"/>
      <c r="X22" s="2">
        <f t="shared" si="2"/>
        <v>2060.15</v>
      </c>
      <c r="Y22" s="2"/>
      <c r="Z22" s="19">
        <f t="shared" si="3"/>
        <v>0</v>
      </c>
    </row>
    <row r="23" spans="1:26" s="24" customFormat="1" hidden="1" outlineLevel="1" x14ac:dyDescent="0.25">
      <c r="A23" s="46"/>
      <c r="B23" s="11" t="str">
        <f>CONCATENATE("          ", "4019", " - ", "TAXABLE SALES-BOOK RELATED")</f>
        <v xml:space="preserve">          4019 - TAXABLE SALES-BOOK RELATED</v>
      </c>
      <c r="C23" s="11"/>
      <c r="D23" s="2">
        <f>0</f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--14.95</f>
        <v>14.95</v>
      </c>
      <c r="Q23" s="2"/>
      <c r="R23" s="19"/>
      <c r="S23" s="2"/>
      <c r="T23" s="2"/>
      <c r="U23" s="2"/>
      <c r="V23" s="19"/>
      <c r="W23" s="2"/>
      <c r="X23" s="2">
        <f t="shared" si="2"/>
        <v>14.95</v>
      </c>
      <c r="Y23" s="2"/>
      <c r="Z23" s="19">
        <f t="shared" si="3"/>
        <v>0</v>
      </c>
    </row>
    <row r="24" spans="1:26" s="24" customFormat="1" hidden="1" outlineLevel="1" x14ac:dyDescent="0.25">
      <c r="A24" s="46"/>
      <c r="B24" s="11" t="str">
        <f>CONCATENATE("          ", "4025", " - ", "TAXABLE SALES-TEST FORMS")</f>
        <v xml:space="preserve">          4025 - TAXABLE SALES-TEST FORMS</v>
      </c>
      <c r="C24" s="11"/>
      <c r="D24" s="2">
        <f>--11837.54</f>
        <v>11837.54</v>
      </c>
      <c r="E24" s="2"/>
      <c r="F24" s="19"/>
      <c r="G24" s="2"/>
      <c r="H24" s="2"/>
      <c r="I24" s="2"/>
      <c r="J24" s="19"/>
      <c r="K24" s="2"/>
      <c r="L24" s="2">
        <f t="shared" si="0"/>
        <v>11837.54</v>
      </c>
      <c r="M24" s="2"/>
      <c r="N24" s="19">
        <f t="shared" si="1"/>
        <v>0</v>
      </c>
      <c r="O24" s="11"/>
      <c r="P24" s="2">
        <f>--16296.07</f>
        <v>16296.07</v>
      </c>
      <c r="Q24" s="2"/>
      <c r="R24" s="19"/>
      <c r="S24" s="2"/>
      <c r="T24" s="2"/>
      <c r="U24" s="2"/>
      <c r="V24" s="19"/>
      <c r="W24" s="2"/>
      <c r="X24" s="2">
        <f t="shared" si="2"/>
        <v>16296.07</v>
      </c>
      <c r="Y24" s="2"/>
      <c r="Z24" s="19">
        <f t="shared" si="3"/>
        <v>0</v>
      </c>
    </row>
    <row r="25" spans="1:26" s="24" customFormat="1" hidden="1" outlineLevel="1" x14ac:dyDescent="0.25">
      <c r="A25" s="46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--11722.76</f>
        <v>11722.76</v>
      </c>
      <c r="E25" s="2"/>
      <c r="F25" s="19"/>
      <c r="G25" s="2"/>
      <c r="H25" s="2"/>
      <c r="I25" s="2"/>
      <c r="J25" s="19"/>
      <c r="K25" s="2"/>
      <c r="L25" s="2">
        <f t="shared" si="0"/>
        <v>11722.76</v>
      </c>
      <c r="M25" s="2"/>
      <c r="N25" s="19">
        <f t="shared" si="1"/>
        <v>0</v>
      </c>
      <c r="O25" s="11"/>
      <c r="P25" s="2">
        <f>--24499.3</f>
        <v>24499.3</v>
      </c>
      <c r="Q25" s="2"/>
      <c r="R25" s="19"/>
      <c r="S25" s="2"/>
      <c r="T25" s="2"/>
      <c r="U25" s="2"/>
      <c r="V25" s="19"/>
      <c r="W25" s="2"/>
      <c r="X25" s="2">
        <f t="shared" si="2"/>
        <v>24499.3</v>
      </c>
      <c r="Y25" s="2"/>
      <c r="Z25" s="19">
        <f t="shared" si="3"/>
        <v>0</v>
      </c>
    </row>
    <row r="26" spans="1:26" s="24" customFormat="1" hidden="1" outlineLevel="1" x14ac:dyDescent="0.25">
      <c r="A26" s="46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--44221.34</f>
        <v>44221.34</v>
      </c>
      <c r="E26" s="2"/>
      <c r="F26" s="19"/>
      <c r="G26" s="2"/>
      <c r="H26" s="2"/>
      <c r="I26" s="2"/>
      <c r="J26" s="19"/>
      <c r="K26" s="2"/>
      <c r="L26" s="2">
        <f t="shared" si="0"/>
        <v>44221.34</v>
      </c>
      <c r="M26" s="2"/>
      <c r="N26" s="19">
        <f t="shared" si="1"/>
        <v>0</v>
      </c>
      <c r="O26" s="11"/>
      <c r="P26" s="2">
        <f>--123320.59</f>
        <v>123320.59</v>
      </c>
      <c r="Q26" s="2"/>
      <c r="R26" s="19"/>
      <c r="S26" s="2"/>
      <c r="T26" s="2"/>
      <c r="U26" s="2"/>
      <c r="V26" s="19"/>
      <c r="W26" s="2"/>
      <c r="X26" s="2">
        <f t="shared" si="2"/>
        <v>123320.59</v>
      </c>
      <c r="Y26" s="2"/>
      <c r="Z26" s="19">
        <f t="shared" si="3"/>
        <v>0</v>
      </c>
    </row>
    <row r="27" spans="1:26" s="24" customFormat="1" hidden="1" outlineLevel="1" x14ac:dyDescent="0.25">
      <c r="A27" s="46"/>
      <c r="B27" s="11" t="str">
        <f>CONCATENATE("          ", "4028", " - ", "TAXABLE SALES-ART/TECH")</f>
        <v xml:space="preserve">          4028 - TAXABLE SALES-ART/TECH</v>
      </c>
      <c r="C27" s="11"/>
      <c r="D27" s="2">
        <f>--51812.13</f>
        <v>51812.13</v>
      </c>
      <c r="E27" s="2"/>
      <c r="F27" s="19"/>
      <c r="G27" s="2"/>
      <c r="H27" s="2"/>
      <c r="I27" s="2"/>
      <c r="J27" s="19"/>
      <c r="K27" s="2"/>
      <c r="L27" s="2">
        <f t="shared" si="0"/>
        <v>51812.13</v>
      </c>
      <c r="M27" s="2"/>
      <c r="N27" s="19">
        <f t="shared" si="1"/>
        <v>0</v>
      </c>
      <c r="O27" s="11"/>
      <c r="P27" s="2">
        <f>--100727.68</f>
        <v>100727.67999999999</v>
      </c>
      <c r="Q27" s="2"/>
      <c r="R27" s="19"/>
      <c r="S27" s="2"/>
      <c r="T27" s="2"/>
      <c r="U27" s="2"/>
      <c r="V27" s="19"/>
      <c r="W27" s="2"/>
      <c r="X27" s="2">
        <f t="shared" si="2"/>
        <v>100727.67999999999</v>
      </c>
      <c r="Y27" s="2"/>
      <c r="Z27" s="19">
        <f t="shared" si="3"/>
        <v>0</v>
      </c>
    </row>
    <row r="28" spans="1:26" s="24" customFormat="1" hidden="1" outlineLevel="1" x14ac:dyDescent="0.25">
      <c r="A28" s="46"/>
      <c r="B28" s="11" t="str">
        <f>CONCATENATE("          ", "4031", " - ", "TAXABLE SALES-FOOD")</f>
        <v xml:space="preserve">          4031 - TAXABLE SALES-FOOD</v>
      </c>
      <c r="C28" s="11"/>
      <c r="D28" s="2">
        <f>--88.48</f>
        <v>88.48</v>
      </c>
      <c r="E28" s="2"/>
      <c r="F28" s="19"/>
      <c r="G28" s="2"/>
      <c r="H28" s="2"/>
      <c r="I28" s="2"/>
      <c r="J28" s="19"/>
      <c r="K28" s="2"/>
      <c r="L28" s="2">
        <f t="shared" si="0"/>
        <v>88.48</v>
      </c>
      <c r="M28" s="2"/>
      <c r="N28" s="19">
        <f t="shared" si="1"/>
        <v>0</v>
      </c>
      <c r="O28" s="11"/>
      <c r="P28" s="2">
        <f>--120.82</f>
        <v>120.82</v>
      </c>
      <c r="Q28" s="2"/>
      <c r="R28" s="19"/>
      <c r="S28" s="2"/>
      <c r="T28" s="2"/>
      <c r="U28" s="2"/>
      <c r="V28" s="19"/>
      <c r="W28" s="2"/>
      <c r="X28" s="2">
        <f t="shared" si="2"/>
        <v>120.82</v>
      </c>
      <c r="Y28" s="2"/>
      <c r="Z28" s="19">
        <f t="shared" si="3"/>
        <v>0</v>
      </c>
    </row>
    <row r="29" spans="1:26" s="24" customFormat="1" hidden="1" outlineLevel="1" x14ac:dyDescent="0.25">
      <c r="A29" s="46"/>
      <c r="B29" s="11" t="str">
        <f>CONCATENATE("          ", "4032", " - ", "TAXABLE SALES-JUICE")</f>
        <v xml:space="preserve">          4032 - TAXABLE SALES-JUICE</v>
      </c>
      <c r="C29" s="11"/>
      <c r="D29" s="2">
        <f>--47924.5</f>
        <v>47924.5</v>
      </c>
      <c r="E29" s="2"/>
      <c r="F29" s="19"/>
      <c r="G29" s="2"/>
      <c r="H29" s="2"/>
      <c r="I29" s="2"/>
      <c r="J29" s="19"/>
      <c r="K29" s="2"/>
      <c r="L29" s="2">
        <f t="shared" si="0"/>
        <v>47924.5</v>
      </c>
      <c r="M29" s="2"/>
      <c r="N29" s="19">
        <f t="shared" si="1"/>
        <v>0</v>
      </c>
      <c r="O29" s="11"/>
      <c r="P29" s="2">
        <f>--72677.69</f>
        <v>72677.69</v>
      </c>
      <c r="Q29" s="2"/>
      <c r="R29" s="19"/>
      <c r="S29" s="2"/>
      <c r="T29" s="2"/>
      <c r="U29" s="2"/>
      <c r="V29" s="19"/>
      <c r="W29" s="2"/>
      <c r="X29" s="2">
        <f t="shared" si="2"/>
        <v>72677.69</v>
      </c>
      <c r="Y29" s="2"/>
      <c r="Z29" s="19">
        <f t="shared" si="3"/>
        <v>0</v>
      </c>
    </row>
    <row r="30" spans="1:26" s="24" customFormat="1" hidden="1" outlineLevel="1" x14ac:dyDescent="0.25">
      <c r="A30" s="46"/>
      <c r="B30" s="11" t="str">
        <f>CONCATENATE("          ", "4033", " - ", "TAXABLE SALES-CANDY")</f>
        <v xml:space="preserve">          4033 - TAXABLE SALES-CANDY</v>
      </c>
      <c r="C30" s="11"/>
      <c r="D30" s="2">
        <f>--27.97</f>
        <v>27.97</v>
      </c>
      <c r="E30" s="2"/>
      <c r="F30" s="19"/>
      <c r="G30" s="2"/>
      <c r="H30" s="2"/>
      <c r="I30" s="2"/>
      <c r="J30" s="19"/>
      <c r="K30" s="2"/>
      <c r="L30" s="2">
        <f t="shared" si="0"/>
        <v>27.97</v>
      </c>
      <c r="M30" s="2"/>
      <c r="N30" s="19">
        <f t="shared" si="1"/>
        <v>0</v>
      </c>
      <c r="O30" s="11"/>
      <c r="P30" s="2">
        <f>--40.97</f>
        <v>40.97</v>
      </c>
      <c r="Q30" s="2"/>
      <c r="R30" s="19"/>
      <c r="S30" s="2"/>
      <c r="T30" s="2"/>
      <c r="U30" s="2"/>
      <c r="V30" s="19"/>
      <c r="W30" s="2"/>
      <c r="X30" s="2">
        <f t="shared" si="2"/>
        <v>40.97</v>
      </c>
      <c r="Y30" s="2"/>
      <c r="Z30" s="19">
        <f t="shared" si="3"/>
        <v>0</v>
      </c>
    </row>
    <row r="31" spans="1:26" s="24" customFormat="1" hidden="1" outlineLevel="1" x14ac:dyDescent="0.25">
      <c r="A31" s="46"/>
      <c r="B31" s="11" t="str">
        <f>CONCATENATE("          ", "4034", " - ", "TAXABLE SALES-SODA")</f>
        <v xml:space="preserve">          4034 - TAXABLE SALES-SODA</v>
      </c>
      <c r="C31" s="11"/>
      <c r="D31" s="2">
        <f>--2047.94</f>
        <v>2047.94</v>
      </c>
      <c r="E31" s="2"/>
      <c r="F31" s="19"/>
      <c r="G31" s="2"/>
      <c r="H31" s="2"/>
      <c r="I31" s="2"/>
      <c r="J31" s="19"/>
      <c r="K31" s="2"/>
      <c r="L31" s="2">
        <f t="shared" si="0"/>
        <v>2047.94</v>
      </c>
      <c r="M31" s="2"/>
      <c r="N31" s="19">
        <f t="shared" si="1"/>
        <v>0</v>
      </c>
      <c r="O31" s="11"/>
      <c r="P31" s="2">
        <f>--3009.88</f>
        <v>3009.88</v>
      </c>
      <c r="Q31" s="2"/>
      <c r="R31" s="19"/>
      <c r="S31" s="2"/>
      <c r="T31" s="2"/>
      <c r="U31" s="2"/>
      <c r="V31" s="19"/>
      <c r="W31" s="2"/>
      <c r="X31" s="2">
        <f t="shared" si="2"/>
        <v>3009.88</v>
      </c>
      <c r="Y31" s="2"/>
      <c r="Z31" s="19">
        <f t="shared" si="3"/>
        <v>0</v>
      </c>
    </row>
    <row r="32" spans="1:26" s="24" customFormat="1" hidden="1" outlineLevel="1" x14ac:dyDescent="0.25">
      <c r="A32" s="46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>--339.98</f>
        <v>339.98</v>
      </c>
      <c r="E32" s="2"/>
      <c r="F32" s="19"/>
      <c r="G32" s="2"/>
      <c r="H32" s="2"/>
      <c r="I32" s="2"/>
      <c r="J32" s="19"/>
      <c r="K32" s="2"/>
      <c r="L32" s="2">
        <f t="shared" si="0"/>
        <v>339.98</v>
      </c>
      <c r="M32" s="2"/>
      <c r="N32" s="19">
        <f t="shared" si="1"/>
        <v>0</v>
      </c>
      <c r="O32" s="11"/>
      <c r="P32" s="2">
        <f>--438.43</f>
        <v>438.43</v>
      </c>
      <c r="Q32" s="2"/>
      <c r="R32" s="19"/>
      <c r="S32" s="2"/>
      <c r="T32" s="2"/>
      <c r="U32" s="2"/>
      <c r="V32" s="19"/>
      <c r="W32" s="2"/>
      <c r="X32" s="2">
        <f t="shared" si="2"/>
        <v>438.43</v>
      </c>
      <c r="Y32" s="2"/>
      <c r="Z32" s="19">
        <f t="shared" si="3"/>
        <v>0</v>
      </c>
    </row>
    <row r="33" spans="1:26" s="24" customFormat="1" hidden="1" outlineLevel="1" x14ac:dyDescent="0.25">
      <c r="A33" s="46"/>
      <c r="B33" s="11" t="str">
        <f>CONCATENATE("          ", "4037", " - ", "TAXABLE SALES-WATER")</f>
        <v xml:space="preserve">          4037 - TAXABLE SALES-WATER</v>
      </c>
      <c r="C33" s="11"/>
      <c r="D33" s="2">
        <f>--131.98</f>
        <v>131.97999999999999</v>
      </c>
      <c r="E33" s="2"/>
      <c r="F33" s="19"/>
      <c r="G33" s="2"/>
      <c r="H33" s="2"/>
      <c r="I33" s="2"/>
      <c r="J33" s="19"/>
      <c r="K33" s="2"/>
      <c r="L33" s="2">
        <f t="shared" si="0"/>
        <v>131.97999999999999</v>
      </c>
      <c r="M33" s="2"/>
      <c r="N33" s="19">
        <f t="shared" si="1"/>
        <v>0</v>
      </c>
      <c r="O33" s="11"/>
      <c r="P33" s="2">
        <f>--174.15</f>
        <v>174.15</v>
      </c>
      <c r="Q33" s="2"/>
      <c r="R33" s="19"/>
      <c r="S33" s="2"/>
      <c r="T33" s="2"/>
      <c r="U33" s="2"/>
      <c r="V33" s="19"/>
      <c r="W33" s="2"/>
      <c r="X33" s="2">
        <f t="shared" si="2"/>
        <v>174.15</v>
      </c>
      <c r="Y33" s="2"/>
      <c r="Z33" s="19">
        <f t="shared" si="3"/>
        <v>0</v>
      </c>
    </row>
    <row r="34" spans="1:26" s="24" customFormat="1" hidden="1" outlineLevel="1" x14ac:dyDescent="0.25">
      <c r="A34" s="46"/>
      <c r="B34" s="11" t="str">
        <f>CONCATENATE("          ", "4040", " - ", "TAXABLE SALES-LOGO CLOTHING")</f>
        <v xml:space="preserve">          4040 - TAXABLE SALES-LOGO CLOTHING</v>
      </c>
      <c r="C34" s="11"/>
      <c r="D34" s="2">
        <f>--243145.84</f>
        <v>243145.84</v>
      </c>
      <c r="E34" s="2"/>
      <c r="F34" s="19"/>
      <c r="G34" s="2"/>
      <c r="H34" s="2"/>
      <c r="I34" s="2"/>
      <c r="J34" s="19"/>
      <c r="K34" s="2"/>
      <c r="L34" s="2">
        <f t="shared" si="0"/>
        <v>243145.84</v>
      </c>
      <c r="M34" s="2"/>
      <c r="N34" s="19">
        <f t="shared" si="1"/>
        <v>0</v>
      </c>
      <c r="O34" s="11"/>
      <c r="P34" s="2">
        <f>--632899.52</f>
        <v>632899.52</v>
      </c>
      <c r="Q34" s="2"/>
      <c r="R34" s="19"/>
      <c r="S34" s="2"/>
      <c r="T34" s="2"/>
      <c r="U34" s="2"/>
      <c r="V34" s="19"/>
      <c r="W34" s="2"/>
      <c r="X34" s="2">
        <f t="shared" si="2"/>
        <v>632899.52</v>
      </c>
      <c r="Y34" s="2"/>
      <c r="Z34" s="19">
        <f t="shared" si="3"/>
        <v>0</v>
      </c>
    </row>
    <row r="35" spans="1:26" s="24" customFormat="1" hidden="1" outlineLevel="1" x14ac:dyDescent="0.25">
      <c r="A35" s="46"/>
      <c r="B35" s="11" t="str">
        <f>CONCATENATE("          ", "4041", " - ", "TAXABLE SALES-LOGO GIFTS")</f>
        <v xml:space="preserve">          4041 - TAXABLE SALES-LOGO GIFTS</v>
      </c>
      <c r="C35" s="11"/>
      <c r="D35" s="2">
        <f>--49940.2</f>
        <v>49940.2</v>
      </c>
      <c r="E35" s="2"/>
      <c r="F35" s="19"/>
      <c r="G35" s="2"/>
      <c r="H35" s="2"/>
      <c r="I35" s="2"/>
      <c r="J35" s="19"/>
      <c r="K35" s="2"/>
      <c r="L35" s="2">
        <f t="shared" si="0"/>
        <v>49940.2</v>
      </c>
      <c r="M35" s="2"/>
      <c r="N35" s="19">
        <f t="shared" si="1"/>
        <v>0</v>
      </c>
      <c r="O35" s="11"/>
      <c r="P35" s="2">
        <f>--201632.61</f>
        <v>201632.61</v>
      </c>
      <c r="Q35" s="2"/>
      <c r="R35" s="19"/>
      <c r="S35" s="2"/>
      <c r="T35" s="2"/>
      <c r="U35" s="2"/>
      <c r="V35" s="19"/>
      <c r="W35" s="2"/>
      <c r="X35" s="2">
        <f t="shared" si="2"/>
        <v>201632.61</v>
      </c>
      <c r="Y35" s="2"/>
      <c r="Z35" s="19">
        <f t="shared" si="3"/>
        <v>0</v>
      </c>
    </row>
    <row r="36" spans="1:26" s="24" customFormat="1" hidden="1" outlineLevel="1" x14ac:dyDescent="0.25">
      <c r="A36" s="46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--35079.3</f>
        <v>35079.300000000003</v>
      </c>
      <c r="E36" s="2"/>
      <c r="F36" s="19"/>
      <c r="G36" s="2"/>
      <c r="H36" s="2"/>
      <c r="I36" s="2"/>
      <c r="J36" s="19"/>
      <c r="K36" s="2"/>
      <c r="L36" s="2">
        <f t="shared" si="0"/>
        <v>35079.300000000003</v>
      </c>
      <c r="M36" s="2"/>
      <c r="N36" s="19">
        <f t="shared" si="1"/>
        <v>0</v>
      </c>
      <c r="O36" s="11"/>
      <c r="P36" s="2">
        <f>--95118.27</f>
        <v>95118.27</v>
      </c>
      <c r="Q36" s="2"/>
      <c r="R36" s="19"/>
      <c r="S36" s="2"/>
      <c r="T36" s="2"/>
      <c r="U36" s="2"/>
      <c r="V36" s="19"/>
      <c r="W36" s="2"/>
      <c r="X36" s="2">
        <f t="shared" si="2"/>
        <v>95118.27</v>
      </c>
      <c r="Y36" s="2"/>
      <c r="Z36" s="19">
        <f t="shared" si="3"/>
        <v>0</v>
      </c>
    </row>
    <row r="37" spans="1:26" s="24" customFormat="1" hidden="1" outlineLevel="1" x14ac:dyDescent="0.25">
      <c r="A37" s="46"/>
      <c r="B37" s="11" t="str">
        <f>CONCATENATE("          ", "4043", " - ", "TAXABLE SALES-CARDS")</f>
        <v xml:space="preserve">          4043 - TAXABLE SALES-CARDS</v>
      </c>
      <c r="C37" s="11"/>
      <c r="D37" s="2">
        <f>--272.36</f>
        <v>272.36</v>
      </c>
      <c r="E37" s="2"/>
      <c r="F37" s="19"/>
      <c r="G37" s="2"/>
      <c r="H37" s="2"/>
      <c r="I37" s="2"/>
      <c r="J37" s="19"/>
      <c r="K37" s="2"/>
      <c r="L37" s="2">
        <f t="shared" si="0"/>
        <v>272.36</v>
      </c>
      <c r="M37" s="2"/>
      <c r="N37" s="19">
        <f t="shared" si="1"/>
        <v>0</v>
      </c>
      <c r="O37" s="11"/>
      <c r="P37" s="2">
        <f>--457.81</f>
        <v>457.81</v>
      </c>
      <c r="Q37" s="2"/>
      <c r="R37" s="19"/>
      <c r="S37" s="2"/>
      <c r="T37" s="2"/>
      <c r="U37" s="2"/>
      <c r="V37" s="19"/>
      <c r="W37" s="2"/>
      <c r="X37" s="2">
        <f t="shared" si="2"/>
        <v>457.81</v>
      </c>
      <c r="Y37" s="2"/>
      <c r="Z37" s="19">
        <f t="shared" si="3"/>
        <v>0</v>
      </c>
    </row>
    <row r="38" spans="1:26" s="24" customFormat="1" hidden="1" outlineLevel="1" x14ac:dyDescent="0.25">
      <c r="A38" s="46"/>
      <c r="B38" s="11" t="str">
        <f>CONCATENATE("          ", "4044", " - ", "TAXABLE SALES-ACCESSORIES")</f>
        <v xml:space="preserve">          4044 - TAXABLE SALES-ACCESSORIES</v>
      </c>
      <c r="C38" s="11"/>
      <c r="D38" s="2">
        <f>--6451.34</f>
        <v>6451.34</v>
      </c>
      <c r="E38" s="2"/>
      <c r="F38" s="19"/>
      <c r="G38" s="2"/>
      <c r="H38" s="2"/>
      <c r="I38" s="2"/>
      <c r="J38" s="19"/>
      <c r="K38" s="2"/>
      <c r="L38" s="2">
        <f t="shared" si="0"/>
        <v>6451.34</v>
      </c>
      <c r="M38" s="2"/>
      <c r="N38" s="19">
        <f t="shared" si="1"/>
        <v>0</v>
      </c>
      <c r="O38" s="11"/>
      <c r="P38" s="2">
        <f>--28228.41</f>
        <v>28228.41</v>
      </c>
      <c r="Q38" s="2"/>
      <c r="R38" s="19"/>
      <c r="S38" s="2"/>
      <c r="T38" s="2"/>
      <c r="U38" s="2"/>
      <c r="V38" s="19"/>
      <c r="W38" s="2"/>
      <c r="X38" s="2">
        <f t="shared" si="2"/>
        <v>28228.41</v>
      </c>
      <c r="Y38" s="2"/>
      <c r="Z38" s="19">
        <f t="shared" si="3"/>
        <v>0</v>
      </c>
    </row>
    <row r="39" spans="1:26" s="24" customFormat="1" hidden="1" outlineLevel="1" x14ac:dyDescent="0.25">
      <c r="A39" s="46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--5803.07</f>
        <v>5803.07</v>
      </c>
      <c r="E39" s="2"/>
      <c r="F39" s="19"/>
      <c r="G39" s="2"/>
      <c r="H39" s="2"/>
      <c r="I39" s="2"/>
      <c r="J39" s="19"/>
      <c r="K39" s="2"/>
      <c r="L39" s="2">
        <f t="shared" si="0"/>
        <v>5803.07</v>
      </c>
      <c r="M39" s="2"/>
      <c r="N39" s="19">
        <f t="shared" si="1"/>
        <v>0</v>
      </c>
      <c r="O39" s="11"/>
      <c r="P39" s="2">
        <f>--31327.11</f>
        <v>31327.11</v>
      </c>
      <c r="Q39" s="2"/>
      <c r="R39" s="19"/>
      <c r="S39" s="2"/>
      <c r="T39" s="2"/>
      <c r="U39" s="2"/>
      <c r="V39" s="19"/>
      <c r="W39" s="2"/>
      <c r="X39" s="2">
        <f t="shared" si="2"/>
        <v>31327.11</v>
      </c>
      <c r="Y39" s="2"/>
      <c r="Z39" s="19">
        <f t="shared" si="3"/>
        <v>0</v>
      </c>
    </row>
    <row r="40" spans="1:26" s="24" customFormat="1" hidden="1" outlineLevel="1" x14ac:dyDescent="0.25">
      <c r="A40" s="46"/>
      <c r="B40" s="11" t="str">
        <f>CONCATENATE("          ", "4047", " - ", "TAXABLE SALES-MISC")</f>
        <v xml:space="preserve">          4047 - TAXABLE SALES-MISC</v>
      </c>
      <c r="C40" s="11"/>
      <c r="D40" s="2">
        <f>--488.97</f>
        <v>488.97</v>
      </c>
      <c r="E40" s="2"/>
      <c r="F40" s="19"/>
      <c r="G40" s="2"/>
      <c r="H40" s="2"/>
      <c r="I40" s="2"/>
      <c r="J40" s="19"/>
      <c r="K40" s="2"/>
      <c r="L40" s="2">
        <f t="shared" si="0"/>
        <v>488.97</v>
      </c>
      <c r="M40" s="2"/>
      <c r="N40" s="19">
        <f t="shared" si="1"/>
        <v>0</v>
      </c>
      <c r="O40" s="11"/>
      <c r="P40" s="2">
        <f>--971.35</f>
        <v>971.35</v>
      </c>
      <c r="Q40" s="2"/>
      <c r="R40" s="19"/>
      <c r="S40" s="2"/>
      <c r="T40" s="2"/>
      <c r="U40" s="2"/>
      <c r="V40" s="19"/>
      <c r="W40" s="2"/>
      <c r="X40" s="2">
        <f t="shared" si="2"/>
        <v>971.35</v>
      </c>
      <c r="Y40" s="2"/>
      <c r="Z40" s="19">
        <f t="shared" si="3"/>
        <v>0</v>
      </c>
    </row>
    <row r="41" spans="1:26" s="24" customFormat="1" hidden="1" outlineLevel="1" x14ac:dyDescent="0.25">
      <c r="A41" s="46"/>
      <c r="B41" s="11" t="str">
        <f>CONCATENATE("          ", "4051", " - ", "TAXABLE SALES-FOOD")</f>
        <v xml:space="preserve">          4051 - TAXABLE SALES-FOOD</v>
      </c>
      <c r="C41" s="11"/>
      <c r="D41" s="2">
        <f>--27751.99</f>
        <v>27751.99</v>
      </c>
      <c r="E41" s="2"/>
      <c r="F41" s="19"/>
      <c r="G41" s="2"/>
      <c r="H41" s="2"/>
      <c r="I41" s="2"/>
      <c r="J41" s="19"/>
      <c r="K41" s="2"/>
      <c r="L41" s="2">
        <f t="shared" si="0"/>
        <v>27751.99</v>
      </c>
      <c r="M41" s="2"/>
      <c r="N41" s="19">
        <f t="shared" si="1"/>
        <v>0</v>
      </c>
      <c r="O41" s="11"/>
      <c r="P41" s="2">
        <f>--38918.87</f>
        <v>38918.870000000003</v>
      </c>
      <c r="Q41" s="2"/>
      <c r="R41" s="19"/>
      <c r="S41" s="2"/>
      <c r="T41" s="2"/>
      <c r="U41" s="2"/>
      <c r="V41" s="19"/>
      <c r="W41" s="2"/>
      <c r="X41" s="2">
        <f t="shared" si="2"/>
        <v>38918.870000000003</v>
      </c>
      <c r="Y41" s="2"/>
      <c r="Z41" s="19">
        <f t="shared" si="3"/>
        <v>0</v>
      </c>
    </row>
    <row r="42" spans="1:26" s="24" customFormat="1" hidden="1" outlineLevel="1" x14ac:dyDescent="0.25">
      <c r="A42" s="46"/>
      <c r="B42" s="11" t="str">
        <f>CONCATENATE("          ", "4081", " - ", "TAXABLE SALES-ELECTRONICS")</f>
        <v xml:space="preserve">          4081 - TAXABLE SALES-ELECTRONICS</v>
      </c>
      <c r="C42" s="11"/>
      <c r="D42" s="2">
        <f>--650.56</f>
        <v>650.55999999999995</v>
      </c>
      <c r="E42" s="2"/>
      <c r="F42" s="19"/>
      <c r="G42" s="2"/>
      <c r="H42" s="2"/>
      <c r="I42" s="2"/>
      <c r="J42" s="19"/>
      <c r="K42" s="2"/>
      <c r="L42" s="2">
        <f t="shared" si="0"/>
        <v>650.55999999999995</v>
      </c>
      <c r="M42" s="2"/>
      <c r="N42" s="19">
        <f t="shared" si="1"/>
        <v>0</v>
      </c>
      <c r="O42" s="11"/>
      <c r="P42" s="2">
        <f>--919.42</f>
        <v>919.42</v>
      </c>
      <c r="Q42" s="2"/>
      <c r="R42" s="19"/>
      <c r="S42" s="2"/>
      <c r="T42" s="2"/>
      <c r="U42" s="2"/>
      <c r="V42" s="19"/>
      <c r="W42" s="2"/>
      <c r="X42" s="2">
        <f t="shared" si="2"/>
        <v>919.42</v>
      </c>
      <c r="Y42" s="2"/>
      <c r="Z42" s="19">
        <f t="shared" si="3"/>
        <v>0</v>
      </c>
    </row>
    <row r="43" spans="1:26" s="24" customFormat="1" hidden="1" outlineLevel="1" x14ac:dyDescent="0.25">
      <c r="A43" s="46"/>
      <c r="B43" s="11" t="str">
        <f>CONCATENATE("          ", "4082", " - ", "TAXABLE SALES-COMPUTER HARDWAR")</f>
        <v xml:space="preserve">          4082 - TAXABLE SALES-COMPUTER HARDWAR</v>
      </c>
      <c r="C43" s="11"/>
      <c r="D43" s="2">
        <f>--124</f>
        <v>124</v>
      </c>
      <c r="E43" s="2"/>
      <c r="F43" s="19"/>
      <c r="G43" s="2"/>
      <c r="H43" s="2"/>
      <c r="I43" s="2"/>
      <c r="J43" s="19"/>
      <c r="K43" s="2"/>
      <c r="L43" s="2">
        <f t="shared" si="0"/>
        <v>124</v>
      </c>
      <c r="M43" s="2"/>
      <c r="N43" s="19">
        <f t="shared" si="1"/>
        <v>0</v>
      </c>
      <c r="O43" s="11"/>
      <c r="P43" s="2">
        <f>--162</f>
        <v>162</v>
      </c>
      <c r="Q43" s="2"/>
      <c r="R43" s="19"/>
      <c r="S43" s="2"/>
      <c r="T43" s="2"/>
      <c r="U43" s="2"/>
      <c r="V43" s="19"/>
      <c r="W43" s="2"/>
      <c r="X43" s="2">
        <f t="shared" si="2"/>
        <v>162</v>
      </c>
      <c r="Y43" s="2"/>
      <c r="Z43" s="19">
        <f t="shared" si="3"/>
        <v>0</v>
      </c>
    </row>
    <row r="44" spans="1:26" s="24" customFormat="1" hidden="1" outlineLevel="1" x14ac:dyDescent="0.25">
      <c r="A44" s="46"/>
      <c r="B44" s="11" t="str">
        <f>CONCATENATE("          ", "4083", " - ", "TAXABLE SALES-COMPUTER EQUIPME")</f>
        <v xml:space="preserve">          4083 - TAXABLE SALES-COMPUTER EQUIPME</v>
      </c>
      <c r="C44" s="11"/>
      <c r="D44" s="2">
        <f>--269.82</f>
        <v>269.82</v>
      </c>
      <c r="E44" s="2"/>
      <c r="F44" s="19"/>
      <c r="G44" s="2"/>
      <c r="H44" s="2"/>
      <c r="I44" s="2"/>
      <c r="J44" s="19"/>
      <c r="K44" s="2"/>
      <c r="L44" s="2">
        <f t="shared" si="0"/>
        <v>269.82</v>
      </c>
      <c r="M44" s="2"/>
      <c r="N44" s="19">
        <f t="shared" si="1"/>
        <v>0</v>
      </c>
      <c r="O44" s="11"/>
      <c r="P44" s="2">
        <f>--299.8</f>
        <v>299.8</v>
      </c>
      <c r="Q44" s="2"/>
      <c r="R44" s="19"/>
      <c r="S44" s="2"/>
      <c r="T44" s="2"/>
      <c r="U44" s="2"/>
      <c r="V44" s="19"/>
      <c r="W44" s="2"/>
      <c r="X44" s="2">
        <f t="shared" si="2"/>
        <v>299.8</v>
      </c>
      <c r="Y44" s="2"/>
      <c r="Z44" s="19">
        <f t="shared" si="3"/>
        <v>0</v>
      </c>
    </row>
    <row r="45" spans="1:26" s="24" customFormat="1" hidden="1" outlineLevel="1" x14ac:dyDescent="0.25">
      <c r="A45" s="46"/>
      <c r="B45" s="11" t="str">
        <f>CONCATENATE("          ", "4086", " - ", "TAXABLE SALES-COMPUTER SUPPLIE")</f>
        <v xml:space="preserve">          4086 - TAXABLE SALES-COMPUTER SUPPLIE</v>
      </c>
      <c r="C45" s="11"/>
      <c r="D45" s="2">
        <f>--344.87</f>
        <v>344.87</v>
      </c>
      <c r="E45" s="2"/>
      <c r="F45" s="19"/>
      <c r="G45" s="2"/>
      <c r="H45" s="2"/>
      <c r="I45" s="2"/>
      <c r="J45" s="19"/>
      <c r="K45" s="2"/>
      <c r="L45" s="2">
        <f t="shared" si="0"/>
        <v>344.87</v>
      </c>
      <c r="M45" s="2"/>
      <c r="N45" s="19">
        <f t="shared" si="1"/>
        <v>0</v>
      </c>
      <c r="O45" s="11"/>
      <c r="P45" s="2">
        <f>--453.82</f>
        <v>453.82</v>
      </c>
      <c r="Q45" s="2"/>
      <c r="R45" s="19"/>
      <c r="S45" s="2"/>
      <c r="T45" s="2"/>
      <c r="U45" s="2"/>
      <c r="V45" s="19"/>
      <c r="W45" s="2"/>
      <c r="X45" s="2">
        <f t="shared" si="2"/>
        <v>453.82</v>
      </c>
      <c r="Y45" s="2"/>
      <c r="Z45" s="19">
        <f t="shared" si="3"/>
        <v>0</v>
      </c>
    </row>
    <row r="46" spans="1:26" s="24" customFormat="1" hidden="1" outlineLevel="1" x14ac:dyDescent="0.25">
      <c r="A46" s="46"/>
      <c r="B46" s="11" t="str">
        <f>CONCATENATE("          ", "4092", " - ", "TAXABLE SALES-GRAD MERCH")</f>
        <v xml:space="preserve">          4092 - TAXABLE SALES-GRAD MERCH</v>
      </c>
      <c r="C46" s="11"/>
      <c r="D46" s="2">
        <f>--49.9</f>
        <v>49.9</v>
      </c>
      <c r="E46" s="2"/>
      <c r="F46" s="19"/>
      <c r="G46" s="2"/>
      <c r="H46" s="2"/>
      <c r="I46" s="2"/>
      <c r="J46" s="19"/>
      <c r="K46" s="2"/>
      <c r="L46" s="2">
        <f t="shared" si="0"/>
        <v>49.9</v>
      </c>
      <c r="M46" s="2"/>
      <c r="N46" s="19">
        <f t="shared" si="1"/>
        <v>0</v>
      </c>
      <c r="O46" s="11"/>
      <c r="P46" s="2">
        <f>--3872.63</f>
        <v>3872.63</v>
      </c>
      <c r="Q46" s="2"/>
      <c r="R46" s="19"/>
      <c r="S46" s="2"/>
      <c r="T46" s="2"/>
      <c r="U46" s="2"/>
      <c r="V46" s="19"/>
      <c r="W46" s="2"/>
      <c r="X46" s="2">
        <f t="shared" si="2"/>
        <v>3872.63</v>
      </c>
      <c r="Y46" s="2"/>
      <c r="Z46" s="19">
        <f t="shared" si="3"/>
        <v>0</v>
      </c>
    </row>
    <row r="47" spans="1:26" s="24" customFormat="1" hidden="1" outlineLevel="1" x14ac:dyDescent="0.25">
      <c r="A47" s="46"/>
      <c r="B47" s="11" t="str">
        <f>CONCATENATE("          ", "4095", " - ", "TAXABLE SALES-CUSTOMER SERVICE")</f>
        <v xml:space="preserve">          4095 - TAXABLE SALES-CUSTOMER SERVICE</v>
      </c>
      <c r="C47" s="11"/>
      <c r="D47" s="2">
        <f>--26.83</f>
        <v>26.83</v>
      </c>
      <c r="E47" s="2"/>
      <c r="F47" s="19"/>
      <c r="G47" s="2"/>
      <c r="H47" s="2"/>
      <c r="I47" s="2"/>
      <c r="J47" s="19"/>
      <c r="K47" s="2"/>
      <c r="L47" s="2">
        <f t="shared" si="0"/>
        <v>26.83</v>
      </c>
      <c r="M47" s="2"/>
      <c r="N47" s="19">
        <f t="shared" si="1"/>
        <v>0</v>
      </c>
      <c r="O47" s="11"/>
      <c r="P47" s="2">
        <f>--200.85</f>
        <v>200.85</v>
      </c>
      <c r="Q47" s="2"/>
      <c r="R47" s="19"/>
      <c r="S47" s="2"/>
      <c r="T47" s="2"/>
      <c r="U47" s="2"/>
      <c r="V47" s="19"/>
      <c r="W47" s="2"/>
      <c r="X47" s="2">
        <f t="shared" si="2"/>
        <v>200.85</v>
      </c>
      <c r="Y47" s="2"/>
      <c r="Z47" s="19">
        <f t="shared" si="3"/>
        <v>0</v>
      </c>
    </row>
    <row r="48" spans="1:26" s="24" customFormat="1" hidden="1" outlineLevel="1" x14ac:dyDescent="0.25">
      <c r="A48" s="46"/>
      <c r="B48" s="11" t="str">
        <f>CONCATENATE("          ", "4100", " - ", "NON-TAXABLE SALES")</f>
        <v xml:space="preserve">          4100 - NON-TAXABLE SALES</v>
      </c>
      <c r="C48" s="11"/>
      <c r="D48" s="2">
        <f>--66153.34</f>
        <v>66153.34</v>
      </c>
      <c r="E48" s="2"/>
      <c r="F48" s="19"/>
      <c r="G48" s="2"/>
      <c r="H48" s="2">
        <v>950977</v>
      </c>
      <c r="I48" s="2"/>
      <c r="J48" s="19"/>
      <c r="K48" s="2"/>
      <c r="L48" s="2">
        <f t="shared" si="0"/>
        <v>-884823.66</v>
      </c>
      <c r="M48" s="2"/>
      <c r="N48" s="19">
        <f t="shared" si="1"/>
        <v>-0.93043644588670393</v>
      </c>
      <c r="O48" s="11"/>
      <c r="P48" s="2">
        <f>--331667.77</f>
        <v>331667.77</v>
      </c>
      <c r="Q48" s="2"/>
      <c r="R48" s="19"/>
      <c r="S48" s="2"/>
      <c r="T48" s="2">
        <v>3588484</v>
      </c>
      <c r="U48" s="2"/>
      <c r="V48" s="19"/>
      <c r="W48" s="2"/>
      <c r="X48" s="2">
        <f t="shared" si="2"/>
        <v>-3256816.23</v>
      </c>
      <c r="Y48" s="2"/>
      <c r="Z48" s="19">
        <f t="shared" si="3"/>
        <v>-0.90757440467896744</v>
      </c>
    </row>
    <row r="49" spans="1:26" s="24" customFormat="1" hidden="1" outlineLevel="1" x14ac:dyDescent="0.25">
      <c r="A49" s="46"/>
      <c r="B49" s="11" t="str">
        <f>CONCATENATE("          ", "4101", " - ", "NON-TAXABLE SALES-NEW TEXT")</f>
        <v xml:space="preserve">          4101 - NON-TAXABLE SALES-NEW TEXT</v>
      </c>
      <c r="C49" s="11"/>
      <c r="D49" s="2">
        <f>--27999.53</f>
        <v>27999.53</v>
      </c>
      <c r="E49" s="2"/>
      <c r="F49" s="19"/>
      <c r="G49" s="2"/>
      <c r="H49" s="2"/>
      <c r="I49" s="2"/>
      <c r="J49" s="19"/>
      <c r="K49" s="2"/>
      <c r="L49" s="2">
        <f t="shared" si="0"/>
        <v>27999.53</v>
      </c>
      <c r="M49" s="2"/>
      <c r="N49" s="19">
        <f t="shared" si="1"/>
        <v>0</v>
      </c>
      <c r="O49" s="11"/>
      <c r="P49" s="2">
        <f>--83892.55</f>
        <v>83892.55</v>
      </c>
      <c r="Q49" s="2"/>
      <c r="R49" s="19"/>
      <c r="S49" s="2"/>
      <c r="T49" s="2"/>
      <c r="U49" s="2"/>
      <c r="V49" s="19"/>
      <c r="W49" s="2"/>
      <c r="X49" s="2">
        <f t="shared" si="2"/>
        <v>83892.55</v>
      </c>
      <c r="Y49" s="2"/>
      <c r="Z49" s="19">
        <f t="shared" si="3"/>
        <v>0</v>
      </c>
    </row>
    <row r="50" spans="1:26" s="24" customFormat="1" hidden="1" outlineLevel="1" x14ac:dyDescent="0.25">
      <c r="A50" s="46"/>
      <c r="B50" s="11" t="str">
        <f>CONCATENATE("          ", "4102", " - ", "NON-TAXABLE SALES-USED TEXT")</f>
        <v xml:space="preserve">          4102 - NON-TAXABLE SALES-USED TEXT</v>
      </c>
      <c r="C50" s="11"/>
      <c r="D50" s="2">
        <f>--3969.18</f>
        <v>3969.18</v>
      </c>
      <c r="E50" s="2"/>
      <c r="F50" s="19"/>
      <c r="G50" s="2"/>
      <c r="H50" s="2"/>
      <c r="I50" s="2"/>
      <c r="J50" s="19"/>
      <c r="K50" s="2"/>
      <c r="L50" s="2">
        <f t="shared" si="0"/>
        <v>3969.18</v>
      </c>
      <c r="M50" s="2"/>
      <c r="N50" s="19">
        <f t="shared" si="1"/>
        <v>0</v>
      </c>
      <c r="O50" s="11"/>
      <c r="P50" s="2">
        <f>--36443.51</f>
        <v>36443.51</v>
      </c>
      <c r="Q50" s="2"/>
      <c r="R50" s="19"/>
      <c r="S50" s="2"/>
      <c r="T50" s="2"/>
      <c r="U50" s="2"/>
      <c r="V50" s="19"/>
      <c r="W50" s="2"/>
      <c r="X50" s="2">
        <f t="shared" si="2"/>
        <v>36443.51</v>
      </c>
      <c r="Y50" s="2"/>
      <c r="Z50" s="19">
        <f t="shared" si="3"/>
        <v>0</v>
      </c>
    </row>
    <row r="51" spans="1:26" s="24" customFormat="1" hidden="1" outlineLevel="1" x14ac:dyDescent="0.25">
      <c r="A51" s="46"/>
      <c r="B51" s="11" t="str">
        <f>CONCATENATE("          ", "4103", " - ", "NON-TAXABLE SALES-RENTAL TEXT")</f>
        <v xml:space="preserve">          4103 - NON-TAXABLE SALES-RENTAL TEXT</v>
      </c>
      <c r="C51" s="11"/>
      <c r="D51" s="2">
        <f>-144.99</f>
        <v>-144.99</v>
      </c>
      <c r="E51" s="2"/>
      <c r="F51" s="19"/>
      <c r="G51" s="2"/>
      <c r="H51" s="2"/>
      <c r="I51" s="2"/>
      <c r="J51" s="19"/>
      <c r="K51" s="2"/>
      <c r="L51" s="2">
        <f t="shared" si="0"/>
        <v>-144.99</v>
      </c>
      <c r="M51" s="2"/>
      <c r="N51" s="19">
        <f t="shared" si="1"/>
        <v>0</v>
      </c>
      <c r="O51" s="11"/>
      <c r="P51" s="2">
        <f>--329.98</f>
        <v>329.98</v>
      </c>
      <c r="Q51" s="2"/>
      <c r="R51" s="19"/>
      <c r="S51" s="2"/>
      <c r="T51" s="2"/>
      <c r="U51" s="2"/>
      <c r="V51" s="19"/>
      <c r="W51" s="2"/>
      <c r="X51" s="2">
        <f t="shared" si="2"/>
        <v>329.98</v>
      </c>
      <c r="Y51" s="2"/>
      <c r="Z51" s="19">
        <f t="shared" si="3"/>
        <v>0</v>
      </c>
    </row>
    <row r="52" spans="1:26" s="24" customFormat="1" hidden="1" outlineLevel="1" x14ac:dyDescent="0.25">
      <c r="A52" s="46"/>
      <c r="B52" s="11" t="str">
        <f>CONCATENATE("          ", "4104", " - ", "NON-TAXABLE SALES-DIGITAL TEXT")</f>
        <v xml:space="preserve">          4104 - NON-TAXABLE SALES-DIGITAL TEXT</v>
      </c>
      <c r="C52" s="11"/>
      <c r="D52" s="2">
        <f>--59065.75</f>
        <v>59065.75</v>
      </c>
      <c r="E52" s="2"/>
      <c r="F52" s="19"/>
      <c r="G52" s="2"/>
      <c r="H52" s="2"/>
      <c r="I52" s="2"/>
      <c r="J52" s="19"/>
      <c r="K52" s="2"/>
      <c r="L52" s="2">
        <f t="shared" si="0"/>
        <v>59065.75</v>
      </c>
      <c r="M52" s="2"/>
      <c r="N52" s="19">
        <f t="shared" si="1"/>
        <v>0</v>
      </c>
      <c r="O52" s="11"/>
      <c r="P52" s="2">
        <f>--318933.82</f>
        <v>318933.82</v>
      </c>
      <c r="Q52" s="2"/>
      <c r="R52" s="19"/>
      <c r="S52" s="2"/>
      <c r="T52" s="2"/>
      <c r="U52" s="2"/>
      <c r="V52" s="19"/>
      <c r="W52" s="2"/>
      <c r="X52" s="2">
        <f t="shared" si="2"/>
        <v>318933.82</v>
      </c>
      <c r="Y52" s="2"/>
      <c r="Z52" s="19">
        <f t="shared" si="3"/>
        <v>0</v>
      </c>
    </row>
    <row r="53" spans="1:26" s="24" customFormat="1" hidden="1" outlineLevel="1" x14ac:dyDescent="0.25">
      <c r="A53" s="46"/>
      <c r="B53" s="11" t="str">
        <f>CONCATENATE("          ", "4111", " - ", "NON-TAXABLE SALES-NO VALUE TEX")</f>
        <v xml:space="preserve">          4111 - NON-TAXABLE SALES-NO VALUE TEX</v>
      </c>
      <c r="C53" s="11"/>
      <c r="D53" s="2">
        <f>--594.06</f>
        <v>594.05999999999995</v>
      </c>
      <c r="E53" s="2"/>
      <c r="F53" s="19"/>
      <c r="G53" s="2"/>
      <c r="H53" s="2"/>
      <c r="I53" s="2"/>
      <c r="J53" s="19"/>
      <c r="K53" s="2"/>
      <c r="L53" s="2">
        <f t="shared" si="0"/>
        <v>594.05999999999995</v>
      </c>
      <c r="M53" s="2"/>
      <c r="N53" s="19">
        <f t="shared" si="1"/>
        <v>0</v>
      </c>
      <c r="O53" s="11"/>
      <c r="P53" s="2">
        <f>--6342.17</f>
        <v>6342.17</v>
      </c>
      <c r="Q53" s="2"/>
      <c r="R53" s="19"/>
      <c r="S53" s="2"/>
      <c r="T53" s="2"/>
      <c r="U53" s="2"/>
      <c r="V53" s="19"/>
      <c r="W53" s="2"/>
      <c r="X53" s="2">
        <f t="shared" si="2"/>
        <v>6342.17</v>
      </c>
      <c r="Y53" s="2"/>
      <c r="Z53" s="19">
        <f t="shared" si="3"/>
        <v>0</v>
      </c>
    </row>
    <row r="54" spans="1:26" s="24" customFormat="1" hidden="1" outlineLevel="1" x14ac:dyDescent="0.25">
      <c r="A54" s="46"/>
      <c r="B54" s="11" t="str">
        <f>CONCATENATE("          ", "4113", " - ", "NON-TAXABLE SALES-TRADE BOOKS")</f>
        <v xml:space="preserve">          4113 - NON-TAXABLE SALES-TRADE BOOKS</v>
      </c>
      <c r="C54" s="11"/>
      <c r="D54" s="2">
        <f>0</f>
        <v>0</v>
      </c>
      <c r="E54" s="2"/>
      <c r="F54" s="19"/>
      <c r="G54" s="2"/>
      <c r="H54" s="2"/>
      <c r="I54" s="2"/>
      <c r="J54" s="19"/>
      <c r="K54" s="2"/>
      <c r="L54" s="2">
        <f t="shared" si="0"/>
        <v>0</v>
      </c>
      <c r="M54" s="2"/>
      <c r="N54" s="19">
        <f t="shared" si="1"/>
        <v>0</v>
      </c>
      <c r="O54" s="11"/>
      <c r="P54" s="2">
        <f>--1146.72</f>
        <v>1146.72</v>
      </c>
      <c r="Q54" s="2"/>
      <c r="R54" s="19"/>
      <c r="S54" s="2"/>
      <c r="T54" s="2"/>
      <c r="U54" s="2"/>
      <c r="V54" s="19"/>
      <c r="W54" s="2"/>
      <c r="X54" s="2">
        <f t="shared" si="2"/>
        <v>1146.72</v>
      </c>
      <c r="Y54" s="2"/>
      <c r="Z54" s="19">
        <f t="shared" si="3"/>
        <v>0</v>
      </c>
    </row>
    <row r="55" spans="1:26" s="24" customFormat="1" hidden="1" outlineLevel="1" x14ac:dyDescent="0.25">
      <c r="A55" s="46"/>
      <c r="B55" s="11" t="str">
        <f>CONCATENATE("          ", "4118", " - ", "NON-TAXABLE SALES-STUDY GUIDES")</f>
        <v xml:space="preserve">          4118 - NON-TAXABLE SALES-STUDY GUIDES</v>
      </c>
      <c r="C55" s="11"/>
      <c r="D55" s="2">
        <f>--6.95</f>
        <v>6.95</v>
      </c>
      <c r="E55" s="2"/>
      <c r="F55" s="19"/>
      <c r="G55" s="2"/>
      <c r="H55" s="2"/>
      <c r="I55" s="2"/>
      <c r="J55" s="19"/>
      <c r="K55" s="2"/>
      <c r="L55" s="2">
        <f t="shared" si="0"/>
        <v>6.95</v>
      </c>
      <c r="M55" s="2"/>
      <c r="N55" s="19">
        <f t="shared" si="1"/>
        <v>0</v>
      </c>
      <c r="O55" s="11"/>
      <c r="P55" s="2">
        <f>--20.92</f>
        <v>20.92</v>
      </c>
      <c r="Q55" s="2"/>
      <c r="R55" s="19"/>
      <c r="S55" s="2"/>
      <c r="T55" s="2"/>
      <c r="U55" s="2"/>
      <c r="V55" s="19"/>
      <c r="W55" s="2"/>
      <c r="X55" s="2">
        <f t="shared" si="2"/>
        <v>20.92</v>
      </c>
      <c r="Y55" s="2"/>
      <c r="Z55" s="19">
        <f t="shared" si="3"/>
        <v>0</v>
      </c>
    </row>
    <row r="56" spans="1:26" s="24" customFormat="1" hidden="1" outlineLevel="1" x14ac:dyDescent="0.25">
      <c r="A56" s="46"/>
      <c r="B56" s="11" t="str">
        <f>CONCATENATE("          ", "4125", " - ", "NON-TAXABLE SALES-TEST FORMS")</f>
        <v xml:space="preserve">          4125 - NON-TAXABLE SALES-TEST FORMS</v>
      </c>
      <c r="C56" s="11"/>
      <c r="D56" s="2">
        <f>--42.03</f>
        <v>42.03</v>
      </c>
      <c r="E56" s="2"/>
      <c r="F56" s="19"/>
      <c r="G56" s="2"/>
      <c r="H56" s="2"/>
      <c r="I56" s="2"/>
      <c r="J56" s="19"/>
      <c r="K56" s="2"/>
      <c r="L56" s="2">
        <f t="shared" si="0"/>
        <v>42.03</v>
      </c>
      <c r="M56" s="2"/>
      <c r="N56" s="19">
        <f t="shared" si="1"/>
        <v>0</v>
      </c>
      <c r="O56" s="11"/>
      <c r="P56" s="2">
        <f>--124.18</f>
        <v>124.18</v>
      </c>
      <c r="Q56" s="2"/>
      <c r="R56" s="19"/>
      <c r="S56" s="2"/>
      <c r="T56" s="2"/>
      <c r="U56" s="2"/>
      <c r="V56" s="19"/>
      <c r="W56" s="2"/>
      <c r="X56" s="2">
        <f t="shared" si="2"/>
        <v>124.18</v>
      </c>
      <c r="Y56" s="2"/>
      <c r="Z56" s="19">
        <f t="shared" si="3"/>
        <v>0</v>
      </c>
    </row>
    <row r="57" spans="1:26" s="24" customFormat="1" hidden="1" outlineLevel="1" x14ac:dyDescent="0.25">
      <c r="A57" s="46"/>
      <c r="B57" s="11" t="str">
        <f>CONCATENATE("          ", "4126", " - ", "NON-TAXABLE SALES-WRITING INST")</f>
        <v xml:space="preserve">          4126 - NON-TAXABLE SALES-WRITING INST</v>
      </c>
      <c r="C57" s="11"/>
      <c r="D57" s="2">
        <f>--332.14</f>
        <v>332.14</v>
      </c>
      <c r="E57" s="2"/>
      <c r="F57" s="19"/>
      <c r="G57" s="2"/>
      <c r="H57" s="2"/>
      <c r="I57" s="2"/>
      <c r="J57" s="19"/>
      <c r="K57" s="2"/>
      <c r="L57" s="2">
        <f t="shared" si="0"/>
        <v>332.14</v>
      </c>
      <c r="M57" s="2"/>
      <c r="N57" s="19">
        <f t="shared" si="1"/>
        <v>0</v>
      </c>
      <c r="O57" s="11"/>
      <c r="P57" s="2">
        <f>--1343.26</f>
        <v>1343.26</v>
      </c>
      <c r="Q57" s="2"/>
      <c r="R57" s="19"/>
      <c r="S57" s="2"/>
      <c r="T57" s="2"/>
      <c r="U57" s="2"/>
      <c r="V57" s="19"/>
      <c r="W57" s="2"/>
      <c r="X57" s="2">
        <f t="shared" si="2"/>
        <v>1343.26</v>
      </c>
      <c r="Y57" s="2"/>
      <c r="Z57" s="19">
        <f t="shared" si="3"/>
        <v>0</v>
      </c>
    </row>
    <row r="58" spans="1:26" s="24" customFormat="1" hidden="1" outlineLevel="1" x14ac:dyDescent="0.25">
      <c r="A58" s="46"/>
      <c r="B58" s="11" t="str">
        <f>CONCATENATE("          ", "4127", " - ", "NON-TAXABLE SALES-SCHOOL SUPPL")</f>
        <v xml:space="preserve">          4127 - NON-TAXABLE SALES-SCHOOL SUPPL</v>
      </c>
      <c r="C58" s="11"/>
      <c r="D58" s="2">
        <f>--547.21</f>
        <v>547.21</v>
      </c>
      <c r="E58" s="2"/>
      <c r="F58" s="19"/>
      <c r="G58" s="2"/>
      <c r="H58" s="2"/>
      <c r="I58" s="2"/>
      <c r="J58" s="19"/>
      <c r="K58" s="2"/>
      <c r="L58" s="2">
        <f t="shared" si="0"/>
        <v>547.21</v>
      </c>
      <c r="M58" s="2"/>
      <c r="N58" s="19">
        <f t="shared" si="1"/>
        <v>0</v>
      </c>
      <c r="O58" s="11"/>
      <c r="P58" s="2">
        <f>--2417.49</f>
        <v>2417.4899999999998</v>
      </c>
      <c r="Q58" s="2"/>
      <c r="R58" s="19"/>
      <c r="S58" s="2"/>
      <c r="T58" s="2"/>
      <c r="U58" s="2"/>
      <c r="V58" s="19"/>
      <c r="W58" s="2"/>
      <c r="X58" s="2">
        <f t="shared" si="2"/>
        <v>2417.4899999999998</v>
      </c>
      <c r="Y58" s="2"/>
      <c r="Z58" s="19">
        <f t="shared" si="3"/>
        <v>0</v>
      </c>
    </row>
    <row r="59" spans="1:26" s="24" customFormat="1" hidden="1" outlineLevel="1" x14ac:dyDescent="0.25">
      <c r="A59" s="46"/>
      <c r="B59" s="11" t="str">
        <f>CONCATENATE("          ", "4128", " - ", "NON-TAXABLE SALES-ART/TECH")</f>
        <v xml:space="preserve">          4128 - NON-TAXABLE SALES-ART/TECH</v>
      </c>
      <c r="C59" s="11"/>
      <c r="D59" s="2">
        <f>--132.8</f>
        <v>132.80000000000001</v>
      </c>
      <c r="E59" s="2"/>
      <c r="F59" s="19"/>
      <c r="G59" s="2"/>
      <c r="H59" s="2"/>
      <c r="I59" s="2"/>
      <c r="J59" s="19"/>
      <c r="K59" s="2"/>
      <c r="L59" s="2">
        <f t="shared" si="0"/>
        <v>132.80000000000001</v>
      </c>
      <c r="M59" s="2"/>
      <c r="N59" s="19">
        <f t="shared" si="1"/>
        <v>0</v>
      </c>
      <c r="O59" s="11"/>
      <c r="P59" s="2">
        <f>--262.9</f>
        <v>262.89999999999998</v>
      </c>
      <c r="Q59" s="2"/>
      <c r="R59" s="19"/>
      <c r="S59" s="2"/>
      <c r="T59" s="2"/>
      <c r="U59" s="2"/>
      <c r="V59" s="19"/>
      <c r="W59" s="2"/>
      <c r="X59" s="2">
        <f t="shared" si="2"/>
        <v>262.89999999999998</v>
      </c>
      <c r="Y59" s="2"/>
      <c r="Z59" s="19">
        <f t="shared" si="3"/>
        <v>0</v>
      </c>
    </row>
    <row r="60" spans="1:26" s="24" customFormat="1" hidden="1" outlineLevel="1" x14ac:dyDescent="0.25">
      <c r="A60" s="46"/>
      <c r="B60" s="11" t="str">
        <f>CONCATENATE("          ", "4131", " - ", "NON-TAXABLE SALES-FOOD")</f>
        <v xml:space="preserve">          4131 - NON-TAXABLE SALES-FOOD</v>
      </c>
      <c r="C60" s="11"/>
      <c r="D60" s="2">
        <f>--10548.09</f>
        <v>10548.09</v>
      </c>
      <c r="E60" s="2"/>
      <c r="F60" s="19"/>
      <c r="G60" s="2"/>
      <c r="H60" s="2"/>
      <c r="I60" s="2"/>
      <c r="J60" s="19"/>
      <c r="K60" s="2"/>
      <c r="L60" s="2">
        <f t="shared" si="0"/>
        <v>10548.09</v>
      </c>
      <c r="M60" s="2"/>
      <c r="N60" s="19">
        <f t="shared" si="1"/>
        <v>0</v>
      </c>
      <c r="O60" s="11"/>
      <c r="P60" s="2">
        <f>--13265.29</f>
        <v>13265.29</v>
      </c>
      <c r="Q60" s="2"/>
      <c r="R60" s="19"/>
      <c r="S60" s="2"/>
      <c r="T60" s="2"/>
      <c r="U60" s="2"/>
      <c r="V60" s="19"/>
      <c r="W60" s="2"/>
      <c r="X60" s="2">
        <f t="shared" si="2"/>
        <v>13265.29</v>
      </c>
      <c r="Y60" s="2"/>
      <c r="Z60" s="19">
        <f t="shared" si="3"/>
        <v>0</v>
      </c>
    </row>
    <row r="61" spans="1:26" s="24" customFormat="1" hidden="1" outlineLevel="1" x14ac:dyDescent="0.25">
      <c r="A61" s="46"/>
      <c r="B61" s="11" t="str">
        <f>CONCATENATE("          ", "4132", " - ", "NON-TAXABLE SALES-JUICE")</f>
        <v xml:space="preserve">          4132 - NON-TAXABLE SALES-JUICE</v>
      </c>
      <c r="C61" s="11"/>
      <c r="D61" s="2">
        <f>--184994.61</f>
        <v>184994.61</v>
      </c>
      <c r="E61" s="2"/>
      <c r="F61" s="19"/>
      <c r="G61" s="2"/>
      <c r="H61" s="2"/>
      <c r="I61" s="2"/>
      <c r="J61" s="19"/>
      <c r="K61" s="2"/>
      <c r="L61" s="2">
        <f t="shared" si="0"/>
        <v>184994.61</v>
      </c>
      <c r="M61" s="2"/>
      <c r="N61" s="19">
        <f t="shared" si="1"/>
        <v>0</v>
      </c>
      <c r="O61" s="11"/>
      <c r="P61" s="2">
        <f>--279752.36</f>
        <v>279752.36</v>
      </c>
      <c r="Q61" s="2"/>
      <c r="R61" s="19"/>
      <c r="S61" s="2"/>
      <c r="T61" s="2"/>
      <c r="U61" s="2"/>
      <c r="V61" s="19"/>
      <c r="W61" s="2"/>
      <c r="X61" s="2">
        <f t="shared" si="2"/>
        <v>279752.36</v>
      </c>
      <c r="Y61" s="2"/>
      <c r="Z61" s="19">
        <f t="shared" si="3"/>
        <v>0</v>
      </c>
    </row>
    <row r="62" spans="1:26" s="24" customFormat="1" hidden="1" outlineLevel="1" x14ac:dyDescent="0.25">
      <c r="A62" s="46"/>
      <c r="B62" s="11" t="str">
        <f>CONCATENATE("          ", "4133", " - ", "NON-TAXABLE SALES-CANDY")</f>
        <v xml:space="preserve">          4133 - NON-TAXABLE SALES-CANDY</v>
      </c>
      <c r="C62" s="11"/>
      <c r="D62" s="2">
        <f>--3292.63</f>
        <v>3292.63</v>
      </c>
      <c r="E62" s="2"/>
      <c r="F62" s="19"/>
      <c r="G62" s="2"/>
      <c r="H62" s="2"/>
      <c r="I62" s="2"/>
      <c r="J62" s="19"/>
      <c r="K62" s="2"/>
      <c r="L62" s="2">
        <f t="shared" si="0"/>
        <v>3292.63</v>
      </c>
      <c r="M62" s="2"/>
      <c r="N62" s="19">
        <f t="shared" si="1"/>
        <v>0</v>
      </c>
      <c r="O62" s="11"/>
      <c r="P62" s="2">
        <f>--4664.98</f>
        <v>4664.9799999999996</v>
      </c>
      <c r="Q62" s="2"/>
      <c r="R62" s="19"/>
      <c r="S62" s="2"/>
      <c r="T62" s="2"/>
      <c r="U62" s="2"/>
      <c r="V62" s="19"/>
      <c r="W62" s="2"/>
      <c r="X62" s="2">
        <f t="shared" si="2"/>
        <v>4664.9799999999996</v>
      </c>
      <c r="Y62" s="2"/>
      <c r="Z62" s="19">
        <f t="shared" si="3"/>
        <v>0</v>
      </c>
    </row>
    <row r="63" spans="1:26" s="24" customFormat="1" hidden="1" outlineLevel="1" x14ac:dyDescent="0.25">
      <c r="A63" s="46"/>
      <c r="B63" s="11" t="str">
        <f>CONCATENATE("          ", "4134", " - ", "NON-TAXABLE SALES-SODA")</f>
        <v xml:space="preserve">          4134 - NON-TAXABLE SALES-SODA</v>
      </c>
      <c r="C63" s="11"/>
      <c r="D63" s="2">
        <f>--3.78</f>
        <v>3.78</v>
      </c>
      <c r="E63" s="2"/>
      <c r="F63" s="19"/>
      <c r="G63" s="2"/>
      <c r="H63" s="2"/>
      <c r="I63" s="2"/>
      <c r="J63" s="19"/>
      <c r="K63" s="2"/>
      <c r="L63" s="2">
        <f t="shared" si="0"/>
        <v>3.78</v>
      </c>
      <c r="M63" s="2"/>
      <c r="N63" s="19">
        <f t="shared" si="1"/>
        <v>0</v>
      </c>
      <c r="O63" s="11"/>
      <c r="P63" s="2">
        <f>--0.39</f>
        <v>0.39</v>
      </c>
      <c r="Q63" s="2"/>
      <c r="R63" s="19"/>
      <c r="S63" s="2"/>
      <c r="T63" s="2"/>
      <c r="U63" s="2"/>
      <c r="V63" s="19"/>
      <c r="W63" s="2"/>
      <c r="X63" s="2">
        <f t="shared" si="2"/>
        <v>0.39</v>
      </c>
      <c r="Y63" s="2"/>
      <c r="Z63" s="19">
        <f t="shared" si="3"/>
        <v>0</v>
      </c>
    </row>
    <row r="64" spans="1:26" s="24" customFormat="1" hidden="1" outlineLevel="1" x14ac:dyDescent="0.25">
      <c r="A64" s="46"/>
      <c r="B64" s="11" t="str">
        <f>CONCATENATE("          ", "4135", " - ", "NON-TAXABLE SALES")</f>
        <v xml:space="preserve">          4135 - NON-TAXABLE SALES</v>
      </c>
      <c r="C64" s="11"/>
      <c r="D64" s="2">
        <f>--32.31</f>
        <v>32.31</v>
      </c>
      <c r="E64" s="2"/>
      <c r="F64" s="19"/>
      <c r="G64" s="2"/>
      <c r="H64" s="2"/>
      <c r="I64" s="2"/>
      <c r="J64" s="19"/>
      <c r="K64" s="2"/>
      <c r="L64" s="2">
        <f t="shared" si="0"/>
        <v>32.31</v>
      </c>
      <c r="M64" s="2"/>
      <c r="N64" s="19">
        <f t="shared" si="1"/>
        <v>0</v>
      </c>
      <c r="O64" s="11"/>
      <c r="P64" s="2">
        <f>--86.06</f>
        <v>86.06</v>
      </c>
      <c r="Q64" s="2"/>
      <c r="R64" s="19"/>
      <c r="S64" s="2"/>
      <c r="T64" s="2"/>
      <c r="U64" s="2"/>
      <c r="V64" s="19"/>
      <c r="W64" s="2"/>
      <c r="X64" s="2">
        <f t="shared" si="2"/>
        <v>86.06</v>
      </c>
      <c r="Y64" s="2"/>
      <c r="Z64" s="19">
        <f t="shared" si="3"/>
        <v>0</v>
      </c>
    </row>
    <row r="65" spans="1:26" s="24" customFormat="1" hidden="1" outlineLevel="1" x14ac:dyDescent="0.25">
      <c r="A65" s="46"/>
      <c r="B65" s="11" t="str">
        <f>CONCATENATE("          ", "4137", " - ", "NON-TAXABLE SALES-WATER")</f>
        <v xml:space="preserve">          4137 - NON-TAXABLE SALES-WATER</v>
      </c>
      <c r="C65" s="11"/>
      <c r="D65" s="2">
        <f>--1871.72</f>
        <v>1871.72</v>
      </c>
      <c r="E65" s="2"/>
      <c r="F65" s="19"/>
      <c r="G65" s="2"/>
      <c r="H65" s="2"/>
      <c r="I65" s="2"/>
      <c r="J65" s="19"/>
      <c r="K65" s="2"/>
      <c r="L65" s="2">
        <f t="shared" si="0"/>
        <v>1871.72</v>
      </c>
      <c r="M65" s="2"/>
      <c r="N65" s="19">
        <f t="shared" si="1"/>
        <v>0</v>
      </c>
      <c r="O65" s="11"/>
      <c r="P65" s="2">
        <f>--2861.96</f>
        <v>2861.96</v>
      </c>
      <c r="Q65" s="2"/>
      <c r="R65" s="19"/>
      <c r="S65" s="2"/>
      <c r="T65" s="2"/>
      <c r="U65" s="2"/>
      <c r="V65" s="19"/>
      <c r="W65" s="2"/>
      <c r="X65" s="2">
        <f t="shared" si="2"/>
        <v>2861.96</v>
      </c>
      <c r="Y65" s="2"/>
      <c r="Z65" s="19">
        <f t="shared" si="3"/>
        <v>0</v>
      </c>
    </row>
    <row r="66" spans="1:26" s="24" customFormat="1" hidden="1" outlineLevel="1" x14ac:dyDescent="0.25">
      <c r="A66" s="46"/>
      <c r="B66" s="11" t="str">
        <f>CONCATENATE("          ", "4140", " - ", "NON-TAXABLE SALES-LOGO CLOTHIN")</f>
        <v xml:space="preserve">          4140 - NON-TAXABLE SALES-LOGO CLOTHIN</v>
      </c>
      <c r="C66" s="11"/>
      <c r="D66" s="2">
        <f>--3114.74</f>
        <v>3114.74</v>
      </c>
      <c r="E66" s="2"/>
      <c r="F66" s="19"/>
      <c r="G66" s="2"/>
      <c r="H66" s="2"/>
      <c r="I66" s="2"/>
      <c r="J66" s="19"/>
      <c r="K66" s="2"/>
      <c r="L66" s="2">
        <f t="shared" si="0"/>
        <v>3114.74</v>
      </c>
      <c r="M66" s="2"/>
      <c r="N66" s="19">
        <f t="shared" si="1"/>
        <v>0</v>
      </c>
      <c r="O66" s="11"/>
      <c r="P66" s="2">
        <f>--8257.7</f>
        <v>8257.7000000000007</v>
      </c>
      <c r="Q66" s="2"/>
      <c r="R66" s="19"/>
      <c r="S66" s="2"/>
      <c r="T66" s="2"/>
      <c r="U66" s="2"/>
      <c r="V66" s="19"/>
      <c r="W66" s="2"/>
      <c r="X66" s="2">
        <f t="shared" si="2"/>
        <v>8257.7000000000007</v>
      </c>
      <c r="Y66" s="2"/>
      <c r="Z66" s="19">
        <f t="shared" si="3"/>
        <v>0</v>
      </c>
    </row>
    <row r="67" spans="1:26" s="24" customFormat="1" hidden="1" outlineLevel="1" x14ac:dyDescent="0.25">
      <c r="A67" s="46"/>
      <c r="B67" s="11" t="str">
        <f>CONCATENATE("          ", "4141", " - ", "NON-TAXABLE SALES-LOGO GIFTS")</f>
        <v xml:space="preserve">          4141 - NON-TAXABLE SALES-LOGO GIFTS</v>
      </c>
      <c r="C67" s="11"/>
      <c r="D67" s="2">
        <f>--120.34</f>
        <v>120.34</v>
      </c>
      <c r="E67" s="2"/>
      <c r="F67" s="19"/>
      <c r="G67" s="2"/>
      <c r="H67" s="2"/>
      <c r="I67" s="2"/>
      <c r="J67" s="19"/>
      <c r="K67" s="2"/>
      <c r="L67" s="2">
        <f t="shared" si="0"/>
        <v>120.34</v>
      </c>
      <c r="M67" s="2"/>
      <c r="N67" s="19">
        <f t="shared" si="1"/>
        <v>0</v>
      </c>
      <c r="O67" s="11"/>
      <c r="P67" s="2">
        <f>--814.64</f>
        <v>814.64</v>
      </c>
      <c r="Q67" s="2"/>
      <c r="R67" s="19"/>
      <c r="S67" s="2"/>
      <c r="T67" s="2"/>
      <c r="U67" s="2"/>
      <c r="V67" s="19"/>
      <c r="W67" s="2"/>
      <c r="X67" s="2">
        <f t="shared" si="2"/>
        <v>814.64</v>
      </c>
      <c r="Y67" s="2"/>
      <c r="Z67" s="19">
        <f t="shared" si="3"/>
        <v>0</v>
      </c>
    </row>
    <row r="68" spans="1:26" s="24" customFormat="1" hidden="1" outlineLevel="1" x14ac:dyDescent="0.25">
      <c r="A68" s="46"/>
      <c r="B68" s="11" t="str">
        <f>CONCATENATE("          ", "4142", " - ", "NON-TAXABLE SALES-EVERYDAY GIF")</f>
        <v xml:space="preserve">          4142 - NON-TAXABLE SALES-EVERYDAY GIF</v>
      </c>
      <c r="C68" s="11"/>
      <c r="D68" s="2">
        <f>--2116.4</f>
        <v>2116.4</v>
      </c>
      <c r="E68" s="2"/>
      <c r="F68" s="19"/>
      <c r="G68" s="2"/>
      <c r="H68" s="2"/>
      <c r="I68" s="2"/>
      <c r="J68" s="19"/>
      <c r="K68" s="2"/>
      <c r="L68" s="2">
        <f t="shared" si="0"/>
        <v>2116.4</v>
      </c>
      <c r="M68" s="2"/>
      <c r="N68" s="19">
        <f t="shared" si="1"/>
        <v>0</v>
      </c>
      <c r="O68" s="11"/>
      <c r="P68" s="2">
        <f>--3036.5</f>
        <v>3036.5</v>
      </c>
      <c r="Q68" s="2"/>
      <c r="R68" s="19"/>
      <c r="S68" s="2"/>
      <c r="T68" s="2"/>
      <c r="U68" s="2"/>
      <c r="V68" s="19"/>
      <c r="W68" s="2"/>
      <c r="X68" s="2">
        <f t="shared" si="2"/>
        <v>3036.5</v>
      </c>
      <c r="Y68" s="2"/>
      <c r="Z68" s="19">
        <f t="shared" si="3"/>
        <v>0</v>
      </c>
    </row>
    <row r="69" spans="1:26" s="24" customFormat="1" hidden="1" outlineLevel="1" x14ac:dyDescent="0.25">
      <c r="A69" s="46"/>
      <c r="B69" s="11" t="str">
        <f>CONCATENATE("          ", "4144", " - ", "NON-TAXABLE SALES-ACCESSORIES")</f>
        <v xml:space="preserve">          4144 - NON-TAXABLE SALES-ACCESSORIES</v>
      </c>
      <c r="C69" s="11"/>
      <c r="D69" s="2">
        <f t="shared" ref="D69:D70" si="4">0</f>
        <v>0</v>
      </c>
      <c r="E69" s="2"/>
      <c r="F69" s="19"/>
      <c r="G69" s="2"/>
      <c r="H69" s="2"/>
      <c r="I69" s="2"/>
      <c r="J69" s="19"/>
      <c r="K69" s="2"/>
      <c r="L69" s="2">
        <f t="shared" si="0"/>
        <v>0</v>
      </c>
      <c r="M69" s="2"/>
      <c r="N69" s="19">
        <f t="shared" si="1"/>
        <v>0</v>
      </c>
      <c r="O69" s="11"/>
      <c r="P69" s="2">
        <f>--139.76</f>
        <v>139.76</v>
      </c>
      <c r="Q69" s="2"/>
      <c r="R69" s="19"/>
      <c r="S69" s="2"/>
      <c r="T69" s="2"/>
      <c r="U69" s="2"/>
      <c r="V69" s="19"/>
      <c r="W69" s="2"/>
      <c r="X69" s="2">
        <f t="shared" si="2"/>
        <v>139.76</v>
      </c>
      <c r="Y69" s="2"/>
      <c r="Z69" s="19">
        <f t="shared" si="3"/>
        <v>0</v>
      </c>
    </row>
    <row r="70" spans="1:26" s="24" customFormat="1" hidden="1" outlineLevel="1" x14ac:dyDescent="0.25">
      <c r="A70" s="46"/>
      <c r="B70" s="11" t="str">
        <f>CONCATENATE("          ", "4145", " - ", "NON-TAXABLE SALES-SPECIAL ORDE")</f>
        <v xml:space="preserve">          4145 - NON-TAXABLE SALES-SPECIAL ORDE</v>
      </c>
      <c r="C70" s="11"/>
      <c r="D70" s="2">
        <f t="shared" si="4"/>
        <v>0</v>
      </c>
      <c r="E70" s="2"/>
      <c r="F70" s="19"/>
      <c r="G70" s="2"/>
      <c r="H70" s="2"/>
      <c r="I70" s="2"/>
      <c r="J70" s="19"/>
      <c r="K70" s="2"/>
      <c r="L70" s="2">
        <f t="shared" si="0"/>
        <v>0</v>
      </c>
      <c r="M70" s="2"/>
      <c r="N70" s="19">
        <f t="shared" si="1"/>
        <v>0</v>
      </c>
      <c r="O70" s="11"/>
      <c r="P70" s="2">
        <f>--90</f>
        <v>90</v>
      </c>
      <c r="Q70" s="2"/>
      <c r="R70" s="19"/>
      <c r="S70" s="2"/>
      <c r="T70" s="2"/>
      <c r="U70" s="2"/>
      <c r="V70" s="19"/>
      <c r="W70" s="2"/>
      <c r="X70" s="2">
        <f t="shared" si="2"/>
        <v>90</v>
      </c>
      <c r="Y70" s="2"/>
      <c r="Z70" s="19">
        <f t="shared" si="3"/>
        <v>0</v>
      </c>
    </row>
    <row r="71" spans="1:26" s="24" customFormat="1" hidden="1" outlineLevel="1" x14ac:dyDescent="0.25">
      <c r="A71" s="46"/>
      <c r="B71" s="11" t="str">
        <f>CONCATENATE("          ", "4146", " - ", "NON-TAXABLE SALES-COIN OP MACH")</f>
        <v xml:space="preserve">          4146 - NON-TAXABLE SALES-COIN OP MACH</v>
      </c>
      <c r="C71" s="11"/>
      <c r="D71" s="2">
        <f>--34744.75</f>
        <v>34744.75</v>
      </c>
      <c r="E71" s="2"/>
      <c r="F71" s="19"/>
      <c r="G71" s="2"/>
      <c r="H71" s="2"/>
      <c r="I71" s="2"/>
      <c r="J71" s="19"/>
      <c r="K71" s="2"/>
      <c r="L71" s="2">
        <f t="shared" si="0"/>
        <v>34744.75</v>
      </c>
      <c r="M71" s="2"/>
      <c r="N71" s="19">
        <f t="shared" si="1"/>
        <v>0</v>
      </c>
      <c r="O71" s="11"/>
      <c r="P71" s="2">
        <f>--50093.5</f>
        <v>50093.5</v>
      </c>
      <c r="Q71" s="2"/>
      <c r="R71" s="19"/>
      <c r="S71" s="2"/>
      <c r="T71" s="2"/>
      <c r="U71" s="2"/>
      <c r="V71" s="19"/>
      <c r="W71" s="2"/>
      <c r="X71" s="2">
        <f t="shared" si="2"/>
        <v>50093.5</v>
      </c>
      <c r="Y71" s="2"/>
      <c r="Z71" s="19">
        <f t="shared" si="3"/>
        <v>0</v>
      </c>
    </row>
    <row r="72" spans="1:26" s="24" customFormat="1" hidden="1" outlineLevel="1" x14ac:dyDescent="0.25">
      <c r="A72" s="46"/>
      <c r="B72" s="11" t="str">
        <f>CONCATENATE("          ", "4147", " - ", "NON-TAXABLE SALES-MISC")</f>
        <v xml:space="preserve">          4147 - NON-TAXABLE SALES-MISC</v>
      </c>
      <c r="C72" s="11"/>
      <c r="D72" s="2">
        <f>--344.5</f>
        <v>344.5</v>
      </c>
      <c r="E72" s="2"/>
      <c r="F72" s="19"/>
      <c r="G72" s="2"/>
      <c r="H72" s="2"/>
      <c r="I72" s="2"/>
      <c r="J72" s="19"/>
      <c r="K72" s="2"/>
      <c r="L72" s="2">
        <f t="shared" si="0"/>
        <v>344.5</v>
      </c>
      <c r="M72" s="2"/>
      <c r="N72" s="19">
        <f t="shared" si="1"/>
        <v>0</v>
      </c>
      <c r="O72" s="11"/>
      <c r="P72" s="2">
        <f>--414.9</f>
        <v>414.9</v>
      </c>
      <c r="Q72" s="2"/>
      <c r="R72" s="19"/>
      <c r="S72" s="2"/>
      <c r="T72" s="2"/>
      <c r="U72" s="2"/>
      <c r="V72" s="19"/>
      <c r="W72" s="2"/>
      <c r="X72" s="2">
        <f t="shared" si="2"/>
        <v>414.9</v>
      </c>
      <c r="Y72" s="2"/>
      <c r="Z72" s="19">
        <f t="shared" si="3"/>
        <v>0</v>
      </c>
    </row>
    <row r="73" spans="1:26" s="24" customFormat="1" hidden="1" outlineLevel="1" x14ac:dyDescent="0.25">
      <c r="A73" s="46"/>
      <c r="B73" s="11" t="str">
        <f>CONCATENATE("          ", "4151", " - ", "NON-TAXABLE SALES-FOOD")</f>
        <v xml:space="preserve">          4151 - NON-TAXABLE SALES-FOOD</v>
      </c>
      <c r="C73" s="11"/>
      <c r="D73" s="2">
        <f>--140653.16</f>
        <v>140653.16</v>
      </c>
      <c r="E73" s="2"/>
      <c r="F73" s="19"/>
      <c r="G73" s="2"/>
      <c r="H73" s="2"/>
      <c r="I73" s="2"/>
      <c r="J73" s="19"/>
      <c r="K73" s="2"/>
      <c r="L73" s="2">
        <f t="shared" si="0"/>
        <v>140653.16</v>
      </c>
      <c r="M73" s="2"/>
      <c r="N73" s="19">
        <f t="shared" si="1"/>
        <v>0</v>
      </c>
      <c r="O73" s="11"/>
      <c r="P73" s="2">
        <f>--196790.33</f>
        <v>196790.33</v>
      </c>
      <c r="Q73" s="2"/>
      <c r="R73" s="19"/>
      <c r="S73" s="2"/>
      <c r="T73" s="2"/>
      <c r="U73" s="2"/>
      <c r="V73" s="19"/>
      <c r="W73" s="2"/>
      <c r="X73" s="2">
        <f t="shared" si="2"/>
        <v>196790.33</v>
      </c>
      <c r="Y73" s="2"/>
      <c r="Z73" s="19">
        <f t="shared" si="3"/>
        <v>0</v>
      </c>
    </row>
    <row r="74" spans="1:26" s="24" customFormat="1" hidden="1" outlineLevel="1" x14ac:dyDescent="0.25">
      <c r="A74" s="46"/>
      <c r="B74" s="11" t="str">
        <f>CONCATENATE("          ", "4153", " - ", "NON-TAXABLE SALES-FOOD")</f>
        <v xml:space="preserve">          4153 - NON-TAXABLE SALES-FOOD</v>
      </c>
      <c r="C74" s="11"/>
      <c r="D74" s="2">
        <f>--1942</f>
        <v>1942</v>
      </c>
      <c r="E74" s="2"/>
      <c r="F74" s="19"/>
      <c r="G74" s="2"/>
      <c r="H74" s="2"/>
      <c r="I74" s="2"/>
      <c r="J74" s="19"/>
      <c r="K74" s="2"/>
      <c r="L74" s="2">
        <f t="shared" si="0"/>
        <v>1942</v>
      </c>
      <c r="M74" s="2"/>
      <c r="N74" s="19">
        <f t="shared" si="1"/>
        <v>0</v>
      </c>
      <c r="O74" s="11"/>
      <c r="P74" s="2">
        <f>--2406.5</f>
        <v>2406.5</v>
      </c>
      <c r="Q74" s="2"/>
      <c r="R74" s="19"/>
      <c r="S74" s="2"/>
      <c r="T74" s="2"/>
      <c r="U74" s="2"/>
      <c r="V74" s="19"/>
      <c r="W74" s="2"/>
      <c r="X74" s="2">
        <f t="shared" si="2"/>
        <v>2406.5</v>
      </c>
      <c r="Y74" s="2"/>
      <c r="Z74" s="19">
        <f t="shared" si="3"/>
        <v>0</v>
      </c>
    </row>
    <row r="75" spans="1:26" s="24" customFormat="1" hidden="1" outlineLevel="1" x14ac:dyDescent="0.25">
      <c r="A75" s="46"/>
      <c r="B75" s="11" t="str">
        <f>CONCATENATE("          ", "4186", " - ", "NON-TAXABLE SALES-COMPUTER SUP")</f>
        <v xml:space="preserve">          4186 - NON-TAXABLE SALES-COMPUTER SUP</v>
      </c>
      <c r="C75" s="11"/>
      <c r="D75" s="2">
        <f>-34.98</f>
        <v>-34.979999999999997</v>
      </c>
      <c r="E75" s="2"/>
      <c r="F75" s="19"/>
      <c r="G75" s="2"/>
      <c r="H75" s="2"/>
      <c r="I75" s="2"/>
      <c r="J75" s="19"/>
      <c r="K75" s="2"/>
      <c r="L75" s="2">
        <f t="shared" si="0"/>
        <v>-34.979999999999997</v>
      </c>
      <c r="M75" s="2"/>
      <c r="N75" s="19">
        <f t="shared" si="1"/>
        <v>0</v>
      </c>
      <c r="O75" s="11"/>
      <c r="P75" s="2">
        <f>-34.98</f>
        <v>-34.979999999999997</v>
      </c>
      <c r="Q75" s="2"/>
      <c r="R75" s="19"/>
      <c r="S75" s="2"/>
      <c r="T75" s="2"/>
      <c r="U75" s="2"/>
      <c r="V75" s="19"/>
      <c r="W75" s="2"/>
      <c r="X75" s="2">
        <f t="shared" si="2"/>
        <v>-34.979999999999997</v>
      </c>
      <c r="Y75" s="2"/>
      <c r="Z75" s="19">
        <f t="shared" si="3"/>
        <v>0</v>
      </c>
    </row>
    <row r="76" spans="1:26" s="24" customFormat="1" hidden="1" outlineLevel="1" x14ac:dyDescent="0.25">
      <c r="A76" s="46"/>
      <c r="B76" s="11" t="str">
        <f>CONCATENATE("          ", "4201", " - ", "SALES RETURN TAXABLE-NEW TEXT")</f>
        <v xml:space="preserve">          4201 - SALES RETURN TAXABLE-NEW TEXT</v>
      </c>
      <c r="C76" s="11"/>
      <c r="D76" s="2">
        <f>-14069.34</f>
        <v>-14069.34</v>
      </c>
      <c r="E76" s="2"/>
      <c r="F76" s="19"/>
      <c r="G76" s="2"/>
      <c r="H76" s="2"/>
      <c r="I76" s="2"/>
      <c r="J76" s="19"/>
      <c r="K76" s="2"/>
      <c r="L76" s="2">
        <f t="shared" si="0"/>
        <v>-14069.34</v>
      </c>
      <c r="M76" s="2"/>
      <c r="N76" s="19">
        <f t="shared" si="1"/>
        <v>0</v>
      </c>
      <c r="O76" s="11"/>
      <c r="P76" s="2">
        <f>-73239.75</f>
        <v>-73239.75</v>
      </c>
      <c r="Q76" s="2"/>
      <c r="R76" s="19"/>
      <c r="S76" s="2"/>
      <c r="T76" s="2"/>
      <c r="U76" s="2"/>
      <c r="V76" s="19"/>
      <c r="W76" s="2"/>
      <c r="X76" s="2">
        <f t="shared" si="2"/>
        <v>-73239.75</v>
      </c>
      <c r="Y76" s="2"/>
      <c r="Z76" s="19">
        <f t="shared" si="3"/>
        <v>0</v>
      </c>
    </row>
    <row r="77" spans="1:26" s="24" customFormat="1" hidden="1" outlineLevel="1" x14ac:dyDescent="0.25">
      <c r="A77" s="46"/>
      <c r="B77" s="11" t="str">
        <f>CONCATENATE("          ", "4202", " - ", "SALES RETURN TAXABLE-USED TEXT")</f>
        <v xml:space="preserve">          4202 - SALES RETURN TAXABLE-USED TEXT</v>
      </c>
      <c r="C77" s="11"/>
      <c r="D77" s="2">
        <f>-2096.65</f>
        <v>-2096.65</v>
      </c>
      <c r="E77" s="2"/>
      <c r="F77" s="19"/>
      <c r="G77" s="2"/>
      <c r="H77" s="2"/>
      <c r="I77" s="2"/>
      <c r="J77" s="19"/>
      <c r="K77" s="2"/>
      <c r="L77" s="2">
        <f t="shared" si="0"/>
        <v>-2096.65</v>
      </c>
      <c r="M77" s="2"/>
      <c r="N77" s="19">
        <f t="shared" si="1"/>
        <v>0</v>
      </c>
      <c r="O77" s="11"/>
      <c r="P77" s="2">
        <f>-23351.1</f>
        <v>-23351.1</v>
      </c>
      <c r="Q77" s="2"/>
      <c r="R77" s="19"/>
      <c r="S77" s="2"/>
      <c r="T77" s="2"/>
      <c r="U77" s="2"/>
      <c r="V77" s="19"/>
      <c r="W77" s="2"/>
      <c r="X77" s="2">
        <f t="shared" si="2"/>
        <v>-23351.1</v>
      </c>
      <c r="Y77" s="2"/>
      <c r="Z77" s="19">
        <f t="shared" si="3"/>
        <v>0</v>
      </c>
    </row>
    <row r="78" spans="1:26" s="24" customFormat="1" hidden="1" outlineLevel="1" x14ac:dyDescent="0.25">
      <c r="A78" s="46"/>
      <c r="B78" s="11" t="str">
        <f>CONCATENATE("          ", "4203", " - ", "SALES RETURN TAXABLE-RENTAL TE")</f>
        <v xml:space="preserve">          4203 - SALES RETURN TAXABLE-RENTAL TE</v>
      </c>
      <c r="C78" s="11"/>
      <c r="D78" s="2">
        <f>-144.99</f>
        <v>-144.99</v>
      </c>
      <c r="E78" s="2"/>
      <c r="F78" s="19"/>
      <c r="G78" s="2"/>
      <c r="H78" s="2"/>
      <c r="I78" s="2"/>
      <c r="J78" s="19"/>
      <c r="K78" s="2"/>
      <c r="L78" s="2">
        <f t="shared" si="0"/>
        <v>-144.99</v>
      </c>
      <c r="M78" s="2"/>
      <c r="N78" s="19">
        <f t="shared" si="1"/>
        <v>0</v>
      </c>
      <c r="O78" s="11"/>
      <c r="P78" s="2">
        <f>-144.99</f>
        <v>-144.99</v>
      </c>
      <c r="Q78" s="2"/>
      <c r="R78" s="19"/>
      <c r="S78" s="2"/>
      <c r="T78" s="2"/>
      <c r="U78" s="2"/>
      <c r="V78" s="19"/>
      <c r="W78" s="2"/>
      <c r="X78" s="2">
        <f t="shared" si="2"/>
        <v>-144.99</v>
      </c>
      <c r="Y78" s="2"/>
      <c r="Z78" s="19">
        <f t="shared" si="3"/>
        <v>0</v>
      </c>
    </row>
    <row r="79" spans="1:26" s="24" customFormat="1" hidden="1" outlineLevel="1" x14ac:dyDescent="0.25">
      <c r="A79" s="46"/>
      <c r="B79" s="11" t="str">
        <f>CONCATENATE("          ", "4204", " - ", "SALES RETURN TAXABLE-DIGITAL T")</f>
        <v xml:space="preserve">          4204 - SALES RETURN TAXABLE-DIGITAL T</v>
      </c>
      <c r="C79" s="11"/>
      <c r="D79" s="2">
        <f>-4208.35</f>
        <v>-4208.3500000000004</v>
      </c>
      <c r="E79" s="2"/>
      <c r="F79" s="19"/>
      <c r="G79" s="2"/>
      <c r="H79" s="2"/>
      <c r="I79" s="2"/>
      <c r="J79" s="19"/>
      <c r="K79" s="2"/>
      <c r="L79" s="2">
        <f t="shared" si="0"/>
        <v>-4208.3500000000004</v>
      </c>
      <c r="M79" s="2"/>
      <c r="N79" s="19">
        <f t="shared" si="1"/>
        <v>0</v>
      </c>
      <c r="O79" s="11"/>
      <c r="P79" s="2">
        <f>-11056.72</f>
        <v>-11056.72</v>
      </c>
      <c r="Q79" s="2"/>
      <c r="R79" s="19"/>
      <c r="S79" s="2"/>
      <c r="T79" s="2"/>
      <c r="U79" s="2"/>
      <c r="V79" s="19"/>
      <c r="W79" s="2"/>
      <c r="X79" s="2">
        <f t="shared" si="2"/>
        <v>-11056.72</v>
      </c>
      <c r="Y79" s="2"/>
      <c r="Z79" s="19">
        <f t="shared" si="3"/>
        <v>0</v>
      </c>
    </row>
    <row r="80" spans="1:26" s="24" customFormat="1" hidden="1" outlineLevel="1" x14ac:dyDescent="0.25">
      <c r="A80" s="46"/>
      <c r="B80" s="11" t="str">
        <f>CONCATENATE("          ", "4218", " - ", "SALES RETURN TAXABLE-STUDY GUI")</f>
        <v xml:space="preserve">          4218 - SALES RETURN TAXABLE-STUDY GUI</v>
      </c>
      <c r="C80" s="11"/>
      <c r="D80" s="2">
        <f>-5.95</f>
        <v>-5.95</v>
      </c>
      <c r="E80" s="2"/>
      <c r="F80" s="19"/>
      <c r="G80" s="2"/>
      <c r="H80" s="2"/>
      <c r="I80" s="2"/>
      <c r="J80" s="19"/>
      <c r="K80" s="2"/>
      <c r="L80" s="2">
        <f t="shared" si="0"/>
        <v>-5.95</v>
      </c>
      <c r="M80" s="2"/>
      <c r="N80" s="19">
        <f t="shared" si="1"/>
        <v>0</v>
      </c>
      <c r="O80" s="11"/>
      <c r="P80" s="2">
        <f>-32.75</f>
        <v>-32.75</v>
      </c>
      <c r="Q80" s="2"/>
      <c r="R80" s="19"/>
      <c r="S80" s="2"/>
      <c r="T80" s="2"/>
      <c r="U80" s="2"/>
      <c r="V80" s="19"/>
      <c r="W80" s="2"/>
      <c r="X80" s="2">
        <f t="shared" si="2"/>
        <v>-32.75</v>
      </c>
      <c r="Y80" s="2"/>
      <c r="Z80" s="19">
        <f t="shared" si="3"/>
        <v>0</v>
      </c>
    </row>
    <row r="81" spans="1:26" s="24" customFormat="1" hidden="1" outlineLevel="1" x14ac:dyDescent="0.25">
      <c r="A81" s="46"/>
      <c r="B81" s="11" t="str">
        <f>CONCATENATE("          ", "4225", " - ", "SALES RETURN TAXABLE-TEST FORM")</f>
        <v xml:space="preserve">          4225 - SALES RETURN TAXABLE-TEST FORM</v>
      </c>
      <c r="C81" s="11"/>
      <c r="D81" s="2">
        <f>-20.41</f>
        <v>-20.41</v>
      </c>
      <c r="E81" s="2"/>
      <c r="F81" s="19"/>
      <c r="G81" s="2"/>
      <c r="H81" s="2"/>
      <c r="I81" s="2"/>
      <c r="J81" s="19"/>
      <c r="K81" s="2"/>
      <c r="L81" s="2">
        <f t="shared" si="0"/>
        <v>-20.41</v>
      </c>
      <c r="M81" s="2"/>
      <c r="N81" s="19">
        <f t="shared" si="1"/>
        <v>0</v>
      </c>
      <c r="O81" s="11"/>
      <c r="P81" s="2">
        <f>-33.1</f>
        <v>-33.1</v>
      </c>
      <c r="Q81" s="2"/>
      <c r="R81" s="19"/>
      <c r="S81" s="2"/>
      <c r="T81" s="2"/>
      <c r="U81" s="2"/>
      <c r="V81" s="19"/>
      <c r="W81" s="2"/>
      <c r="X81" s="2">
        <f t="shared" si="2"/>
        <v>-33.1</v>
      </c>
      <c r="Y81" s="2"/>
      <c r="Z81" s="19">
        <f t="shared" si="3"/>
        <v>0</v>
      </c>
    </row>
    <row r="82" spans="1:26" s="24" customFormat="1" hidden="1" outlineLevel="1" x14ac:dyDescent="0.25">
      <c r="A82" s="46"/>
      <c r="B82" s="11" t="str">
        <f>CONCATENATE("          ", "4226", " - ", "SALES RETURN TAXABLE-WRITING I")</f>
        <v xml:space="preserve">          4226 - SALES RETURN TAXABLE-WRITING I</v>
      </c>
      <c r="C82" s="11"/>
      <c r="D82" s="2">
        <f>-184.86</f>
        <v>-184.86</v>
      </c>
      <c r="E82" s="2"/>
      <c r="F82" s="19"/>
      <c r="G82" s="2"/>
      <c r="H82" s="2"/>
      <c r="I82" s="2"/>
      <c r="J82" s="19"/>
      <c r="K82" s="2"/>
      <c r="L82" s="2">
        <f t="shared" si="0"/>
        <v>-184.86</v>
      </c>
      <c r="M82" s="2"/>
      <c r="N82" s="19">
        <f t="shared" si="1"/>
        <v>0</v>
      </c>
      <c r="O82" s="11"/>
      <c r="P82" s="2">
        <f>-309.07</f>
        <v>-309.07</v>
      </c>
      <c r="Q82" s="2"/>
      <c r="R82" s="19"/>
      <c r="S82" s="2"/>
      <c r="T82" s="2"/>
      <c r="U82" s="2"/>
      <c r="V82" s="19"/>
      <c r="W82" s="2"/>
      <c r="X82" s="2">
        <f t="shared" si="2"/>
        <v>-309.07</v>
      </c>
      <c r="Y82" s="2"/>
      <c r="Z82" s="19">
        <f t="shared" si="3"/>
        <v>0</v>
      </c>
    </row>
    <row r="83" spans="1:26" s="24" customFormat="1" hidden="1" outlineLevel="1" x14ac:dyDescent="0.25">
      <c r="A83" s="46"/>
      <c r="B83" s="11" t="str">
        <f>CONCATENATE("          ", "4227", " - ", "SALES RETURN TAXABLE-SCHOOL SU")</f>
        <v xml:space="preserve">          4227 - SALES RETURN TAXABLE-SCHOOL SU</v>
      </c>
      <c r="C83" s="11"/>
      <c r="D83" s="2">
        <f>-2805.04</f>
        <v>-2805.04</v>
      </c>
      <c r="E83" s="2"/>
      <c r="F83" s="19"/>
      <c r="G83" s="2"/>
      <c r="H83" s="2"/>
      <c r="I83" s="2"/>
      <c r="J83" s="19"/>
      <c r="K83" s="2"/>
      <c r="L83" s="2">
        <f t="shared" si="0"/>
        <v>-2805.04</v>
      </c>
      <c r="M83" s="2"/>
      <c r="N83" s="19">
        <f t="shared" si="1"/>
        <v>0</v>
      </c>
      <c r="O83" s="11"/>
      <c r="P83" s="2">
        <f>-4501.63</f>
        <v>-4501.63</v>
      </c>
      <c r="Q83" s="2"/>
      <c r="R83" s="19"/>
      <c r="S83" s="2"/>
      <c r="T83" s="2"/>
      <c r="U83" s="2"/>
      <c r="V83" s="19"/>
      <c r="W83" s="2"/>
      <c r="X83" s="2">
        <f t="shared" si="2"/>
        <v>-4501.63</v>
      </c>
      <c r="Y83" s="2"/>
      <c r="Z83" s="19">
        <f t="shared" si="3"/>
        <v>0</v>
      </c>
    </row>
    <row r="84" spans="1:26" s="24" customFormat="1" hidden="1" outlineLevel="1" x14ac:dyDescent="0.25">
      <c r="A84" s="46"/>
      <c r="B84" s="11" t="str">
        <f>CONCATENATE("          ", "4228", " - ", "SALES RETURN TAXABLE-ART/TECH")</f>
        <v xml:space="preserve">          4228 - SALES RETURN TAXABLE-ART/TECH</v>
      </c>
      <c r="C84" s="11"/>
      <c r="D84" s="2">
        <f>-1058.54</f>
        <v>-1058.54</v>
      </c>
      <c r="E84" s="2"/>
      <c r="F84" s="19"/>
      <c r="G84" s="2"/>
      <c r="H84" s="2"/>
      <c r="I84" s="2"/>
      <c r="J84" s="19"/>
      <c r="K84" s="2"/>
      <c r="L84" s="2">
        <f t="shared" si="0"/>
        <v>-1058.54</v>
      </c>
      <c r="M84" s="2"/>
      <c r="N84" s="19">
        <f t="shared" si="1"/>
        <v>0</v>
      </c>
      <c r="O84" s="11"/>
      <c r="P84" s="2">
        <f>-1927.27</f>
        <v>-1927.27</v>
      </c>
      <c r="Q84" s="2"/>
      <c r="R84" s="19"/>
      <c r="S84" s="2"/>
      <c r="T84" s="2"/>
      <c r="U84" s="2"/>
      <c r="V84" s="19"/>
      <c r="W84" s="2"/>
      <c r="X84" s="2">
        <f t="shared" si="2"/>
        <v>-1927.27</v>
      </c>
      <c r="Y84" s="2"/>
      <c r="Z84" s="19">
        <f t="shared" si="3"/>
        <v>0</v>
      </c>
    </row>
    <row r="85" spans="1:26" s="24" customFormat="1" hidden="1" outlineLevel="1" x14ac:dyDescent="0.25">
      <c r="A85" s="46"/>
      <c r="B85" s="11" t="str">
        <f>CONCATENATE("          ", "4240", " - ", "SALES RETURN TAXABLE-LOGO CLOT")</f>
        <v xml:space="preserve">          4240 - SALES RETURN TAXABLE-LOGO CLOT</v>
      </c>
      <c r="C85" s="11"/>
      <c r="D85" s="2">
        <f>-9538.49</f>
        <v>-9538.49</v>
      </c>
      <c r="E85" s="2"/>
      <c r="F85" s="19"/>
      <c r="G85" s="2"/>
      <c r="H85" s="2"/>
      <c r="I85" s="2"/>
      <c r="J85" s="19"/>
      <c r="K85" s="2"/>
      <c r="L85" s="2">
        <f t="shared" si="0"/>
        <v>-9538.49</v>
      </c>
      <c r="M85" s="2"/>
      <c r="N85" s="19">
        <f t="shared" si="1"/>
        <v>0</v>
      </c>
      <c r="O85" s="11"/>
      <c r="P85" s="2">
        <f>-20792.98</f>
        <v>-20792.98</v>
      </c>
      <c r="Q85" s="2"/>
      <c r="R85" s="19"/>
      <c r="S85" s="2"/>
      <c r="T85" s="2"/>
      <c r="U85" s="2"/>
      <c r="V85" s="19"/>
      <c r="W85" s="2"/>
      <c r="X85" s="2">
        <f t="shared" si="2"/>
        <v>-20792.98</v>
      </c>
      <c r="Y85" s="2"/>
      <c r="Z85" s="19">
        <f t="shared" si="3"/>
        <v>0</v>
      </c>
    </row>
    <row r="86" spans="1:26" s="24" customFormat="1" hidden="1" outlineLevel="1" x14ac:dyDescent="0.25">
      <c r="A86" s="46"/>
      <c r="B86" s="11" t="str">
        <f>CONCATENATE("          ", "4241", " - ", "SALES RETURN TAXABLE-LOGO GIFT")</f>
        <v xml:space="preserve">          4241 - SALES RETURN TAXABLE-LOGO GIFT</v>
      </c>
      <c r="C86" s="11"/>
      <c r="D86" s="2">
        <f>-700.87</f>
        <v>-700.87</v>
      </c>
      <c r="E86" s="2"/>
      <c r="F86" s="19"/>
      <c r="G86" s="2"/>
      <c r="H86" s="2"/>
      <c r="I86" s="2"/>
      <c r="J86" s="19"/>
      <c r="K86" s="2"/>
      <c r="L86" s="2">
        <f t="shared" si="0"/>
        <v>-700.87</v>
      </c>
      <c r="M86" s="2"/>
      <c r="N86" s="19">
        <f t="shared" si="1"/>
        <v>0</v>
      </c>
      <c r="O86" s="11"/>
      <c r="P86" s="2">
        <f>-2390.88</f>
        <v>-2390.88</v>
      </c>
      <c r="Q86" s="2"/>
      <c r="R86" s="19"/>
      <c r="S86" s="2"/>
      <c r="T86" s="2"/>
      <c r="U86" s="2"/>
      <c r="V86" s="19"/>
      <c r="W86" s="2"/>
      <c r="X86" s="2">
        <f t="shared" si="2"/>
        <v>-2390.88</v>
      </c>
      <c r="Y86" s="2"/>
      <c r="Z86" s="19">
        <f t="shared" si="3"/>
        <v>0</v>
      </c>
    </row>
    <row r="87" spans="1:26" s="24" customFormat="1" hidden="1" outlineLevel="1" x14ac:dyDescent="0.25">
      <c r="A87" s="46"/>
      <c r="B87" s="11" t="str">
        <f>CONCATENATE("          ", "4242", " - ", "SALES RETURN TAXABLE-EVERYDAY")</f>
        <v xml:space="preserve">          4242 - SALES RETURN TAXABLE-EVERYDAY</v>
      </c>
      <c r="C87" s="11"/>
      <c r="D87" s="2">
        <f>-169.66</f>
        <v>-169.66</v>
      </c>
      <c r="E87" s="2"/>
      <c r="F87" s="19"/>
      <c r="G87" s="2"/>
      <c r="H87" s="2"/>
      <c r="I87" s="2"/>
      <c r="J87" s="19"/>
      <c r="K87" s="2"/>
      <c r="L87" s="2">
        <f t="shared" si="0"/>
        <v>-169.66</v>
      </c>
      <c r="M87" s="2"/>
      <c r="N87" s="19">
        <f t="shared" si="1"/>
        <v>0</v>
      </c>
      <c r="O87" s="11"/>
      <c r="P87" s="2">
        <f>-994.47</f>
        <v>-994.47</v>
      </c>
      <c r="Q87" s="2"/>
      <c r="R87" s="19"/>
      <c r="S87" s="2"/>
      <c r="T87" s="2"/>
      <c r="U87" s="2"/>
      <c r="V87" s="19"/>
      <c r="W87" s="2"/>
      <c r="X87" s="2">
        <f t="shared" si="2"/>
        <v>-994.47</v>
      </c>
      <c r="Y87" s="2"/>
      <c r="Z87" s="19">
        <f t="shared" si="3"/>
        <v>0</v>
      </c>
    </row>
    <row r="88" spans="1:26" s="24" customFormat="1" hidden="1" outlineLevel="1" x14ac:dyDescent="0.25">
      <c r="A88" s="46"/>
      <c r="B88" s="11" t="str">
        <f>CONCATENATE("          ", "4243", " - ", "SALES RETURN TAXABLE-CARDS")</f>
        <v xml:space="preserve">          4243 - SALES RETURN TAXABLE-CARDS</v>
      </c>
      <c r="C88" s="11"/>
      <c r="D88" s="2">
        <f>-4.5</f>
        <v>-4.5</v>
      </c>
      <c r="E88" s="2"/>
      <c r="F88" s="19"/>
      <c r="G88" s="2"/>
      <c r="H88" s="2"/>
      <c r="I88" s="2"/>
      <c r="J88" s="19"/>
      <c r="K88" s="2"/>
      <c r="L88" s="2">
        <f t="shared" si="0"/>
        <v>-4.5</v>
      </c>
      <c r="M88" s="2"/>
      <c r="N88" s="19">
        <f t="shared" si="1"/>
        <v>0</v>
      </c>
      <c r="O88" s="11"/>
      <c r="P88" s="2">
        <f>-4.5</f>
        <v>-4.5</v>
      </c>
      <c r="Q88" s="2"/>
      <c r="R88" s="19"/>
      <c r="S88" s="2"/>
      <c r="T88" s="2"/>
      <c r="U88" s="2"/>
      <c r="V88" s="19"/>
      <c r="W88" s="2"/>
      <c r="X88" s="2">
        <f t="shared" si="2"/>
        <v>-4.5</v>
      </c>
      <c r="Y88" s="2"/>
      <c r="Z88" s="19">
        <f t="shared" si="3"/>
        <v>0</v>
      </c>
    </row>
    <row r="89" spans="1:26" s="24" customFormat="1" hidden="1" outlineLevel="1" x14ac:dyDescent="0.25">
      <c r="A89" s="46"/>
      <c r="B89" s="11" t="str">
        <f>CONCATENATE("          ", "4244", " - ", "SALES RETURN TAXABLE-ACCESSORI")</f>
        <v xml:space="preserve">          4244 - SALES RETURN TAXABLE-ACCESSORI</v>
      </c>
      <c r="C89" s="11"/>
      <c r="D89" s="2">
        <f>-704.04</f>
        <v>-704.04</v>
      </c>
      <c r="E89" s="2"/>
      <c r="F89" s="19"/>
      <c r="G89" s="2"/>
      <c r="H89" s="2"/>
      <c r="I89" s="2"/>
      <c r="J89" s="19"/>
      <c r="K89" s="2"/>
      <c r="L89" s="2">
        <f t="shared" si="0"/>
        <v>-704.04</v>
      </c>
      <c r="M89" s="2"/>
      <c r="N89" s="19">
        <f t="shared" si="1"/>
        <v>0</v>
      </c>
      <c r="O89" s="11"/>
      <c r="P89" s="2">
        <f>-1254.51</f>
        <v>-1254.51</v>
      </c>
      <c r="Q89" s="2"/>
      <c r="R89" s="19"/>
      <c r="S89" s="2"/>
      <c r="T89" s="2"/>
      <c r="U89" s="2"/>
      <c r="V89" s="19"/>
      <c r="W89" s="2"/>
      <c r="X89" s="2">
        <f t="shared" si="2"/>
        <v>-1254.51</v>
      </c>
      <c r="Y89" s="2"/>
      <c r="Z89" s="19">
        <f t="shared" si="3"/>
        <v>0</v>
      </c>
    </row>
    <row r="90" spans="1:26" s="24" customFormat="1" hidden="1" outlineLevel="1" x14ac:dyDescent="0.25">
      <c r="A90" s="46"/>
      <c r="B90" s="11" t="str">
        <f>CONCATENATE("          ", "4245", " - ", "SALES RETURN TAXABLE-SPECIAL O")</f>
        <v xml:space="preserve">          4245 - SALES RETURN TAXABLE-SPECIAL O</v>
      </c>
      <c r="C90" s="11"/>
      <c r="D90" s="2">
        <f>-71.98</f>
        <v>-71.98</v>
      </c>
      <c r="E90" s="2"/>
      <c r="F90" s="19"/>
      <c r="G90" s="2"/>
      <c r="H90" s="2"/>
      <c r="I90" s="2"/>
      <c r="J90" s="19"/>
      <c r="K90" s="2"/>
      <c r="L90" s="2">
        <f t="shared" si="0"/>
        <v>-71.98</v>
      </c>
      <c r="M90" s="2"/>
      <c r="N90" s="19">
        <f t="shared" si="1"/>
        <v>0</v>
      </c>
      <c r="O90" s="11"/>
      <c r="P90" s="2">
        <f>-91.96</f>
        <v>-91.96</v>
      </c>
      <c r="Q90" s="2"/>
      <c r="R90" s="19"/>
      <c r="S90" s="2"/>
      <c r="T90" s="2"/>
      <c r="U90" s="2"/>
      <c r="V90" s="19"/>
      <c r="W90" s="2"/>
      <c r="X90" s="2">
        <f t="shared" si="2"/>
        <v>-91.96</v>
      </c>
      <c r="Y90" s="2"/>
      <c r="Z90" s="19">
        <f t="shared" si="3"/>
        <v>0</v>
      </c>
    </row>
    <row r="91" spans="1:26" s="24" customFormat="1" hidden="1" outlineLevel="1" x14ac:dyDescent="0.25">
      <c r="A91" s="46"/>
      <c r="B91" s="11" t="str">
        <f>CONCATENATE("          ", "4281", " - ", "SALES RETURN TAXABLE-ELECTRONI")</f>
        <v xml:space="preserve">          4281 - SALES RETURN TAXABLE-ELECTRONI</v>
      </c>
      <c r="C91" s="11"/>
      <c r="D91" s="2">
        <f>-24.99</f>
        <v>-24.99</v>
      </c>
      <c r="E91" s="2"/>
      <c r="F91" s="19"/>
      <c r="G91" s="2"/>
      <c r="H91" s="2"/>
      <c r="I91" s="2"/>
      <c r="J91" s="19"/>
      <c r="K91" s="2"/>
      <c r="L91" s="2">
        <f t="shared" si="0"/>
        <v>-24.99</v>
      </c>
      <c r="M91" s="2"/>
      <c r="N91" s="19">
        <f t="shared" si="1"/>
        <v>0</v>
      </c>
      <c r="O91" s="11"/>
      <c r="P91" s="2">
        <f>-24.99</f>
        <v>-24.99</v>
      </c>
      <c r="Q91" s="2"/>
      <c r="R91" s="19"/>
      <c r="S91" s="2"/>
      <c r="T91" s="2"/>
      <c r="U91" s="2"/>
      <c r="V91" s="19"/>
      <c r="W91" s="2"/>
      <c r="X91" s="2">
        <f t="shared" si="2"/>
        <v>-24.99</v>
      </c>
      <c r="Y91" s="2"/>
      <c r="Z91" s="19">
        <f t="shared" si="3"/>
        <v>0</v>
      </c>
    </row>
    <row r="92" spans="1:26" s="24" customFormat="1" hidden="1" outlineLevel="1" x14ac:dyDescent="0.25">
      <c r="A92" s="46"/>
      <c r="B92" s="11" t="str">
        <f>CONCATENATE("          ", "4292", " - ", "SALES RETURN TAXABLE-GRAD MERC")</f>
        <v xml:space="preserve">          4292 - SALES RETURN TAXABLE-GRAD MERC</v>
      </c>
      <c r="C92" s="11"/>
      <c r="D92" s="2">
        <f t="shared" ref="D92:D93" si="5">0</f>
        <v>0</v>
      </c>
      <c r="E92" s="2"/>
      <c r="F92" s="19"/>
      <c r="G92" s="2"/>
      <c r="H92" s="2"/>
      <c r="I92" s="2"/>
      <c r="J92" s="19"/>
      <c r="K92" s="2"/>
      <c r="L92" s="2">
        <f t="shared" si="0"/>
        <v>0</v>
      </c>
      <c r="M92" s="2"/>
      <c r="N92" s="19">
        <f t="shared" si="1"/>
        <v>0</v>
      </c>
      <c r="O92" s="11"/>
      <c r="P92" s="2">
        <f>-369.15</f>
        <v>-369.15</v>
      </c>
      <c r="Q92" s="2"/>
      <c r="R92" s="19"/>
      <c r="S92" s="2"/>
      <c r="T92" s="2"/>
      <c r="U92" s="2"/>
      <c r="V92" s="19"/>
      <c r="W92" s="2"/>
      <c r="X92" s="2">
        <f t="shared" si="2"/>
        <v>-369.15</v>
      </c>
      <c r="Y92" s="2"/>
      <c r="Z92" s="19">
        <f t="shared" si="3"/>
        <v>0</v>
      </c>
    </row>
    <row r="93" spans="1:26" s="24" customFormat="1" hidden="1" outlineLevel="1" x14ac:dyDescent="0.25">
      <c r="A93" s="46"/>
      <c r="B93" s="11" t="str">
        <f>CONCATENATE("          ", "4295", " - ", "SALES RETURN TAXABLE-CUSTOMER")</f>
        <v xml:space="preserve">          4295 - SALES RETURN TAXABLE-CUSTOMER</v>
      </c>
      <c r="C93" s="11"/>
      <c r="D93" s="2">
        <f t="shared" si="5"/>
        <v>0</v>
      </c>
      <c r="E93" s="2"/>
      <c r="F93" s="19"/>
      <c r="G93" s="2"/>
      <c r="H93" s="2"/>
      <c r="I93" s="2"/>
      <c r="J93" s="19"/>
      <c r="K93" s="2"/>
      <c r="L93" s="2">
        <f t="shared" si="0"/>
        <v>0</v>
      </c>
      <c r="M93" s="2"/>
      <c r="N93" s="19">
        <f t="shared" si="1"/>
        <v>0</v>
      </c>
      <c r="O93" s="11"/>
      <c r="P93" s="2">
        <f>--0.99</f>
        <v>0.99</v>
      </c>
      <c r="Q93" s="2"/>
      <c r="R93" s="19"/>
      <c r="S93" s="2"/>
      <c r="T93" s="2"/>
      <c r="U93" s="2"/>
      <c r="V93" s="19"/>
      <c r="W93" s="2"/>
      <c r="X93" s="2">
        <f t="shared" si="2"/>
        <v>0.99</v>
      </c>
      <c r="Y93" s="2"/>
      <c r="Z93" s="19">
        <f t="shared" si="3"/>
        <v>0</v>
      </c>
    </row>
    <row r="94" spans="1:26" s="24" customFormat="1" hidden="1" outlineLevel="1" x14ac:dyDescent="0.25">
      <c r="A94" s="46"/>
      <c r="B94" s="11" t="str">
        <f>CONCATENATE("          ", "4301", " - ", "SALES RETURN NON TAXABLE-NEW T")</f>
        <v xml:space="preserve">          4301 - SALES RETURN NON TAXABLE-NEW T</v>
      </c>
      <c r="C94" s="11"/>
      <c r="D94" s="2">
        <f>-3805.44</f>
        <v>-3805.44</v>
      </c>
      <c r="E94" s="2"/>
      <c r="F94" s="19"/>
      <c r="G94" s="2"/>
      <c r="H94" s="2"/>
      <c r="I94" s="2"/>
      <c r="J94" s="19"/>
      <c r="K94" s="2"/>
      <c r="L94" s="2">
        <f t="shared" si="0"/>
        <v>-3805.44</v>
      </c>
      <c r="M94" s="2"/>
      <c r="N94" s="19">
        <f t="shared" si="1"/>
        <v>0</v>
      </c>
      <c r="O94" s="11"/>
      <c r="P94" s="2">
        <f>-6725.22</f>
        <v>-6725.22</v>
      </c>
      <c r="Q94" s="2"/>
      <c r="R94" s="19"/>
      <c r="S94" s="2"/>
      <c r="T94" s="2"/>
      <c r="U94" s="2"/>
      <c r="V94" s="19"/>
      <c r="W94" s="2"/>
      <c r="X94" s="2">
        <f t="shared" si="2"/>
        <v>-6725.22</v>
      </c>
      <c r="Y94" s="2"/>
      <c r="Z94" s="19">
        <f t="shared" si="3"/>
        <v>0</v>
      </c>
    </row>
    <row r="95" spans="1:26" s="24" customFormat="1" hidden="1" outlineLevel="1" x14ac:dyDescent="0.25">
      <c r="A95" s="46"/>
      <c r="B95" s="11" t="str">
        <f>CONCATENATE("          ", "4302", " - ", "SALES RETURN NON TAXABLE-TEXT")</f>
        <v xml:space="preserve">          4302 - SALES RETURN NON TAXABLE-TEXT</v>
      </c>
      <c r="C95" s="11"/>
      <c r="D95" s="2">
        <f>-398.45</f>
        <v>-398.45</v>
      </c>
      <c r="E95" s="2"/>
      <c r="F95" s="19"/>
      <c r="G95" s="2"/>
      <c r="H95" s="2"/>
      <c r="I95" s="2"/>
      <c r="J95" s="19"/>
      <c r="K95" s="2"/>
      <c r="L95" s="2">
        <f t="shared" si="0"/>
        <v>-398.45</v>
      </c>
      <c r="M95" s="2"/>
      <c r="N95" s="19">
        <f t="shared" si="1"/>
        <v>0</v>
      </c>
      <c r="O95" s="11"/>
      <c r="P95" s="2">
        <f>-648.7</f>
        <v>-648.70000000000005</v>
      </c>
      <c r="Q95" s="2"/>
      <c r="R95" s="19"/>
      <c r="S95" s="2"/>
      <c r="T95" s="2"/>
      <c r="U95" s="2"/>
      <c r="V95" s="19"/>
      <c r="W95" s="2"/>
      <c r="X95" s="2">
        <f t="shared" si="2"/>
        <v>-648.70000000000005</v>
      </c>
      <c r="Y95" s="2"/>
      <c r="Z95" s="19">
        <f t="shared" si="3"/>
        <v>0</v>
      </c>
    </row>
    <row r="96" spans="1:26" s="24" customFormat="1" hidden="1" outlineLevel="1" x14ac:dyDescent="0.25">
      <c r="A96" s="46"/>
      <c r="B96" s="11" t="str">
        <f>CONCATENATE("          ", "4303", " - ", "SALES RETURN NON-TAXABLE-RENTA")</f>
        <v xml:space="preserve">          4303 - SALES RETURN NON-TAXABLE-RENTA</v>
      </c>
      <c r="C96" s="11"/>
      <c r="D96" s="2">
        <f>-184.99</f>
        <v>-184.99</v>
      </c>
      <c r="E96" s="2"/>
      <c r="F96" s="19"/>
      <c r="G96" s="2"/>
      <c r="H96" s="2"/>
      <c r="I96" s="2"/>
      <c r="J96" s="19"/>
      <c r="K96" s="2"/>
      <c r="L96" s="2">
        <f t="shared" si="0"/>
        <v>-184.99</v>
      </c>
      <c r="M96" s="2"/>
      <c r="N96" s="19">
        <f t="shared" si="1"/>
        <v>0</v>
      </c>
      <c r="O96" s="11"/>
      <c r="P96" s="2">
        <f>-184.99</f>
        <v>-184.99</v>
      </c>
      <c r="Q96" s="2"/>
      <c r="R96" s="19"/>
      <c r="S96" s="2"/>
      <c r="T96" s="2"/>
      <c r="U96" s="2"/>
      <c r="V96" s="19"/>
      <c r="W96" s="2"/>
      <c r="X96" s="2">
        <f t="shared" si="2"/>
        <v>-184.99</v>
      </c>
      <c r="Y96" s="2"/>
      <c r="Z96" s="19">
        <f t="shared" si="3"/>
        <v>0</v>
      </c>
    </row>
    <row r="97" spans="1:26" s="24" customFormat="1" hidden="1" outlineLevel="1" x14ac:dyDescent="0.25">
      <c r="A97" s="46"/>
      <c r="B97" s="11" t="str">
        <f>CONCATENATE("          ", "4304", " - ", "SALES RETURN NON TAXABLE-DIGIT")</f>
        <v xml:space="preserve">          4304 - SALES RETURN NON TAXABLE-DIGIT</v>
      </c>
      <c r="C97" s="11"/>
      <c r="D97" s="2">
        <f>-4048.76</f>
        <v>-4048.76</v>
      </c>
      <c r="E97" s="2"/>
      <c r="F97" s="19"/>
      <c r="G97" s="2"/>
      <c r="H97" s="2"/>
      <c r="I97" s="2"/>
      <c r="J97" s="19"/>
      <c r="K97" s="2"/>
      <c r="L97" s="2">
        <f t="shared" si="0"/>
        <v>-4048.76</v>
      </c>
      <c r="M97" s="2"/>
      <c r="N97" s="19">
        <f t="shared" si="1"/>
        <v>0</v>
      </c>
      <c r="O97" s="11"/>
      <c r="P97" s="2">
        <f>-12515.31</f>
        <v>-12515.31</v>
      </c>
      <c r="Q97" s="2"/>
      <c r="R97" s="19"/>
      <c r="S97" s="2"/>
      <c r="T97" s="2"/>
      <c r="U97" s="2"/>
      <c r="V97" s="19"/>
      <c r="W97" s="2"/>
      <c r="X97" s="2">
        <f t="shared" si="2"/>
        <v>-12515.31</v>
      </c>
      <c r="Y97" s="2"/>
      <c r="Z97" s="19">
        <f t="shared" si="3"/>
        <v>0</v>
      </c>
    </row>
    <row r="98" spans="1:26" s="24" customFormat="1" hidden="1" outlineLevel="1" x14ac:dyDescent="0.25">
      <c r="A98" s="46"/>
      <c r="B98" s="11" t="str">
        <f>CONCATENATE("          ", "4311", " - ", "SALES RETURN NON TAXABLE-NO VA")</f>
        <v xml:space="preserve">          4311 - SALES RETURN NON TAXABLE-NO VA</v>
      </c>
      <c r="C98" s="11"/>
      <c r="D98" s="2">
        <f>-276.9</f>
        <v>-276.89999999999998</v>
      </c>
      <c r="E98" s="2"/>
      <c r="F98" s="19"/>
      <c r="G98" s="2"/>
      <c r="H98" s="2"/>
      <c r="I98" s="2"/>
      <c r="J98" s="19"/>
      <c r="K98" s="2"/>
      <c r="L98" s="2">
        <f t="shared" si="0"/>
        <v>-276.89999999999998</v>
      </c>
      <c r="M98" s="2"/>
      <c r="N98" s="19">
        <f t="shared" si="1"/>
        <v>0</v>
      </c>
      <c r="O98" s="11"/>
      <c r="P98" s="2">
        <f>-387.94</f>
        <v>-387.94</v>
      </c>
      <c r="Q98" s="2"/>
      <c r="R98" s="19"/>
      <c r="S98" s="2"/>
      <c r="T98" s="2"/>
      <c r="U98" s="2"/>
      <c r="V98" s="19"/>
      <c r="W98" s="2"/>
      <c r="X98" s="2">
        <f t="shared" si="2"/>
        <v>-387.94</v>
      </c>
      <c r="Y98" s="2"/>
      <c r="Z98" s="19">
        <f t="shared" si="3"/>
        <v>0</v>
      </c>
    </row>
    <row r="99" spans="1:26" s="24" customFormat="1" hidden="1" outlineLevel="1" x14ac:dyDescent="0.25">
      <c r="A99" s="46"/>
      <c r="B99" s="11" t="str">
        <f>CONCATENATE("          ", "4327", " - ", "SALES RETURN NON TAXABLE-SCHOO")</f>
        <v xml:space="preserve">          4327 - SALES RETURN NON TAXABLE-SCHOO</v>
      </c>
      <c r="C99" s="11"/>
      <c r="D99" s="2">
        <f>-8.29</f>
        <v>-8.2899999999999991</v>
      </c>
      <c r="E99" s="2"/>
      <c r="F99" s="19"/>
      <c r="G99" s="2"/>
      <c r="H99" s="2"/>
      <c r="I99" s="2"/>
      <c r="J99" s="19"/>
      <c r="K99" s="2"/>
      <c r="L99" s="2">
        <f t="shared" si="0"/>
        <v>-8.2899999999999991</v>
      </c>
      <c r="M99" s="2"/>
      <c r="N99" s="19">
        <f t="shared" si="1"/>
        <v>0</v>
      </c>
      <c r="O99" s="11"/>
      <c r="P99" s="2">
        <f>-21.87</f>
        <v>-21.87</v>
      </c>
      <c r="Q99" s="2"/>
      <c r="R99" s="19"/>
      <c r="S99" s="2"/>
      <c r="T99" s="2"/>
      <c r="U99" s="2"/>
      <c r="V99" s="19"/>
      <c r="W99" s="2"/>
      <c r="X99" s="2">
        <f t="shared" si="2"/>
        <v>-21.87</v>
      </c>
      <c r="Y99" s="2"/>
      <c r="Z99" s="19">
        <f t="shared" si="3"/>
        <v>0</v>
      </c>
    </row>
    <row r="100" spans="1:26" s="24" customFormat="1" hidden="1" outlineLevel="1" x14ac:dyDescent="0.25">
      <c r="A100" s="46"/>
      <c r="B100" s="11" t="str">
        <f>CONCATENATE("          ", "4340", " - ", "SALES RETURN NON TAXABLE-LOGO")</f>
        <v xml:space="preserve">          4340 - SALES RETURN NON TAXABLE-LOGO</v>
      </c>
      <c r="C100" s="11"/>
      <c r="D100" s="2">
        <f>-24.95</f>
        <v>-24.95</v>
      </c>
      <c r="E100" s="2"/>
      <c r="F100" s="19"/>
      <c r="G100" s="2"/>
      <c r="H100" s="2"/>
      <c r="I100" s="2"/>
      <c r="J100" s="19"/>
      <c r="K100" s="2"/>
      <c r="L100" s="2">
        <f t="shared" si="0"/>
        <v>-24.95</v>
      </c>
      <c r="M100" s="2"/>
      <c r="N100" s="19">
        <f t="shared" si="1"/>
        <v>0</v>
      </c>
      <c r="O100" s="11"/>
      <c r="P100" s="2">
        <f>-293.45</f>
        <v>-293.45</v>
      </c>
      <c r="Q100" s="2"/>
      <c r="R100" s="19"/>
      <c r="S100" s="2"/>
      <c r="T100" s="2"/>
      <c r="U100" s="2"/>
      <c r="V100" s="19"/>
      <c r="W100" s="2"/>
      <c r="X100" s="2">
        <f t="shared" si="2"/>
        <v>-293.45</v>
      </c>
      <c r="Y100" s="2"/>
      <c r="Z100" s="19">
        <f t="shared" si="3"/>
        <v>0</v>
      </c>
    </row>
    <row r="101" spans="1:26" s="24" customFormat="1" hidden="1" outlineLevel="1" x14ac:dyDescent="0.25">
      <c r="A101" s="46"/>
      <c r="B101" s="11" t="str">
        <f>CONCATENATE("          ", "4341", " - ", "SALES RETURN NON TAXABLE-LOGO")</f>
        <v xml:space="preserve">          4341 - SALES RETURN NON TAXABLE-LOGO</v>
      </c>
      <c r="C101" s="11"/>
      <c r="D101" s="2">
        <f>0</f>
        <v>0</v>
      </c>
      <c r="E101" s="2"/>
      <c r="F101" s="19"/>
      <c r="G101" s="2"/>
      <c r="H101" s="2"/>
      <c r="I101" s="2"/>
      <c r="J101" s="19"/>
      <c r="K101" s="2"/>
      <c r="L101" s="2">
        <f t="shared" si="0"/>
        <v>0</v>
      </c>
      <c r="M101" s="2"/>
      <c r="N101" s="19">
        <f t="shared" si="1"/>
        <v>0</v>
      </c>
      <c r="O101" s="11"/>
      <c r="P101" s="2">
        <f>-3.95</f>
        <v>-3.95</v>
      </c>
      <c r="Q101" s="2"/>
      <c r="R101" s="19"/>
      <c r="S101" s="2"/>
      <c r="T101" s="2"/>
      <c r="U101" s="2"/>
      <c r="V101" s="19"/>
      <c r="W101" s="2"/>
      <c r="X101" s="2">
        <f t="shared" si="2"/>
        <v>-3.95</v>
      </c>
      <c r="Y101" s="2"/>
      <c r="Z101" s="19">
        <f t="shared" si="3"/>
        <v>0</v>
      </c>
    </row>
    <row r="102" spans="1:26" s="24" customFormat="1" hidden="1" outlineLevel="1" x14ac:dyDescent="0.25">
      <c r="A102" s="46"/>
      <c r="B102" s="11" t="str">
        <f>CONCATENATE("          ", "4342", " - ", "SALES RETURN NON TAXABLE-EVERY")</f>
        <v xml:space="preserve">          4342 - SALES RETURN NON TAXABLE-EVERY</v>
      </c>
      <c r="C102" s="11"/>
      <c r="D102" s="2">
        <f>-10</f>
        <v>-10</v>
      </c>
      <c r="E102" s="2"/>
      <c r="F102" s="19"/>
      <c r="G102" s="2"/>
      <c r="H102" s="2"/>
      <c r="I102" s="2"/>
      <c r="J102" s="19"/>
      <c r="K102" s="2"/>
      <c r="L102" s="2">
        <f t="shared" si="0"/>
        <v>-10</v>
      </c>
      <c r="M102" s="2"/>
      <c r="N102" s="19">
        <f t="shared" si="1"/>
        <v>0</v>
      </c>
      <c r="O102" s="11"/>
      <c r="P102" s="2">
        <f>-10</f>
        <v>-10</v>
      </c>
      <c r="Q102" s="2"/>
      <c r="R102" s="19"/>
      <c r="S102" s="2"/>
      <c r="T102" s="2"/>
      <c r="U102" s="2"/>
      <c r="V102" s="19"/>
      <c r="W102" s="2"/>
      <c r="X102" s="2">
        <f t="shared" si="2"/>
        <v>-10</v>
      </c>
      <c r="Y102" s="2"/>
      <c r="Z102" s="19">
        <f t="shared" si="3"/>
        <v>0</v>
      </c>
    </row>
    <row r="103" spans="1:26" s="24" customFormat="1" hidden="1" outlineLevel="1" x14ac:dyDescent="0.25">
      <c r="A103" s="46"/>
      <c r="B103" s="11" t="str">
        <f>CONCATENATE("          ", "4346", " - ", "SALES RETURN NON TAXABLE-COIN-")</f>
        <v xml:space="preserve">          4346 - SALES RETURN NON TAXABLE-COIN-</v>
      </c>
      <c r="C103" s="11"/>
      <c r="D103" s="2">
        <f>0</f>
        <v>0</v>
      </c>
      <c r="E103" s="2"/>
      <c r="F103" s="19"/>
      <c r="G103" s="2"/>
      <c r="H103" s="2"/>
      <c r="I103" s="2"/>
      <c r="J103" s="19"/>
      <c r="K103" s="2"/>
      <c r="L103" s="2">
        <f t="shared" si="0"/>
        <v>0</v>
      </c>
      <c r="M103" s="2"/>
      <c r="N103" s="19">
        <f t="shared" si="1"/>
        <v>0</v>
      </c>
      <c r="O103" s="11"/>
      <c r="P103" s="2">
        <f>-8.15</f>
        <v>-8.15</v>
      </c>
      <c r="Q103" s="2"/>
      <c r="R103" s="19"/>
      <c r="S103" s="2"/>
      <c r="T103" s="2"/>
      <c r="U103" s="2"/>
      <c r="V103" s="19"/>
      <c r="W103" s="2"/>
      <c r="X103" s="2">
        <f t="shared" si="2"/>
        <v>-8.15</v>
      </c>
      <c r="Y103" s="2"/>
      <c r="Z103" s="19">
        <f t="shared" si="3"/>
        <v>0</v>
      </c>
    </row>
    <row r="104" spans="1:26" x14ac:dyDescent="0.25">
      <c r="A104" s="9"/>
      <c r="B104" s="10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collapsed="1" x14ac:dyDescent="0.25">
      <c r="A105" s="10"/>
      <c r="B105" s="28" t="s">
        <v>8</v>
      </c>
      <c r="C105" s="10"/>
      <c r="D105" s="4">
        <f>SUM(OSRRefD16x_0)</f>
        <v>820475.03000000049</v>
      </c>
      <c r="E105" s="4"/>
      <c r="F105" s="12">
        <f t="shared" ref="F105:F155" si="6">IF(D$12=0,0,D105/D$12)</f>
        <v>0.55139384239992228</v>
      </c>
      <c r="G105" s="4"/>
      <c r="H105" s="4">
        <f>SUM(OSRRefH16x_0)</f>
        <v>845600.87623000005</v>
      </c>
      <c r="I105" s="4"/>
      <c r="J105" s="12">
        <f t="shared" ref="J105:J155" si="7">IF(H$12=0,0,H105/H$12)</f>
        <v>0.54668346564513315</v>
      </c>
      <c r="K105" s="4"/>
      <c r="L105" s="4">
        <f t="shared" ref="L105:L155" si="8">+D105-H105</f>
        <v>-25125.846229999559</v>
      </c>
      <c r="M105" s="4"/>
      <c r="N105" s="12">
        <f t="shared" ref="N105:N155" si="9">IF(H105=0,0,L105/H105)</f>
        <v>-2.9713600040269388E-2</v>
      </c>
      <c r="O105" s="10"/>
      <c r="P105" s="4">
        <f>SUM(OSRRefP16x_0)</f>
        <v>2876140.1099999994</v>
      </c>
      <c r="Q105" s="4"/>
      <c r="R105" s="12">
        <f t="shared" ref="R105:R155" si="10">IF(P$12=0,0,P105/P$12)</f>
        <v>0.60800056963242144</v>
      </c>
      <c r="S105" s="4"/>
      <c r="T105" s="4">
        <f>SUM(OSRRefT16x_0)</f>
        <v>3024192.26719</v>
      </c>
      <c r="U105" s="4"/>
      <c r="V105" s="12">
        <f t="shared" ref="V105:V155" si="11">IF(T$12=0,0,T105/T$12)</f>
        <v>0.60434869225536569</v>
      </c>
      <c r="W105" s="4"/>
      <c r="X105" s="4">
        <f t="shared" ref="X105:X155" si="12">+P105-T105</f>
        <v>-148052.15719000064</v>
      </c>
      <c r="Y105" s="4"/>
      <c r="Z105" s="12">
        <f t="shared" ref="Z105:Z155" si="13">IF(T105=0,0,X105/T105)</f>
        <v>-4.8955934050967868E-2</v>
      </c>
    </row>
    <row r="106" spans="1:26" s="24" customFormat="1" hidden="1" outlineLevel="1" x14ac:dyDescent="0.25">
      <c r="A106" s="46"/>
      <c r="B106" s="11" t="str">
        <f>CONCATENATE("          ", "5000", " - ", "PURCHASES @ COST")</f>
        <v xml:space="preserve">          5000 - PURCHASES @ COST</v>
      </c>
      <c r="C106" s="11"/>
      <c r="D106" s="2"/>
      <c r="E106" s="2"/>
      <c r="F106" s="19">
        <f t="shared" si="6"/>
        <v>0</v>
      </c>
      <c r="G106" s="2"/>
      <c r="H106" s="2">
        <v>845600.87623000005</v>
      </c>
      <c r="I106" s="2"/>
      <c r="J106" s="19">
        <f t="shared" si="7"/>
        <v>0.54668346564513315</v>
      </c>
      <c r="K106" s="2"/>
      <c r="L106" s="2">
        <f t="shared" si="8"/>
        <v>-845600.87623000005</v>
      </c>
      <c r="M106" s="2"/>
      <c r="N106" s="19">
        <f t="shared" si="9"/>
        <v>-1</v>
      </c>
      <c r="O106" s="11"/>
      <c r="P106" s="2"/>
      <c r="Q106" s="2"/>
      <c r="R106" s="19">
        <f t="shared" si="10"/>
        <v>0</v>
      </c>
      <c r="S106" s="2"/>
      <c r="T106" s="2">
        <v>3024192.26719</v>
      </c>
      <c r="U106" s="2"/>
      <c r="V106" s="19">
        <f t="shared" si="11"/>
        <v>0.60434869225536569</v>
      </c>
      <c r="W106" s="2"/>
      <c r="X106" s="2">
        <f t="shared" si="12"/>
        <v>-3024192.26719</v>
      </c>
      <c r="Y106" s="2"/>
      <c r="Z106" s="19">
        <f t="shared" si="13"/>
        <v>-1</v>
      </c>
    </row>
    <row r="107" spans="1:26" s="24" customFormat="1" hidden="1" outlineLevel="1" x14ac:dyDescent="0.25">
      <c r="A107" s="46"/>
      <c r="B107" s="11" t="str">
        <f>CONCATENATE("          ", "5001", " - ", "PURCHASES @ COST-NEW TEXT")</f>
        <v xml:space="preserve">          5001 - PURCHASES @ COST-NEW TEXT</v>
      </c>
      <c r="C107" s="11"/>
      <c r="D107" s="2">
        <v>104892.25</v>
      </c>
      <c r="E107" s="2"/>
      <c r="F107" s="19">
        <f t="shared" si="6"/>
        <v>7.0492018222020988E-2</v>
      </c>
      <c r="G107" s="2"/>
      <c r="H107" s="2"/>
      <c r="I107" s="2"/>
      <c r="J107" s="19">
        <f t="shared" si="7"/>
        <v>0</v>
      </c>
      <c r="K107" s="2"/>
      <c r="L107" s="2">
        <f t="shared" si="8"/>
        <v>104892.25</v>
      </c>
      <c r="M107" s="2"/>
      <c r="N107" s="19">
        <f t="shared" si="9"/>
        <v>0</v>
      </c>
      <c r="O107" s="11"/>
      <c r="P107" s="2">
        <v>1932650.95</v>
      </c>
      <c r="Q107" s="2"/>
      <c r="R107" s="19">
        <f t="shared" si="10"/>
        <v>0.40855202930313456</v>
      </c>
      <c r="S107" s="2"/>
      <c r="T107" s="2"/>
      <c r="U107" s="2"/>
      <c r="V107" s="19">
        <f t="shared" si="11"/>
        <v>0</v>
      </c>
      <c r="W107" s="2"/>
      <c r="X107" s="2">
        <f t="shared" si="12"/>
        <v>1932650.95</v>
      </c>
      <c r="Y107" s="2"/>
      <c r="Z107" s="19">
        <f t="shared" si="13"/>
        <v>0</v>
      </c>
    </row>
    <row r="108" spans="1:26" s="24" customFormat="1" hidden="1" outlineLevel="1" x14ac:dyDescent="0.25">
      <c r="A108" s="46"/>
      <c r="B108" s="11" t="str">
        <f>CONCATENATE("          ", "5002", " - ", "PURCHASES @ COST-USED TEXT")</f>
        <v xml:space="preserve">          5002 - PURCHASES @ COST-USED TEXT</v>
      </c>
      <c r="C108" s="11"/>
      <c r="D108" s="2">
        <v>18830.57</v>
      </c>
      <c r="E108" s="2"/>
      <c r="F108" s="19">
        <f t="shared" si="6"/>
        <v>1.2654937648596935E-2</v>
      </c>
      <c r="G108" s="2"/>
      <c r="H108" s="2"/>
      <c r="I108" s="2"/>
      <c r="J108" s="19">
        <f t="shared" si="7"/>
        <v>0</v>
      </c>
      <c r="K108" s="2"/>
      <c r="L108" s="2">
        <f t="shared" si="8"/>
        <v>18830.57</v>
      </c>
      <c r="M108" s="2"/>
      <c r="N108" s="19">
        <f t="shared" si="9"/>
        <v>0</v>
      </c>
      <c r="O108" s="11"/>
      <c r="P108" s="2">
        <v>353811.24</v>
      </c>
      <c r="Q108" s="2"/>
      <c r="R108" s="19">
        <f t="shared" si="10"/>
        <v>7.4793795585415143E-2</v>
      </c>
      <c r="S108" s="2"/>
      <c r="T108" s="2"/>
      <c r="U108" s="2"/>
      <c r="V108" s="19">
        <f t="shared" si="11"/>
        <v>0</v>
      </c>
      <c r="W108" s="2"/>
      <c r="X108" s="2">
        <f t="shared" si="12"/>
        <v>353811.24</v>
      </c>
      <c r="Y108" s="2"/>
      <c r="Z108" s="19">
        <f t="shared" si="13"/>
        <v>0</v>
      </c>
    </row>
    <row r="109" spans="1:26" s="24" customFormat="1" hidden="1" outlineLevel="1" x14ac:dyDescent="0.25">
      <c r="A109" s="46"/>
      <c r="B109" s="11" t="str">
        <f>CONCATENATE("          ", "5003", " - ", "PURCHASES @ COST-RENTAL TEXT")</f>
        <v xml:space="preserve">          5003 - PURCHASES @ COST-RENTAL TEXT</v>
      </c>
      <c r="C109" s="11"/>
      <c r="D109" s="2"/>
      <c r="E109" s="2"/>
      <c r="F109" s="19">
        <f t="shared" si="6"/>
        <v>0</v>
      </c>
      <c r="G109" s="2"/>
      <c r="H109" s="2"/>
      <c r="I109" s="2"/>
      <c r="J109" s="19">
        <f t="shared" si="7"/>
        <v>0</v>
      </c>
      <c r="K109" s="2"/>
      <c r="L109" s="2">
        <f t="shared" si="8"/>
        <v>0</v>
      </c>
      <c r="M109" s="2"/>
      <c r="N109" s="19">
        <f t="shared" si="9"/>
        <v>0</v>
      </c>
      <c r="O109" s="11"/>
      <c r="P109" s="2">
        <v>-78.400000000000006</v>
      </c>
      <c r="Q109" s="2"/>
      <c r="R109" s="19">
        <f t="shared" si="10"/>
        <v>-1.6573338862543056E-5</v>
      </c>
      <c r="S109" s="2"/>
      <c r="T109" s="2"/>
      <c r="U109" s="2"/>
      <c r="V109" s="19">
        <f t="shared" si="11"/>
        <v>0</v>
      </c>
      <c r="W109" s="2"/>
      <c r="X109" s="2">
        <f t="shared" si="12"/>
        <v>-78.400000000000006</v>
      </c>
      <c r="Y109" s="2"/>
      <c r="Z109" s="19">
        <f t="shared" si="13"/>
        <v>0</v>
      </c>
    </row>
    <row r="110" spans="1:26" s="24" customFormat="1" hidden="1" outlineLevel="1" x14ac:dyDescent="0.25">
      <c r="A110" s="46"/>
      <c r="B110" s="11" t="str">
        <f>CONCATENATE("          ", "5004", " - ", "PURCHASES @ COST-DIGITAL TEXT")</f>
        <v xml:space="preserve">          5004 - PURCHASES @ COST-DIGITAL TEXT</v>
      </c>
      <c r="C110" s="11"/>
      <c r="D110" s="2">
        <v>50761.9</v>
      </c>
      <c r="E110" s="2"/>
      <c r="F110" s="19">
        <f t="shared" si="6"/>
        <v>3.4114138840423455E-2</v>
      </c>
      <c r="G110" s="2"/>
      <c r="H110" s="2"/>
      <c r="I110" s="2"/>
      <c r="J110" s="19">
        <f t="shared" si="7"/>
        <v>0</v>
      </c>
      <c r="K110" s="2"/>
      <c r="L110" s="2">
        <f t="shared" si="8"/>
        <v>50761.9</v>
      </c>
      <c r="M110" s="2"/>
      <c r="N110" s="19">
        <f t="shared" si="9"/>
        <v>0</v>
      </c>
      <c r="O110" s="11"/>
      <c r="P110" s="2">
        <v>353728.39</v>
      </c>
      <c r="Q110" s="2"/>
      <c r="R110" s="19">
        <f t="shared" si="10"/>
        <v>7.4776281540456457E-2</v>
      </c>
      <c r="S110" s="2"/>
      <c r="T110" s="2"/>
      <c r="U110" s="2"/>
      <c r="V110" s="19">
        <f t="shared" si="11"/>
        <v>0</v>
      </c>
      <c r="W110" s="2"/>
      <c r="X110" s="2">
        <f t="shared" si="12"/>
        <v>353728.39</v>
      </c>
      <c r="Y110" s="2"/>
      <c r="Z110" s="19">
        <f t="shared" si="13"/>
        <v>0</v>
      </c>
    </row>
    <row r="111" spans="1:26" s="24" customFormat="1" hidden="1" outlineLevel="1" x14ac:dyDescent="0.25">
      <c r="A111" s="46"/>
      <c r="B111" s="11" t="str">
        <f>CONCATENATE("          ", "5011", " - ", "PURCHASES @ COST-NO VALUE TEXT")</f>
        <v xml:space="preserve">          5011 - PURCHASES @ COST-NO VALUE TEXT</v>
      </c>
      <c r="C111" s="11"/>
      <c r="D111" s="2">
        <v>2928</v>
      </c>
      <c r="E111" s="2"/>
      <c r="F111" s="19">
        <f t="shared" si="6"/>
        <v>1.9677395551537646E-3</v>
      </c>
      <c r="G111" s="2"/>
      <c r="H111" s="2"/>
      <c r="I111" s="2"/>
      <c r="J111" s="19">
        <f t="shared" si="7"/>
        <v>0</v>
      </c>
      <c r="K111" s="2"/>
      <c r="L111" s="2">
        <f t="shared" si="8"/>
        <v>2928</v>
      </c>
      <c r="M111" s="2"/>
      <c r="N111" s="19">
        <f t="shared" si="9"/>
        <v>0</v>
      </c>
      <c r="O111" s="11"/>
      <c r="P111" s="2">
        <v>3585</v>
      </c>
      <c r="Q111" s="2"/>
      <c r="R111" s="19">
        <f t="shared" si="10"/>
        <v>7.5784974263031694E-4</v>
      </c>
      <c r="S111" s="2"/>
      <c r="T111" s="2"/>
      <c r="U111" s="2"/>
      <c r="V111" s="19">
        <f t="shared" si="11"/>
        <v>0</v>
      </c>
      <c r="W111" s="2"/>
      <c r="X111" s="2">
        <f t="shared" si="12"/>
        <v>3585</v>
      </c>
      <c r="Y111" s="2"/>
      <c r="Z111" s="19">
        <f t="shared" si="13"/>
        <v>0</v>
      </c>
    </row>
    <row r="112" spans="1:26" s="24" customFormat="1" hidden="1" outlineLevel="1" x14ac:dyDescent="0.25">
      <c r="A112" s="46"/>
      <c r="B112" s="11" t="str">
        <f>CONCATENATE("          ", "5013", " - ", "PURCHASES @ COST-TRADE BOOKS")</f>
        <v xml:space="preserve">          5013 - PURCHASES @ COST-TRADE BOOKS</v>
      </c>
      <c r="C112" s="11"/>
      <c r="D112" s="2">
        <v>269.89</v>
      </c>
      <c r="E112" s="2"/>
      <c r="F112" s="19">
        <f t="shared" si="6"/>
        <v>1.8137746876381472E-4</v>
      </c>
      <c r="G112" s="2"/>
      <c r="H112" s="2"/>
      <c r="I112" s="2"/>
      <c r="J112" s="19">
        <f t="shared" si="7"/>
        <v>0</v>
      </c>
      <c r="K112" s="2"/>
      <c r="L112" s="2">
        <f t="shared" si="8"/>
        <v>269.89</v>
      </c>
      <c r="M112" s="2"/>
      <c r="N112" s="19">
        <f t="shared" si="9"/>
        <v>0</v>
      </c>
      <c r="O112" s="11"/>
      <c r="P112" s="2">
        <v>474.79</v>
      </c>
      <c r="Q112" s="2"/>
      <c r="R112" s="19">
        <f t="shared" si="10"/>
        <v>1.0036805559370939E-4</v>
      </c>
      <c r="S112" s="2"/>
      <c r="T112" s="2"/>
      <c r="U112" s="2"/>
      <c r="V112" s="19">
        <f t="shared" si="11"/>
        <v>0</v>
      </c>
      <c r="W112" s="2"/>
      <c r="X112" s="2">
        <f t="shared" si="12"/>
        <v>474.79</v>
      </c>
      <c r="Y112" s="2"/>
      <c r="Z112" s="19">
        <f t="shared" si="13"/>
        <v>0</v>
      </c>
    </row>
    <row r="113" spans="1:26" s="24" customFormat="1" hidden="1" outlineLevel="1" x14ac:dyDescent="0.25">
      <c r="A113" s="46"/>
      <c r="B113" s="11" t="str">
        <f>CONCATENATE("          ", "5014", " - ", "PURCHASES @ COST-REMAINDERS")</f>
        <v xml:space="preserve">          5014 - PURCHASES @ COST-REMAINDERS</v>
      </c>
      <c r="C113" s="11"/>
      <c r="D113" s="2">
        <v>55.65</v>
      </c>
      <c r="E113" s="2"/>
      <c r="F113" s="19">
        <f t="shared" si="6"/>
        <v>3.7399148307481895E-5</v>
      </c>
      <c r="G113" s="2"/>
      <c r="H113" s="2"/>
      <c r="I113" s="2"/>
      <c r="J113" s="19">
        <f t="shared" si="7"/>
        <v>0</v>
      </c>
      <c r="K113" s="2"/>
      <c r="L113" s="2">
        <f t="shared" si="8"/>
        <v>55.65</v>
      </c>
      <c r="M113" s="2"/>
      <c r="N113" s="19">
        <f t="shared" si="9"/>
        <v>0</v>
      </c>
      <c r="O113" s="11"/>
      <c r="P113" s="2">
        <v>289.97000000000003</v>
      </c>
      <c r="Q113" s="2"/>
      <c r="R113" s="19">
        <f t="shared" si="10"/>
        <v>6.1298100382290935E-5</v>
      </c>
      <c r="S113" s="2"/>
      <c r="T113" s="2"/>
      <c r="U113" s="2"/>
      <c r="V113" s="19">
        <f t="shared" si="11"/>
        <v>0</v>
      </c>
      <c r="W113" s="2"/>
      <c r="X113" s="2">
        <f t="shared" si="12"/>
        <v>289.97000000000003</v>
      </c>
      <c r="Y113" s="2"/>
      <c r="Z113" s="19">
        <f t="shared" si="13"/>
        <v>0</v>
      </c>
    </row>
    <row r="114" spans="1:26" s="24" customFormat="1" hidden="1" outlineLevel="1" x14ac:dyDescent="0.25">
      <c r="A114" s="46"/>
      <c r="B114" s="11" t="str">
        <f>CONCATENATE("          ", "5017", " - ", "PURCHASES @ COST-DORM/HOUSEWAR")</f>
        <v xml:space="preserve">          5017 - PURCHASES @ COST-DORM/HOUSEWAR</v>
      </c>
      <c r="C114" s="11"/>
      <c r="D114" s="2">
        <v>-139.86000000000001</v>
      </c>
      <c r="E114" s="2"/>
      <c r="F114" s="19">
        <f t="shared" si="6"/>
        <v>-9.3991821784086582E-5</v>
      </c>
      <c r="G114" s="2"/>
      <c r="H114" s="2"/>
      <c r="I114" s="2"/>
      <c r="J114" s="19">
        <f t="shared" si="7"/>
        <v>0</v>
      </c>
      <c r="K114" s="2"/>
      <c r="L114" s="2">
        <f t="shared" si="8"/>
        <v>-139.86000000000001</v>
      </c>
      <c r="M114" s="2"/>
      <c r="N114" s="19">
        <f t="shared" si="9"/>
        <v>0</v>
      </c>
      <c r="O114" s="11"/>
      <c r="P114" s="2">
        <v>0</v>
      </c>
      <c r="Q114" s="2"/>
      <c r="R114" s="19">
        <f t="shared" si="10"/>
        <v>0</v>
      </c>
      <c r="S114" s="2"/>
      <c r="T114" s="2"/>
      <c r="U114" s="2"/>
      <c r="V114" s="19">
        <f t="shared" si="11"/>
        <v>0</v>
      </c>
      <c r="W114" s="2"/>
      <c r="X114" s="2">
        <f t="shared" si="12"/>
        <v>0</v>
      </c>
      <c r="Y114" s="2"/>
      <c r="Z114" s="19">
        <f t="shared" si="13"/>
        <v>0</v>
      </c>
    </row>
    <row r="115" spans="1:26" s="24" customFormat="1" hidden="1" outlineLevel="1" x14ac:dyDescent="0.25">
      <c r="A115" s="46"/>
      <c r="B115" s="11" t="str">
        <f>CONCATENATE("          ", "5018", " - ", "PURCHASES @ COST-STUDY GUIDES")</f>
        <v xml:space="preserve">          5018 - PURCHASES @ COST-STUDY GUIDES</v>
      </c>
      <c r="C115" s="11"/>
      <c r="D115" s="2"/>
      <c r="E115" s="2"/>
      <c r="F115" s="19">
        <f t="shared" si="6"/>
        <v>0</v>
      </c>
      <c r="G115" s="2"/>
      <c r="H115" s="2"/>
      <c r="I115" s="2"/>
      <c r="J115" s="19">
        <f t="shared" si="7"/>
        <v>0</v>
      </c>
      <c r="K115" s="2"/>
      <c r="L115" s="2">
        <f t="shared" si="8"/>
        <v>0</v>
      </c>
      <c r="M115" s="2"/>
      <c r="N115" s="19">
        <f t="shared" si="9"/>
        <v>0</v>
      </c>
      <c r="O115" s="11"/>
      <c r="P115" s="2">
        <v>503.93</v>
      </c>
      <c r="Q115" s="2"/>
      <c r="R115" s="19">
        <f t="shared" si="10"/>
        <v>1.0652809506379236E-4</v>
      </c>
      <c r="S115" s="2"/>
      <c r="T115" s="2"/>
      <c r="U115" s="2"/>
      <c r="V115" s="19">
        <f t="shared" si="11"/>
        <v>0</v>
      </c>
      <c r="W115" s="2"/>
      <c r="X115" s="2">
        <f t="shared" si="12"/>
        <v>503.93</v>
      </c>
      <c r="Y115" s="2"/>
      <c r="Z115" s="19">
        <f t="shared" si="13"/>
        <v>0</v>
      </c>
    </row>
    <row r="116" spans="1:26" s="24" customFormat="1" hidden="1" outlineLevel="1" x14ac:dyDescent="0.25">
      <c r="A116" s="46"/>
      <c r="B116" s="11" t="str">
        <f>CONCATENATE("          ", "5025", " - ", "PURCHASES @ COST-TEST FORMS")</f>
        <v xml:space="preserve">          5025 - PURCHASES @ COST-TEST FORMS</v>
      </c>
      <c r="C116" s="11"/>
      <c r="D116" s="2">
        <v>1495.25</v>
      </c>
      <c r="E116" s="2"/>
      <c r="F116" s="19">
        <f t="shared" si="6"/>
        <v>1.0048710962580827E-3</v>
      </c>
      <c r="G116" s="2"/>
      <c r="H116" s="2"/>
      <c r="I116" s="2"/>
      <c r="J116" s="19">
        <f t="shared" si="7"/>
        <v>0</v>
      </c>
      <c r="K116" s="2"/>
      <c r="L116" s="2">
        <f t="shared" si="8"/>
        <v>1495.25</v>
      </c>
      <c r="M116" s="2"/>
      <c r="N116" s="19">
        <f t="shared" si="9"/>
        <v>0</v>
      </c>
      <c r="O116" s="11"/>
      <c r="P116" s="2">
        <v>3252.39</v>
      </c>
      <c r="Q116" s="2"/>
      <c r="R116" s="19">
        <f t="shared" si="10"/>
        <v>6.875377752952347E-4</v>
      </c>
      <c r="S116" s="2"/>
      <c r="T116" s="2"/>
      <c r="U116" s="2"/>
      <c r="V116" s="19">
        <f t="shared" si="11"/>
        <v>0</v>
      </c>
      <c r="W116" s="2"/>
      <c r="X116" s="2">
        <f t="shared" si="12"/>
        <v>3252.39</v>
      </c>
      <c r="Y116" s="2"/>
      <c r="Z116" s="19">
        <f t="shared" si="13"/>
        <v>0</v>
      </c>
    </row>
    <row r="117" spans="1:26" s="24" customFormat="1" hidden="1" outlineLevel="1" x14ac:dyDescent="0.25">
      <c r="A117" s="46"/>
      <c r="B117" s="11" t="str">
        <f>CONCATENATE("          ", "5026", " - ", "PURCHASES @ COST-WRITING INSTR")</f>
        <v xml:space="preserve">          5026 - PURCHASES @ COST-WRITING INSTR</v>
      </c>
      <c r="C117" s="11"/>
      <c r="D117" s="2">
        <v>2250.85</v>
      </c>
      <c r="E117" s="2"/>
      <c r="F117" s="19">
        <f t="shared" si="6"/>
        <v>1.5126661809145665E-3</v>
      </c>
      <c r="G117" s="2"/>
      <c r="H117" s="2"/>
      <c r="I117" s="2"/>
      <c r="J117" s="19">
        <f t="shared" si="7"/>
        <v>0</v>
      </c>
      <c r="K117" s="2"/>
      <c r="L117" s="2">
        <f t="shared" si="8"/>
        <v>2250.85</v>
      </c>
      <c r="M117" s="2"/>
      <c r="N117" s="19">
        <f t="shared" si="9"/>
        <v>0</v>
      </c>
      <c r="O117" s="11"/>
      <c r="P117" s="2">
        <v>14787.38</v>
      </c>
      <c r="Q117" s="2"/>
      <c r="R117" s="19">
        <f t="shared" si="10"/>
        <v>3.1259726993519373E-3</v>
      </c>
      <c r="S117" s="2"/>
      <c r="T117" s="2"/>
      <c r="U117" s="2"/>
      <c r="V117" s="19">
        <f t="shared" si="11"/>
        <v>0</v>
      </c>
      <c r="W117" s="2"/>
      <c r="X117" s="2">
        <f t="shared" si="12"/>
        <v>14787.38</v>
      </c>
      <c r="Y117" s="2"/>
      <c r="Z117" s="19">
        <f t="shared" si="13"/>
        <v>0</v>
      </c>
    </row>
    <row r="118" spans="1:26" s="24" customFormat="1" hidden="1" outlineLevel="1" x14ac:dyDescent="0.25">
      <c r="A118" s="46"/>
      <c r="B118" s="11" t="str">
        <f>CONCATENATE("          ", "5027", " - ", "PURCHASES @ COST-SCHOOL SUPPLI")</f>
        <v xml:space="preserve">          5027 - PURCHASES @ COST-SCHOOL SUPPLI</v>
      </c>
      <c r="C118" s="11"/>
      <c r="D118" s="2">
        <v>12655.95</v>
      </c>
      <c r="E118" s="2"/>
      <c r="F118" s="19">
        <f t="shared" si="6"/>
        <v>8.5053324532268736E-3</v>
      </c>
      <c r="G118" s="2"/>
      <c r="H118" s="2"/>
      <c r="I118" s="2"/>
      <c r="J118" s="19">
        <f t="shared" si="7"/>
        <v>0</v>
      </c>
      <c r="K118" s="2"/>
      <c r="L118" s="2">
        <f t="shared" si="8"/>
        <v>12655.95</v>
      </c>
      <c r="M118" s="2"/>
      <c r="N118" s="19">
        <f t="shared" si="9"/>
        <v>0</v>
      </c>
      <c r="O118" s="11"/>
      <c r="P118" s="2">
        <v>62182.680000000008</v>
      </c>
      <c r="Q118" s="2"/>
      <c r="R118" s="19">
        <f t="shared" si="10"/>
        <v>1.3145084528330086E-2</v>
      </c>
      <c r="S118" s="2"/>
      <c r="T118" s="2"/>
      <c r="U118" s="2"/>
      <c r="V118" s="19">
        <f t="shared" si="11"/>
        <v>0</v>
      </c>
      <c r="W118" s="2"/>
      <c r="X118" s="2">
        <f t="shared" si="12"/>
        <v>62182.680000000008</v>
      </c>
      <c r="Y118" s="2"/>
      <c r="Z118" s="19">
        <f t="shared" si="13"/>
        <v>0</v>
      </c>
    </row>
    <row r="119" spans="1:26" s="24" customFormat="1" hidden="1" outlineLevel="1" x14ac:dyDescent="0.25">
      <c r="A119" s="46"/>
      <c r="B119" s="11" t="str">
        <f>CONCATENATE("          ", "5028", " - ", "PURCHASES @ COST-ART/TECH")</f>
        <v xml:space="preserve">          5028 - PURCHASES @ COST-ART/TECH</v>
      </c>
      <c r="C119" s="11"/>
      <c r="D119" s="2">
        <v>14830.009999999998</v>
      </c>
      <c r="E119" s="2"/>
      <c r="F119" s="19">
        <f t="shared" si="6"/>
        <v>9.9663925137724978E-3</v>
      </c>
      <c r="G119" s="2"/>
      <c r="H119" s="2"/>
      <c r="I119" s="2"/>
      <c r="J119" s="19">
        <f t="shared" si="7"/>
        <v>0</v>
      </c>
      <c r="K119" s="2"/>
      <c r="L119" s="2">
        <f t="shared" si="8"/>
        <v>14830.009999999998</v>
      </c>
      <c r="M119" s="2"/>
      <c r="N119" s="19">
        <f t="shared" si="9"/>
        <v>0</v>
      </c>
      <c r="O119" s="11"/>
      <c r="P119" s="2">
        <v>70844.78</v>
      </c>
      <c r="Q119" s="2"/>
      <c r="R119" s="19">
        <f t="shared" si="10"/>
        <v>1.4976205938549909E-2</v>
      </c>
      <c r="S119" s="2"/>
      <c r="T119" s="2"/>
      <c r="U119" s="2"/>
      <c r="V119" s="19">
        <f t="shared" si="11"/>
        <v>0</v>
      </c>
      <c r="W119" s="2"/>
      <c r="X119" s="2">
        <f t="shared" si="12"/>
        <v>70844.78</v>
      </c>
      <c r="Y119" s="2"/>
      <c r="Z119" s="19">
        <f t="shared" si="13"/>
        <v>0</v>
      </c>
    </row>
    <row r="120" spans="1:26" s="24" customFormat="1" hidden="1" outlineLevel="1" x14ac:dyDescent="0.25">
      <c r="A120" s="46"/>
      <c r="B120" s="11" t="str">
        <f>CONCATENATE("          ", "5031", " - ", "PURCHASES @ COST-FOOD")</f>
        <v xml:space="preserve">          5031 - PURCHASES @ COST-FOOD</v>
      </c>
      <c r="C120" s="11"/>
      <c r="D120" s="2">
        <v>5471.01</v>
      </c>
      <c r="E120" s="2"/>
      <c r="F120" s="19">
        <f t="shared" si="6"/>
        <v>3.6767495845771167E-3</v>
      </c>
      <c r="G120" s="2"/>
      <c r="H120" s="2"/>
      <c r="I120" s="2"/>
      <c r="J120" s="19">
        <f t="shared" si="7"/>
        <v>0</v>
      </c>
      <c r="K120" s="2"/>
      <c r="L120" s="2">
        <f t="shared" si="8"/>
        <v>5471.01</v>
      </c>
      <c r="M120" s="2"/>
      <c r="N120" s="19">
        <f t="shared" si="9"/>
        <v>0</v>
      </c>
      <c r="O120" s="11"/>
      <c r="P120" s="2">
        <v>8150.05</v>
      </c>
      <c r="Q120" s="2"/>
      <c r="R120" s="19">
        <f t="shared" si="10"/>
        <v>1.7228767907738396E-3</v>
      </c>
      <c r="S120" s="2"/>
      <c r="T120" s="2"/>
      <c r="U120" s="2"/>
      <c r="V120" s="19">
        <f t="shared" si="11"/>
        <v>0</v>
      </c>
      <c r="W120" s="2"/>
      <c r="X120" s="2">
        <f t="shared" si="12"/>
        <v>8150.05</v>
      </c>
      <c r="Y120" s="2"/>
      <c r="Z120" s="19">
        <f t="shared" si="13"/>
        <v>0</v>
      </c>
    </row>
    <row r="121" spans="1:26" s="24" customFormat="1" hidden="1" outlineLevel="1" x14ac:dyDescent="0.25">
      <c r="A121" s="46"/>
      <c r="B121" s="11" t="str">
        <f>CONCATENATE("          ", "5032", " - ", "PURCHASES @ COST-JUICE")</f>
        <v xml:space="preserve">          5032 - PURCHASES @ COST-JUICE</v>
      </c>
      <c r="C121" s="11"/>
      <c r="D121" s="2">
        <v>477.55</v>
      </c>
      <c r="E121" s="2"/>
      <c r="F121" s="19">
        <f t="shared" si="6"/>
        <v>3.2093375155863398E-4</v>
      </c>
      <c r="G121" s="2"/>
      <c r="H121" s="2"/>
      <c r="I121" s="2"/>
      <c r="J121" s="19">
        <f t="shared" si="7"/>
        <v>0</v>
      </c>
      <c r="K121" s="2"/>
      <c r="L121" s="2">
        <f t="shared" si="8"/>
        <v>477.55</v>
      </c>
      <c r="M121" s="2"/>
      <c r="N121" s="19">
        <f t="shared" si="9"/>
        <v>0</v>
      </c>
      <c r="O121" s="11"/>
      <c r="P121" s="2">
        <v>819.15</v>
      </c>
      <c r="Q121" s="2"/>
      <c r="R121" s="19">
        <f t="shared" si="10"/>
        <v>1.7316390981188956E-4</v>
      </c>
      <c r="S121" s="2"/>
      <c r="T121" s="2"/>
      <c r="U121" s="2"/>
      <c r="V121" s="19">
        <f t="shared" si="11"/>
        <v>0</v>
      </c>
      <c r="W121" s="2"/>
      <c r="X121" s="2">
        <f t="shared" si="12"/>
        <v>819.15</v>
      </c>
      <c r="Y121" s="2"/>
      <c r="Z121" s="19">
        <f t="shared" si="13"/>
        <v>0</v>
      </c>
    </row>
    <row r="122" spans="1:26" s="24" customFormat="1" hidden="1" outlineLevel="1" x14ac:dyDescent="0.25">
      <c r="A122" s="46"/>
      <c r="B122" s="11" t="str">
        <f>CONCATENATE("          ", "5033", " - ", "PURCHASES @ COST-CANDY")</f>
        <v xml:space="preserve">          5033 - PURCHASES @ COST-CANDY</v>
      </c>
      <c r="C122" s="11"/>
      <c r="D122" s="2">
        <v>1366.65</v>
      </c>
      <c r="E122" s="2"/>
      <c r="F122" s="19">
        <f t="shared" si="6"/>
        <v>9.1844646962120646E-4</v>
      </c>
      <c r="G122" s="2"/>
      <c r="H122" s="2"/>
      <c r="I122" s="2"/>
      <c r="J122" s="19">
        <f t="shared" si="7"/>
        <v>0</v>
      </c>
      <c r="K122" s="2"/>
      <c r="L122" s="2">
        <f t="shared" si="8"/>
        <v>1366.65</v>
      </c>
      <c r="M122" s="2"/>
      <c r="N122" s="19">
        <f t="shared" si="9"/>
        <v>0</v>
      </c>
      <c r="O122" s="11"/>
      <c r="P122" s="2">
        <v>2353.11</v>
      </c>
      <c r="Q122" s="2"/>
      <c r="R122" s="19">
        <f t="shared" si="10"/>
        <v>4.974348139137587E-4</v>
      </c>
      <c r="S122" s="2"/>
      <c r="T122" s="2"/>
      <c r="U122" s="2"/>
      <c r="V122" s="19">
        <f t="shared" si="11"/>
        <v>0</v>
      </c>
      <c r="W122" s="2"/>
      <c r="X122" s="2">
        <f t="shared" si="12"/>
        <v>2353.11</v>
      </c>
      <c r="Y122" s="2"/>
      <c r="Z122" s="19">
        <f t="shared" si="13"/>
        <v>0</v>
      </c>
    </row>
    <row r="123" spans="1:26" s="24" customFormat="1" hidden="1" outlineLevel="1" x14ac:dyDescent="0.25">
      <c r="A123" s="46"/>
      <c r="B123" s="11" t="str">
        <f>CONCATENATE("          ", "5034", " - ", "PURCHASES @ COST-SODA")</f>
        <v xml:space="preserve">          5034 - PURCHASES @ COST-SODA</v>
      </c>
      <c r="C123" s="11"/>
      <c r="D123" s="2">
        <v>330.04</v>
      </c>
      <c r="E123" s="2"/>
      <c r="F123" s="19">
        <f t="shared" si="6"/>
        <v>2.218008069613895E-4</v>
      </c>
      <c r="G123" s="2"/>
      <c r="H123" s="2"/>
      <c r="I123" s="2"/>
      <c r="J123" s="19">
        <f t="shared" si="7"/>
        <v>0</v>
      </c>
      <c r="K123" s="2"/>
      <c r="L123" s="2">
        <f t="shared" si="8"/>
        <v>330.04</v>
      </c>
      <c r="M123" s="2"/>
      <c r="N123" s="19">
        <f t="shared" si="9"/>
        <v>0</v>
      </c>
      <c r="O123" s="11"/>
      <c r="P123" s="2">
        <v>618.54</v>
      </c>
      <c r="Q123" s="2"/>
      <c r="R123" s="19">
        <f t="shared" si="10"/>
        <v>1.3075603341884413E-4</v>
      </c>
      <c r="S123" s="2"/>
      <c r="T123" s="2"/>
      <c r="U123" s="2"/>
      <c r="V123" s="19">
        <f t="shared" si="11"/>
        <v>0</v>
      </c>
      <c r="W123" s="2"/>
      <c r="X123" s="2">
        <f t="shared" si="12"/>
        <v>618.54</v>
      </c>
      <c r="Y123" s="2"/>
      <c r="Z123" s="19">
        <f t="shared" si="13"/>
        <v>0</v>
      </c>
    </row>
    <row r="124" spans="1:26" s="24" customFormat="1" hidden="1" outlineLevel="1" x14ac:dyDescent="0.25">
      <c r="A124" s="46"/>
      <c r="B124" s="11" t="str">
        <f>CONCATENATE("          ", "5035", " - ", "PURCHASES @ COST-HEALTH &amp; BEAU")</f>
        <v xml:space="preserve">          5035 - PURCHASES @ COST-HEALTH &amp; BEAU</v>
      </c>
      <c r="C124" s="11"/>
      <c r="D124" s="2">
        <v>210.83</v>
      </c>
      <c r="E124" s="2"/>
      <c r="F124" s="19">
        <f t="shared" si="6"/>
        <v>1.4168665656184024E-4</v>
      </c>
      <c r="G124" s="2"/>
      <c r="H124" s="2"/>
      <c r="I124" s="2"/>
      <c r="J124" s="19">
        <f t="shared" si="7"/>
        <v>0</v>
      </c>
      <c r="K124" s="2"/>
      <c r="L124" s="2">
        <f t="shared" si="8"/>
        <v>210.83</v>
      </c>
      <c r="M124" s="2"/>
      <c r="N124" s="19">
        <f t="shared" si="9"/>
        <v>0</v>
      </c>
      <c r="O124" s="11"/>
      <c r="P124" s="2">
        <v>287.56</v>
      </c>
      <c r="Q124" s="2"/>
      <c r="R124" s="19">
        <f t="shared" si="10"/>
        <v>6.0788639327970415E-5</v>
      </c>
      <c r="S124" s="2"/>
      <c r="T124" s="2"/>
      <c r="U124" s="2"/>
      <c r="V124" s="19">
        <f t="shared" si="11"/>
        <v>0</v>
      </c>
      <c r="W124" s="2"/>
      <c r="X124" s="2">
        <f t="shared" si="12"/>
        <v>287.56</v>
      </c>
      <c r="Y124" s="2"/>
      <c r="Z124" s="19">
        <f t="shared" si="13"/>
        <v>0</v>
      </c>
    </row>
    <row r="125" spans="1:26" s="24" customFormat="1" hidden="1" outlineLevel="1" x14ac:dyDescent="0.25">
      <c r="A125" s="46"/>
      <c r="B125" s="11" t="str">
        <f>CONCATENATE("          ", "5037", " - ", "PURCHASES @ COST-WATER")</f>
        <v xml:space="preserve">          5037 - PURCHASES @ COST-WATER</v>
      </c>
      <c r="C125" s="11"/>
      <c r="D125" s="2">
        <v>896.64</v>
      </c>
      <c r="E125" s="2"/>
      <c r="F125" s="19">
        <f t="shared" si="6"/>
        <v>6.0257991623397249E-4</v>
      </c>
      <c r="G125" s="2"/>
      <c r="H125" s="2"/>
      <c r="I125" s="2"/>
      <c r="J125" s="19">
        <f t="shared" si="7"/>
        <v>0</v>
      </c>
      <c r="K125" s="2"/>
      <c r="L125" s="2">
        <f t="shared" si="8"/>
        <v>896.64</v>
      </c>
      <c r="M125" s="2"/>
      <c r="N125" s="19">
        <f t="shared" si="9"/>
        <v>0</v>
      </c>
      <c r="O125" s="11"/>
      <c r="P125" s="2">
        <v>1392.58</v>
      </c>
      <c r="Q125" s="2"/>
      <c r="R125" s="19">
        <f t="shared" si="10"/>
        <v>2.9438393154592097E-4</v>
      </c>
      <c r="S125" s="2"/>
      <c r="T125" s="2"/>
      <c r="U125" s="2"/>
      <c r="V125" s="19">
        <f t="shared" si="11"/>
        <v>0</v>
      </c>
      <c r="W125" s="2"/>
      <c r="X125" s="2">
        <f t="shared" si="12"/>
        <v>1392.58</v>
      </c>
      <c r="Y125" s="2"/>
      <c r="Z125" s="19">
        <f t="shared" si="13"/>
        <v>0</v>
      </c>
    </row>
    <row r="126" spans="1:26" s="24" customFormat="1" hidden="1" outlineLevel="1" x14ac:dyDescent="0.25">
      <c r="A126" s="46"/>
      <c r="B126" s="11" t="str">
        <f>CONCATENATE("          ", "5040", " - ", "PURCHASES @ COST-LOGO CLOTHING")</f>
        <v xml:space="preserve">          5040 - PURCHASES @ COST-LOGO CLOTHING</v>
      </c>
      <c r="C126" s="11"/>
      <c r="D126" s="2">
        <v>150282.89000000001</v>
      </c>
      <c r="E126" s="2"/>
      <c r="F126" s="19">
        <f t="shared" si="6"/>
        <v>0.10099644368709773</v>
      </c>
      <c r="G126" s="2"/>
      <c r="H126" s="2"/>
      <c r="I126" s="2"/>
      <c r="J126" s="19">
        <f t="shared" si="7"/>
        <v>0</v>
      </c>
      <c r="K126" s="2"/>
      <c r="L126" s="2">
        <f t="shared" si="8"/>
        <v>150282.89000000001</v>
      </c>
      <c r="M126" s="2"/>
      <c r="N126" s="19">
        <f t="shared" si="9"/>
        <v>0</v>
      </c>
      <c r="O126" s="11"/>
      <c r="P126" s="2">
        <v>335851.86000000004</v>
      </c>
      <c r="Q126" s="2"/>
      <c r="R126" s="19">
        <f t="shared" si="10"/>
        <v>7.0997279124940943E-2</v>
      </c>
      <c r="S126" s="2"/>
      <c r="T126" s="2"/>
      <c r="U126" s="2"/>
      <c r="V126" s="19">
        <f t="shared" si="11"/>
        <v>0</v>
      </c>
      <c r="W126" s="2"/>
      <c r="X126" s="2">
        <f t="shared" si="12"/>
        <v>335851.86000000004</v>
      </c>
      <c r="Y126" s="2"/>
      <c r="Z126" s="19">
        <f t="shared" si="13"/>
        <v>0</v>
      </c>
    </row>
    <row r="127" spans="1:26" s="24" customFormat="1" hidden="1" outlineLevel="1" x14ac:dyDescent="0.25">
      <c r="A127" s="46"/>
      <c r="B127" s="11" t="str">
        <f>CONCATENATE("          ", "5041", " - ", "PURCHASES @ COST-LOGO GIFTS")</f>
        <v xml:space="preserve">          5041 - PURCHASES @ COST-LOGO GIFTS</v>
      </c>
      <c r="C127" s="11"/>
      <c r="D127" s="2">
        <v>14167.32</v>
      </c>
      <c r="E127" s="2"/>
      <c r="F127" s="19">
        <f t="shared" si="6"/>
        <v>9.5210368697134663E-3</v>
      </c>
      <c r="G127" s="2"/>
      <c r="H127" s="2"/>
      <c r="I127" s="2"/>
      <c r="J127" s="19">
        <f t="shared" si="7"/>
        <v>0</v>
      </c>
      <c r="K127" s="2"/>
      <c r="L127" s="2">
        <f t="shared" si="8"/>
        <v>14167.32</v>
      </c>
      <c r="M127" s="2"/>
      <c r="N127" s="19">
        <f t="shared" si="9"/>
        <v>0</v>
      </c>
      <c r="O127" s="11"/>
      <c r="P127" s="2">
        <v>42696.480000000003</v>
      </c>
      <c r="Q127" s="2"/>
      <c r="R127" s="19">
        <f t="shared" si="10"/>
        <v>9.0258065214004115E-3</v>
      </c>
      <c r="S127" s="2"/>
      <c r="T127" s="2"/>
      <c r="U127" s="2"/>
      <c r="V127" s="19">
        <f t="shared" si="11"/>
        <v>0</v>
      </c>
      <c r="W127" s="2"/>
      <c r="X127" s="2">
        <f t="shared" si="12"/>
        <v>42696.480000000003</v>
      </c>
      <c r="Y127" s="2"/>
      <c r="Z127" s="19">
        <f t="shared" si="13"/>
        <v>0</v>
      </c>
    </row>
    <row r="128" spans="1:26" s="24" customFormat="1" hidden="1" outlineLevel="1" x14ac:dyDescent="0.25">
      <c r="A128" s="46"/>
      <c r="B128" s="11" t="str">
        <f>CONCATENATE("          ", "5042", " - ", "PURCHASES @ COST-EVERYDAY GIFT")</f>
        <v xml:space="preserve">          5042 - PURCHASES @ COST-EVERYDAY GIFT</v>
      </c>
      <c r="C128" s="11"/>
      <c r="D128" s="2">
        <v>11559.46</v>
      </c>
      <c r="E128" s="2"/>
      <c r="F128" s="19">
        <f t="shared" si="6"/>
        <v>7.7684449037628868E-3</v>
      </c>
      <c r="G128" s="2"/>
      <c r="H128" s="2"/>
      <c r="I128" s="2"/>
      <c r="J128" s="19">
        <f t="shared" si="7"/>
        <v>0</v>
      </c>
      <c r="K128" s="2"/>
      <c r="L128" s="2">
        <f t="shared" si="8"/>
        <v>11559.46</v>
      </c>
      <c r="M128" s="2"/>
      <c r="N128" s="19">
        <f t="shared" si="9"/>
        <v>0</v>
      </c>
      <c r="O128" s="11"/>
      <c r="P128" s="2">
        <v>35291.68</v>
      </c>
      <c r="Q128" s="2"/>
      <c r="R128" s="19">
        <f t="shared" si="10"/>
        <v>7.4604715774034876E-3</v>
      </c>
      <c r="S128" s="2"/>
      <c r="T128" s="2"/>
      <c r="U128" s="2"/>
      <c r="V128" s="19">
        <f t="shared" si="11"/>
        <v>0</v>
      </c>
      <c r="W128" s="2"/>
      <c r="X128" s="2">
        <f t="shared" si="12"/>
        <v>35291.68</v>
      </c>
      <c r="Y128" s="2"/>
      <c r="Z128" s="19">
        <f t="shared" si="13"/>
        <v>0</v>
      </c>
    </row>
    <row r="129" spans="1:26" s="24" customFormat="1" hidden="1" outlineLevel="1" x14ac:dyDescent="0.25">
      <c r="A129" s="46"/>
      <c r="B129" s="11" t="str">
        <f>CONCATENATE("          ", "5043", " - ", "PURCHASES @ COST-CARDS")</f>
        <v xml:space="preserve">          5043 - PURCHASES @ COST-CARDS</v>
      </c>
      <c r="C129" s="11"/>
      <c r="D129" s="2">
        <v>495.49</v>
      </c>
      <c r="E129" s="2"/>
      <c r="F129" s="19">
        <f t="shared" si="6"/>
        <v>3.3299018858713757E-4</v>
      </c>
      <c r="G129" s="2"/>
      <c r="H129" s="2"/>
      <c r="I129" s="2"/>
      <c r="J129" s="19">
        <f t="shared" si="7"/>
        <v>0</v>
      </c>
      <c r="K129" s="2"/>
      <c r="L129" s="2">
        <f t="shared" si="8"/>
        <v>495.49</v>
      </c>
      <c r="M129" s="2"/>
      <c r="N129" s="19">
        <f t="shared" si="9"/>
        <v>0</v>
      </c>
      <c r="O129" s="11"/>
      <c r="P129" s="2">
        <v>1008.99</v>
      </c>
      <c r="Q129" s="2"/>
      <c r="R129" s="19">
        <f t="shared" si="10"/>
        <v>2.1329506605761883E-4</v>
      </c>
      <c r="S129" s="2"/>
      <c r="T129" s="2"/>
      <c r="U129" s="2"/>
      <c r="V129" s="19">
        <f t="shared" si="11"/>
        <v>0</v>
      </c>
      <c r="W129" s="2"/>
      <c r="X129" s="2">
        <f t="shared" si="12"/>
        <v>1008.99</v>
      </c>
      <c r="Y129" s="2"/>
      <c r="Z129" s="19">
        <f t="shared" si="13"/>
        <v>0</v>
      </c>
    </row>
    <row r="130" spans="1:26" s="24" customFormat="1" hidden="1" outlineLevel="1" x14ac:dyDescent="0.25">
      <c r="A130" s="46"/>
      <c r="B130" s="11" t="str">
        <f>CONCATENATE("          ", "5044", " - ", "PURCHASES @ COST-ACCESSORIES")</f>
        <v xml:space="preserve">          5044 - PURCHASES @ COST-ACCESSORIES</v>
      </c>
      <c r="C130" s="11"/>
      <c r="D130" s="2">
        <v>2315.5300000000002</v>
      </c>
      <c r="E130" s="2"/>
      <c r="F130" s="19">
        <f t="shared" si="6"/>
        <v>1.5561338702681682E-3</v>
      </c>
      <c r="G130" s="2"/>
      <c r="H130" s="2"/>
      <c r="I130" s="2"/>
      <c r="J130" s="19">
        <f t="shared" si="7"/>
        <v>0</v>
      </c>
      <c r="K130" s="2"/>
      <c r="L130" s="2">
        <f t="shared" si="8"/>
        <v>2315.5300000000002</v>
      </c>
      <c r="M130" s="2"/>
      <c r="N130" s="19">
        <f t="shared" si="9"/>
        <v>0</v>
      </c>
      <c r="O130" s="11"/>
      <c r="P130" s="2">
        <v>20403.649999999998</v>
      </c>
      <c r="Q130" s="2"/>
      <c r="R130" s="19">
        <f t="shared" si="10"/>
        <v>4.3132220087082462E-3</v>
      </c>
      <c r="S130" s="2"/>
      <c r="T130" s="2"/>
      <c r="U130" s="2"/>
      <c r="V130" s="19">
        <f t="shared" si="11"/>
        <v>0</v>
      </c>
      <c r="W130" s="2"/>
      <c r="X130" s="2">
        <f t="shared" si="12"/>
        <v>20403.649999999998</v>
      </c>
      <c r="Y130" s="2"/>
      <c r="Z130" s="19">
        <f t="shared" si="13"/>
        <v>0</v>
      </c>
    </row>
    <row r="131" spans="1:26" s="24" customFormat="1" hidden="1" outlineLevel="1" x14ac:dyDescent="0.25">
      <c r="A131" s="46"/>
      <c r="B131" s="11" t="str">
        <f>CONCATENATE("          ", "5045", " - ", "PURCHASES @ COST-SPECIAL ORDER")</f>
        <v xml:space="preserve">          5045 - PURCHASES @ COST-SPECIAL ORDER</v>
      </c>
      <c r="C131" s="11"/>
      <c r="D131" s="2">
        <v>4318.3999999999996</v>
      </c>
      <c r="E131" s="2"/>
      <c r="F131" s="19">
        <f t="shared" si="6"/>
        <v>2.9021470269726831E-3</v>
      </c>
      <c r="G131" s="2"/>
      <c r="H131" s="2"/>
      <c r="I131" s="2"/>
      <c r="J131" s="19">
        <f t="shared" si="7"/>
        <v>0</v>
      </c>
      <c r="K131" s="2"/>
      <c r="L131" s="2">
        <f t="shared" si="8"/>
        <v>4318.3999999999996</v>
      </c>
      <c r="M131" s="2"/>
      <c r="N131" s="19">
        <f t="shared" si="9"/>
        <v>0</v>
      </c>
      <c r="O131" s="11"/>
      <c r="P131" s="2">
        <v>24464.030000000002</v>
      </c>
      <c r="Q131" s="2"/>
      <c r="R131" s="19">
        <f t="shared" si="10"/>
        <v>5.171564529763E-3</v>
      </c>
      <c r="S131" s="2"/>
      <c r="T131" s="2"/>
      <c r="U131" s="2"/>
      <c r="V131" s="19">
        <f t="shared" si="11"/>
        <v>0</v>
      </c>
      <c r="W131" s="2"/>
      <c r="X131" s="2">
        <f t="shared" si="12"/>
        <v>24464.030000000002</v>
      </c>
      <c r="Y131" s="2"/>
      <c r="Z131" s="19">
        <f t="shared" si="13"/>
        <v>0</v>
      </c>
    </row>
    <row r="132" spans="1:26" s="24" customFormat="1" hidden="1" outlineLevel="1" x14ac:dyDescent="0.25">
      <c r="A132" s="46"/>
      <c r="B132" s="11" t="str">
        <f>CONCATENATE("          ", "5053", " - ", "PURCHASES @ COST-FOOD")</f>
        <v xml:space="preserve">          5053 - PURCHASES @ COST-FOOD</v>
      </c>
      <c r="C132" s="11"/>
      <c r="D132" s="2">
        <v>195283.21000000002</v>
      </c>
      <c r="E132" s="2"/>
      <c r="F132" s="19">
        <f t="shared" si="6"/>
        <v>0.13123855764152978</v>
      </c>
      <c r="G132" s="2"/>
      <c r="H132" s="2"/>
      <c r="I132" s="2"/>
      <c r="J132" s="19">
        <f t="shared" si="7"/>
        <v>0</v>
      </c>
      <c r="K132" s="2"/>
      <c r="L132" s="2">
        <f t="shared" si="8"/>
        <v>195283.21000000002</v>
      </c>
      <c r="M132" s="2"/>
      <c r="N132" s="19">
        <f t="shared" si="9"/>
        <v>0</v>
      </c>
      <c r="O132" s="11"/>
      <c r="P132" s="2">
        <v>332788.87</v>
      </c>
      <c r="Q132" s="2"/>
      <c r="R132" s="19">
        <f t="shared" si="10"/>
        <v>7.0349779492254946E-2</v>
      </c>
      <c r="S132" s="2"/>
      <c r="T132" s="2"/>
      <c r="U132" s="2"/>
      <c r="V132" s="19">
        <f t="shared" si="11"/>
        <v>0</v>
      </c>
      <c r="W132" s="2"/>
      <c r="X132" s="2">
        <f t="shared" si="12"/>
        <v>332788.87</v>
      </c>
      <c r="Y132" s="2"/>
      <c r="Z132" s="19">
        <f t="shared" si="13"/>
        <v>0</v>
      </c>
    </row>
    <row r="133" spans="1:26" s="24" customFormat="1" hidden="1" outlineLevel="1" x14ac:dyDescent="0.25">
      <c r="A133" s="46"/>
      <c r="B133" s="11" t="str">
        <f>CONCATENATE("          ", "5059", " - ", "PURCHASES @ COST-FOOD")</f>
        <v xml:space="preserve">          5059 - PURCHASES @ COST-FOOD</v>
      </c>
      <c r="C133" s="11"/>
      <c r="D133" s="2">
        <v>-12710.54</v>
      </c>
      <c r="E133" s="2"/>
      <c r="F133" s="19">
        <f t="shared" si="6"/>
        <v>-8.5420192368046901E-3</v>
      </c>
      <c r="G133" s="2"/>
      <c r="H133" s="2"/>
      <c r="I133" s="2"/>
      <c r="J133" s="19">
        <f t="shared" si="7"/>
        <v>0</v>
      </c>
      <c r="K133" s="2"/>
      <c r="L133" s="2">
        <f t="shared" si="8"/>
        <v>-12710.54</v>
      </c>
      <c r="M133" s="2"/>
      <c r="N133" s="19">
        <f t="shared" si="9"/>
        <v>0</v>
      </c>
      <c r="O133" s="11"/>
      <c r="P133" s="2">
        <v>-58751.38</v>
      </c>
      <c r="Q133" s="2"/>
      <c r="R133" s="19">
        <f t="shared" si="10"/>
        <v>-1.2419726140076973E-2</v>
      </c>
      <c r="S133" s="2"/>
      <c r="T133" s="2"/>
      <c r="U133" s="2"/>
      <c r="V133" s="19">
        <f t="shared" si="11"/>
        <v>0</v>
      </c>
      <c r="W133" s="2"/>
      <c r="X133" s="2">
        <f t="shared" si="12"/>
        <v>-58751.38</v>
      </c>
      <c r="Y133" s="2"/>
      <c r="Z133" s="19">
        <f t="shared" si="13"/>
        <v>0</v>
      </c>
    </row>
    <row r="134" spans="1:26" s="24" customFormat="1" hidden="1" outlineLevel="1" x14ac:dyDescent="0.25">
      <c r="A134" s="46"/>
      <c r="B134" s="11" t="str">
        <f>CONCATENATE("          ", "5081", " - ", "PURCHASES @ COST-ELECTRONICS")</f>
        <v xml:space="preserve">          5081 - PURCHASES @ COST-ELECTRONICS</v>
      </c>
      <c r="C134" s="11"/>
      <c r="D134" s="2">
        <v>167.92</v>
      </c>
      <c r="E134" s="2"/>
      <c r="F134" s="19">
        <f t="shared" si="6"/>
        <v>1.1284932585431014E-4</v>
      </c>
      <c r="G134" s="2"/>
      <c r="H134" s="2"/>
      <c r="I134" s="2"/>
      <c r="J134" s="19">
        <f t="shared" si="7"/>
        <v>0</v>
      </c>
      <c r="K134" s="2"/>
      <c r="L134" s="2">
        <f t="shared" si="8"/>
        <v>167.92</v>
      </c>
      <c r="M134" s="2"/>
      <c r="N134" s="19">
        <f t="shared" si="9"/>
        <v>0</v>
      </c>
      <c r="O134" s="11"/>
      <c r="P134" s="2">
        <v>472.08</v>
      </c>
      <c r="Q134" s="2"/>
      <c r="R134" s="19">
        <f t="shared" si="10"/>
        <v>9.9795176150884233E-5</v>
      </c>
      <c r="S134" s="2"/>
      <c r="T134" s="2"/>
      <c r="U134" s="2"/>
      <c r="V134" s="19">
        <f t="shared" si="11"/>
        <v>0</v>
      </c>
      <c r="W134" s="2"/>
      <c r="X134" s="2">
        <f t="shared" si="12"/>
        <v>472.08</v>
      </c>
      <c r="Y134" s="2"/>
      <c r="Z134" s="19">
        <f t="shared" si="13"/>
        <v>0</v>
      </c>
    </row>
    <row r="135" spans="1:26" s="24" customFormat="1" hidden="1" outlineLevel="1" x14ac:dyDescent="0.25">
      <c r="A135" s="46"/>
      <c r="B135" s="11" t="str">
        <f>CONCATENATE("          ", "5082", " - ", "PURCHASES @ COST-COMPUTER HARD")</f>
        <v xml:space="preserve">          5082 - PURCHASES @ COST-COMPUTER HARD</v>
      </c>
      <c r="C135" s="11"/>
      <c r="D135" s="2">
        <v>19</v>
      </c>
      <c r="E135" s="2"/>
      <c r="F135" s="19">
        <f t="shared" si="6"/>
        <v>1.2768801758169919E-5</v>
      </c>
      <c r="G135" s="2"/>
      <c r="H135" s="2"/>
      <c r="I135" s="2"/>
      <c r="J135" s="19">
        <f t="shared" si="7"/>
        <v>0</v>
      </c>
      <c r="K135" s="2"/>
      <c r="L135" s="2">
        <f t="shared" si="8"/>
        <v>19</v>
      </c>
      <c r="M135" s="2"/>
      <c r="N135" s="19">
        <f t="shared" si="9"/>
        <v>0</v>
      </c>
      <c r="O135" s="11"/>
      <c r="P135" s="2">
        <v>149.6</v>
      </c>
      <c r="Q135" s="2"/>
      <c r="R135" s="19">
        <f t="shared" si="10"/>
        <v>3.162463640097501E-5</v>
      </c>
      <c r="S135" s="2"/>
      <c r="T135" s="2"/>
      <c r="U135" s="2"/>
      <c r="V135" s="19">
        <f t="shared" si="11"/>
        <v>0</v>
      </c>
      <c r="W135" s="2"/>
      <c r="X135" s="2">
        <f t="shared" si="12"/>
        <v>149.6</v>
      </c>
      <c r="Y135" s="2"/>
      <c r="Z135" s="19">
        <f t="shared" si="13"/>
        <v>0</v>
      </c>
    </row>
    <row r="136" spans="1:26" s="24" customFormat="1" hidden="1" outlineLevel="1" x14ac:dyDescent="0.25">
      <c r="A136" s="46"/>
      <c r="B136" s="11" t="str">
        <f>CONCATENATE("          ", "5083", " - ", "PURCHASES @ COST-COMPUTER EQUI")</f>
        <v xml:space="preserve">          5083 - PURCHASES @ COST-COMPUTER EQUI</v>
      </c>
      <c r="C136" s="11"/>
      <c r="D136" s="2">
        <v>74.55</v>
      </c>
      <c r="E136" s="2"/>
      <c r="F136" s="19">
        <f t="shared" si="6"/>
        <v>5.0100745845871973E-5</v>
      </c>
      <c r="G136" s="2"/>
      <c r="H136" s="2"/>
      <c r="I136" s="2"/>
      <c r="J136" s="19">
        <f t="shared" si="7"/>
        <v>0</v>
      </c>
      <c r="K136" s="2"/>
      <c r="L136" s="2">
        <f t="shared" si="8"/>
        <v>74.55</v>
      </c>
      <c r="M136" s="2"/>
      <c r="N136" s="19">
        <f t="shared" si="9"/>
        <v>0</v>
      </c>
      <c r="O136" s="11"/>
      <c r="P136" s="2">
        <v>156</v>
      </c>
      <c r="Q136" s="2"/>
      <c r="R136" s="19">
        <f t="shared" si="10"/>
        <v>3.2977562022407095E-5</v>
      </c>
      <c r="S136" s="2"/>
      <c r="T136" s="2"/>
      <c r="U136" s="2"/>
      <c r="V136" s="19">
        <f t="shared" si="11"/>
        <v>0</v>
      </c>
      <c r="W136" s="2"/>
      <c r="X136" s="2">
        <f t="shared" si="12"/>
        <v>156</v>
      </c>
      <c r="Y136" s="2"/>
      <c r="Z136" s="19">
        <f t="shared" si="13"/>
        <v>0</v>
      </c>
    </row>
    <row r="137" spans="1:26" s="24" customFormat="1" hidden="1" outlineLevel="1" x14ac:dyDescent="0.25">
      <c r="A137" s="46"/>
      <c r="B137" s="11" t="str">
        <f>CONCATENATE("          ", "5086", " - ", "PURCHASES @ COST-COMPUTER SUPP")</f>
        <v xml:space="preserve">          5086 - PURCHASES @ COST-COMPUTER SUPP</v>
      </c>
      <c r="C137" s="11"/>
      <c r="D137" s="2">
        <v>29</v>
      </c>
      <c r="E137" s="2"/>
      <c r="F137" s="19">
        <f t="shared" si="6"/>
        <v>1.9489223736154087E-5</v>
      </c>
      <c r="G137" s="2"/>
      <c r="H137" s="2"/>
      <c r="I137" s="2"/>
      <c r="J137" s="19">
        <f t="shared" si="7"/>
        <v>0</v>
      </c>
      <c r="K137" s="2"/>
      <c r="L137" s="2">
        <f t="shared" si="8"/>
        <v>29</v>
      </c>
      <c r="M137" s="2"/>
      <c r="N137" s="19">
        <f t="shared" si="9"/>
        <v>0</v>
      </c>
      <c r="O137" s="11"/>
      <c r="P137" s="2">
        <v>87</v>
      </c>
      <c r="Q137" s="2"/>
      <c r="R137" s="19">
        <f t="shared" si="10"/>
        <v>1.8391332666342417E-5</v>
      </c>
      <c r="S137" s="2"/>
      <c r="T137" s="2"/>
      <c r="U137" s="2"/>
      <c r="V137" s="19">
        <f t="shared" si="11"/>
        <v>0</v>
      </c>
      <c r="W137" s="2"/>
      <c r="X137" s="2">
        <f t="shared" si="12"/>
        <v>87</v>
      </c>
      <c r="Y137" s="2"/>
      <c r="Z137" s="19">
        <f t="shared" si="13"/>
        <v>0</v>
      </c>
    </row>
    <row r="138" spans="1:26" s="24" customFormat="1" hidden="1" outlineLevel="1" x14ac:dyDescent="0.25">
      <c r="A138" s="46"/>
      <c r="B138" s="11" t="str">
        <f>CONCATENATE("          ", "5092", " - ", "PURCHASES @ COST-GRAD MERCH")</f>
        <v xml:space="preserve">          5092 - PURCHASES @ COST-GRAD MERCH</v>
      </c>
      <c r="C138" s="11"/>
      <c r="D138" s="2">
        <v>-628</v>
      </c>
      <c r="E138" s="2"/>
      <c r="F138" s="19">
        <f t="shared" si="6"/>
        <v>-4.2204250021740577E-4</v>
      </c>
      <c r="G138" s="2"/>
      <c r="H138" s="2"/>
      <c r="I138" s="2"/>
      <c r="J138" s="19">
        <f t="shared" si="7"/>
        <v>0</v>
      </c>
      <c r="K138" s="2"/>
      <c r="L138" s="2">
        <f t="shared" si="8"/>
        <v>-628</v>
      </c>
      <c r="M138" s="2"/>
      <c r="N138" s="19">
        <f t="shared" si="9"/>
        <v>0</v>
      </c>
      <c r="O138" s="11"/>
      <c r="P138" s="2">
        <v>0</v>
      </c>
      <c r="Q138" s="2"/>
      <c r="R138" s="19">
        <f t="shared" si="10"/>
        <v>0</v>
      </c>
      <c r="S138" s="2"/>
      <c r="T138" s="2"/>
      <c r="U138" s="2"/>
      <c r="V138" s="19">
        <f t="shared" si="11"/>
        <v>0</v>
      </c>
      <c r="W138" s="2"/>
      <c r="X138" s="2">
        <f t="shared" si="12"/>
        <v>0</v>
      </c>
      <c r="Y138" s="2"/>
      <c r="Z138" s="19">
        <f t="shared" si="13"/>
        <v>0</v>
      </c>
    </row>
    <row r="139" spans="1:26" s="24" customFormat="1" hidden="1" outlineLevel="1" x14ac:dyDescent="0.25">
      <c r="A139" s="46"/>
      <c r="B139" s="11" t="str">
        <f>CONCATENATE("          ", "5095", " - ", "PURCHASES @ COST-CUSTOMER SERV")</f>
        <v xml:space="preserve">          5095 - PURCHASES @ COST-CUSTOMER SERV</v>
      </c>
      <c r="C139" s="11"/>
      <c r="D139" s="2"/>
      <c r="E139" s="2"/>
      <c r="F139" s="19">
        <f t="shared" si="6"/>
        <v>0</v>
      </c>
      <c r="G139" s="2"/>
      <c r="H139" s="2"/>
      <c r="I139" s="2"/>
      <c r="J139" s="19">
        <f t="shared" si="7"/>
        <v>0</v>
      </c>
      <c r="K139" s="2"/>
      <c r="L139" s="2">
        <f t="shared" si="8"/>
        <v>0</v>
      </c>
      <c r="M139" s="2"/>
      <c r="N139" s="19">
        <f t="shared" si="9"/>
        <v>0</v>
      </c>
      <c r="O139" s="11"/>
      <c r="P139" s="2">
        <v>0</v>
      </c>
      <c r="Q139" s="2"/>
      <c r="R139" s="19">
        <f t="shared" si="10"/>
        <v>0</v>
      </c>
      <c r="S139" s="2"/>
      <c r="T139" s="2"/>
      <c r="U139" s="2"/>
      <c r="V139" s="19">
        <f t="shared" si="11"/>
        <v>0</v>
      </c>
      <c r="W139" s="2"/>
      <c r="X139" s="2">
        <f t="shared" si="12"/>
        <v>0</v>
      </c>
      <c r="Y139" s="2"/>
      <c r="Z139" s="19">
        <f t="shared" si="13"/>
        <v>0</v>
      </c>
    </row>
    <row r="140" spans="1:26" s="24" customFormat="1" hidden="1" outlineLevel="1" x14ac:dyDescent="0.25">
      <c r="A140" s="46"/>
      <c r="B140" s="11" t="str">
        <f>CONCATENATE("          ", "5200", " - ", "PURCHASES OFFSET")</f>
        <v xml:space="preserve">          5200 - PURCHASES OFFSET</v>
      </c>
      <c r="C140" s="11"/>
      <c r="D140" s="2">
        <v>-279973</v>
      </c>
      <c r="E140" s="2"/>
      <c r="F140" s="19">
        <f t="shared" si="6"/>
        <v>-0.18815367024421614</v>
      </c>
      <c r="G140" s="2"/>
      <c r="H140" s="2"/>
      <c r="I140" s="2"/>
      <c r="J140" s="19">
        <f t="shared" si="7"/>
        <v>0</v>
      </c>
      <c r="K140" s="2"/>
      <c r="L140" s="2">
        <f t="shared" si="8"/>
        <v>-279973</v>
      </c>
      <c r="M140" s="2"/>
      <c r="N140" s="19">
        <f t="shared" si="9"/>
        <v>0</v>
      </c>
      <c r="O140" s="11"/>
      <c r="P140" s="2">
        <v>-2636284</v>
      </c>
      <c r="Q140" s="2"/>
      <c r="R140" s="19">
        <f t="shared" si="10"/>
        <v>-0.55729627640179147</v>
      </c>
      <c r="S140" s="2"/>
      <c r="T140" s="2"/>
      <c r="U140" s="2"/>
      <c r="V140" s="19">
        <f t="shared" si="11"/>
        <v>0</v>
      </c>
      <c r="W140" s="2"/>
      <c r="X140" s="2">
        <f t="shared" si="12"/>
        <v>-2636284</v>
      </c>
      <c r="Y140" s="2"/>
      <c r="Z140" s="19">
        <f t="shared" si="13"/>
        <v>0</v>
      </c>
    </row>
    <row r="141" spans="1:26" s="24" customFormat="1" hidden="1" outlineLevel="1" x14ac:dyDescent="0.25">
      <c r="A141" s="46"/>
      <c r="B141" s="11" t="str">
        <f>CONCATENATE("          ", "5300", " - ", "COG$ OFFSET")</f>
        <v xml:space="preserve">          5300 - COG$ OFFSET</v>
      </c>
      <c r="C141" s="11"/>
      <c r="D141" s="2">
        <v>498314.00000000006</v>
      </c>
      <c r="E141" s="2"/>
      <c r="F141" s="19">
        <f t="shared" si="6"/>
        <v>0.33488803575372034</v>
      </c>
      <c r="G141" s="2"/>
      <c r="H141" s="2"/>
      <c r="I141" s="2"/>
      <c r="J141" s="19">
        <f t="shared" si="7"/>
        <v>0</v>
      </c>
      <c r="K141" s="2"/>
      <c r="L141" s="2">
        <f t="shared" si="8"/>
        <v>498314.00000000006</v>
      </c>
      <c r="M141" s="2"/>
      <c r="N141" s="19">
        <f t="shared" si="9"/>
        <v>0</v>
      </c>
      <c r="O141" s="11"/>
      <c r="P141" s="2">
        <v>1927748</v>
      </c>
      <c r="Q141" s="2"/>
      <c r="R141" s="19">
        <f t="shared" si="10"/>
        <v>0.40751557201007199</v>
      </c>
      <c r="S141" s="2"/>
      <c r="T141" s="2"/>
      <c r="U141" s="2"/>
      <c r="V141" s="19">
        <f t="shared" si="11"/>
        <v>0</v>
      </c>
      <c r="W141" s="2"/>
      <c r="X141" s="2">
        <f t="shared" si="12"/>
        <v>1927748</v>
      </c>
      <c r="Y141" s="2"/>
      <c r="Z141" s="19">
        <f t="shared" si="13"/>
        <v>0</v>
      </c>
    </row>
    <row r="142" spans="1:26" s="24" customFormat="1" hidden="1" outlineLevel="1" x14ac:dyDescent="0.25">
      <c r="A142" s="46"/>
      <c r="B142" s="11" t="str">
        <f>CONCATENATE("          ", "5500", " - ", "FREIGHT-IN")</f>
        <v xml:space="preserve">          5500 - FREIGHT-IN</v>
      </c>
      <c r="C142" s="11"/>
      <c r="D142" s="2">
        <v>-49</v>
      </c>
      <c r="E142" s="2"/>
      <c r="F142" s="19">
        <f t="shared" si="6"/>
        <v>-3.2930067692122427E-5</v>
      </c>
      <c r="G142" s="2"/>
      <c r="H142" s="2"/>
      <c r="I142" s="2"/>
      <c r="J142" s="19">
        <f t="shared" si="7"/>
        <v>0</v>
      </c>
      <c r="K142" s="2"/>
      <c r="L142" s="2">
        <f t="shared" si="8"/>
        <v>-49</v>
      </c>
      <c r="M142" s="2"/>
      <c r="N142" s="19">
        <f t="shared" si="9"/>
        <v>0</v>
      </c>
      <c r="O142" s="11"/>
      <c r="P142" s="2">
        <v>0</v>
      </c>
      <c r="Q142" s="2"/>
      <c r="R142" s="19">
        <f t="shared" si="10"/>
        <v>0</v>
      </c>
      <c r="S142" s="2"/>
      <c r="T142" s="2"/>
      <c r="U142" s="2"/>
      <c r="V142" s="19">
        <f t="shared" si="11"/>
        <v>0</v>
      </c>
      <c r="W142" s="2"/>
      <c r="X142" s="2">
        <f t="shared" si="12"/>
        <v>0</v>
      </c>
      <c r="Y142" s="2"/>
      <c r="Z142" s="19">
        <f t="shared" si="13"/>
        <v>0</v>
      </c>
    </row>
    <row r="143" spans="1:26" s="24" customFormat="1" hidden="1" outlineLevel="1" x14ac:dyDescent="0.25">
      <c r="A143" s="46"/>
      <c r="B143" s="11" t="str">
        <f>CONCATENATE("          ", "5501", " - ", "FREIGHT-IN-NEW TEXT")</f>
        <v xml:space="preserve">          5501 - FREIGHT-IN-NEW TEXT</v>
      </c>
      <c r="C143" s="11"/>
      <c r="D143" s="2">
        <v>13859.22</v>
      </c>
      <c r="E143" s="2"/>
      <c r="F143" s="19">
        <f t="shared" si="6"/>
        <v>9.3139806685717738E-3</v>
      </c>
      <c r="G143" s="2"/>
      <c r="H143" s="2"/>
      <c r="I143" s="2"/>
      <c r="J143" s="19">
        <f t="shared" si="7"/>
        <v>0</v>
      </c>
      <c r="K143" s="2"/>
      <c r="L143" s="2">
        <f t="shared" si="8"/>
        <v>13859.22</v>
      </c>
      <c r="M143" s="2"/>
      <c r="N143" s="19">
        <f t="shared" si="9"/>
        <v>0</v>
      </c>
      <c r="O143" s="11"/>
      <c r="P143" s="2">
        <v>26583.46</v>
      </c>
      <c r="Q143" s="2"/>
      <c r="R143" s="19">
        <f t="shared" si="10"/>
        <v>5.6196006469242188E-3</v>
      </c>
      <c r="S143" s="2"/>
      <c r="T143" s="2"/>
      <c r="U143" s="2"/>
      <c r="V143" s="19">
        <f t="shared" si="11"/>
        <v>0</v>
      </c>
      <c r="W143" s="2"/>
      <c r="X143" s="2">
        <f t="shared" si="12"/>
        <v>26583.46</v>
      </c>
      <c r="Y143" s="2"/>
      <c r="Z143" s="19">
        <f t="shared" si="13"/>
        <v>0</v>
      </c>
    </row>
    <row r="144" spans="1:26" s="24" customFormat="1" hidden="1" outlineLevel="1" x14ac:dyDescent="0.25">
      <c r="A144" s="46"/>
      <c r="B144" s="11" t="str">
        <f>CONCATENATE("          ", "5502", " - ", "FREIGHT-IN-USED TEXT")</f>
        <v xml:space="preserve">          5502 - FREIGHT-IN-USED TEXT</v>
      </c>
      <c r="C144" s="11"/>
      <c r="D144" s="2">
        <v>1998.66</v>
      </c>
      <c r="E144" s="2"/>
      <c r="F144" s="19">
        <f t="shared" si="6"/>
        <v>1.3431838590517839E-3</v>
      </c>
      <c r="G144" s="2"/>
      <c r="H144" s="2"/>
      <c r="I144" s="2"/>
      <c r="J144" s="19">
        <f t="shared" si="7"/>
        <v>0</v>
      </c>
      <c r="K144" s="2"/>
      <c r="L144" s="2">
        <f t="shared" si="8"/>
        <v>1998.66</v>
      </c>
      <c r="M144" s="2"/>
      <c r="N144" s="19">
        <f t="shared" si="9"/>
        <v>0</v>
      </c>
      <c r="O144" s="11"/>
      <c r="P144" s="2">
        <v>6261.17</v>
      </c>
      <c r="Q144" s="2"/>
      <c r="R144" s="19">
        <f t="shared" si="10"/>
        <v>1.3235777051784272E-3</v>
      </c>
      <c r="S144" s="2"/>
      <c r="T144" s="2"/>
      <c r="U144" s="2"/>
      <c r="V144" s="19">
        <f t="shared" si="11"/>
        <v>0</v>
      </c>
      <c r="W144" s="2"/>
      <c r="X144" s="2">
        <f t="shared" si="12"/>
        <v>6261.17</v>
      </c>
      <c r="Y144" s="2"/>
      <c r="Z144" s="19">
        <f t="shared" si="13"/>
        <v>0</v>
      </c>
    </row>
    <row r="145" spans="1:26" s="24" customFormat="1" hidden="1" outlineLevel="1" x14ac:dyDescent="0.25">
      <c r="A145" s="46"/>
      <c r="B145" s="11" t="str">
        <f>CONCATENATE("          ", "5504", " - ", "FREIGHT-IN-DIGITAL TEXT")</f>
        <v xml:space="preserve">          5504 - FREIGHT-IN-DIGITAL TEXT</v>
      </c>
      <c r="C145" s="11"/>
      <c r="D145" s="2"/>
      <c r="E145" s="2"/>
      <c r="F145" s="19">
        <f t="shared" si="6"/>
        <v>0</v>
      </c>
      <c r="G145" s="2"/>
      <c r="H145" s="2"/>
      <c r="I145" s="2"/>
      <c r="J145" s="19">
        <f t="shared" si="7"/>
        <v>0</v>
      </c>
      <c r="K145" s="2"/>
      <c r="L145" s="2">
        <f t="shared" si="8"/>
        <v>0</v>
      </c>
      <c r="M145" s="2"/>
      <c r="N145" s="19">
        <f t="shared" si="9"/>
        <v>0</v>
      </c>
      <c r="O145" s="11"/>
      <c r="P145" s="2">
        <v>7.03</v>
      </c>
      <c r="Q145" s="2"/>
      <c r="R145" s="19">
        <f t="shared" si="10"/>
        <v>1.4861042372918069E-6</v>
      </c>
      <c r="S145" s="2"/>
      <c r="T145" s="2"/>
      <c r="U145" s="2"/>
      <c r="V145" s="19">
        <f t="shared" si="11"/>
        <v>0</v>
      </c>
      <c r="W145" s="2"/>
      <c r="X145" s="2">
        <f t="shared" si="12"/>
        <v>7.03</v>
      </c>
      <c r="Y145" s="2"/>
      <c r="Z145" s="19">
        <f t="shared" si="13"/>
        <v>0</v>
      </c>
    </row>
    <row r="146" spans="1:26" s="24" customFormat="1" hidden="1" outlineLevel="1" x14ac:dyDescent="0.25">
      <c r="A146" s="46"/>
      <c r="B146" s="11" t="str">
        <f>CONCATENATE("          ", "5526", " - ", "FREIGHT-IN-WRITING INSTRUMENTS")</f>
        <v xml:space="preserve">          5526 - FREIGHT-IN-WRITING INSTRUMENTS</v>
      </c>
      <c r="C146" s="11"/>
      <c r="D146" s="2"/>
      <c r="E146" s="2"/>
      <c r="F146" s="19">
        <f t="shared" si="6"/>
        <v>0</v>
      </c>
      <c r="G146" s="2"/>
      <c r="H146" s="2"/>
      <c r="I146" s="2"/>
      <c r="J146" s="19">
        <f t="shared" si="7"/>
        <v>0</v>
      </c>
      <c r="K146" s="2"/>
      <c r="L146" s="2">
        <f t="shared" si="8"/>
        <v>0</v>
      </c>
      <c r="M146" s="2"/>
      <c r="N146" s="19">
        <f t="shared" si="9"/>
        <v>0</v>
      </c>
      <c r="O146" s="11"/>
      <c r="P146" s="2">
        <v>56.57</v>
      </c>
      <c r="Q146" s="2"/>
      <c r="R146" s="19">
        <f t="shared" si="10"/>
        <v>1.1958594125689548E-5</v>
      </c>
      <c r="S146" s="2"/>
      <c r="T146" s="2"/>
      <c r="U146" s="2"/>
      <c r="V146" s="19">
        <f t="shared" si="11"/>
        <v>0</v>
      </c>
      <c r="W146" s="2"/>
      <c r="X146" s="2">
        <f t="shared" si="12"/>
        <v>56.57</v>
      </c>
      <c r="Y146" s="2"/>
      <c r="Z146" s="19">
        <f t="shared" si="13"/>
        <v>0</v>
      </c>
    </row>
    <row r="147" spans="1:26" s="24" customFormat="1" hidden="1" outlineLevel="1" x14ac:dyDescent="0.25">
      <c r="A147" s="46"/>
      <c r="B147" s="11" t="str">
        <f>CONCATENATE("          ", "5527", " - ", "FREIGHT-IN-SCHOOL SUPPLIES")</f>
        <v xml:space="preserve">          5527 - FREIGHT-IN-SCHOOL SUPPLIES</v>
      </c>
      <c r="C147" s="11"/>
      <c r="D147" s="2">
        <v>133.38999999999999</v>
      </c>
      <c r="E147" s="2"/>
      <c r="F147" s="19">
        <f t="shared" si="6"/>
        <v>8.9643708764330818E-5</v>
      </c>
      <c r="G147" s="2"/>
      <c r="H147" s="2"/>
      <c r="I147" s="2"/>
      <c r="J147" s="19">
        <f t="shared" si="7"/>
        <v>0</v>
      </c>
      <c r="K147" s="2"/>
      <c r="L147" s="2">
        <f t="shared" si="8"/>
        <v>133.38999999999999</v>
      </c>
      <c r="M147" s="2"/>
      <c r="N147" s="19">
        <f t="shared" si="9"/>
        <v>0</v>
      </c>
      <c r="O147" s="11"/>
      <c r="P147" s="2">
        <v>393.9</v>
      </c>
      <c r="Q147" s="2"/>
      <c r="R147" s="19">
        <f t="shared" si="10"/>
        <v>8.3268344106577911E-5</v>
      </c>
      <c r="S147" s="2"/>
      <c r="T147" s="2"/>
      <c r="U147" s="2"/>
      <c r="V147" s="19">
        <f t="shared" si="11"/>
        <v>0</v>
      </c>
      <c r="W147" s="2"/>
      <c r="X147" s="2">
        <f t="shared" si="12"/>
        <v>393.9</v>
      </c>
      <c r="Y147" s="2"/>
      <c r="Z147" s="19">
        <f t="shared" si="13"/>
        <v>0</v>
      </c>
    </row>
    <row r="148" spans="1:26" s="24" customFormat="1" hidden="1" outlineLevel="1" x14ac:dyDescent="0.25">
      <c r="A148" s="46"/>
      <c r="B148" s="11" t="str">
        <f>CONCATENATE("          ", "5528", " - ", "FREIGHT-IN-ART/TECH")</f>
        <v xml:space="preserve">          5528 - FREIGHT-IN-ART/TECH</v>
      </c>
      <c r="C148" s="11"/>
      <c r="D148" s="2">
        <v>332.97</v>
      </c>
      <c r="E148" s="2"/>
      <c r="F148" s="19">
        <f t="shared" si="6"/>
        <v>2.2376989060093888E-4</v>
      </c>
      <c r="G148" s="2"/>
      <c r="H148" s="2"/>
      <c r="I148" s="2"/>
      <c r="J148" s="19">
        <f t="shared" si="7"/>
        <v>0</v>
      </c>
      <c r="K148" s="2"/>
      <c r="L148" s="2">
        <f t="shared" si="8"/>
        <v>332.97</v>
      </c>
      <c r="M148" s="2"/>
      <c r="N148" s="19">
        <f t="shared" si="9"/>
        <v>0</v>
      </c>
      <c r="O148" s="11"/>
      <c r="P148" s="2">
        <v>632.77</v>
      </c>
      <c r="Q148" s="2"/>
      <c r="R148" s="19">
        <f t="shared" si="10"/>
        <v>1.3376417898024705E-4</v>
      </c>
      <c r="S148" s="2"/>
      <c r="T148" s="2"/>
      <c r="U148" s="2"/>
      <c r="V148" s="19">
        <f t="shared" si="11"/>
        <v>0</v>
      </c>
      <c r="W148" s="2"/>
      <c r="X148" s="2">
        <f t="shared" si="12"/>
        <v>632.77</v>
      </c>
      <c r="Y148" s="2"/>
      <c r="Z148" s="19">
        <f t="shared" si="13"/>
        <v>0</v>
      </c>
    </row>
    <row r="149" spans="1:26" s="24" customFormat="1" hidden="1" outlineLevel="1" x14ac:dyDescent="0.25">
      <c r="A149" s="46"/>
      <c r="B149" s="11" t="str">
        <f>CONCATENATE("          ", "5540", " - ", "FREIGHT-IN-LOGO CLOTHING")</f>
        <v xml:space="preserve">          5540 - FREIGHT-IN-LOGO CLOTHING</v>
      </c>
      <c r="C149" s="11"/>
      <c r="D149" s="2">
        <v>2672.92</v>
      </c>
      <c r="E149" s="2"/>
      <c r="F149" s="19">
        <f t="shared" si="6"/>
        <v>1.7963150313393445E-3</v>
      </c>
      <c r="G149" s="2"/>
      <c r="H149" s="2"/>
      <c r="I149" s="2"/>
      <c r="J149" s="19">
        <f t="shared" si="7"/>
        <v>0</v>
      </c>
      <c r="K149" s="2"/>
      <c r="L149" s="2">
        <f t="shared" si="8"/>
        <v>2672.92</v>
      </c>
      <c r="M149" s="2"/>
      <c r="N149" s="19">
        <f t="shared" si="9"/>
        <v>0</v>
      </c>
      <c r="O149" s="11"/>
      <c r="P149" s="2">
        <v>5004.8599999999997</v>
      </c>
      <c r="Q149" s="2"/>
      <c r="R149" s="19">
        <f t="shared" si="10"/>
        <v>1.0580005196375922E-3</v>
      </c>
      <c r="S149" s="2"/>
      <c r="T149" s="2"/>
      <c r="U149" s="2"/>
      <c r="V149" s="19">
        <f t="shared" si="11"/>
        <v>0</v>
      </c>
      <c r="W149" s="2"/>
      <c r="X149" s="2">
        <f t="shared" si="12"/>
        <v>5004.8599999999997</v>
      </c>
      <c r="Y149" s="2"/>
      <c r="Z149" s="19">
        <f t="shared" si="13"/>
        <v>0</v>
      </c>
    </row>
    <row r="150" spans="1:26" s="24" customFormat="1" hidden="1" outlineLevel="1" x14ac:dyDescent="0.25">
      <c r="A150" s="46"/>
      <c r="B150" s="11" t="str">
        <f>CONCATENATE("          ", "5541", " - ", "FREIGHT-IN-LOGO GIFTS")</f>
        <v xml:space="preserve">          5541 - FREIGHT-IN-LOGO GIFTS</v>
      </c>
      <c r="C150" s="11"/>
      <c r="D150" s="2">
        <v>97.6</v>
      </c>
      <c r="E150" s="2"/>
      <c r="F150" s="19">
        <f t="shared" si="6"/>
        <v>6.5591318505125475E-5</v>
      </c>
      <c r="G150" s="2"/>
      <c r="H150" s="2"/>
      <c r="I150" s="2"/>
      <c r="J150" s="19">
        <f t="shared" si="7"/>
        <v>0</v>
      </c>
      <c r="K150" s="2"/>
      <c r="L150" s="2">
        <f t="shared" si="8"/>
        <v>97.6</v>
      </c>
      <c r="M150" s="2"/>
      <c r="N150" s="19">
        <f t="shared" si="9"/>
        <v>0</v>
      </c>
      <c r="O150" s="11"/>
      <c r="P150" s="2">
        <v>818.01</v>
      </c>
      <c r="Q150" s="2"/>
      <c r="R150" s="19">
        <f t="shared" si="10"/>
        <v>1.7292291993557197E-4</v>
      </c>
      <c r="S150" s="2"/>
      <c r="T150" s="2"/>
      <c r="U150" s="2"/>
      <c r="V150" s="19">
        <f t="shared" si="11"/>
        <v>0</v>
      </c>
      <c r="W150" s="2"/>
      <c r="X150" s="2">
        <f t="shared" si="12"/>
        <v>818.01</v>
      </c>
      <c r="Y150" s="2"/>
      <c r="Z150" s="19">
        <f t="shared" si="13"/>
        <v>0</v>
      </c>
    </row>
    <row r="151" spans="1:26" s="24" customFormat="1" hidden="1" outlineLevel="1" x14ac:dyDescent="0.25">
      <c r="A151" s="46"/>
      <c r="B151" s="11" t="str">
        <f>CONCATENATE("          ", "5542", " - ", "FREIGHT-IN-EVERYDAY GIFTS")</f>
        <v xml:space="preserve">          5542 - FREIGHT-IN-EVERYDAY GIFTS</v>
      </c>
      <c r="C151" s="11"/>
      <c r="D151" s="2">
        <v>58.91</v>
      </c>
      <c r="E151" s="2"/>
      <c r="F151" s="19">
        <f t="shared" si="6"/>
        <v>3.959000587230473E-5</v>
      </c>
      <c r="G151" s="2"/>
      <c r="H151" s="2"/>
      <c r="I151" s="2"/>
      <c r="J151" s="19">
        <f t="shared" si="7"/>
        <v>0</v>
      </c>
      <c r="K151" s="2"/>
      <c r="L151" s="2">
        <f t="shared" si="8"/>
        <v>58.91</v>
      </c>
      <c r="M151" s="2"/>
      <c r="N151" s="19">
        <f t="shared" si="9"/>
        <v>0</v>
      </c>
      <c r="O151" s="11"/>
      <c r="P151" s="2">
        <v>171.68</v>
      </c>
      <c r="Q151" s="2"/>
      <c r="R151" s="19">
        <f t="shared" si="10"/>
        <v>3.6292229794915705E-5</v>
      </c>
      <c r="S151" s="2"/>
      <c r="T151" s="2"/>
      <c r="U151" s="2"/>
      <c r="V151" s="19">
        <f t="shared" si="11"/>
        <v>0</v>
      </c>
      <c r="W151" s="2"/>
      <c r="X151" s="2">
        <f t="shared" si="12"/>
        <v>171.68</v>
      </c>
      <c r="Y151" s="2"/>
      <c r="Z151" s="19">
        <f t="shared" si="13"/>
        <v>0</v>
      </c>
    </row>
    <row r="152" spans="1:26" s="24" customFormat="1" hidden="1" outlineLevel="1" x14ac:dyDescent="0.25">
      <c r="A152" s="46"/>
      <c r="B152" s="11" t="str">
        <f>CONCATENATE("          ", "5543", " - ", "FREIGHT-IN-CARDS")</f>
        <v xml:space="preserve">          5543 - FREIGHT-IN-CARDS</v>
      </c>
      <c r="C152" s="11"/>
      <c r="D152" s="2"/>
      <c r="E152" s="2"/>
      <c r="F152" s="19">
        <f t="shared" si="6"/>
        <v>0</v>
      </c>
      <c r="G152" s="2"/>
      <c r="H152" s="2"/>
      <c r="I152" s="2"/>
      <c r="J152" s="19">
        <f t="shared" si="7"/>
        <v>0</v>
      </c>
      <c r="K152" s="2"/>
      <c r="L152" s="2">
        <f t="shared" si="8"/>
        <v>0</v>
      </c>
      <c r="M152" s="2"/>
      <c r="N152" s="19">
        <f t="shared" si="9"/>
        <v>0</v>
      </c>
      <c r="O152" s="11"/>
      <c r="P152" s="2">
        <v>4.58</v>
      </c>
      <c r="Q152" s="2"/>
      <c r="R152" s="19">
        <f t="shared" si="10"/>
        <v>9.6818739783733656E-7</v>
      </c>
      <c r="S152" s="2"/>
      <c r="T152" s="2"/>
      <c r="U152" s="2"/>
      <c r="V152" s="19">
        <f t="shared" si="11"/>
        <v>0</v>
      </c>
      <c r="W152" s="2"/>
      <c r="X152" s="2">
        <f t="shared" si="12"/>
        <v>4.58</v>
      </c>
      <c r="Y152" s="2"/>
      <c r="Z152" s="19">
        <f t="shared" si="13"/>
        <v>0</v>
      </c>
    </row>
    <row r="153" spans="1:26" s="24" customFormat="1" hidden="1" outlineLevel="1" x14ac:dyDescent="0.25">
      <c r="A153" s="46"/>
      <c r="B153" s="11" t="str">
        <f>CONCATENATE("          ", "5544", " - ", "FREIGHT-IN-ACCESSORIES")</f>
        <v xml:space="preserve">          5544 - FREIGHT-IN-ACCESSORIES</v>
      </c>
      <c r="C153" s="11"/>
      <c r="D153" s="2">
        <v>34.18</v>
      </c>
      <c r="E153" s="2"/>
      <c r="F153" s="19">
        <f t="shared" si="6"/>
        <v>2.2970402320749888E-5</v>
      </c>
      <c r="G153" s="2"/>
      <c r="H153" s="2"/>
      <c r="I153" s="2"/>
      <c r="J153" s="19">
        <f t="shared" si="7"/>
        <v>0</v>
      </c>
      <c r="K153" s="2"/>
      <c r="L153" s="2">
        <f t="shared" si="8"/>
        <v>34.18</v>
      </c>
      <c r="M153" s="2"/>
      <c r="N153" s="19">
        <f t="shared" si="9"/>
        <v>0</v>
      </c>
      <c r="O153" s="11"/>
      <c r="P153" s="2">
        <v>135.84</v>
      </c>
      <c r="Q153" s="2"/>
      <c r="R153" s="19">
        <f t="shared" si="10"/>
        <v>2.8715846314896024E-5</v>
      </c>
      <c r="S153" s="2"/>
      <c r="T153" s="2"/>
      <c r="U153" s="2"/>
      <c r="V153" s="19">
        <f t="shared" si="11"/>
        <v>0</v>
      </c>
      <c r="W153" s="2"/>
      <c r="X153" s="2">
        <f t="shared" si="12"/>
        <v>135.84</v>
      </c>
      <c r="Y153" s="2"/>
      <c r="Z153" s="19">
        <f t="shared" si="13"/>
        <v>0</v>
      </c>
    </row>
    <row r="154" spans="1:26" s="24" customFormat="1" hidden="1" outlineLevel="1" x14ac:dyDescent="0.25">
      <c r="A154" s="46"/>
      <c r="B154" s="11" t="str">
        <f>CONCATENATE("          ", "5545", " - ", "FREIGHT-IN-SPECIAL ORDERS")</f>
        <v xml:space="preserve">          5545 - FREIGHT-IN-SPECIAL ORDERS</v>
      </c>
      <c r="C154" s="11"/>
      <c r="D154" s="2">
        <v>26.56</v>
      </c>
      <c r="E154" s="2"/>
      <c r="F154" s="19">
        <f t="shared" si="6"/>
        <v>1.7849440773525949E-5</v>
      </c>
      <c r="G154" s="2"/>
      <c r="H154" s="2"/>
      <c r="I154" s="2"/>
      <c r="J154" s="19">
        <f t="shared" si="7"/>
        <v>0</v>
      </c>
      <c r="K154" s="2"/>
      <c r="L154" s="2">
        <f t="shared" si="8"/>
        <v>26.56</v>
      </c>
      <c r="M154" s="2"/>
      <c r="N154" s="19">
        <f t="shared" si="9"/>
        <v>0</v>
      </c>
      <c r="O154" s="11"/>
      <c r="P154" s="2">
        <v>262.51</v>
      </c>
      <c r="Q154" s="2"/>
      <c r="R154" s="19">
        <f t="shared" si="10"/>
        <v>5.5493203887833888E-5</v>
      </c>
      <c r="S154" s="2"/>
      <c r="T154" s="2"/>
      <c r="U154" s="2"/>
      <c r="V154" s="19">
        <f t="shared" si="11"/>
        <v>0</v>
      </c>
      <c r="W154" s="2"/>
      <c r="X154" s="2">
        <f t="shared" si="12"/>
        <v>262.51</v>
      </c>
      <c r="Y154" s="2"/>
      <c r="Z154" s="19">
        <f t="shared" si="13"/>
        <v>0</v>
      </c>
    </row>
    <row r="155" spans="1:26" s="24" customFormat="1" hidden="1" outlineLevel="1" x14ac:dyDescent="0.25">
      <c r="A155" s="46"/>
      <c r="B155" s="11" t="str">
        <f>CONCATENATE("          ", "5592", " - ", "FREIGHT-IN-GRAD MERCH")</f>
        <v xml:space="preserve">          5592 - FREIGHT-IN-GRAD MERCH</v>
      </c>
      <c r="C155" s="11"/>
      <c r="D155" s="2">
        <v>11.21</v>
      </c>
      <c r="E155" s="2"/>
      <c r="F155" s="19">
        <f t="shared" si="6"/>
        <v>7.5335930373202532E-6</v>
      </c>
      <c r="G155" s="2"/>
      <c r="H155" s="2"/>
      <c r="I155" s="2"/>
      <c r="J155" s="19">
        <f t="shared" si="7"/>
        <v>0</v>
      </c>
      <c r="K155" s="2"/>
      <c r="L155" s="2">
        <f t="shared" si="8"/>
        <v>11.21</v>
      </c>
      <c r="M155" s="2"/>
      <c r="N155" s="19">
        <f t="shared" si="9"/>
        <v>0</v>
      </c>
      <c r="O155" s="11"/>
      <c r="P155" s="2">
        <v>70.78</v>
      </c>
      <c r="Q155" s="2"/>
      <c r="R155" s="19">
        <f t="shared" si="10"/>
        <v>1.4962511794525476E-5</v>
      </c>
      <c r="S155" s="2"/>
      <c r="T155" s="2"/>
      <c r="U155" s="2"/>
      <c r="V155" s="19">
        <f t="shared" si="11"/>
        <v>0</v>
      </c>
      <c r="W155" s="2"/>
      <c r="X155" s="2">
        <f t="shared" si="12"/>
        <v>70.78</v>
      </c>
      <c r="Y155" s="2"/>
      <c r="Z155" s="19">
        <f t="shared" si="13"/>
        <v>0</v>
      </c>
    </row>
    <row r="156" spans="1:26" x14ac:dyDescent="0.25">
      <c r="A156" s="9"/>
      <c r="B156" s="10"/>
      <c r="C156" s="10"/>
      <c r="D156" s="3"/>
      <c r="E156" s="3"/>
      <c r="F156" s="8"/>
      <c r="G156" s="3"/>
      <c r="H156" s="3"/>
      <c r="I156" s="3"/>
      <c r="J156" s="8"/>
      <c r="K156" s="3"/>
      <c r="L156" s="3"/>
      <c r="M156" s="3"/>
      <c r="N156" s="8"/>
      <c r="O156" s="10"/>
      <c r="P156" s="3"/>
      <c r="Q156" s="3"/>
      <c r="R156" s="8"/>
      <c r="S156" s="3"/>
      <c r="T156" s="3"/>
      <c r="U156" s="3"/>
      <c r="V156" s="8"/>
      <c r="W156" s="3"/>
      <c r="X156" s="3"/>
      <c r="Y156" s="3"/>
      <c r="Z156" s="8"/>
    </row>
    <row r="157" spans="1:26" s="23" customFormat="1" x14ac:dyDescent="0.25">
      <c r="A157" s="10"/>
      <c r="B157" s="29" t="s">
        <v>6</v>
      </c>
      <c r="C157" s="29"/>
      <c r="D157" s="22">
        <f>D12-D105</f>
        <v>667526.76999999909</v>
      </c>
      <c r="E157" s="14"/>
      <c r="F157" s="20">
        <f>IF(D$12=0,0,D157/D$12)</f>
        <v>0.44860615760007766</v>
      </c>
      <c r="G157" s="14"/>
      <c r="H157" s="22">
        <f>H12-H105</f>
        <v>701182.46252000006</v>
      </c>
      <c r="I157" s="14"/>
      <c r="J157" s="20">
        <f>IF(H$12=0,0,H157/H$12)</f>
        <v>0.45331653435486685</v>
      </c>
      <c r="K157" s="15"/>
      <c r="L157" s="22">
        <f>+D157-H157</f>
        <v>-33655.692520000972</v>
      </c>
      <c r="M157" s="15"/>
      <c r="N157" s="20">
        <f>IF(H157=0,0,L157/H157)</f>
        <v>-4.7998480165982474E-2</v>
      </c>
      <c r="O157" s="28"/>
      <c r="P157" s="22">
        <f>P12-P105</f>
        <v>1854349.0599999987</v>
      </c>
      <c r="Q157" s="14"/>
      <c r="R157" s="20">
        <f>IF(P$12=0,0,P157/P$12)</f>
        <v>0.39199943036757856</v>
      </c>
      <c r="S157" s="14"/>
      <c r="T157" s="22">
        <f>T12-T105</f>
        <v>1979859.7080100002</v>
      </c>
      <c r="U157" s="14"/>
      <c r="V157" s="20">
        <f>IF(T$12=0,0,T157/T$12)</f>
        <v>0.39565130774463425</v>
      </c>
      <c r="W157" s="15"/>
      <c r="X157" s="22">
        <f>+P157-T157</f>
        <v>-125510.64801000152</v>
      </c>
      <c r="Y157" s="15"/>
      <c r="Z157" s="20">
        <f>IF(T157=0,0,X157/T157)</f>
        <v>-6.3393707898705104E-2</v>
      </c>
    </row>
    <row r="158" spans="1:26" x14ac:dyDescent="0.25">
      <c r="A158" s="9"/>
      <c r="B158" s="10"/>
      <c r="C158" s="9"/>
      <c r="D158" s="1"/>
      <c r="E158" s="1"/>
      <c r="F158" s="5"/>
      <c r="G158" s="1"/>
      <c r="H158" s="1"/>
      <c r="I158" s="1"/>
      <c r="J158" s="5"/>
      <c r="K158" s="1"/>
      <c r="L158" s="1"/>
      <c r="M158" s="1"/>
      <c r="N158" s="5"/>
      <c r="O158" s="36"/>
      <c r="P158" s="1"/>
      <c r="Q158" s="1"/>
      <c r="R158" s="5"/>
      <c r="S158" s="1"/>
      <c r="T158" s="1"/>
      <c r="U158" s="1"/>
      <c r="V158" s="5"/>
      <c r="W158" s="1"/>
      <c r="X158" s="1"/>
      <c r="Y158" s="1"/>
      <c r="Z158" s="5"/>
    </row>
    <row r="159" spans="1:26" s="23" customFormat="1" x14ac:dyDescent="0.25">
      <c r="A159" s="10"/>
      <c r="B159" s="28" t="s">
        <v>9</v>
      </c>
      <c r="C159" s="10"/>
      <c r="D159" s="21">
        <f>SUM(OSRRefD22x_0)</f>
        <v>479138.56000000017</v>
      </c>
      <c r="E159" s="21"/>
      <c r="F159" s="33">
        <f t="shared" ref="F159:F170" si="14">IF(D$12=0,0,D159/D$12)</f>
        <v>0.32200133091236871</v>
      </c>
      <c r="G159" s="21"/>
      <c r="H159" s="21">
        <f>SUM(OSRRefH22x_0)</f>
        <v>508371.6886990692</v>
      </c>
      <c r="I159" s="21"/>
      <c r="J159" s="33">
        <f t="shared" ref="J159:J170" si="15">IF(H$12=0,0,H159/H$12)</f>
        <v>0.32866379922989014</v>
      </c>
      <c r="K159" s="4"/>
      <c r="L159" s="21">
        <f t="shared" ref="L159:L170" si="16">+D159-H159</f>
        <v>-29233.128699069028</v>
      </c>
      <c r="M159" s="4"/>
      <c r="N159" s="33">
        <f t="shared" ref="N159:N170" si="17">IF(H159=0,0,L159/H159)</f>
        <v>-5.7503455343622778E-2</v>
      </c>
      <c r="O159" s="10"/>
      <c r="P159" s="21">
        <f>SUM(OSRRefP22x_0)</f>
        <v>1417717.7499999998</v>
      </c>
      <c r="Q159" s="21"/>
      <c r="R159" s="33">
        <f t="shared" ref="R159:R170" si="18">IF(P$12=0,0,P159/P$12)</f>
        <v>0.29969791686469505</v>
      </c>
      <c r="S159" s="21"/>
      <c r="T159" s="21">
        <f>SUM(OSRRefT22x_0)</f>
        <v>1525248.8693665508</v>
      </c>
      <c r="U159" s="21"/>
      <c r="V159" s="33">
        <f t="shared" ref="V159:V170" si="19">IF(T$12=0,0,T159/T$12)</f>
        <v>0.30480276322581368</v>
      </c>
      <c r="W159" s="4"/>
      <c r="X159" s="21">
        <f t="shared" ref="X159:X170" si="20">+P159-T159</f>
        <v>-107531.11936655105</v>
      </c>
      <c r="Y159" s="4"/>
      <c r="Z159" s="33">
        <f t="shared" ref="Z159:Z170" si="21">IF(T159=0,0,X159/T159)</f>
        <v>-7.0500704197348246E-2</v>
      </c>
    </row>
    <row r="160" spans="1:26" s="26" customFormat="1" outlineLevel="1" collapsed="1" x14ac:dyDescent="0.25">
      <c r="A160" s="27"/>
      <c r="B160" s="13" t="str">
        <f>CONCATENATE("     ","*Benefits                                         ")</f>
        <v xml:space="preserve">     *Benefits                                         </v>
      </c>
      <c r="C160" s="13"/>
      <c r="D160" s="1">
        <f>SUM(OSRRefD22_0x_0)</f>
        <v>62238.760000000009</v>
      </c>
      <c r="E160" s="1"/>
      <c r="F160" s="5">
        <f t="shared" si="14"/>
        <v>4.1827073058648197E-2</v>
      </c>
      <c r="G160" s="1"/>
      <c r="H160" s="1">
        <f>SUM(OSRRefH22_0x_0)</f>
        <v>58909.192211918409</v>
      </c>
      <c r="I160" s="1"/>
      <c r="J160" s="5">
        <f t="shared" si="15"/>
        <v>3.8084966870359886E-2</v>
      </c>
      <c r="K160" s="1"/>
      <c r="L160" s="1">
        <f t="shared" si="16"/>
        <v>3329.5677880816002</v>
      </c>
      <c r="M160" s="1"/>
      <c r="N160" s="5">
        <f t="shared" si="17"/>
        <v>5.6520343652038188E-2</v>
      </c>
      <c r="O160" s="13"/>
      <c r="P160" s="1">
        <f>SUM(OSRRefP22_0x_0)</f>
        <v>198372.47999999998</v>
      </c>
      <c r="Q160" s="1"/>
      <c r="R160" s="5">
        <f t="shared" si="18"/>
        <v>4.1934876684222501E-2</v>
      </c>
      <c r="S160" s="1"/>
      <c r="T160" s="1">
        <f>SUM(OSRRefT22_0x_0)</f>
        <v>190751.83185276046</v>
      </c>
      <c r="U160" s="1"/>
      <c r="V160" s="5">
        <f t="shared" si="19"/>
        <v>3.8119474537459529E-2</v>
      </c>
      <c r="W160" s="1"/>
      <c r="X160" s="1">
        <f t="shared" si="20"/>
        <v>7620.6481472395244</v>
      </c>
      <c r="Y160" s="1"/>
      <c r="Z160" s="5">
        <f t="shared" si="21"/>
        <v>3.9950589586588245E-2</v>
      </c>
    </row>
    <row r="161" spans="1:26" s="24" customFormat="1" hidden="1" outlineLevel="2" x14ac:dyDescent="0.25">
      <c r="A161" s="25"/>
      <c r="B161" s="11" t="str">
        <f>CONCATENATE("          ", "6111", " - ", "F.I.C.A.")</f>
        <v xml:space="preserve">          6111 - F.I.C.A.</v>
      </c>
      <c r="C161" s="11"/>
      <c r="D161" s="7">
        <v>9398.49</v>
      </c>
      <c r="E161" s="2"/>
      <c r="F161" s="6">
        <f t="shared" si="14"/>
        <v>6.3161818755864425E-3</v>
      </c>
      <c r="G161" s="2"/>
      <c r="H161" s="7">
        <v>8997.7851335088508</v>
      </c>
      <c r="I161" s="2"/>
      <c r="J161" s="6">
        <f t="shared" si="15"/>
        <v>5.8170946816509016E-3</v>
      </c>
      <c r="K161" s="2"/>
      <c r="L161" s="7">
        <f t="shared" si="16"/>
        <v>400.70486649114901</v>
      </c>
      <c r="M161" s="2"/>
      <c r="N161" s="6">
        <f t="shared" si="17"/>
        <v>4.4533722526766628E-2</v>
      </c>
      <c r="O161" s="11"/>
      <c r="P161" s="7">
        <v>39143.65</v>
      </c>
      <c r="Q161" s="2"/>
      <c r="R161" s="6">
        <f t="shared" si="18"/>
        <v>8.2747573439640749E-3</v>
      </c>
      <c r="S161" s="2"/>
      <c r="T161" s="7">
        <v>38714.997661841946</v>
      </c>
      <c r="U161" s="2"/>
      <c r="V161" s="6">
        <f t="shared" si="19"/>
        <v>7.7367297249734497E-3</v>
      </c>
      <c r="W161" s="2"/>
      <c r="X161" s="7">
        <f t="shared" si="20"/>
        <v>428.6523381580555</v>
      </c>
      <c r="Y161" s="2"/>
      <c r="Z161" s="6">
        <f t="shared" si="21"/>
        <v>1.1071997004936962E-2</v>
      </c>
    </row>
    <row r="162" spans="1:26" s="24" customFormat="1" hidden="1" outlineLevel="2" x14ac:dyDescent="0.25">
      <c r="A162" s="25"/>
      <c r="B162" s="11" t="str">
        <f>CONCATENATE("          ", "6112", " - ", "COMPENSATION INSURANCE")</f>
        <v xml:space="preserve">          6112 - COMPENSATION INSURANCE</v>
      </c>
      <c r="C162" s="11"/>
      <c r="D162" s="7">
        <v>4454.33</v>
      </c>
      <c r="E162" s="2"/>
      <c r="F162" s="6">
        <f t="shared" si="14"/>
        <v>2.9934977229194222E-3</v>
      </c>
      <c r="G162" s="2"/>
      <c r="H162" s="7">
        <v>4702.6890434230763</v>
      </c>
      <c r="I162" s="2"/>
      <c r="J162" s="6">
        <f t="shared" si="15"/>
        <v>3.0403023653095811E-3</v>
      </c>
      <c r="K162" s="2"/>
      <c r="L162" s="7">
        <f t="shared" si="16"/>
        <v>-248.3590434230764</v>
      </c>
      <c r="M162" s="2"/>
      <c r="N162" s="6">
        <f t="shared" si="17"/>
        <v>-5.2812133893993647E-2</v>
      </c>
      <c r="O162" s="11"/>
      <c r="P162" s="7">
        <v>10820.29</v>
      </c>
      <c r="Q162" s="2"/>
      <c r="R162" s="6">
        <f t="shared" si="18"/>
        <v>2.2873511831758416E-3</v>
      </c>
      <c r="S162" s="2"/>
      <c r="T162" s="7">
        <v>13693.208042374998</v>
      </c>
      <c r="U162" s="2"/>
      <c r="V162" s="6">
        <f t="shared" si="19"/>
        <v>2.7364240240185978E-3</v>
      </c>
      <c r="W162" s="2"/>
      <c r="X162" s="7">
        <f t="shared" si="20"/>
        <v>-2872.9180423749967</v>
      </c>
      <c r="Y162" s="2"/>
      <c r="Z162" s="6">
        <f t="shared" si="21"/>
        <v>-0.20980606104022267</v>
      </c>
    </row>
    <row r="163" spans="1:26" s="24" customFormat="1" hidden="1" outlineLevel="2" x14ac:dyDescent="0.25">
      <c r="A163" s="25"/>
      <c r="B163" s="11" t="str">
        <f>CONCATENATE("          ", "6113", " - ", "GROUP INSURANCE")</f>
        <v xml:space="preserve">          6113 - GROUP INSURANCE</v>
      </c>
      <c r="C163" s="11"/>
      <c r="D163" s="7">
        <v>25413.72</v>
      </c>
      <c r="E163" s="2"/>
      <c r="F163" s="6">
        <f t="shared" si="14"/>
        <v>1.7079092243033583E-2</v>
      </c>
      <c r="G163" s="2"/>
      <c r="H163" s="7">
        <v>24508.81923076923</v>
      </c>
      <c r="I163" s="2"/>
      <c r="J163" s="6">
        <f t="shared" si="15"/>
        <v>1.5845024068190123E-2</v>
      </c>
      <c r="K163" s="2"/>
      <c r="L163" s="7">
        <f t="shared" si="16"/>
        <v>904.9007692307714</v>
      </c>
      <c r="M163" s="2"/>
      <c r="N163" s="6">
        <f t="shared" si="17"/>
        <v>3.6921434717455799E-2</v>
      </c>
      <c r="O163" s="11"/>
      <c r="P163" s="7">
        <v>76166.259999999995</v>
      </c>
      <c r="Q163" s="2"/>
      <c r="R163" s="6">
        <f t="shared" si="18"/>
        <v>1.6101138225415285E-2</v>
      </c>
      <c r="S163" s="2"/>
      <c r="T163" s="7">
        <v>73998.150000000009</v>
      </c>
      <c r="U163" s="2"/>
      <c r="V163" s="6">
        <f t="shared" si="19"/>
        <v>1.4787646164894695E-2</v>
      </c>
      <c r="W163" s="2"/>
      <c r="X163" s="7">
        <f t="shared" si="20"/>
        <v>2168.109999999986</v>
      </c>
      <c r="Y163" s="2"/>
      <c r="Z163" s="6">
        <f t="shared" si="21"/>
        <v>2.9299516271690383E-2</v>
      </c>
    </row>
    <row r="164" spans="1:26" s="24" customFormat="1" hidden="1" outlineLevel="2" x14ac:dyDescent="0.25">
      <c r="A164" s="25"/>
      <c r="B164" s="11" t="str">
        <f>CONCATENATE("          ", "6114", " - ", "STATE UNEMPLOYMENT INSURANCE")</f>
        <v xml:space="preserve">          6114 - STATE UNEMPLOYMENT INSURANCE</v>
      </c>
      <c r="C164" s="11"/>
      <c r="D164" s="7">
        <v>714.9</v>
      </c>
      <c r="E164" s="2"/>
      <c r="F164" s="6">
        <f t="shared" si="14"/>
        <v>4.804429672060882E-4</v>
      </c>
      <c r="G164" s="2"/>
      <c r="H164" s="7">
        <v>661.71677220991205</v>
      </c>
      <c r="I164" s="2"/>
      <c r="J164" s="6">
        <f t="shared" si="15"/>
        <v>4.2780184892905835E-4</v>
      </c>
      <c r="K164" s="2"/>
      <c r="L164" s="7">
        <f t="shared" si="16"/>
        <v>53.183227790087926</v>
      </c>
      <c r="M164" s="2"/>
      <c r="N164" s="6">
        <f t="shared" si="17"/>
        <v>8.0371588002029606E-2</v>
      </c>
      <c r="O164" s="11"/>
      <c r="P164" s="7">
        <v>1731.07</v>
      </c>
      <c r="Q164" s="2"/>
      <c r="R164" s="6">
        <f t="shared" si="18"/>
        <v>3.6593889929569391E-4</v>
      </c>
      <c r="S164" s="2"/>
      <c r="T164" s="7">
        <v>1928.327177089144</v>
      </c>
      <c r="U164" s="2"/>
      <c r="V164" s="6">
        <f t="shared" si="19"/>
        <v>3.8535314713873914E-4</v>
      </c>
      <c r="W164" s="2"/>
      <c r="X164" s="7">
        <f t="shared" si="20"/>
        <v>-197.25717708914408</v>
      </c>
      <c r="Y164" s="2"/>
      <c r="Z164" s="6">
        <f t="shared" si="21"/>
        <v>-0.10229445471328601</v>
      </c>
    </row>
    <row r="165" spans="1:26" s="24" customFormat="1" hidden="1" outlineLevel="2" x14ac:dyDescent="0.25">
      <c r="A165" s="25"/>
      <c r="B165" s="11" t="str">
        <f>CONCATENATE("          ", "6115", " - ", "P.E.R.S.")</f>
        <v xml:space="preserve">          6115 - P.E.R.S.</v>
      </c>
      <c r="C165" s="11"/>
      <c r="D165" s="7">
        <v>7882.69</v>
      </c>
      <c r="E165" s="2"/>
      <c r="F165" s="6">
        <f t="shared" si="14"/>
        <v>5.2975003121636024E-3</v>
      </c>
      <c r="G165" s="2"/>
      <c r="H165" s="7">
        <v>7507.6447402307613</v>
      </c>
      <c r="I165" s="2"/>
      <c r="J165" s="6">
        <f t="shared" si="15"/>
        <v>4.8537145133059839E-3</v>
      </c>
      <c r="K165" s="2"/>
      <c r="L165" s="7">
        <f t="shared" si="16"/>
        <v>375.04525976923833</v>
      </c>
      <c r="M165" s="2"/>
      <c r="N165" s="6">
        <f t="shared" si="17"/>
        <v>4.9955115451788226E-2</v>
      </c>
      <c r="O165" s="11"/>
      <c r="P165" s="7">
        <v>23183.66</v>
      </c>
      <c r="Q165" s="2"/>
      <c r="R165" s="6">
        <f t="shared" si="18"/>
        <v>4.9009011894640929E-3</v>
      </c>
      <c r="S165" s="2"/>
      <c r="T165" s="7">
        <v>24399.84540574998</v>
      </c>
      <c r="U165" s="2"/>
      <c r="V165" s="6">
        <f t="shared" si="19"/>
        <v>4.8760175806876541E-3</v>
      </c>
      <c r="W165" s="2"/>
      <c r="X165" s="7">
        <f t="shared" si="20"/>
        <v>-1216.1854057499804</v>
      </c>
      <c r="Y165" s="2"/>
      <c r="Z165" s="6">
        <f t="shared" si="21"/>
        <v>-4.9843979973060754E-2</v>
      </c>
    </row>
    <row r="166" spans="1:26" s="24" customFormat="1" hidden="1" outlineLevel="2" x14ac:dyDescent="0.25">
      <c r="A166" s="25"/>
      <c r="B166" s="11" t="str">
        <f>CONCATENATE("          ", "6116", " - ", "EDUCATIONAL BENEFITS")</f>
        <v xml:space="preserve">          6116 - EDUCATIONAL BENEFITS</v>
      </c>
      <c r="C166" s="11"/>
      <c r="D166" s="7"/>
      <c r="E166" s="2"/>
      <c r="F166" s="6">
        <f t="shared" si="14"/>
        <v>0</v>
      </c>
      <c r="G166" s="2"/>
      <c r="H166" s="7">
        <v>0</v>
      </c>
      <c r="I166" s="2"/>
      <c r="J166" s="6">
        <f t="shared" si="15"/>
        <v>0</v>
      </c>
      <c r="K166" s="2"/>
      <c r="L166" s="7">
        <f t="shared" si="16"/>
        <v>0</v>
      </c>
      <c r="M166" s="2"/>
      <c r="N166" s="6">
        <f t="shared" si="17"/>
        <v>0</v>
      </c>
      <c r="O166" s="11"/>
      <c r="P166" s="7"/>
      <c r="Q166" s="2"/>
      <c r="R166" s="6">
        <f t="shared" si="18"/>
        <v>0</v>
      </c>
      <c r="S166" s="2"/>
      <c r="T166" s="7">
        <v>0</v>
      </c>
      <c r="U166" s="2"/>
      <c r="V166" s="6">
        <f t="shared" si="19"/>
        <v>0</v>
      </c>
      <c r="W166" s="2"/>
      <c r="X166" s="7">
        <f t="shared" si="20"/>
        <v>0</v>
      </c>
      <c r="Y166" s="2"/>
      <c r="Z166" s="6">
        <f t="shared" si="21"/>
        <v>0</v>
      </c>
    </row>
    <row r="167" spans="1:26" s="24" customFormat="1" hidden="1" outlineLevel="2" x14ac:dyDescent="0.25">
      <c r="A167" s="25"/>
      <c r="B167" s="11" t="str">
        <f>CONCATENATE("          ", "6117", " - ", "RETIREMENT STAFF HOURLY")</f>
        <v xml:space="preserve">          6117 - RETIREMENT STAFF HOURLY</v>
      </c>
      <c r="C167" s="11"/>
      <c r="D167" s="7">
        <v>145.97</v>
      </c>
      <c r="E167" s="2"/>
      <c r="F167" s="6">
        <f t="shared" si="14"/>
        <v>9.8097999612634901E-5</v>
      </c>
      <c r="G167" s="2"/>
      <c r="H167" s="7"/>
      <c r="I167" s="2"/>
      <c r="J167" s="6">
        <f t="shared" si="15"/>
        <v>0</v>
      </c>
      <c r="K167" s="2"/>
      <c r="L167" s="7">
        <f t="shared" si="16"/>
        <v>145.97</v>
      </c>
      <c r="M167" s="2"/>
      <c r="N167" s="6">
        <f t="shared" si="17"/>
        <v>0</v>
      </c>
      <c r="O167" s="11"/>
      <c r="P167" s="7">
        <v>461.34</v>
      </c>
      <c r="Q167" s="2"/>
      <c r="R167" s="6">
        <f t="shared" si="18"/>
        <v>9.7524797842418512E-5</v>
      </c>
      <c r="S167" s="2"/>
      <c r="T167" s="7"/>
      <c r="U167" s="2"/>
      <c r="V167" s="6">
        <f t="shared" si="19"/>
        <v>0</v>
      </c>
      <c r="W167" s="2"/>
      <c r="X167" s="7">
        <f t="shared" si="20"/>
        <v>461.34</v>
      </c>
      <c r="Y167" s="2"/>
      <c r="Z167" s="6">
        <f t="shared" si="21"/>
        <v>0</v>
      </c>
    </row>
    <row r="168" spans="1:26" s="24" customFormat="1" hidden="1" outlineLevel="2" x14ac:dyDescent="0.25">
      <c r="A168" s="25"/>
      <c r="B168" s="11" t="str">
        <f>CONCATENATE("          ", "6118", " - ", "VACATION")</f>
        <v xml:space="preserve">          6118 - VACATION</v>
      </c>
      <c r="C168" s="11"/>
      <c r="D168" s="7">
        <v>6482.44</v>
      </c>
      <c r="E168" s="2"/>
      <c r="F168" s="6">
        <f t="shared" si="14"/>
        <v>4.3564732246963687E-3</v>
      </c>
      <c r="G168" s="2"/>
      <c r="H168" s="7">
        <v>5012.6498912461502</v>
      </c>
      <c r="I168" s="2"/>
      <c r="J168" s="6">
        <f t="shared" si="15"/>
        <v>3.2406929695124698E-3</v>
      </c>
      <c r="K168" s="2"/>
      <c r="L168" s="7">
        <f t="shared" si="16"/>
        <v>1469.7901087538494</v>
      </c>
      <c r="M168" s="2"/>
      <c r="N168" s="6">
        <f t="shared" si="17"/>
        <v>0.29321619116480085</v>
      </c>
      <c r="O168" s="11"/>
      <c r="P168" s="7">
        <v>20945.05</v>
      </c>
      <c r="Q168" s="2"/>
      <c r="R168" s="6">
        <f t="shared" si="18"/>
        <v>4.4276710604962671E-3</v>
      </c>
      <c r="S168" s="2"/>
      <c r="T168" s="7">
        <v>16276.280146549991</v>
      </c>
      <c r="U168" s="2"/>
      <c r="V168" s="6">
        <f t="shared" si="19"/>
        <v>3.2526201220960472E-3</v>
      </c>
      <c r="W168" s="2"/>
      <c r="X168" s="7">
        <f t="shared" si="20"/>
        <v>4668.7698534500087</v>
      </c>
      <c r="Y168" s="2"/>
      <c r="Z168" s="6">
        <f t="shared" si="21"/>
        <v>0.28684501688425573</v>
      </c>
    </row>
    <row r="169" spans="1:26" s="24" customFormat="1" hidden="1" outlineLevel="2" x14ac:dyDescent="0.25">
      <c r="A169" s="25"/>
      <c r="B169" s="11" t="str">
        <f>CONCATENATE("          ", "6119", " - ", "SICK LEAVE")</f>
        <v xml:space="preserve">          6119 - SICK LEAVE</v>
      </c>
      <c r="C169" s="11"/>
      <c r="D169" s="7">
        <v>4907.63</v>
      </c>
      <c r="E169" s="2"/>
      <c r="F169" s="6">
        <f t="shared" si="14"/>
        <v>3.2981344511814445E-3</v>
      </c>
      <c r="G169" s="2"/>
      <c r="H169" s="7">
        <v>5967.8874005304306</v>
      </c>
      <c r="I169" s="2"/>
      <c r="J169" s="6">
        <f t="shared" si="15"/>
        <v>3.8582568424568443E-3</v>
      </c>
      <c r="K169" s="2"/>
      <c r="L169" s="7">
        <f t="shared" si="16"/>
        <v>-1060.2574005304305</v>
      </c>
      <c r="M169" s="2"/>
      <c r="N169" s="6">
        <f t="shared" si="17"/>
        <v>-0.1776604230897845</v>
      </c>
      <c r="O169" s="11"/>
      <c r="P169" s="7">
        <v>18270.54</v>
      </c>
      <c r="Q169" s="2"/>
      <c r="R169" s="6">
        <f t="shared" si="18"/>
        <v>3.8622940130312164E-3</v>
      </c>
      <c r="S169" s="2"/>
      <c r="T169" s="7">
        <v>16966.023419154393</v>
      </c>
      <c r="U169" s="2"/>
      <c r="V169" s="6">
        <f t="shared" si="19"/>
        <v>3.3904570742345859E-3</v>
      </c>
      <c r="W169" s="2"/>
      <c r="X169" s="7">
        <f t="shared" si="20"/>
        <v>1304.5165808456077</v>
      </c>
      <c r="Y169" s="2"/>
      <c r="Z169" s="6">
        <f t="shared" si="21"/>
        <v>7.6889943424976501E-2</v>
      </c>
    </row>
    <row r="170" spans="1:26" s="24" customFormat="1" hidden="1" outlineLevel="2" x14ac:dyDescent="0.25">
      <c r="A170" s="25"/>
      <c r="B170" s="11" t="str">
        <f>CONCATENATE("          ", "6156", " - ", "EMPLOYEE MEALS")</f>
        <v xml:space="preserve">          6156 - EMPLOYEE MEALS</v>
      </c>
      <c r="C170" s="11"/>
      <c r="D170" s="7">
        <v>2838.59</v>
      </c>
      <c r="E170" s="2"/>
      <c r="F170" s="6">
        <f t="shared" si="14"/>
        <v>1.9076522622486082E-3</v>
      </c>
      <c r="G170" s="2"/>
      <c r="H170" s="7">
        <v>1550</v>
      </c>
      <c r="I170" s="2"/>
      <c r="J170" s="6">
        <f t="shared" si="15"/>
        <v>1.0020795810049255E-3</v>
      </c>
      <c r="K170" s="2"/>
      <c r="L170" s="7">
        <f t="shared" si="16"/>
        <v>1288.5900000000001</v>
      </c>
      <c r="M170" s="2"/>
      <c r="N170" s="6">
        <f t="shared" si="17"/>
        <v>0.83134838709677428</v>
      </c>
      <c r="O170" s="11"/>
      <c r="P170" s="7">
        <v>7650.62</v>
      </c>
      <c r="Q170" s="2"/>
      <c r="R170" s="6">
        <f t="shared" si="18"/>
        <v>1.6172999715376164E-3</v>
      </c>
      <c r="S170" s="2"/>
      <c r="T170" s="7">
        <v>4775</v>
      </c>
      <c r="U170" s="2"/>
      <c r="V170" s="6">
        <f t="shared" si="19"/>
        <v>9.5422669941575781E-4</v>
      </c>
      <c r="W170" s="2"/>
      <c r="X170" s="7">
        <f t="shared" si="20"/>
        <v>2875.62</v>
      </c>
      <c r="Y170" s="2"/>
      <c r="Z170" s="6">
        <f t="shared" si="21"/>
        <v>0.60222408376963343</v>
      </c>
    </row>
    <row r="171" spans="1:26" s="26" customFormat="1" outlineLevel="1" collapsed="1" x14ac:dyDescent="0.25">
      <c r="A171" s="27"/>
      <c r="B171" s="13" t="str">
        <f>CONCATENATE("     ","*Payroll                                          ")</f>
        <v xml:space="preserve">     *Payroll                                          </v>
      </c>
      <c r="C171" s="13"/>
      <c r="D171" s="1">
        <f>SUM(OSRRefD22_1x_0)</f>
        <v>233760.81</v>
      </c>
      <c r="E171" s="1"/>
      <c r="F171" s="5">
        <f t="shared" ref="F171:F181" si="22">IF(D$12=0,0,D171/D$12)</f>
        <v>0.15709712851153812</v>
      </c>
      <c r="G171" s="1"/>
      <c r="H171" s="1">
        <f>SUM(OSRRefH22_1x_0)</f>
        <v>245876.99648715078</v>
      </c>
      <c r="I171" s="1"/>
      <c r="J171" s="5">
        <f t="shared" ref="J171:J181" si="23">IF(H$12=0,0,H171/H$12)</f>
        <v>0.1589602049152217</v>
      </c>
      <c r="K171" s="1"/>
      <c r="L171" s="1">
        <f t="shared" ref="L171:L181" si="24">+D171-H171</f>
        <v>-12116.186487150786</v>
      </c>
      <c r="M171" s="1"/>
      <c r="N171" s="5">
        <f t="shared" ref="N171:N181" si="25">IF(H171=0,0,L171/H171)</f>
        <v>-4.9277430016857887E-2</v>
      </c>
      <c r="O171" s="13"/>
      <c r="P171" s="1">
        <f>SUM(OSRRefP22_1x_0)</f>
        <v>707836.35</v>
      </c>
      <c r="Q171" s="1"/>
      <c r="R171" s="5">
        <f t="shared" ref="R171:R181" si="26">IF(P$12=0,0,P171/P$12)</f>
        <v>0.14963280213999522</v>
      </c>
      <c r="S171" s="1"/>
      <c r="T171" s="1">
        <f>SUM(OSRRefT22_1x_0)</f>
        <v>714320.53751379007</v>
      </c>
      <c r="U171" s="1"/>
      <c r="V171" s="5">
        <f t="shared" ref="V171:V181" si="27">IF(T$12=0,0,T171/T$12)</f>
        <v>0.14274842488726155</v>
      </c>
      <c r="W171" s="1"/>
      <c r="X171" s="1">
        <f t="shared" ref="X171:X181" si="28">+P171-T171</f>
        <v>-6484.1875137900934</v>
      </c>
      <c r="Y171" s="1"/>
      <c r="Z171" s="5">
        <f t="shared" ref="Z171:Z181" si="29">IF(T171=0,0,X171/T171)</f>
        <v>-9.0774199722136861E-3</v>
      </c>
    </row>
    <row r="172" spans="1:26" s="24" customFormat="1" hidden="1" outlineLevel="2" x14ac:dyDescent="0.25">
      <c r="A172" s="25"/>
      <c r="B172" s="11" t="str">
        <f>CONCATENATE("          ", "6001", " - ", "ADMINISTRATIVE SALARIES")</f>
        <v xml:space="preserve">          6001 - ADMINISTRATIVE SALARIES</v>
      </c>
      <c r="C172" s="11"/>
      <c r="D172" s="7">
        <v>10717.14</v>
      </c>
      <c r="E172" s="2"/>
      <c r="F172" s="6">
        <f t="shared" si="22"/>
        <v>7.2023703197133249E-3</v>
      </c>
      <c r="G172" s="2"/>
      <c r="H172" s="7">
        <v>37309.313363384616</v>
      </c>
      <c r="I172" s="2"/>
      <c r="J172" s="6">
        <f t="shared" si="23"/>
        <v>2.4120581356620596E-2</v>
      </c>
      <c r="K172" s="2"/>
      <c r="L172" s="7">
        <f t="shared" si="24"/>
        <v>-26592.173363384616</v>
      </c>
      <c r="M172" s="2"/>
      <c r="N172" s="6">
        <f t="shared" si="25"/>
        <v>-0.71274893494776004</v>
      </c>
      <c r="O172" s="11"/>
      <c r="P172" s="7">
        <v>33758.700000000004</v>
      </c>
      <c r="Q172" s="2"/>
      <c r="R172" s="6">
        <f t="shared" si="26"/>
        <v>7.1364078400374007E-3</v>
      </c>
      <c r="S172" s="2"/>
      <c r="T172" s="7">
        <v>121255.268431</v>
      </c>
      <c r="U172" s="2"/>
      <c r="V172" s="6">
        <f t="shared" si="27"/>
        <v>2.4231416666321441E-2</v>
      </c>
      <c r="W172" s="2"/>
      <c r="X172" s="7">
        <f t="shared" si="28"/>
        <v>-87496.568430999992</v>
      </c>
      <c r="Y172" s="2"/>
      <c r="Z172" s="6">
        <f t="shared" si="29"/>
        <v>-0.7215898291527818</v>
      </c>
    </row>
    <row r="173" spans="1:26" s="24" customFormat="1" hidden="1" outlineLevel="2" x14ac:dyDescent="0.25">
      <c r="A173" s="25"/>
      <c r="B173" s="11" t="str">
        <f>CONCATENATE("          ", "6002", " - ", "STAFF SALARIES")</f>
        <v xml:space="preserve">          6002 - STAFF SALARIES</v>
      </c>
      <c r="C173" s="11"/>
      <c r="D173" s="7">
        <v>75431.069999999992</v>
      </c>
      <c r="E173" s="2"/>
      <c r="F173" s="6">
        <f t="shared" si="22"/>
        <v>5.0692862065086219E-2</v>
      </c>
      <c r="G173" s="2"/>
      <c r="H173" s="7">
        <v>42691.71454564618</v>
      </c>
      <c r="I173" s="2"/>
      <c r="J173" s="6">
        <f t="shared" si="23"/>
        <v>2.7600319628569684E-2</v>
      </c>
      <c r="K173" s="2"/>
      <c r="L173" s="7">
        <f t="shared" si="24"/>
        <v>32739.355454353812</v>
      </c>
      <c r="M173" s="2"/>
      <c r="N173" s="6">
        <f t="shared" si="25"/>
        <v>0.76687844006238592</v>
      </c>
      <c r="O173" s="11"/>
      <c r="P173" s="7">
        <v>231093.85</v>
      </c>
      <c r="Q173" s="2"/>
      <c r="R173" s="6">
        <f t="shared" si="26"/>
        <v>4.8851998534434886E-2</v>
      </c>
      <c r="S173" s="2"/>
      <c r="T173" s="7">
        <v>138748.07227335006</v>
      </c>
      <c r="U173" s="2"/>
      <c r="V173" s="6">
        <f t="shared" si="27"/>
        <v>2.7727144514282272E-2</v>
      </c>
      <c r="W173" s="2"/>
      <c r="X173" s="7">
        <f t="shared" si="28"/>
        <v>92345.777726649947</v>
      </c>
      <c r="Y173" s="2"/>
      <c r="Z173" s="6">
        <f t="shared" si="29"/>
        <v>0.66556440182259169</v>
      </c>
    </row>
    <row r="174" spans="1:26" s="24" customFormat="1" hidden="1" outlineLevel="2" x14ac:dyDescent="0.25">
      <c r="A174" s="25"/>
      <c r="B174" s="11" t="str">
        <f>CONCATENATE("          ", "6003", " - ", "STAFF HOURLY-9 MONTH")</f>
        <v xml:space="preserve">          6003 - STAFF HOURLY-9 MONTH</v>
      </c>
      <c r="C174" s="11"/>
      <c r="D174" s="7"/>
      <c r="E174" s="2"/>
      <c r="F174" s="6">
        <f t="shared" si="22"/>
        <v>0</v>
      </c>
      <c r="G174" s="2"/>
      <c r="H174" s="7">
        <v>0</v>
      </c>
      <c r="I174" s="2"/>
      <c r="J174" s="6">
        <f t="shared" si="23"/>
        <v>0</v>
      </c>
      <c r="K174" s="2"/>
      <c r="L174" s="7">
        <f t="shared" si="24"/>
        <v>0</v>
      </c>
      <c r="M174" s="2"/>
      <c r="N174" s="6">
        <f t="shared" si="25"/>
        <v>0</v>
      </c>
      <c r="O174" s="11"/>
      <c r="P174" s="7"/>
      <c r="Q174" s="2"/>
      <c r="R174" s="6">
        <f t="shared" si="26"/>
        <v>0</v>
      </c>
      <c r="S174" s="2"/>
      <c r="T174" s="7">
        <v>0</v>
      </c>
      <c r="U174" s="2"/>
      <c r="V174" s="6">
        <f t="shared" si="27"/>
        <v>0</v>
      </c>
      <c r="W174" s="2"/>
      <c r="X174" s="7">
        <f t="shared" si="28"/>
        <v>0</v>
      </c>
      <c r="Y174" s="2"/>
      <c r="Z174" s="6">
        <f t="shared" si="29"/>
        <v>0</v>
      </c>
    </row>
    <row r="175" spans="1:26" s="24" customFormat="1" hidden="1" outlineLevel="2" x14ac:dyDescent="0.25">
      <c r="A175" s="25"/>
      <c r="B175" s="11" t="str">
        <f>CONCATENATE("          ", "6004", " - ", "STAFF HOURLY")</f>
        <v xml:space="preserve">          6004 - STAFF HOURLY</v>
      </c>
      <c r="C175" s="11"/>
      <c r="D175" s="7">
        <v>1265.96</v>
      </c>
      <c r="E175" s="2"/>
      <c r="F175" s="6">
        <f t="shared" si="22"/>
        <v>8.5077854072488376E-4</v>
      </c>
      <c r="G175" s="2"/>
      <c r="H175" s="7">
        <v>23493.712381999998</v>
      </c>
      <c r="I175" s="2"/>
      <c r="J175" s="6">
        <f t="shared" si="23"/>
        <v>1.5188754490325671E-2</v>
      </c>
      <c r="K175" s="2"/>
      <c r="L175" s="7">
        <f t="shared" si="24"/>
        <v>-22227.752381999999</v>
      </c>
      <c r="M175" s="2"/>
      <c r="N175" s="6">
        <f t="shared" si="25"/>
        <v>-0.9461149443129333</v>
      </c>
      <c r="O175" s="11"/>
      <c r="P175" s="7">
        <v>6356.85</v>
      </c>
      <c r="Q175" s="2"/>
      <c r="R175" s="6">
        <f t="shared" si="26"/>
        <v>1.343803943218837E-3</v>
      </c>
      <c r="S175" s="2"/>
      <c r="T175" s="7">
        <v>74802.504304000002</v>
      </c>
      <c r="U175" s="2"/>
      <c r="V175" s="6">
        <f t="shared" si="27"/>
        <v>1.4948386762311821E-2</v>
      </c>
      <c r="W175" s="2"/>
      <c r="X175" s="7">
        <f t="shared" si="28"/>
        <v>-68445.654303999996</v>
      </c>
      <c r="Y175" s="2"/>
      <c r="Z175" s="6">
        <f t="shared" si="29"/>
        <v>-0.91501821952156115</v>
      </c>
    </row>
    <row r="176" spans="1:26" s="24" customFormat="1" hidden="1" outlineLevel="2" x14ac:dyDescent="0.25">
      <c r="A176" s="25"/>
      <c r="B176" s="11" t="str">
        <f>CONCATENATE("          ", "6005", " - ", "TEMPORARY WAGES-HOURLY")</f>
        <v xml:space="preserve">          6005 - TEMPORARY WAGES-HOURLY</v>
      </c>
      <c r="C176" s="11"/>
      <c r="D176" s="7">
        <v>23643.53</v>
      </c>
      <c r="E176" s="2"/>
      <c r="F176" s="6">
        <f t="shared" si="22"/>
        <v>1.5889449864912801E-2</v>
      </c>
      <c r="G176" s="2"/>
      <c r="H176" s="7">
        <v>4551.42</v>
      </c>
      <c r="I176" s="2"/>
      <c r="J176" s="6">
        <f t="shared" si="23"/>
        <v>2.9425064816628634E-3</v>
      </c>
      <c r="K176" s="2"/>
      <c r="L176" s="7">
        <f t="shared" si="24"/>
        <v>19092.11</v>
      </c>
      <c r="M176" s="2"/>
      <c r="N176" s="6">
        <f t="shared" si="25"/>
        <v>4.1947589982906432</v>
      </c>
      <c r="O176" s="11"/>
      <c r="P176" s="7">
        <v>67207.079999999987</v>
      </c>
      <c r="Q176" s="2"/>
      <c r="R176" s="6">
        <f t="shared" si="26"/>
        <v>1.4207215699005609E-2</v>
      </c>
      <c r="S176" s="2"/>
      <c r="T176" s="7">
        <v>12291.14</v>
      </c>
      <c r="U176" s="2"/>
      <c r="V176" s="6">
        <f t="shared" si="27"/>
        <v>2.4562374773313082E-3</v>
      </c>
      <c r="W176" s="2"/>
      <c r="X176" s="7">
        <f t="shared" si="28"/>
        <v>54915.939999999988</v>
      </c>
      <c r="Y176" s="2"/>
      <c r="Z176" s="6">
        <f t="shared" si="29"/>
        <v>4.467928930920972</v>
      </c>
    </row>
    <row r="177" spans="1:26" s="24" customFormat="1" hidden="1" outlineLevel="2" x14ac:dyDescent="0.25">
      <c r="A177" s="25"/>
      <c r="B177" s="11" t="str">
        <f>CONCATENATE("          ", "6006", " - ", "TEMPORARY PART TIME")</f>
        <v xml:space="preserve">          6006 - TEMPORARY PART TIME</v>
      </c>
      <c r="C177" s="11"/>
      <c r="D177" s="7">
        <v>8104.73</v>
      </c>
      <c r="E177" s="2"/>
      <c r="F177" s="6">
        <f t="shared" si="22"/>
        <v>5.4467205617627626E-3</v>
      </c>
      <c r="G177" s="2"/>
      <c r="H177" s="7">
        <v>0</v>
      </c>
      <c r="I177" s="2"/>
      <c r="J177" s="6">
        <f t="shared" si="23"/>
        <v>0</v>
      </c>
      <c r="K177" s="2"/>
      <c r="L177" s="7">
        <f t="shared" si="24"/>
        <v>8104.73</v>
      </c>
      <c r="M177" s="2"/>
      <c r="N177" s="6">
        <f t="shared" si="25"/>
        <v>0</v>
      </c>
      <c r="O177" s="11"/>
      <c r="P177" s="7">
        <v>17559.98</v>
      </c>
      <c r="Q177" s="2"/>
      <c r="R177" s="6">
        <f t="shared" si="26"/>
        <v>3.712085445911719E-3</v>
      </c>
      <c r="S177" s="2"/>
      <c r="T177" s="7">
        <v>0</v>
      </c>
      <c r="U177" s="2"/>
      <c r="V177" s="6">
        <f t="shared" si="27"/>
        <v>0</v>
      </c>
      <c r="W177" s="2"/>
      <c r="X177" s="7">
        <f t="shared" si="28"/>
        <v>17559.98</v>
      </c>
      <c r="Y177" s="2"/>
      <c r="Z177" s="6">
        <f t="shared" si="29"/>
        <v>0</v>
      </c>
    </row>
    <row r="178" spans="1:26" s="24" customFormat="1" hidden="1" outlineLevel="2" x14ac:dyDescent="0.25">
      <c r="A178" s="25"/>
      <c r="B178" s="11" t="str">
        <f>CONCATENATE("          ", "6007", " - ", "STUDENT HOURLY")</f>
        <v xml:space="preserve">          6007 - STUDENT HOURLY</v>
      </c>
      <c r="C178" s="11"/>
      <c r="D178" s="7">
        <v>111140.13</v>
      </c>
      <c r="E178" s="2"/>
      <c r="F178" s="6">
        <f t="shared" si="22"/>
        <v>7.4690857228801769E-2</v>
      </c>
      <c r="G178" s="2"/>
      <c r="H178" s="7">
        <v>5721.06</v>
      </c>
      <c r="I178" s="2"/>
      <c r="J178" s="6">
        <f t="shared" si="23"/>
        <v>3.6986821985187353E-3</v>
      </c>
      <c r="K178" s="2"/>
      <c r="L178" s="7">
        <f t="shared" si="24"/>
        <v>105419.07</v>
      </c>
      <c r="M178" s="2"/>
      <c r="N178" s="6">
        <f t="shared" si="25"/>
        <v>18.426492642971755</v>
      </c>
      <c r="O178" s="11"/>
      <c r="P178" s="7">
        <v>342948.1</v>
      </c>
      <c r="Q178" s="2"/>
      <c r="R178" s="6">
        <f t="shared" si="26"/>
        <v>7.2497386142414549E-2</v>
      </c>
      <c r="S178" s="2"/>
      <c r="T178" s="7">
        <v>144122.75011319999</v>
      </c>
      <c r="U178" s="2"/>
      <c r="V178" s="6">
        <f t="shared" si="27"/>
        <v>2.8801209665181335E-2</v>
      </c>
      <c r="W178" s="2"/>
      <c r="X178" s="7">
        <f t="shared" si="28"/>
        <v>198825.34988679999</v>
      </c>
      <c r="Y178" s="2"/>
      <c r="Z178" s="6">
        <f t="shared" si="29"/>
        <v>1.379555619988061</v>
      </c>
    </row>
    <row r="179" spans="1:26" s="24" customFormat="1" hidden="1" outlineLevel="2" x14ac:dyDescent="0.25">
      <c r="A179" s="25"/>
      <c r="B179" s="11" t="str">
        <f>CONCATENATE("          ", "6008", " - ", "STUDENT HOURLY-FICA EXEMPT")</f>
        <v xml:space="preserve">          6008 - STUDENT HOURLY-FICA EXEMPT</v>
      </c>
      <c r="C179" s="11"/>
      <c r="D179" s="7">
        <v>3458.25</v>
      </c>
      <c r="E179" s="2"/>
      <c r="F179" s="6">
        <f t="shared" si="22"/>
        <v>2.3240899305363751E-3</v>
      </c>
      <c r="G179" s="2"/>
      <c r="H179" s="7">
        <v>132109.77619612002</v>
      </c>
      <c r="I179" s="2"/>
      <c r="J179" s="6">
        <f t="shared" si="23"/>
        <v>8.5409360759524156E-2</v>
      </c>
      <c r="K179" s="2"/>
      <c r="L179" s="7">
        <f t="shared" si="24"/>
        <v>-128651.52619612002</v>
      </c>
      <c r="M179" s="2"/>
      <c r="N179" s="6">
        <f t="shared" si="25"/>
        <v>-0.9738229062256063</v>
      </c>
      <c r="O179" s="11"/>
      <c r="P179" s="7">
        <v>8911.7900000000009</v>
      </c>
      <c r="Q179" s="2"/>
      <c r="R179" s="6">
        <f t="shared" si="26"/>
        <v>1.8839045349722267E-3</v>
      </c>
      <c r="S179" s="2"/>
      <c r="T179" s="7">
        <v>223100.80239224</v>
      </c>
      <c r="U179" s="2"/>
      <c r="V179" s="6">
        <f t="shared" si="27"/>
        <v>4.4584029801833382E-2</v>
      </c>
      <c r="W179" s="2"/>
      <c r="X179" s="7">
        <f t="shared" si="28"/>
        <v>-214189.01239223999</v>
      </c>
      <c r="Y179" s="2"/>
      <c r="Z179" s="6">
        <f t="shared" si="29"/>
        <v>-0.96005487248615118</v>
      </c>
    </row>
    <row r="180" spans="1:26" s="24" customFormat="1" hidden="1" outlineLevel="2" x14ac:dyDescent="0.25">
      <c r="A180" s="25"/>
      <c r="B180" s="11" t="str">
        <f>CONCATENATE("          ", "6009", " - ", "TEMPORARY-SEASONAL")</f>
        <v xml:space="preserve">          6009 - TEMPORARY-SEASONAL</v>
      </c>
      <c r="C180" s="11"/>
      <c r="D180" s="7"/>
      <c r="E180" s="2"/>
      <c r="F180" s="6">
        <f t="shared" si="22"/>
        <v>0</v>
      </c>
      <c r="G180" s="2"/>
      <c r="H180" s="7">
        <v>0</v>
      </c>
      <c r="I180" s="2"/>
      <c r="J180" s="6">
        <f t="shared" si="23"/>
        <v>0</v>
      </c>
      <c r="K180" s="2"/>
      <c r="L180" s="7">
        <f t="shared" si="24"/>
        <v>0</v>
      </c>
      <c r="M180" s="2"/>
      <c r="N180" s="6">
        <f t="shared" si="25"/>
        <v>0</v>
      </c>
      <c r="O180" s="11"/>
      <c r="P180" s="7"/>
      <c r="Q180" s="2"/>
      <c r="R180" s="6">
        <f t="shared" si="26"/>
        <v>0</v>
      </c>
      <c r="S180" s="2"/>
      <c r="T180" s="7">
        <v>0</v>
      </c>
      <c r="U180" s="2"/>
      <c r="V180" s="6">
        <f t="shared" si="27"/>
        <v>0</v>
      </c>
      <c r="W180" s="2"/>
      <c r="X180" s="7">
        <f t="shared" si="28"/>
        <v>0</v>
      </c>
      <c r="Y180" s="2"/>
      <c r="Z180" s="6">
        <f t="shared" si="29"/>
        <v>0</v>
      </c>
    </row>
    <row r="181" spans="1:26" s="24" customFormat="1" hidden="1" outlineLevel="2" x14ac:dyDescent="0.25">
      <c r="A181" s="25"/>
      <c r="B181" s="11" t="str">
        <f>CONCATENATE("          ", "6010", " - ", "GRATUITY")</f>
        <v xml:space="preserve">          6010 - GRATUITY</v>
      </c>
      <c r="C181" s="11"/>
      <c r="D181" s="7"/>
      <c r="E181" s="2"/>
      <c r="F181" s="6">
        <f t="shared" si="22"/>
        <v>0</v>
      </c>
      <c r="G181" s="2"/>
      <c r="H181" s="7">
        <v>0</v>
      </c>
      <c r="I181" s="2"/>
      <c r="J181" s="6">
        <f t="shared" si="23"/>
        <v>0</v>
      </c>
      <c r="K181" s="2"/>
      <c r="L181" s="7">
        <f t="shared" si="24"/>
        <v>0</v>
      </c>
      <c r="M181" s="2"/>
      <c r="N181" s="6">
        <f t="shared" si="25"/>
        <v>0</v>
      </c>
      <c r="O181" s="11"/>
      <c r="P181" s="7"/>
      <c r="Q181" s="2"/>
      <c r="R181" s="6">
        <f t="shared" si="26"/>
        <v>0</v>
      </c>
      <c r="S181" s="2"/>
      <c r="T181" s="7">
        <v>0</v>
      </c>
      <c r="U181" s="2"/>
      <c r="V181" s="6">
        <f t="shared" si="27"/>
        <v>0</v>
      </c>
      <c r="W181" s="2"/>
      <c r="X181" s="7">
        <f t="shared" si="28"/>
        <v>0</v>
      </c>
      <c r="Y181" s="2"/>
      <c r="Z181" s="6">
        <f t="shared" si="29"/>
        <v>0</v>
      </c>
    </row>
    <row r="182" spans="1:26" s="26" customFormat="1" outlineLevel="1" collapsed="1" x14ac:dyDescent="0.25">
      <c r="A182" s="27"/>
      <c r="B182" s="13" t="str">
        <f>CONCATENATE("     ","Advertising/Promo                                 ")</f>
        <v xml:space="preserve">     Advertising/Promo                                 </v>
      </c>
      <c r="C182" s="13"/>
      <c r="D182" s="1">
        <f>SUM(OSRRefD22_2x_0)</f>
        <v>-156.31</v>
      </c>
      <c r="E182" s="1"/>
      <c r="F182" s="5">
        <f t="shared" ref="F182:F186" si="30">IF(D$12=0,0,D182/D$12)</f>
        <v>-1.0504691593787054E-4</v>
      </c>
      <c r="G182" s="1"/>
      <c r="H182" s="1">
        <f>SUM(OSRRefH22_2x_0)</f>
        <v>3845</v>
      </c>
      <c r="I182" s="1"/>
      <c r="J182" s="5">
        <f t="shared" ref="J182:J186" si="31">IF(H$12=0,0,H182/H$12)</f>
        <v>2.4858038638477025E-3</v>
      </c>
      <c r="K182" s="1"/>
      <c r="L182" s="1">
        <f t="shared" ref="L182:L186" si="32">+D182-H182</f>
        <v>-4001.31</v>
      </c>
      <c r="M182" s="1"/>
      <c r="N182" s="5">
        <f t="shared" ref="N182:N186" si="33">IF(H182=0,0,L182/H182)</f>
        <v>-1.0406527958387517</v>
      </c>
      <c r="O182" s="13"/>
      <c r="P182" s="1">
        <f>SUM(OSRRefP22_2x_0)</f>
        <v>7626.2</v>
      </c>
      <c r="Q182" s="1"/>
      <c r="R182" s="5">
        <f t="shared" ref="R182:R186" si="34">IF(P$12=0,0,P182/P$12)</f>
        <v>1.6121377147133398E-3</v>
      </c>
      <c r="S182" s="1"/>
      <c r="T182" s="1">
        <f>SUM(OSRRefT22_2x_0)</f>
        <v>13410</v>
      </c>
      <c r="U182" s="1"/>
      <c r="V182" s="5">
        <f t="shared" ref="V182:V186" si="35">IF(T$12=0,0,T182/T$12)</f>
        <v>2.6798282804534686E-3</v>
      </c>
      <c r="W182" s="1"/>
      <c r="X182" s="1">
        <f t="shared" ref="X182:X186" si="36">+P182-T182</f>
        <v>-5783.8</v>
      </c>
      <c r="Y182" s="1"/>
      <c r="Z182" s="5">
        <f t="shared" ref="Z182:Z186" si="37">IF(T182=0,0,X182/T182)</f>
        <v>-0.43130499627143926</v>
      </c>
    </row>
    <row r="183" spans="1:26" s="24" customFormat="1" hidden="1" outlineLevel="2" x14ac:dyDescent="0.25">
      <c r="A183" s="25"/>
      <c r="B183" s="11" t="str">
        <f>CONCATENATE("          ", "6362", " - ", "ADVERTISING EXPENSE")</f>
        <v xml:space="preserve">          6362 - ADVERTISING EXPENSE</v>
      </c>
      <c r="C183" s="11"/>
      <c r="D183" s="7">
        <v>-156.31</v>
      </c>
      <c r="E183" s="2"/>
      <c r="F183" s="6">
        <f t="shared" si="30"/>
        <v>-1.0504691593787054E-4</v>
      </c>
      <c r="G183" s="2"/>
      <c r="H183" s="7">
        <v>3845</v>
      </c>
      <c r="I183" s="2"/>
      <c r="J183" s="6">
        <f t="shared" si="31"/>
        <v>2.4858038638477025E-3</v>
      </c>
      <c r="K183" s="2"/>
      <c r="L183" s="7">
        <f t="shared" si="32"/>
        <v>-4001.31</v>
      </c>
      <c r="M183" s="2"/>
      <c r="N183" s="6">
        <f t="shared" si="33"/>
        <v>-1.0406527958387517</v>
      </c>
      <c r="O183" s="11"/>
      <c r="P183" s="7">
        <v>7626.2</v>
      </c>
      <c r="Q183" s="2"/>
      <c r="R183" s="6">
        <f t="shared" si="34"/>
        <v>1.6121377147133398E-3</v>
      </c>
      <c r="S183" s="2"/>
      <c r="T183" s="7">
        <v>13410</v>
      </c>
      <c r="U183" s="2"/>
      <c r="V183" s="6">
        <f t="shared" si="35"/>
        <v>2.6798282804534686E-3</v>
      </c>
      <c r="W183" s="2"/>
      <c r="X183" s="7">
        <f t="shared" si="36"/>
        <v>-5783.8</v>
      </c>
      <c r="Y183" s="2"/>
      <c r="Z183" s="6">
        <f t="shared" si="37"/>
        <v>-0.43130499627143926</v>
      </c>
    </row>
    <row r="184" spans="1:26" s="26" customFormat="1" outlineLevel="1" collapsed="1" x14ac:dyDescent="0.25">
      <c r="A184" s="27"/>
      <c r="B184" s="13" t="str">
        <f>CONCATENATE("     ","Bad Debts/Over/Short                              ")</f>
        <v xml:space="preserve">     Bad Debts/Over/Short                              </v>
      </c>
      <c r="C184" s="13"/>
      <c r="D184" s="1">
        <f>SUM(OSRRefD22_3x_0)</f>
        <v>-212.14</v>
      </c>
      <c r="E184" s="1"/>
      <c r="F184" s="5">
        <f t="shared" si="30"/>
        <v>-1.4256703184095613E-4</v>
      </c>
      <c r="G184" s="1"/>
      <c r="H184" s="1">
        <f>SUM(OSRRefH22_3x_0)</f>
        <v>145</v>
      </c>
      <c r="I184" s="1"/>
      <c r="J184" s="5">
        <f t="shared" si="31"/>
        <v>9.3742928545622077E-5</v>
      </c>
      <c r="K184" s="1"/>
      <c r="L184" s="1">
        <f t="shared" si="32"/>
        <v>-357.14</v>
      </c>
      <c r="M184" s="1"/>
      <c r="N184" s="5">
        <f t="shared" si="33"/>
        <v>-2.4630344827586206</v>
      </c>
      <c r="O184" s="13"/>
      <c r="P184" s="1">
        <f>SUM(OSRRefP22_3x_0)</f>
        <v>-301.99</v>
      </c>
      <c r="Q184" s="1"/>
      <c r="R184" s="5">
        <f t="shared" si="34"/>
        <v>-6.3839063815043076E-5</v>
      </c>
      <c r="S184" s="1"/>
      <c r="T184" s="1">
        <f>SUM(OSRRefT22_3x_0)</f>
        <v>435</v>
      </c>
      <c r="U184" s="1"/>
      <c r="V184" s="5">
        <f t="shared" si="35"/>
        <v>8.6929552721644963E-5</v>
      </c>
      <c r="W184" s="1"/>
      <c r="X184" s="1">
        <f t="shared" si="36"/>
        <v>-736.99</v>
      </c>
      <c r="Y184" s="1"/>
      <c r="Z184" s="5">
        <f t="shared" si="37"/>
        <v>-1.6942298850574713</v>
      </c>
    </row>
    <row r="185" spans="1:26" s="24" customFormat="1" hidden="1" outlineLevel="2" x14ac:dyDescent="0.25">
      <c r="A185" s="25"/>
      <c r="B185" s="11" t="str">
        <f>CONCATENATE("          ", "6272", " - ", "CASH (OVER/SHORT)")</f>
        <v xml:space="preserve">          6272 - CASH (OVER/SHORT)</v>
      </c>
      <c r="C185" s="11"/>
      <c r="D185" s="7">
        <v>-212.14</v>
      </c>
      <c r="E185" s="2"/>
      <c r="F185" s="6">
        <f t="shared" si="30"/>
        <v>-1.4256703184095613E-4</v>
      </c>
      <c r="G185" s="2"/>
      <c r="H185" s="7">
        <v>135</v>
      </c>
      <c r="I185" s="2"/>
      <c r="J185" s="6">
        <f t="shared" si="31"/>
        <v>8.727789899075159E-5</v>
      </c>
      <c r="K185" s="2"/>
      <c r="L185" s="7">
        <f t="shared" si="32"/>
        <v>-347.14</v>
      </c>
      <c r="M185" s="2"/>
      <c r="N185" s="6">
        <f t="shared" si="33"/>
        <v>-2.5714074074074071</v>
      </c>
      <c r="O185" s="11"/>
      <c r="P185" s="7">
        <v>-301.99</v>
      </c>
      <c r="Q185" s="2"/>
      <c r="R185" s="6">
        <f t="shared" si="34"/>
        <v>-6.3839063815043076E-5</v>
      </c>
      <c r="S185" s="2"/>
      <c r="T185" s="7">
        <v>405</v>
      </c>
      <c r="U185" s="2"/>
      <c r="V185" s="6">
        <f t="shared" si="35"/>
        <v>8.0934411154634964E-5</v>
      </c>
      <c r="W185" s="2"/>
      <c r="X185" s="7">
        <f t="shared" si="36"/>
        <v>-706.99</v>
      </c>
      <c r="Y185" s="2"/>
      <c r="Z185" s="6">
        <f t="shared" si="37"/>
        <v>-1.7456543209876543</v>
      </c>
    </row>
    <row r="186" spans="1:26" s="24" customFormat="1" hidden="1" outlineLevel="2" x14ac:dyDescent="0.25">
      <c r="A186" s="25"/>
      <c r="B186" s="11" t="str">
        <f>CONCATENATE("          ", "6342", " - ", "BAD DEBT")</f>
        <v xml:space="preserve">          6342 - BAD DEBT</v>
      </c>
      <c r="C186" s="11"/>
      <c r="D186" s="7"/>
      <c r="E186" s="2"/>
      <c r="F186" s="6">
        <f t="shared" si="30"/>
        <v>0</v>
      </c>
      <c r="G186" s="2"/>
      <c r="H186" s="7">
        <v>10</v>
      </c>
      <c r="I186" s="2"/>
      <c r="J186" s="6">
        <f t="shared" si="31"/>
        <v>6.4650295548704875E-6</v>
      </c>
      <c r="K186" s="2"/>
      <c r="L186" s="7">
        <f t="shared" si="32"/>
        <v>-10</v>
      </c>
      <c r="M186" s="2"/>
      <c r="N186" s="6">
        <f t="shared" si="33"/>
        <v>-1</v>
      </c>
      <c r="O186" s="11"/>
      <c r="P186" s="7"/>
      <c r="Q186" s="2"/>
      <c r="R186" s="6">
        <f t="shared" si="34"/>
        <v>0</v>
      </c>
      <c r="S186" s="2"/>
      <c r="T186" s="7">
        <v>30</v>
      </c>
      <c r="U186" s="2"/>
      <c r="V186" s="6">
        <f t="shared" si="35"/>
        <v>5.9951415670099968E-6</v>
      </c>
      <c r="W186" s="2"/>
      <c r="X186" s="7">
        <f t="shared" si="36"/>
        <v>-30</v>
      </c>
      <c r="Y186" s="2"/>
      <c r="Z186" s="6">
        <f t="shared" si="37"/>
        <v>-1</v>
      </c>
    </row>
    <row r="187" spans="1:26" s="26" customFormat="1" outlineLevel="1" collapsed="1" x14ac:dyDescent="0.25">
      <c r="A187" s="27"/>
      <c r="B187" s="13" t="str">
        <f>CONCATENATE("     ","Bank/card Fees                                    ")</f>
        <v xml:space="preserve">     Bank/card Fees                                    </v>
      </c>
      <c r="C187" s="13"/>
      <c r="D187" s="1">
        <f>SUM(OSRRefD22_4x_0)</f>
        <v>34694.480000000003</v>
      </c>
      <c r="E187" s="1"/>
      <c r="F187" s="5">
        <f t="shared" ref="F187:F192" si="38">IF(D$12=0,0,D187/D$12)</f>
        <v>2.3316154590673217E-2</v>
      </c>
      <c r="G187" s="1"/>
      <c r="H187" s="1">
        <f>SUM(OSRRefH22_4x_0)</f>
        <v>41576</v>
      </c>
      <c r="I187" s="1"/>
      <c r="J187" s="5">
        <f t="shared" ref="J187:J192" si="39">IF(H$12=0,0,H187/H$12)</f>
        <v>2.6879006877329539E-2</v>
      </c>
      <c r="K187" s="1"/>
      <c r="L187" s="1">
        <f t="shared" ref="L187:L192" si="40">+D187-H187</f>
        <v>-6881.5199999999968</v>
      </c>
      <c r="M187" s="1"/>
      <c r="N187" s="5">
        <f t="shared" ref="N187:N192" si="41">IF(H187=0,0,L187/H187)</f>
        <v>-0.16551664421781789</v>
      </c>
      <c r="O187" s="13"/>
      <c r="P187" s="1">
        <f>SUM(OSRRefP22_4x_0)</f>
        <v>80117.11</v>
      </c>
      <c r="Q187" s="1"/>
      <c r="R187" s="5">
        <f t="shared" ref="R187:R192" si="42">IF(P$12=0,0,P187/P$12)</f>
        <v>1.6936326692826999E-2</v>
      </c>
      <c r="S187" s="1"/>
      <c r="T187" s="1">
        <f>SUM(OSRRefT22_4x_0)</f>
        <v>83342</v>
      </c>
      <c r="U187" s="1"/>
      <c r="V187" s="5">
        <f t="shared" ref="V187:V192" si="43">IF(T$12=0,0,T187/T$12)</f>
        <v>1.6654902949258241E-2</v>
      </c>
      <c r="W187" s="1"/>
      <c r="X187" s="1">
        <f t="shared" ref="X187:X192" si="44">+P187-T187</f>
        <v>-3224.8899999999994</v>
      </c>
      <c r="Y187" s="1"/>
      <c r="Z187" s="5">
        <f t="shared" ref="Z187:Z192" si="45">IF(T187=0,0,X187/T187)</f>
        <v>-3.8694655755801388E-2</v>
      </c>
    </row>
    <row r="188" spans="1:26" s="24" customFormat="1" hidden="1" outlineLevel="2" x14ac:dyDescent="0.25">
      <c r="A188" s="25"/>
      <c r="B188" s="11" t="str">
        <f>CONCATENATE("          ", "6381", " - ", "BANK/CREDIT CARD FEES")</f>
        <v xml:space="preserve">          6381 - BANK/CREDIT CARD FEES</v>
      </c>
      <c r="C188" s="11"/>
      <c r="D188" s="7">
        <v>34694.480000000003</v>
      </c>
      <c r="E188" s="2"/>
      <c r="F188" s="6">
        <f t="shared" si="38"/>
        <v>2.3316154590673217E-2</v>
      </c>
      <c r="G188" s="2"/>
      <c r="H188" s="7">
        <v>41576</v>
      </c>
      <c r="I188" s="2"/>
      <c r="J188" s="6">
        <f t="shared" si="39"/>
        <v>2.6879006877329539E-2</v>
      </c>
      <c r="K188" s="2"/>
      <c r="L188" s="7">
        <f t="shared" si="40"/>
        <v>-6881.5199999999968</v>
      </c>
      <c r="M188" s="2"/>
      <c r="N188" s="6">
        <f t="shared" si="41"/>
        <v>-0.16551664421781789</v>
      </c>
      <c r="O188" s="11"/>
      <c r="P188" s="7">
        <v>80117.11</v>
      </c>
      <c r="Q188" s="2"/>
      <c r="R188" s="6">
        <f t="shared" si="42"/>
        <v>1.6936326692826999E-2</v>
      </c>
      <c r="S188" s="2"/>
      <c r="T188" s="7">
        <v>83342</v>
      </c>
      <c r="U188" s="2"/>
      <c r="V188" s="6">
        <f t="shared" si="43"/>
        <v>1.6654902949258241E-2</v>
      </c>
      <c r="W188" s="2"/>
      <c r="X188" s="7">
        <f t="shared" si="44"/>
        <v>-3224.8899999999994</v>
      </c>
      <c r="Y188" s="2"/>
      <c r="Z188" s="6">
        <f t="shared" si="45"/>
        <v>-3.8694655755801388E-2</v>
      </c>
    </row>
    <row r="189" spans="1:26" s="26" customFormat="1" outlineLevel="1" collapsed="1" x14ac:dyDescent="0.25">
      <c r="A189" s="27"/>
      <c r="B189" s="13" t="str">
        <f>CONCATENATE("     ","Depreciation                                      ")</f>
        <v xml:space="preserve">     Depreciation                                      </v>
      </c>
      <c r="C189" s="13"/>
      <c r="D189" s="1">
        <f>SUM(OSRRefD22_5x_0)</f>
        <v>38010.910000000003</v>
      </c>
      <c r="E189" s="1"/>
      <c r="F189" s="5">
        <f t="shared" si="38"/>
        <v>2.5544935496717824E-2</v>
      </c>
      <c r="G189" s="1"/>
      <c r="H189" s="1">
        <f>SUM(OSRRefH22_5x_0)</f>
        <v>38638</v>
      </c>
      <c r="I189" s="1"/>
      <c r="J189" s="5">
        <f t="shared" si="39"/>
        <v>2.4979581194108591E-2</v>
      </c>
      <c r="K189" s="1"/>
      <c r="L189" s="1">
        <f t="shared" si="40"/>
        <v>-627.08999999999651</v>
      </c>
      <c r="M189" s="1"/>
      <c r="N189" s="5">
        <f t="shared" si="41"/>
        <v>-1.6229877322842708E-2</v>
      </c>
      <c r="O189" s="13"/>
      <c r="P189" s="1">
        <f>SUM(OSRRefP22_5x_0)</f>
        <v>114032.73000000001</v>
      </c>
      <c r="Q189" s="1"/>
      <c r="R189" s="5">
        <f t="shared" si="42"/>
        <v>2.410590657794489E-2</v>
      </c>
      <c r="S189" s="1"/>
      <c r="T189" s="1">
        <f>SUM(OSRRefT22_5x_0)</f>
        <v>115554</v>
      </c>
      <c r="U189" s="1"/>
      <c r="V189" s="5">
        <f t="shared" si="43"/>
        <v>2.3092086287809108E-2</v>
      </c>
      <c r="W189" s="1"/>
      <c r="X189" s="1">
        <f t="shared" si="44"/>
        <v>-1521.2699999999895</v>
      </c>
      <c r="Y189" s="1"/>
      <c r="Z189" s="5">
        <f t="shared" si="45"/>
        <v>-1.3165013759800523E-2</v>
      </c>
    </row>
    <row r="190" spans="1:26" s="24" customFormat="1" hidden="1" outlineLevel="2" x14ac:dyDescent="0.25">
      <c r="A190" s="25"/>
      <c r="B190" s="11" t="str">
        <f>CONCATENATE("          ", "6321", " - ", "BUILDING DEPRECIATION")</f>
        <v xml:space="preserve">          6321 - BUILDING DEPRECIATION</v>
      </c>
      <c r="C190" s="11"/>
      <c r="D190" s="7">
        <v>21477.030000000002</v>
      </c>
      <c r="E190" s="2"/>
      <c r="F190" s="6">
        <f t="shared" si="38"/>
        <v>1.4433470443382534E-2</v>
      </c>
      <c r="G190" s="2"/>
      <c r="H190" s="7">
        <v>21534</v>
      </c>
      <c r="I190" s="2"/>
      <c r="J190" s="6">
        <f t="shared" si="39"/>
        <v>1.3921794643458107E-2</v>
      </c>
      <c r="K190" s="2"/>
      <c r="L190" s="7">
        <f t="shared" si="40"/>
        <v>-56.969999999997526</v>
      </c>
      <c r="M190" s="2"/>
      <c r="N190" s="6">
        <f t="shared" si="41"/>
        <v>-2.6455837280578401E-3</v>
      </c>
      <c r="O190" s="11"/>
      <c r="P190" s="7">
        <v>64431.090000000004</v>
      </c>
      <c r="Q190" s="2"/>
      <c r="R190" s="6">
        <f t="shared" si="42"/>
        <v>1.3620386324655729E-2</v>
      </c>
      <c r="S190" s="2"/>
      <c r="T190" s="7">
        <v>64602</v>
      </c>
      <c r="U190" s="2"/>
      <c r="V190" s="6">
        <f t="shared" si="43"/>
        <v>1.2909937850399327E-2</v>
      </c>
      <c r="W190" s="2"/>
      <c r="X190" s="7">
        <f t="shared" si="44"/>
        <v>-170.90999999999622</v>
      </c>
      <c r="Y190" s="2"/>
      <c r="Z190" s="6">
        <f t="shared" si="45"/>
        <v>-2.6455837280578965E-3</v>
      </c>
    </row>
    <row r="191" spans="1:26" s="24" customFormat="1" hidden="1" outlineLevel="2" x14ac:dyDescent="0.25">
      <c r="A191" s="25"/>
      <c r="B191" s="11" t="str">
        <f>CONCATENATE("          ", "6322", " - ", "EQUIPMENT DEPRECIATION EXPENSE")</f>
        <v xml:space="preserve">          6322 - EQUIPMENT DEPRECIATION EXPENSE</v>
      </c>
      <c r="C191" s="11"/>
      <c r="D191" s="7">
        <v>16533.88</v>
      </c>
      <c r="E191" s="2"/>
      <c r="F191" s="6">
        <f t="shared" si="38"/>
        <v>1.1111465053335288E-2</v>
      </c>
      <c r="G191" s="2"/>
      <c r="H191" s="7">
        <v>16224</v>
      </c>
      <c r="I191" s="2"/>
      <c r="J191" s="6">
        <f t="shared" si="39"/>
        <v>1.0488863949821878E-2</v>
      </c>
      <c r="K191" s="2"/>
      <c r="L191" s="7">
        <f t="shared" si="40"/>
        <v>309.88000000000102</v>
      </c>
      <c r="M191" s="2"/>
      <c r="N191" s="6">
        <f t="shared" si="41"/>
        <v>1.9100098619329452E-2</v>
      </c>
      <c r="O191" s="11"/>
      <c r="P191" s="7">
        <v>49601.64</v>
      </c>
      <c r="Q191" s="2"/>
      <c r="R191" s="6">
        <f t="shared" si="42"/>
        <v>1.0485520253289159E-2</v>
      </c>
      <c r="S191" s="2"/>
      <c r="T191" s="7">
        <v>48672</v>
      </c>
      <c r="U191" s="2"/>
      <c r="V191" s="6">
        <f t="shared" si="43"/>
        <v>9.7265176783170194E-3</v>
      </c>
      <c r="W191" s="2"/>
      <c r="X191" s="7">
        <f t="shared" si="44"/>
        <v>929.63999999999942</v>
      </c>
      <c r="Y191" s="2"/>
      <c r="Z191" s="6">
        <f t="shared" si="45"/>
        <v>1.9100098619329375E-2</v>
      </c>
    </row>
    <row r="192" spans="1:26" s="24" customFormat="1" hidden="1" outlineLevel="2" x14ac:dyDescent="0.25">
      <c r="A192" s="25"/>
      <c r="B192" s="11" t="str">
        <f>CONCATENATE("          ", "6324", " - ", "FURNITURE + FIXT DEPRECIATION")</f>
        <v xml:space="preserve">          6324 - FURNITURE + FIXT DEPRECIATION</v>
      </c>
      <c r="C192" s="11"/>
      <c r="D192" s="7"/>
      <c r="E192" s="2"/>
      <c r="F192" s="6">
        <f t="shared" si="38"/>
        <v>0</v>
      </c>
      <c r="G192" s="2"/>
      <c r="H192" s="7">
        <v>880</v>
      </c>
      <c r="I192" s="2"/>
      <c r="J192" s="6">
        <f t="shared" si="39"/>
        <v>5.6892260082860293E-4</v>
      </c>
      <c r="K192" s="2"/>
      <c r="L192" s="7">
        <f t="shared" si="40"/>
        <v>-880</v>
      </c>
      <c r="M192" s="2"/>
      <c r="N192" s="6">
        <f t="shared" si="41"/>
        <v>-1</v>
      </c>
      <c r="O192" s="11"/>
      <c r="P192" s="7"/>
      <c r="Q192" s="2"/>
      <c r="R192" s="6">
        <f t="shared" si="42"/>
        <v>0</v>
      </c>
      <c r="S192" s="2"/>
      <c r="T192" s="7">
        <v>2280</v>
      </c>
      <c r="U192" s="2"/>
      <c r="V192" s="6">
        <f t="shared" si="43"/>
        <v>4.5563075909275979E-4</v>
      </c>
      <c r="W192" s="2"/>
      <c r="X192" s="7">
        <f t="shared" si="44"/>
        <v>-2280</v>
      </c>
      <c r="Y192" s="2"/>
      <c r="Z192" s="6">
        <f t="shared" si="45"/>
        <v>-1</v>
      </c>
    </row>
    <row r="193" spans="1:26" s="26" customFormat="1" outlineLevel="1" collapsed="1" x14ac:dyDescent="0.25">
      <c r="A193" s="27"/>
      <c r="B193" s="13" t="str">
        <f>CONCATENATE("     ","Discounts and Markdowns                           ")</f>
        <v xml:space="preserve">     Discounts and Markdowns                           </v>
      </c>
      <c r="C193" s="13"/>
      <c r="D193" s="1">
        <f>SUM(OSRRefD22_6x_0)</f>
        <v>4957.1399999999994</v>
      </c>
      <c r="E193" s="1"/>
      <c r="F193" s="5">
        <f t="shared" ref="F193:F195" si="46">IF(D$12=0,0,D193/D$12)</f>
        <v>3.3314072603944436E-3</v>
      </c>
      <c r="G193" s="1"/>
      <c r="H193" s="1">
        <f>SUM(OSRRefH22_6x_0)</f>
        <v>29225</v>
      </c>
      <c r="I193" s="1"/>
      <c r="J193" s="5">
        <f t="shared" ref="J193:J195" si="47">IF(H$12=0,0,H193/H$12)</f>
        <v>1.8894048874109001E-2</v>
      </c>
      <c r="K193" s="1"/>
      <c r="L193" s="1">
        <f t="shared" ref="L193:L195" si="48">+D193-H193</f>
        <v>-24267.86</v>
      </c>
      <c r="M193" s="1"/>
      <c r="N193" s="5">
        <f t="shared" ref="N193:N195" si="49">IF(H193=0,0,L193/H193)</f>
        <v>-0.83038015397775877</v>
      </c>
      <c r="O193" s="13"/>
      <c r="P193" s="1">
        <f>SUM(OSRRefP22_6x_0)</f>
        <v>64060.639999999999</v>
      </c>
      <c r="Q193" s="1"/>
      <c r="R193" s="5">
        <f t="shared" ref="R193:R195" si="50">IF(P$12=0,0,P193/P$12)</f>
        <v>1.3542075184583929E-2</v>
      </c>
      <c r="S193" s="1"/>
      <c r="T193" s="1">
        <f>SUM(OSRRefT22_6x_0)</f>
        <v>81675</v>
      </c>
      <c r="U193" s="1"/>
      <c r="V193" s="5">
        <f t="shared" ref="V193:V195" si="51">IF(T$12=0,0,T193/T$12)</f>
        <v>1.6321772916184717E-2</v>
      </c>
      <c r="W193" s="1"/>
      <c r="X193" s="1">
        <f t="shared" ref="X193:X195" si="52">+P193-T193</f>
        <v>-17614.36</v>
      </c>
      <c r="Y193" s="1"/>
      <c r="Z193" s="5">
        <f t="shared" ref="Z193:Z195" si="53">IF(T193=0,0,X193/T193)</f>
        <v>-0.21566403428221612</v>
      </c>
    </row>
    <row r="194" spans="1:26" s="24" customFormat="1" hidden="1" outlineLevel="2" x14ac:dyDescent="0.25">
      <c r="A194" s="25"/>
      <c r="B194" s="11" t="str">
        <f>CONCATENATE("          ", "6382", " - ", "DISCOUNTS/MARK DOWNS")</f>
        <v xml:space="preserve">          6382 - DISCOUNTS/MARK DOWNS</v>
      </c>
      <c r="C194" s="11"/>
      <c r="D194" s="7">
        <v>5355.44</v>
      </c>
      <c r="E194" s="2"/>
      <c r="F194" s="6">
        <f t="shared" si="46"/>
        <v>3.5990816677775534E-3</v>
      </c>
      <c r="G194" s="2"/>
      <c r="H194" s="7">
        <v>29225</v>
      </c>
      <c r="I194" s="2"/>
      <c r="J194" s="6">
        <f t="shared" si="47"/>
        <v>1.8894048874109001E-2</v>
      </c>
      <c r="K194" s="2"/>
      <c r="L194" s="7">
        <f t="shared" si="48"/>
        <v>-23869.56</v>
      </c>
      <c r="M194" s="2"/>
      <c r="N194" s="6">
        <f t="shared" si="49"/>
        <v>-0.81675141146278873</v>
      </c>
      <c r="O194" s="11"/>
      <c r="P194" s="7">
        <v>65708.5</v>
      </c>
      <c r="Q194" s="2"/>
      <c r="R194" s="6">
        <f t="shared" si="50"/>
        <v>1.3890423936854723E-2</v>
      </c>
      <c r="S194" s="2"/>
      <c r="T194" s="7">
        <v>81675</v>
      </c>
      <c r="U194" s="2"/>
      <c r="V194" s="6">
        <f t="shared" si="51"/>
        <v>1.6321772916184717E-2</v>
      </c>
      <c r="W194" s="2"/>
      <c r="X194" s="7">
        <f t="shared" si="52"/>
        <v>-15966.5</v>
      </c>
      <c r="Y194" s="2"/>
      <c r="Z194" s="6">
        <f t="shared" si="53"/>
        <v>-0.19548821548821549</v>
      </c>
    </row>
    <row r="195" spans="1:26" s="24" customFormat="1" hidden="1" outlineLevel="2" x14ac:dyDescent="0.25">
      <c r="A195" s="25"/>
      <c r="B195" s="11" t="str">
        <f>CONCATENATE("          ", "9175", " - ", "EARNED DISCOUNTS")</f>
        <v xml:space="preserve">          9175 - EARNED DISCOUNTS</v>
      </c>
      <c r="C195" s="11"/>
      <c r="D195" s="7">
        <v>-398.3</v>
      </c>
      <c r="E195" s="2"/>
      <c r="F195" s="6">
        <f t="shared" si="46"/>
        <v>-2.6767440738310942E-4</v>
      </c>
      <c r="G195" s="2"/>
      <c r="H195" s="7"/>
      <c r="I195" s="2"/>
      <c r="J195" s="6">
        <f t="shared" si="47"/>
        <v>0</v>
      </c>
      <c r="K195" s="2"/>
      <c r="L195" s="7">
        <f t="shared" si="48"/>
        <v>-398.3</v>
      </c>
      <c r="M195" s="2"/>
      <c r="N195" s="6">
        <f t="shared" si="49"/>
        <v>0</v>
      </c>
      <c r="O195" s="11"/>
      <c r="P195" s="7">
        <v>-1647.86</v>
      </c>
      <c r="Q195" s="2"/>
      <c r="R195" s="6">
        <f t="shared" si="50"/>
        <v>-3.483487522707933E-4</v>
      </c>
      <c r="S195" s="2"/>
      <c r="T195" s="7"/>
      <c r="U195" s="2"/>
      <c r="V195" s="6">
        <f t="shared" si="51"/>
        <v>0</v>
      </c>
      <c r="W195" s="2"/>
      <c r="X195" s="7">
        <f t="shared" si="52"/>
        <v>-1647.86</v>
      </c>
      <c r="Y195" s="2"/>
      <c r="Z195" s="6">
        <f t="shared" si="53"/>
        <v>0</v>
      </c>
    </row>
    <row r="196" spans="1:26" s="26" customFormat="1" outlineLevel="1" collapsed="1" x14ac:dyDescent="0.25">
      <c r="A196" s="27"/>
      <c r="B196" s="13" t="str">
        <f>CONCATENATE("     ","Donations                                         ")</f>
        <v xml:space="preserve">     Donations                                         </v>
      </c>
      <c r="C196" s="13"/>
      <c r="D196" s="1">
        <f>SUM(OSRRefD22_7x_0)</f>
        <v>1608.36</v>
      </c>
      <c r="E196" s="1"/>
      <c r="F196" s="5">
        <f t="shared" ref="F196:F198" si="54">IF(D$12=0,0,D196/D$12)</f>
        <v>1.0808857892510616E-3</v>
      </c>
      <c r="G196" s="1"/>
      <c r="H196" s="1">
        <f>SUM(OSRRefH22_7x_0)</f>
        <v>1025</v>
      </c>
      <c r="I196" s="1"/>
      <c r="J196" s="5">
        <f t="shared" ref="J196:J198" si="55">IF(H$12=0,0,H196/H$12)</f>
        <v>6.6266552937422501E-4</v>
      </c>
      <c r="K196" s="1"/>
      <c r="L196" s="1">
        <f t="shared" ref="L196:L198" si="56">+D196-H196</f>
        <v>583.3599999999999</v>
      </c>
      <c r="M196" s="1"/>
      <c r="N196" s="5">
        <f t="shared" ref="N196:N198" si="57">IF(H196=0,0,L196/H196)</f>
        <v>0.56913170731707308</v>
      </c>
      <c r="O196" s="13"/>
      <c r="P196" s="1">
        <f>SUM(OSRRefP22_7x_0)</f>
        <v>5225.34</v>
      </c>
      <c r="Q196" s="1"/>
      <c r="R196" s="5">
        <f t="shared" ref="R196:R198" si="58">IF(P$12=0,0,P196/P$12)</f>
        <v>1.1046088072959276E-3</v>
      </c>
      <c r="S196" s="1"/>
      <c r="T196" s="1">
        <f>SUM(OSRRefT22_7x_0)</f>
        <v>3150</v>
      </c>
      <c r="U196" s="1"/>
      <c r="V196" s="5">
        <f t="shared" ref="V196:V198" si="59">IF(T$12=0,0,T196/T$12)</f>
        <v>6.2948986453604963E-4</v>
      </c>
      <c r="W196" s="1"/>
      <c r="X196" s="1">
        <f t="shared" ref="X196:X198" si="60">+P196-T196</f>
        <v>2075.34</v>
      </c>
      <c r="Y196" s="1"/>
      <c r="Z196" s="5">
        <f t="shared" ref="Z196:Z198" si="61">IF(T196=0,0,X196/T196)</f>
        <v>0.65883809523809533</v>
      </c>
    </row>
    <row r="197" spans="1:26" s="24" customFormat="1" hidden="1" outlineLevel="2" x14ac:dyDescent="0.25">
      <c r="A197" s="25"/>
      <c r="B197" s="11" t="str">
        <f>CONCATENATE("          ", "6395", " - ", "DONATION-OFF CAMPUS")</f>
        <v xml:space="preserve">          6395 - DONATION-OFF CAMPUS</v>
      </c>
      <c r="C197" s="11"/>
      <c r="D197" s="7"/>
      <c r="E197" s="2"/>
      <c r="F197" s="6">
        <f t="shared" si="54"/>
        <v>0</v>
      </c>
      <c r="G197" s="2"/>
      <c r="H197" s="7">
        <v>1025</v>
      </c>
      <c r="I197" s="2"/>
      <c r="J197" s="6">
        <f t="shared" si="55"/>
        <v>6.6266552937422501E-4</v>
      </c>
      <c r="K197" s="2"/>
      <c r="L197" s="7">
        <f t="shared" si="56"/>
        <v>-1025</v>
      </c>
      <c r="M197" s="2"/>
      <c r="N197" s="6">
        <f t="shared" si="57"/>
        <v>-1</v>
      </c>
      <c r="O197" s="11"/>
      <c r="P197" s="7"/>
      <c r="Q197" s="2"/>
      <c r="R197" s="6">
        <f t="shared" si="58"/>
        <v>0</v>
      </c>
      <c r="S197" s="2"/>
      <c r="T197" s="7">
        <v>3150</v>
      </c>
      <c r="U197" s="2"/>
      <c r="V197" s="6">
        <f t="shared" si="59"/>
        <v>6.2948986453604963E-4</v>
      </c>
      <c r="W197" s="2"/>
      <c r="X197" s="7">
        <f t="shared" si="60"/>
        <v>-3150</v>
      </c>
      <c r="Y197" s="2"/>
      <c r="Z197" s="6">
        <f t="shared" si="61"/>
        <v>-1</v>
      </c>
    </row>
    <row r="198" spans="1:26" s="24" customFormat="1" hidden="1" outlineLevel="2" x14ac:dyDescent="0.25">
      <c r="A198" s="25"/>
      <c r="B198" s="11" t="str">
        <f>CONCATENATE("          ", "6399", " - ", "DONATION-ON CAMPUS")</f>
        <v xml:space="preserve">          6399 - DONATION-ON CAMPUS</v>
      </c>
      <c r="C198" s="11"/>
      <c r="D198" s="7">
        <v>1608.36</v>
      </c>
      <c r="E198" s="2"/>
      <c r="F198" s="6">
        <f t="shared" si="54"/>
        <v>1.0808857892510616E-3</v>
      </c>
      <c r="G198" s="2"/>
      <c r="H198" s="7"/>
      <c r="I198" s="2"/>
      <c r="J198" s="6">
        <f t="shared" si="55"/>
        <v>0</v>
      </c>
      <c r="K198" s="2"/>
      <c r="L198" s="7">
        <f t="shared" si="56"/>
        <v>1608.36</v>
      </c>
      <c r="M198" s="2"/>
      <c r="N198" s="6">
        <f t="shared" si="57"/>
        <v>0</v>
      </c>
      <c r="O198" s="11"/>
      <c r="P198" s="7">
        <v>5225.34</v>
      </c>
      <c r="Q198" s="2"/>
      <c r="R198" s="6">
        <f t="shared" si="58"/>
        <v>1.1046088072959276E-3</v>
      </c>
      <c r="S198" s="2"/>
      <c r="T198" s="7"/>
      <c r="U198" s="2"/>
      <c r="V198" s="6">
        <f t="shared" si="59"/>
        <v>0</v>
      </c>
      <c r="W198" s="2"/>
      <c r="X198" s="7">
        <f t="shared" si="60"/>
        <v>5225.34</v>
      </c>
      <c r="Y198" s="2"/>
      <c r="Z198" s="6">
        <f t="shared" si="61"/>
        <v>0</v>
      </c>
    </row>
    <row r="199" spans="1:26" s="26" customFormat="1" outlineLevel="1" collapsed="1" x14ac:dyDescent="0.25">
      <c r="A199" s="27"/>
      <c r="B199" s="13" t="str">
        <f>CONCATENATE("     ","Employees' Appreciation                           ")</f>
        <v xml:space="preserve">     Employees' Appreciation                           </v>
      </c>
      <c r="C199" s="13"/>
      <c r="D199" s="1">
        <f>SUM(OSRRefD22_8x_0)</f>
        <v>134.26</v>
      </c>
      <c r="E199" s="1"/>
      <c r="F199" s="5">
        <f t="shared" ref="F199:F205" si="62">IF(D$12=0,0,D199/D$12)</f>
        <v>9.022838547641544E-5</v>
      </c>
      <c r="G199" s="1"/>
      <c r="H199" s="1">
        <f>SUM(OSRRefH22_8x_0)</f>
        <v>725</v>
      </c>
      <c r="I199" s="1"/>
      <c r="J199" s="5">
        <f t="shared" ref="J199:J205" si="63">IF(H$12=0,0,H199/H$12)</f>
        <v>4.6871464272811038E-4</v>
      </c>
      <c r="K199" s="1"/>
      <c r="L199" s="1">
        <f t="shared" ref="L199:L205" si="64">+D199-H199</f>
        <v>-590.74</v>
      </c>
      <c r="M199" s="1"/>
      <c r="N199" s="5">
        <f t="shared" ref="N199:N205" si="65">IF(H199=0,0,L199/H199)</f>
        <v>-0.81481379310344826</v>
      </c>
      <c r="O199" s="13"/>
      <c r="P199" s="1">
        <f>SUM(OSRRefP22_8x_0)</f>
        <v>585.13</v>
      </c>
      <c r="Q199" s="1"/>
      <c r="R199" s="5">
        <f t="shared" ref="R199:R205" si="66">IF(P$12=0,0,P199/P$12)</f>
        <v>1.2369333888571194E-4</v>
      </c>
      <c r="S199" s="1"/>
      <c r="T199" s="1">
        <f>SUM(OSRRefT22_8x_0)</f>
        <v>2175</v>
      </c>
      <c r="U199" s="1"/>
      <c r="V199" s="5">
        <f t="shared" ref="V199:V205" si="67">IF(T$12=0,0,T199/T$12)</f>
        <v>4.346477636082248E-4</v>
      </c>
      <c r="W199" s="1"/>
      <c r="X199" s="1">
        <f t="shared" ref="X199:X205" si="68">+P199-T199</f>
        <v>-1589.87</v>
      </c>
      <c r="Y199" s="1"/>
      <c r="Z199" s="5">
        <f t="shared" ref="Z199:Z205" si="69">IF(T199=0,0,X199/T199)</f>
        <v>-0.73097471264367808</v>
      </c>
    </row>
    <row r="200" spans="1:26" s="24" customFormat="1" hidden="1" outlineLevel="2" x14ac:dyDescent="0.25">
      <c r="A200" s="25"/>
      <c r="B200" s="11" t="str">
        <f>CONCATENATE("          ", "6277", " - ", "EMPLOYEE APPRECIATION")</f>
        <v xml:space="preserve">          6277 - EMPLOYEE APPRECIATION</v>
      </c>
      <c r="C200" s="11"/>
      <c r="D200" s="7">
        <v>134.26</v>
      </c>
      <c r="E200" s="2"/>
      <c r="F200" s="6">
        <f t="shared" si="62"/>
        <v>9.022838547641544E-5</v>
      </c>
      <c r="G200" s="2"/>
      <c r="H200" s="7">
        <v>725</v>
      </c>
      <c r="I200" s="2"/>
      <c r="J200" s="6">
        <f t="shared" si="63"/>
        <v>4.6871464272811038E-4</v>
      </c>
      <c r="K200" s="2"/>
      <c r="L200" s="7">
        <f t="shared" si="64"/>
        <v>-590.74</v>
      </c>
      <c r="M200" s="2"/>
      <c r="N200" s="6">
        <f t="shared" si="65"/>
        <v>-0.81481379310344826</v>
      </c>
      <c r="O200" s="11"/>
      <c r="P200" s="7">
        <v>585.13</v>
      </c>
      <c r="Q200" s="2"/>
      <c r="R200" s="6">
        <f t="shared" si="66"/>
        <v>1.2369333888571194E-4</v>
      </c>
      <c r="S200" s="2"/>
      <c r="T200" s="7">
        <v>2175</v>
      </c>
      <c r="U200" s="2"/>
      <c r="V200" s="6">
        <f t="shared" si="67"/>
        <v>4.346477636082248E-4</v>
      </c>
      <c r="W200" s="2"/>
      <c r="X200" s="7">
        <f t="shared" si="68"/>
        <v>-1589.87</v>
      </c>
      <c r="Y200" s="2"/>
      <c r="Z200" s="6">
        <f t="shared" si="69"/>
        <v>-0.73097471264367808</v>
      </c>
    </row>
    <row r="201" spans="1:26" s="26" customFormat="1" outlineLevel="1" collapsed="1" x14ac:dyDescent="0.25">
      <c r="A201" s="27"/>
      <c r="B201" s="13" t="str">
        <f>CONCATENATE("     ","Equipment Rental                                  ")</f>
        <v xml:space="preserve">     Equipment Rental                                  </v>
      </c>
      <c r="C201" s="13"/>
      <c r="D201" s="1">
        <f>SUM(OSRRefD22_9x_0)</f>
        <v>1353.59</v>
      </c>
      <c r="E201" s="1"/>
      <c r="F201" s="5">
        <f t="shared" si="62"/>
        <v>9.0966959851795893E-4</v>
      </c>
      <c r="G201" s="1"/>
      <c r="H201" s="1">
        <f>SUM(OSRRefH22_9x_0)</f>
        <v>3305</v>
      </c>
      <c r="I201" s="1"/>
      <c r="J201" s="5">
        <f t="shared" si="63"/>
        <v>2.1366922678846961E-3</v>
      </c>
      <c r="K201" s="1"/>
      <c r="L201" s="1">
        <f t="shared" si="64"/>
        <v>-1951.41</v>
      </c>
      <c r="M201" s="1"/>
      <c r="N201" s="5">
        <f t="shared" si="65"/>
        <v>-0.59044175491679274</v>
      </c>
      <c r="O201" s="13"/>
      <c r="P201" s="1">
        <f>SUM(OSRRefP22_9x_0)</f>
        <v>4239.91</v>
      </c>
      <c r="Q201" s="1"/>
      <c r="R201" s="5">
        <f t="shared" si="66"/>
        <v>8.9629419868220552E-4</v>
      </c>
      <c r="S201" s="1"/>
      <c r="T201" s="1">
        <f>SUM(OSRRefT22_9x_0)</f>
        <v>9915</v>
      </c>
      <c r="U201" s="1"/>
      <c r="V201" s="5">
        <f t="shared" si="67"/>
        <v>1.9813942878968041E-3</v>
      </c>
      <c r="W201" s="1"/>
      <c r="X201" s="1">
        <f t="shared" si="68"/>
        <v>-5675.09</v>
      </c>
      <c r="Y201" s="1"/>
      <c r="Z201" s="5">
        <f t="shared" si="69"/>
        <v>-0.57237418053454359</v>
      </c>
    </row>
    <row r="202" spans="1:26" s="24" customFormat="1" hidden="1" outlineLevel="2" x14ac:dyDescent="0.25">
      <c r="A202" s="25"/>
      <c r="B202" s="11" t="str">
        <f>CONCATENATE("          ", "6351", " - ", "EQUIPMENT RENTAL")</f>
        <v xml:space="preserve">          6351 - EQUIPMENT RENTAL</v>
      </c>
      <c r="C202" s="11"/>
      <c r="D202" s="7">
        <v>1353.59</v>
      </c>
      <c r="E202" s="2"/>
      <c r="F202" s="6">
        <f t="shared" si="62"/>
        <v>9.0966959851795893E-4</v>
      </c>
      <c r="G202" s="2"/>
      <c r="H202" s="7">
        <v>3305</v>
      </c>
      <c r="I202" s="2"/>
      <c r="J202" s="6">
        <f t="shared" si="63"/>
        <v>2.1366922678846961E-3</v>
      </c>
      <c r="K202" s="2"/>
      <c r="L202" s="7">
        <f t="shared" si="64"/>
        <v>-1951.41</v>
      </c>
      <c r="M202" s="2"/>
      <c r="N202" s="6">
        <f t="shared" si="65"/>
        <v>-0.59044175491679274</v>
      </c>
      <c r="O202" s="11"/>
      <c r="P202" s="7">
        <v>4239.91</v>
      </c>
      <c r="Q202" s="2"/>
      <c r="R202" s="6">
        <f t="shared" si="66"/>
        <v>8.9629419868220552E-4</v>
      </c>
      <c r="S202" s="2"/>
      <c r="T202" s="7">
        <v>9915</v>
      </c>
      <c r="U202" s="2"/>
      <c r="V202" s="6">
        <f t="shared" si="67"/>
        <v>1.9813942878968041E-3</v>
      </c>
      <c r="W202" s="2"/>
      <c r="X202" s="7">
        <f t="shared" si="68"/>
        <v>-5675.09</v>
      </c>
      <c r="Y202" s="2"/>
      <c r="Z202" s="6">
        <f t="shared" si="69"/>
        <v>-0.57237418053454359</v>
      </c>
    </row>
    <row r="203" spans="1:26" s="26" customFormat="1" outlineLevel="1" collapsed="1" x14ac:dyDescent="0.25">
      <c r="A203" s="27"/>
      <c r="B203" s="13" t="str">
        <f>CONCATENATE("     ","Freight out/Postage                               ")</f>
        <v xml:space="preserve">     Freight out/Postage                               </v>
      </c>
      <c r="C203" s="13"/>
      <c r="D203" s="1">
        <f>SUM(OSRRefD22_10x_0)</f>
        <v>9453.9</v>
      </c>
      <c r="E203" s="1"/>
      <c r="F203" s="5">
        <f t="shared" si="62"/>
        <v>6.3534197337664529E-3</v>
      </c>
      <c r="G203" s="1"/>
      <c r="H203" s="1">
        <f>SUM(OSRRefH22_10x_0)</f>
        <v>-21010</v>
      </c>
      <c r="I203" s="1"/>
      <c r="J203" s="5">
        <f t="shared" si="63"/>
        <v>-1.3583027094782894E-2</v>
      </c>
      <c r="K203" s="1"/>
      <c r="L203" s="1">
        <f t="shared" si="64"/>
        <v>30463.9</v>
      </c>
      <c r="M203" s="1"/>
      <c r="N203" s="5">
        <f t="shared" si="65"/>
        <v>-1.4499714421703951</v>
      </c>
      <c r="O203" s="13"/>
      <c r="P203" s="1">
        <f>SUM(OSRRefP22_10x_0)</f>
        <v>-5565.2899999999991</v>
      </c>
      <c r="Q203" s="1"/>
      <c r="R203" s="5">
        <f t="shared" si="66"/>
        <v>-1.1764724112030894E-3</v>
      </c>
      <c r="S203" s="1"/>
      <c r="T203" s="1">
        <f>SUM(OSRRefT22_10x_0)</f>
        <v>-23930</v>
      </c>
      <c r="U203" s="1"/>
      <c r="V203" s="5">
        <f t="shared" si="67"/>
        <v>-4.7821245899516409E-3</v>
      </c>
      <c r="W203" s="1"/>
      <c r="X203" s="1">
        <f t="shared" si="68"/>
        <v>18364.71</v>
      </c>
      <c r="Y203" s="1"/>
      <c r="Z203" s="5">
        <f t="shared" si="69"/>
        <v>-0.76743460091934801</v>
      </c>
    </row>
    <row r="204" spans="1:26" s="24" customFormat="1" hidden="1" outlineLevel="2" x14ac:dyDescent="0.25">
      <c r="A204" s="25"/>
      <c r="B204" s="11" t="str">
        <f>CONCATENATE("          ", "6305", " - ", "FREIGHT OUT")</f>
        <v xml:space="preserve">          6305 - FREIGHT OUT</v>
      </c>
      <c r="C204" s="11"/>
      <c r="D204" s="7">
        <v>10682.34</v>
      </c>
      <c r="E204" s="2"/>
      <c r="F204" s="6">
        <f t="shared" si="62"/>
        <v>7.1789832512299404E-3</v>
      </c>
      <c r="G204" s="2"/>
      <c r="H204" s="7">
        <v>-21050</v>
      </c>
      <c r="I204" s="2"/>
      <c r="J204" s="6">
        <f t="shared" si="63"/>
        <v>-1.3608887213002376E-2</v>
      </c>
      <c r="K204" s="2"/>
      <c r="L204" s="7">
        <f t="shared" si="64"/>
        <v>31732.34</v>
      </c>
      <c r="M204" s="2"/>
      <c r="N204" s="6">
        <f t="shared" si="65"/>
        <v>-1.5074745843230404</v>
      </c>
      <c r="O204" s="11"/>
      <c r="P204" s="7">
        <v>15076.750000000002</v>
      </c>
      <c r="Q204" s="2"/>
      <c r="R204" s="6">
        <f t="shared" si="66"/>
        <v>3.1871439629572195E-3</v>
      </c>
      <c r="S204" s="2"/>
      <c r="T204" s="7">
        <v>-24050</v>
      </c>
      <c r="U204" s="2"/>
      <c r="V204" s="6">
        <f t="shared" si="67"/>
        <v>-4.806105156219681E-3</v>
      </c>
      <c r="W204" s="2"/>
      <c r="X204" s="7">
        <f t="shared" si="68"/>
        <v>39126.75</v>
      </c>
      <c r="Y204" s="2"/>
      <c r="Z204" s="6">
        <f t="shared" si="69"/>
        <v>-1.626891891891892</v>
      </c>
    </row>
    <row r="205" spans="1:26" s="24" customFormat="1" hidden="1" outlineLevel="2" x14ac:dyDescent="0.25">
      <c r="A205" s="25"/>
      <c r="B205" s="11" t="str">
        <f>CONCATENATE("          ", "6307", " - ", "POSTAGE")</f>
        <v xml:space="preserve">          6307 - POSTAGE</v>
      </c>
      <c r="C205" s="11"/>
      <c r="D205" s="7">
        <v>-1228.44</v>
      </c>
      <c r="E205" s="2"/>
      <c r="F205" s="6">
        <f t="shared" si="62"/>
        <v>-8.2556351746348718E-4</v>
      </c>
      <c r="G205" s="2"/>
      <c r="H205" s="7">
        <v>40</v>
      </c>
      <c r="I205" s="2"/>
      <c r="J205" s="6">
        <f t="shared" si="63"/>
        <v>2.586011821948195E-5</v>
      </c>
      <c r="K205" s="2"/>
      <c r="L205" s="7">
        <f t="shared" si="64"/>
        <v>-1268.44</v>
      </c>
      <c r="M205" s="2"/>
      <c r="N205" s="6">
        <f t="shared" si="65"/>
        <v>-31.711000000000002</v>
      </c>
      <c r="O205" s="11"/>
      <c r="P205" s="7">
        <v>-20642.04</v>
      </c>
      <c r="Q205" s="2"/>
      <c r="R205" s="6">
        <f t="shared" si="66"/>
        <v>-4.3636163741603094E-3</v>
      </c>
      <c r="S205" s="2"/>
      <c r="T205" s="7">
        <v>120</v>
      </c>
      <c r="U205" s="2"/>
      <c r="V205" s="6">
        <f t="shared" si="67"/>
        <v>2.3980566268039987E-5</v>
      </c>
      <c r="W205" s="2"/>
      <c r="X205" s="7">
        <f t="shared" si="68"/>
        <v>-20762.04</v>
      </c>
      <c r="Y205" s="2"/>
      <c r="Z205" s="6">
        <f t="shared" si="69"/>
        <v>-173.017</v>
      </c>
    </row>
    <row r="206" spans="1:26" s="26" customFormat="1" outlineLevel="1" collapsed="1" x14ac:dyDescent="0.25">
      <c r="A206" s="27"/>
      <c r="B206" s="13" t="str">
        <f>CONCATENATE("     ","General                                           ")</f>
        <v xml:space="preserve">     General                                           </v>
      </c>
      <c r="C206" s="13"/>
      <c r="D206" s="1">
        <f>SUM(OSRRefD22_11x_0)</f>
        <v>-1155.18</v>
      </c>
      <c r="E206" s="1"/>
      <c r="F206" s="5">
        <f t="shared" ref="F206:F223" si="70">IF(D$12=0,0,D206/D$12)</f>
        <v>-7.7632970605277525E-4</v>
      </c>
      <c r="G206" s="1"/>
      <c r="H206" s="1">
        <f>SUM(OSRRefH22_11x_0)</f>
        <v>2118</v>
      </c>
      <c r="I206" s="1"/>
      <c r="J206" s="5">
        <f t="shared" ref="J206:J223" si="71">IF(H$12=0,0,H206/H$12)</f>
        <v>1.3692932597215693E-3</v>
      </c>
      <c r="K206" s="1"/>
      <c r="L206" s="1">
        <f t="shared" ref="L206:L223" si="72">+D206-H206</f>
        <v>-3273.1800000000003</v>
      </c>
      <c r="M206" s="1"/>
      <c r="N206" s="5">
        <f t="shared" ref="N206:N223" si="73">IF(H206=0,0,L206/H206)</f>
        <v>-1.5454107648725215</v>
      </c>
      <c r="O206" s="13"/>
      <c r="P206" s="1">
        <f>SUM(OSRRefP22_11x_0)</f>
        <v>-10937.22</v>
      </c>
      <c r="Q206" s="1"/>
      <c r="R206" s="5">
        <f t="shared" ref="R206:R223" si="74">IF(P$12=0,0,P206/P$12)</f>
        <v>-2.3120695570686624E-3</v>
      </c>
      <c r="S206" s="1"/>
      <c r="T206" s="1">
        <f>SUM(OSRRefT22_11x_0)</f>
        <v>4196</v>
      </c>
      <c r="U206" s="1"/>
      <c r="V206" s="5">
        <f t="shared" ref="V206:V223" si="75">IF(T$12=0,0,T206/T$12)</f>
        <v>8.3852046717246493E-4</v>
      </c>
      <c r="W206" s="1"/>
      <c r="X206" s="1">
        <f t="shared" ref="X206:X223" si="76">+P206-T206</f>
        <v>-15133.22</v>
      </c>
      <c r="Y206" s="1"/>
      <c r="Z206" s="5">
        <f t="shared" ref="Z206:Z223" si="77">IF(T206=0,0,X206/T206)</f>
        <v>-3.606582459485224</v>
      </c>
    </row>
    <row r="207" spans="1:26" s="24" customFormat="1" hidden="1" outlineLevel="2" x14ac:dyDescent="0.25">
      <c r="A207" s="25"/>
      <c r="B207" s="11" t="str">
        <f>CONCATENATE("          ", "6279", " - ", "GENERAL EXPENSE")</f>
        <v xml:space="preserve">          6279 - GENERAL EXPENSE</v>
      </c>
      <c r="C207" s="11"/>
      <c r="D207" s="7">
        <v>-1155.18</v>
      </c>
      <c r="E207" s="2"/>
      <c r="F207" s="6">
        <f t="shared" si="70"/>
        <v>-7.7632970605277525E-4</v>
      </c>
      <c r="G207" s="2"/>
      <c r="H207" s="7">
        <v>2118</v>
      </c>
      <c r="I207" s="2"/>
      <c r="J207" s="6">
        <f t="shared" si="71"/>
        <v>1.3692932597215693E-3</v>
      </c>
      <c r="K207" s="2"/>
      <c r="L207" s="7">
        <f t="shared" si="72"/>
        <v>-3273.1800000000003</v>
      </c>
      <c r="M207" s="2"/>
      <c r="N207" s="6">
        <f t="shared" si="73"/>
        <v>-1.5454107648725215</v>
      </c>
      <c r="O207" s="11"/>
      <c r="P207" s="7">
        <v>-10937.22</v>
      </c>
      <c r="Q207" s="2"/>
      <c r="R207" s="6">
        <f t="shared" si="74"/>
        <v>-2.3120695570686624E-3</v>
      </c>
      <c r="S207" s="2"/>
      <c r="T207" s="7">
        <v>4196</v>
      </c>
      <c r="U207" s="2"/>
      <c r="V207" s="6">
        <f t="shared" si="75"/>
        <v>8.3852046717246493E-4</v>
      </c>
      <c r="W207" s="2"/>
      <c r="X207" s="7">
        <f t="shared" si="76"/>
        <v>-15133.22</v>
      </c>
      <c r="Y207" s="2"/>
      <c r="Z207" s="6">
        <f t="shared" si="77"/>
        <v>-3.606582459485224</v>
      </c>
    </row>
    <row r="208" spans="1:26" s="26" customFormat="1" outlineLevel="1" collapsed="1" x14ac:dyDescent="0.25">
      <c r="A208" s="27"/>
      <c r="B208" s="13" t="str">
        <f>CONCATENATE("     ","Insurance                                         ")</f>
        <v xml:space="preserve">     Insurance                                         </v>
      </c>
      <c r="C208" s="13"/>
      <c r="D208" s="1">
        <f>SUM(OSRRefD22_12x_0)</f>
        <v>4288.28</v>
      </c>
      <c r="E208" s="1"/>
      <c r="F208" s="5">
        <f t="shared" si="70"/>
        <v>2.8819051159749949E-3</v>
      </c>
      <c r="G208" s="1"/>
      <c r="H208" s="1">
        <f>SUM(OSRRefH22_12x_0)</f>
        <v>4045</v>
      </c>
      <c r="I208" s="1"/>
      <c r="J208" s="5">
        <f t="shared" si="71"/>
        <v>2.6151044549451124E-3</v>
      </c>
      <c r="K208" s="1"/>
      <c r="L208" s="1">
        <f t="shared" si="72"/>
        <v>243.27999999999975</v>
      </c>
      <c r="M208" s="1"/>
      <c r="N208" s="5">
        <f t="shared" si="73"/>
        <v>6.0143386897404137E-2</v>
      </c>
      <c r="O208" s="13"/>
      <c r="P208" s="1">
        <f>SUM(OSRRefP22_12x_0)</f>
        <v>12864.84</v>
      </c>
      <c r="Q208" s="1"/>
      <c r="R208" s="5">
        <f t="shared" si="74"/>
        <v>2.7195580705663058E-3</v>
      </c>
      <c r="S208" s="1"/>
      <c r="T208" s="1">
        <f>SUM(OSRRefT22_12x_0)</f>
        <v>12135</v>
      </c>
      <c r="U208" s="1"/>
      <c r="V208" s="5">
        <f t="shared" si="75"/>
        <v>2.4250347638555439E-3</v>
      </c>
      <c r="W208" s="1"/>
      <c r="X208" s="1">
        <f t="shared" si="76"/>
        <v>729.84000000000015</v>
      </c>
      <c r="Y208" s="1"/>
      <c r="Z208" s="5">
        <f t="shared" si="77"/>
        <v>6.0143386897404214E-2</v>
      </c>
    </row>
    <row r="209" spans="1:26" s="24" customFormat="1" hidden="1" outlineLevel="2" x14ac:dyDescent="0.25">
      <c r="A209" s="25"/>
      <c r="B209" s="11" t="str">
        <f>CONCATENATE("          ", "6314", " - ", "LIABILITY INSURANCE")</f>
        <v xml:space="preserve">          6314 - LIABILITY INSURANCE</v>
      </c>
      <c r="C209" s="11"/>
      <c r="D209" s="7">
        <v>4288.28</v>
      </c>
      <c r="E209" s="2"/>
      <c r="F209" s="6">
        <f t="shared" si="70"/>
        <v>2.8819051159749949E-3</v>
      </c>
      <c r="G209" s="2"/>
      <c r="H209" s="7">
        <v>4045</v>
      </c>
      <c r="I209" s="2"/>
      <c r="J209" s="6">
        <f t="shared" si="71"/>
        <v>2.6151044549451124E-3</v>
      </c>
      <c r="K209" s="2"/>
      <c r="L209" s="7">
        <f t="shared" si="72"/>
        <v>243.27999999999975</v>
      </c>
      <c r="M209" s="2"/>
      <c r="N209" s="6">
        <f t="shared" si="73"/>
        <v>6.0143386897404137E-2</v>
      </c>
      <c r="O209" s="11"/>
      <c r="P209" s="7">
        <v>12864.84</v>
      </c>
      <c r="Q209" s="2"/>
      <c r="R209" s="6">
        <f t="shared" si="74"/>
        <v>2.7195580705663058E-3</v>
      </c>
      <c r="S209" s="2"/>
      <c r="T209" s="7">
        <v>12135</v>
      </c>
      <c r="U209" s="2"/>
      <c r="V209" s="6">
        <f t="shared" si="75"/>
        <v>2.4250347638555439E-3</v>
      </c>
      <c r="W209" s="2"/>
      <c r="X209" s="7">
        <f t="shared" si="76"/>
        <v>729.84000000000015</v>
      </c>
      <c r="Y209" s="2"/>
      <c r="Z209" s="6">
        <f t="shared" si="77"/>
        <v>6.0143386897404214E-2</v>
      </c>
    </row>
    <row r="210" spans="1:26" s="26" customFormat="1" outlineLevel="1" collapsed="1" x14ac:dyDescent="0.25">
      <c r="A210" s="27"/>
      <c r="B210" s="13" t="str">
        <f>CONCATENATE("     ","Interest                                          ")</f>
        <v xml:space="preserve">     Interest                                          </v>
      </c>
      <c r="C210" s="13"/>
      <c r="D210" s="1">
        <f>SUM(OSRRefD22_13x_0)</f>
        <v>4110</v>
      </c>
      <c r="E210" s="1"/>
      <c r="F210" s="5">
        <f t="shared" si="70"/>
        <v>2.762093432951493E-3</v>
      </c>
      <c r="G210" s="1"/>
      <c r="H210" s="1">
        <f>SUM(OSRRefH22_13x_0)</f>
        <v>4175</v>
      </c>
      <c r="I210" s="1"/>
      <c r="J210" s="5">
        <f t="shared" si="71"/>
        <v>2.6991498391584286E-3</v>
      </c>
      <c r="K210" s="1"/>
      <c r="L210" s="1">
        <f t="shared" si="72"/>
        <v>-65</v>
      </c>
      <c r="M210" s="1"/>
      <c r="N210" s="5">
        <f t="shared" si="73"/>
        <v>-1.5568862275449102E-2</v>
      </c>
      <c r="O210" s="13"/>
      <c r="P210" s="1">
        <f>SUM(OSRRefP22_13x_0)</f>
        <v>12330</v>
      </c>
      <c r="Q210" s="1"/>
      <c r="R210" s="5">
        <f t="shared" si="74"/>
        <v>2.606495767540253E-3</v>
      </c>
      <c r="S210" s="1"/>
      <c r="T210" s="1">
        <f>SUM(OSRRefT22_13x_0)</f>
        <v>12525</v>
      </c>
      <c r="U210" s="1"/>
      <c r="V210" s="5">
        <f t="shared" si="75"/>
        <v>2.5029716042266736E-3</v>
      </c>
      <c r="W210" s="1"/>
      <c r="X210" s="1">
        <f t="shared" si="76"/>
        <v>-195</v>
      </c>
      <c r="Y210" s="1"/>
      <c r="Z210" s="5">
        <f t="shared" si="77"/>
        <v>-1.5568862275449102E-2</v>
      </c>
    </row>
    <row r="211" spans="1:26" s="24" customFormat="1" hidden="1" outlineLevel="2" x14ac:dyDescent="0.25">
      <c r="A211" s="25"/>
      <c r="B211" s="11" t="str">
        <f>CONCATENATE("          ", "6401", " - ", "INTEREST EXPENSE")</f>
        <v xml:space="preserve">          6401 - INTEREST EXPENSE</v>
      </c>
      <c r="C211" s="11"/>
      <c r="D211" s="7">
        <v>4110</v>
      </c>
      <c r="E211" s="2"/>
      <c r="F211" s="6">
        <f t="shared" si="70"/>
        <v>2.762093432951493E-3</v>
      </c>
      <c r="G211" s="2"/>
      <c r="H211" s="7">
        <v>4175</v>
      </c>
      <c r="I211" s="2"/>
      <c r="J211" s="6">
        <f t="shared" si="71"/>
        <v>2.6991498391584286E-3</v>
      </c>
      <c r="K211" s="2"/>
      <c r="L211" s="7">
        <f t="shared" si="72"/>
        <v>-65</v>
      </c>
      <c r="M211" s="2"/>
      <c r="N211" s="6">
        <f t="shared" si="73"/>
        <v>-1.5568862275449102E-2</v>
      </c>
      <c r="O211" s="11"/>
      <c r="P211" s="7">
        <v>12330</v>
      </c>
      <c r="Q211" s="2"/>
      <c r="R211" s="6">
        <f t="shared" si="74"/>
        <v>2.606495767540253E-3</v>
      </c>
      <c r="S211" s="2"/>
      <c r="T211" s="7">
        <v>12525</v>
      </c>
      <c r="U211" s="2"/>
      <c r="V211" s="6">
        <f t="shared" si="75"/>
        <v>2.5029716042266736E-3</v>
      </c>
      <c r="W211" s="2"/>
      <c r="X211" s="7">
        <f t="shared" si="76"/>
        <v>-195</v>
      </c>
      <c r="Y211" s="2"/>
      <c r="Z211" s="6">
        <f t="shared" si="77"/>
        <v>-1.5568862275449102E-2</v>
      </c>
    </row>
    <row r="212" spans="1:26" s="26" customFormat="1" outlineLevel="1" collapsed="1" x14ac:dyDescent="0.25">
      <c r="A212" s="27"/>
      <c r="B212" s="13" t="str">
        <f>CONCATENATE("     ","Inventory Adjustment                              ")</f>
        <v xml:space="preserve">     Inventory Adjustment                              </v>
      </c>
      <c r="C212" s="13"/>
      <c r="D212" s="1">
        <f>SUM(OSRRefD22_14x_0)</f>
        <v>4250</v>
      </c>
      <c r="E212" s="1"/>
      <c r="F212" s="5">
        <f t="shared" si="70"/>
        <v>2.8561793406432713E-3</v>
      </c>
      <c r="G212" s="1"/>
      <c r="H212" s="1">
        <f>SUM(OSRRefH22_14x_0)</f>
        <v>4250</v>
      </c>
      <c r="I212" s="1"/>
      <c r="J212" s="5">
        <f t="shared" si="71"/>
        <v>2.7476375608199571E-3</v>
      </c>
      <c r="K212" s="1"/>
      <c r="L212" s="1">
        <f t="shared" si="72"/>
        <v>0</v>
      </c>
      <c r="M212" s="1"/>
      <c r="N212" s="5">
        <f t="shared" si="73"/>
        <v>0</v>
      </c>
      <c r="O212" s="13"/>
      <c r="P212" s="1">
        <f>SUM(OSRRefP22_14x_0)</f>
        <v>12650</v>
      </c>
      <c r="Q212" s="1"/>
      <c r="R212" s="5">
        <f t="shared" si="74"/>
        <v>2.6741420486118576E-3</v>
      </c>
      <c r="S212" s="1"/>
      <c r="T212" s="1">
        <f>SUM(OSRRefT22_14x_0)</f>
        <v>12650</v>
      </c>
      <c r="U212" s="1"/>
      <c r="V212" s="5">
        <f t="shared" si="75"/>
        <v>2.5279513607558823E-3</v>
      </c>
      <c r="W212" s="1"/>
      <c r="X212" s="1">
        <f t="shared" si="76"/>
        <v>0</v>
      </c>
      <c r="Y212" s="1"/>
      <c r="Z212" s="5">
        <f t="shared" si="77"/>
        <v>0</v>
      </c>
    </row>
    <row r="213" spans="1:26" s="24" customFormat="1" hidden="1" outlineLevel="2" x14ac:dyDescent="0.25">
      <c r="A213" s="25"/>
      <c r="B213" s="11" t="str">
        <f>CONCATENATE("          ", "6408", " - ", "INVENTORY ADJUSTMENT")</f>
        <v xml:space="preserve">          6408 - INVENTORY ADJUSTMENT</v>
      </c>
      <c r="C213" s="11"/>
      <c r="D213" s="7">
        <v>4250</v>
      </c>
      <c r="E213" s="2"/>
      <c r="F213" s="6">
        <f t="shared" si="70"/>
        <v>2.8561793406432713E-3</v>
      </c>
      <c r="G213" s="2"/>
      <c r="H213" s="7">
        <v>4250</v>
      </c>
      <c r="I213" s="2"/>
      <c r="J213" s="6">
        <f t="shared" si="71"/>
        <v>2.7476375608199571E-3</v>
      </c>
      <c r="K213" s="2"/>
      <c r="L213" s="7">
        <f t="shared" si="72"/>
        <v>0</v>
      </c>
      <c r="M213" s="2"/>
      <c r="N213" s="6">
        <f t="shared" si="73"/>
        <v>0</v>
      </c>
      <c r="O213" s="11"/>
      <c r="P213" s="7">
        <v>12650</v>
      </c>
      <c r="Q213" s="2"/>
      <c r="R213" s="6">
        <f t="shared" si="74"/>
        <v>2.6741420486118576E-3</v>
      </c>
      <c r="S213" s="2"/>
      <c r="T213" s="7">
        <v>12650</v>
      </c>
      <c r="U213" s="2"/>
      <c r="V213" s="6">
        <f t="shared" si="75"/>
        <v>2.5279513607558823E-3</v>
      </c>
      <c r="W213" s="2"/>
      <c r="X213" s="7">
        <f t="shared" si="76"/>
        <v>0</v>
      </c>
      <c r="Y213" s="2"/>
      <c r="Z213" s="6">
        <f t="shared" si="77"/>
        <v>0</v>
      </c>
    </row>
    <row r="214" spans="1:26" s="26" customFormat="1" outlineLevel="1" collapsed="1" x14ac:dyDescent="0.25">
      <c r="A214" s="27"/>
      <c r="B214" s="13" t="str">
        <f>CONCATENATE("     ","Professional Services                             ")</f>
        <v xml:space="preserve">     Professional Services                             </v>
      </c>
      <c r="C214" s="13"/>
      <c r="D214" s="1">
        <f>SUM(OSRRefD22_15x_0)</f>
        <v>0</v>
      </c>
      <c r="E214" s="1"/>
      <c r="F214" s="5">
        <f t="shared" si="70"/>
        <v>0</v>
      </c>
      <c r="G214" s="1"/>
      <c r="H214" s="1">
        <f>SUM(OSRRefH22_15x_0)</f>
        <v>1015</v>
      </c>
      <c r="I214" s="1"/>
      <c r="J214" s="5">
        <f t="shared" si="71"/>
        <v>6.5620049981935454E-4</v>
      </c>
      <c r="K214" s="1"/>
      <c r="L214" s="1">
        <f t="shared" si="72"/>
        <v>-1015</v>
      </c>
      <c r="M214" s="1"/>
      <c r="N214" s="5">
        <f t="shared" si="73"/>
        <v>-1</v>
      </c>
      <c r="O214" s="13"/>
      <c r="P214" s="1">
        <f>SUM(OSRRefP22_15x_0)</f>
        <v>6158.41</v>
      </c>
      <c r="Q214" s="1"/>
      <c r="R214" s="5">
        <f t="shared" si="74"/>
        <v>1.3018547931693081E-3</v>
      </c>
      <c r="S214" s="1"/>
      <c r="T214" s="1">
        <f>SUM(OSRRefT22_15x_0)</f>
        <v>5445</v>
      </c>
      <c r="U214" s="1"/>
      <c r="V214" s="5">
        <f t="shared" si="75"/>
        <v>1.0881181944123145E-3</v>
      </c>
      <c r="W214" s="1"/>
      <c r="X214" s="1">
        <f t="shared" si="76"/>
        <v>713.40999999999985</v>
      </c>
      <c r="Y214" s="1"/>
      <c r="Z214" s="5">
        <f t="shared" si="77"/>
        <v>0.13102112029384755</v>
      </c>
    </row>
    <row r="215" spans="1:26" s="24" customFormat="1" hidden="1" outlineLevel="2" x14ac:dyDescent="0.25">
      <c r="A215" s="25"/>
      <c r="B215" s="11" t="str">
        <f>CONCATENATE("          ", "6336", " - ", "PROFESSIONAL SERVICES")</f>
        <v xml:space="preserve">          6336 - PROFESSIONAL SERVICES</v>
      </c>
      <c r="C215" s="11"/>
      <c r="D215" s="7"/>
      <c r="E215" s="2"/>
      <c r="F215" s="6">
        <f t="shared" si="70"/>
        <v>0</v>
      </c>
      <c r="G215" s="2"/>
      <c r="H215" s="7">
        <v>1015</v>
      </c>
      <c r="I215" s="2"/>
      <c r="J215" s="6">
        <f t="shared" si="71"/>
        <v>6.5620049981935454E-4</v>
      </c>
      <c r="K215" s="2"/>
      <c r="L215" s="7">
        <f t="shared" si="72"/>
        <v>-1015</v>
      </c>
      <c r="M215" s="2"/>
      <c r="N215" s="6">
        <f t="shared" si="73"/>
        <v>-1</v>
      </c>
      <c r="O215" s="11"/>
      <c r="P215" s="7">
        <v>6158.41</v>
      </c>
      <c r="Q215" s="2"/>
      <c r="R215" s="6">
        <f t="shared" si="74"/>
        <v>1.3018547931693081E-3</v>
      </c>
      <c r="S215" s="2"/>
      <c r="T215" s="7">
        <v>5445</v>
      </c>
      <c r="U215" s="2"/>
      <c r="V215" s="6">
        <f t="shared" si="75"/>
        <v>1.0881181944123145E-3</v>
      </c>
      <c r="W215" s="2"/>
      <c r="X215" s="7">
        <f t="shared" si="76"/>
        <v>713.40999999999985</v>
      </c>
      <c r="Y215" s="2"/>
      <c r="Z215" s="6">
        <f t="shared" si="77"/>
        <v>0.13102112029384755</v>
      </c>
    </row>
    <row r="216" spans="1:26" s="26" customFormat="1" outlineLevel="1" collapsed="1" x14ac:dyDescent="0.25">
      <c r="A216" s="27"/>
      <c r="B216" s="13" t="str">
        <f>CONCATENATE("     ","R/H Commissions                                   ")</f>
        <v xml:space="preserve">     R/H Commissions                                   </v>
      </c>
      <c r="C216" s="13"/>
      <c r="D216" s="1">
        <f>SUM(OSRRefD22_16x_0)</f>
        <v>0</v>
      </c>
      <c r="E216" s="1"/>
      <c r="F216" s="5">
        <f t="shared" si="70"/>
        <v>0</v>
      </c>
      <c r="G216" s="1"/>
      <c r="H216" s="1">
        <f>SUM(OSRRefH22_16x_0)</f>
        <v>0</v>
      </c>
      <c r="I216" s="1"/>
      <c r="J216" s="5">
        <f t="shared" si="71"/>
        <v>0</v>
      </c>
      <c r="K216" s="1"/>
      <c r="L216" s="1">
        <f t="shared" si="72"/>
        <v>0</v>
      </c>
      <c r="M216" s="1"/>
      <c r="N216" s="5">
        <f t="shared" si="73"/>
        <v>0</v>
      </c>
      <c r="O216" s="13"/>
      <c r="P216" s="1">
        <f>SUM(OSRRefP22_16x_0)</f>
        <v>0</v>
      </c>
      <c r="Q216" s="1"/>
      <c r="R216" s="5">
        <f t="shared" si="74"/>
        <v>0</v>
      </c>
      <c r="S216" s="1"/>
      <c r="T216" s="1">
        <f>SUM(OSRRefT22_16x_0)</f>
        <v>0</v>
      </c>
      <c r="U216" s="1"/>
      <c r="V216" s="5">
        <f t="shared" si="75"/>
        <v>0</v>
      </c>
      <c r="W216" s="1"/>
      <c r="X216" s="1">
        <f t="shared" si="76"/>
        <v>0</v>
      </c>
      <c r="Y216" s="1"/>
      <c r="Z216" s="5">
        <f t="shared" si="77"/>
        <v>0</v>
      </c>
    </row>
    <row r="217" spans="1:26" s="24" customFormat="1" hidden="1" outlineLevel="2" x14ac:dyDescent="0.25">
      <c r="A217" s="25"/>
      <c r="B217" s="11" t="str">
        <f>CONCATENATE("          ", "6387", " - ", "COMMISSION DUE HOUSING")</f>
        <v xml:space="preserve">          6387 - COMMISSION DUE HOUSING</v>
      </c>
      <c r="C217" s="11"/>
      <c r="D217" s="7"/>
      <c r="E217" s="2"/>
      <c r="F217" s="6">
        <f t="shared" si="70"/>
        <v>0</v>
      </c>
      <c r="G217" s="2"/>
      <c r="H217" s="7"/>
      <c r="I217" s="2"/>
      <c r="J217" s="6">
        <f t="shared" si="71"/>
        <v>0</v>
      </c>
      <c r="K217" s="2"/>
      <c r="L217" s="7">
        <f t="shared" si="72"/>
        <v>0</v>
      </c>
      <c r="M217" s="2"/>
      <c r="N217" s="6">
        <f t="shared" si="73"/>
        <v>0</v>
      </c>
      <c r="O217" s="11"/>
      <c r="P217" s="7"/>
      <c r="Q217" s="2"/>
      <c r="R217" s="6">
        <f t="shared" si="74"/>
        <v>0</v>
      </c>
      <c r="S217" s="2"/>
      <c r="T217" s="7">
        <v>0</v>
      </c>
      <c r="U217" s="2"/>
      <c r="V217" s="6">
        <f t="shared" si="75"/>
        <v>0</v>
      </c>
      <c r="W217" s="2"/>
      <c r="X217" s="7">
        <f t="shared" si="76"/>
        <v>0</v>
      </c>
      <c r="Y217" s="2"/>
      <c r="Z217" s="6">
        <f t="shared" si="77"/>
        <v>0</v>
      </c>
    </row>
    <row r="218" spans="1:26" s="26" customFormat="1" outlineLevel="1" collapsed="1" x14ac:dyDescent="0.25">
      <c r="A218" s="27"/>
      <c r="B218" s="13" t="str">
        <f>CONCATENATE("     ","Rent                                              ")</f>
        <v xml:space="preserve">     Rent                                              </v>
      </c>
      <c r="C218" s="13"/>
      <c r="D218" s="1">
        <f>SUM(OSRRefD22_17x_0)</f>
        <v>7250</v>
      </c>
      <c r="E218" s="1"/>
      <c r="F218" s="5">
        <f t="shared" si="70"/>
        <v>4.8723059340385223E-3</v>
      </c>
      <c r="G218" s="1"/>
      <c r="H218" s="1">
        <f>SUM(OSRRefH22_17x_0)</f>
        <v>7550</v>
      </c>
      <c r="I218" s="1"/>
      <c r="J218" s="5">
        <f t="shared" si="71"/>
        <v>4.8810973139272185E-3</v>
      </c>
      <c r="K218" s="1"/>
      <c r="L218" s="1">
        <f t="shared" si="72"/>
        <v>-300</v>
      </c>
      <c r="M218" s="1"/>
      <c r="N218" s="5">
        <f t="shared" si="73"/>
        <v>-3.9735099337748346E-2</v>
      </c>
      <c r="O218" s="13"/>
      <c r="P218" s="1">
        <f>SUM(OSRRefP22_17x_0)</f>
        <v>21750</v>
      </c>
      <c r="Q218" s="1"/>
      <c r="R218" s="5">
        <f t="shared" si="74"/>
        <v>4.5978331665856046E-3</v>
      </c>
      <c r="S218" s="1"/>
      <c r="T218" s="1">
        <f>SUM(OSRRefT22_17x_0)</f>
        <v>22650</v>
      </c>
      <c r="U218" s="1"/>
      <c r="V218" s="5">
        <f t="shared" si="75"/>
        <v>4.5263318830925476E-3</v>
      </c>
      <c r="W218" s="1"/>
      <c r="X218" s="1">
        <f t="shared" si="76"/>
        <v>-900</v>
      </c>
      <c r="Y218" s="1"/>
      <c r="Z218" s="5">
        <f t="shared" si="77"/>
        <v>-3.9735099337748346E-2</v>
      </c>
    </row>
    <row r="219" spans="1:26" s="24" customFormat="1" hidden="1" outlineLevel="2" x14ac:dyDescent="0.25">
      <c r="A219" s="25"/>
      <c r="B219" s="11" t="str">
        <f>CONCATENATE("          ", "6273", " - ", "RENT")</f>
        <v xml:space="preserve">          6273 - RENT</v>
      </c>
      <c r="C219" s="11"/>
      <c r="D219" s="7">
        <v>7250</v>
      </c>
      <c r="E219" s="2"/>
      <c r="F219" s="6">
        <f t="shared" si="70"/>
        <v>4.8723059340385223E-3</v>
      </c>
      <c r="G219" s="2"/>
      <c r="H219" s="7">
        <v>7550</v>
      </c>
      <c r="I219" s="2"/>
      <c r="J219" s="6">
        <f t="shared" si="71"/>
        <v>4.8810973139272185E-3</v>
      </c>
      <c r="K219" s="2"/>
      <c r="L219" s="7">
        <f t="shared" si="72"/>
        <v>-300</v>
      </c>
      <c r="M219" s="2"/>
      <c r="N219" s="6">
        <f t="shared" si="73"/>
        <v>-3.9735099337748346E-2</v>
      </c>
      <c r="O219" s="11"/>
      <c r="P219" s="7">
        <v>21750</v>
      </c>
      <c r="Q219" s="2"/>
      <c r="R219" s="6">
        <f t="shared" si="74"/>
        <v>4.5978331665856046E-3</v>
      </c>
      <c r="S219" s="2"/>
      <c r="T219" s="7">
        <v>22650</v>
      </c>
      <c r="U219" s="2"/>
      <c r="V219" s="6">
        <f t="shared" si="75"/>
        <v>4.5263318830925476E-3</v>
      </c>
      <c r="W219" s="2"/>
      <c r="X219" s="7">
        <f t="shared" si="76"/>
        <v>-900</v>
      </c>
      <c r="Y219" s="2"/>
      <c r="Z219" s="6">
        <f t="shared" si="77"/>
        <v>-3.9735099337748346E-2</v>
      </c>
    </row>
    <row r="220" spans="1:26" s="26" customFormat="1" outlineLevel="1" collapsed="1" x14ac:dyDescent="0.25">
      <c r="A220" s="27"/>
      <c r="B220" s="13" t="str">
        <f>CONCATENATE("     ","Repair and Maintenance                            ")</f>
        <v xml:space="preserve">     Repair and Maintenance                            </v>
      </c>
      <c r="C220" s="13"/>
      <c r="D220" s="1">
        <f>SUM(OSRRefD22_18x_0)</f>
        <v>16139.84</v>
      </c>
      <c r="E220" s="1"/>
      <c r="F220" s="5">
        <f t="shared" si="70"/>
        <v>1.0846653545714799E-2</v>
      </c>
      <c r="G220" s="1"/>
      <c r="H220" s="1">
        <f>SUM(OSRRefH22_18x_0)</f>
        <v>16182</v>
      </c>
      <c r="I220" s="1"/>
      <c r="J220" s="5">
        <f t="shared" si="71"/>
        <v>1.0461710825691424E-2</v>
      </c>
      <c r="K220" s="1"/>
      <c r="L220" s="1">
        <f t="shared" si="72"/>
        <v>-42.159999999999854</v>
      </c>
      <c r="M220" s="1"/>
      <c r="N220" s="5">
        <f t="shared" si="73"/>
        <v>-2.6053639846743207E-3</v>
      </c>
      <c r="O220" s="13"/>
      <c r="P220" s="1">
        <f>SUM(OSRRefP22_18x_0)</f>
        <v>56810.44</v>
      </c>
      <c r="Q220" s="1"/>
      <c r="R220" s="5">
        <f t="shared" si="74"/>
        <v>1.2009421850129725E-2</v>
      </c>
      <c r="S220" s="1"/>
      <c r="T220" s="1">
        <f>SUM(OSRRefT22_18x_0)</f>
        <v>91437</v>
      </c>
      <c r="U220" s="1"/>
      <c r="V220" s="5">
        <f t="shared" si="75"/>
        <v>1.8272591982089768E-2</v>
      </c>
      <c r="W220" s="1"/>
      <c r="X220" s="1">
        <f t="shared" si="76"/>
        <v>-34626.559999999998</v>
      </c>
      <c r="Y220" s="1"/>
      <c r="Z220" s="5">
        <f t="shared" si="77"/>
        <v>-0.3786930892308365</v>
      </c>
    </row>
    <row r="221" spans="1:26" s="24" customFormat="1" hidden="1" outlineLevel="2" x14ac:dyDescent="0.25">
      <c r="A221" s="25"/>
      <c r="B221" s="11" t="str">
        <f>CONCATENATE("          ", "6371", " - ", "COMPUTER SOFTWARE MAINTENANCE")</f>
        <v xml:space="preserve">          6371 - COMPUTER SOFTWARE MAINTENANCE</v>
      </c>
      <c r="C221" s="11"/>
      <c r="D221" s="7">
        <v>4974.08</v>
      </c>
      <c r="E221" s="2"/>
      <c r="F221" s="6">
        <f t="shared" si="70"/>
        <v>3.3427916552251492E-3</v>
      </c>
      <c r="G221" s="2"/>
      <c r="H221" s="7"/>
      <c r="I221" s="2"/>
      <c r="J221" s="6">
        <f t="shared" si="71"/>
        <v>0</v>
      </c>
      <c r="K221" s="2"/>
      <c r="L221" s="7">
        <f t="shared" si="72"/>
        <v>4974.08</v>
      </c>
      <c r="M221" s="2"/>
      <c r="N221" s="6">
        <f t="shared" si="73"/>
        <v>0</v>
      </c>
      <c r="O221" s="11"/>
      <c r="P221" s="7">
        <v>13462.33</v>
      </c>
      <c r="Q221" s="2"/>
      <c r="R221" s="6">
        <f t="shared" si="74"/>
        <v>2.8458642470584085E-3</v>
      </c>
      <c r="S221" s="2"/>
      <c r="T221" s="7">
        <v>48535</v>
      </c>
      <c r="U221" s="2"/>
      <c r="V221" s="6">
        <f t="shared" si="75"/>
        <v>9.6991398651610061E-3</v>
      </c>
      <c r="W221" s="2"/>
      <c r="X221" s="7">
        <f t="shared" si="76"/>
        <v>-35072.67</v>
      </c>
      <c r="Y221" s="2"/>
      <c r="Z221" s="6">
        <f t="shared" si="77"/>
        <v>-0.72262635211702886</v>
      </c>
    </row>
    <row r="222" spans="1:26" s="24" customFormat="1" hidden="1" outlineLevel="2" x14ac:dyDescent="0.25">
      <c r="A222" s="25"/>
      <c r="B222" s="11" t="str">
        <f>CONCATENATE("          ", "6373", " - ", "MAINTENANCE CONTRACTS")</f>
        <v xml:space="preserve">          6373 - MAINTENANCE CONTRACTS</v>
      </c>
      <c r="C222" s="11"/>
      <c r="D222" s="7">
        <v>6672.75</v>
      </c>
      <c r="E222" s="2"/>
      <c r="F222" s="6">
        <f t="shared" si="70"/>
        <v>4.4843695753593862E-3</v>
      </c>
      <c r="G222" s="2"/>
      <c r="H222" s="7">
        <v>7040</v>
      </c>
      <c r="I222" s="2"/>
      <c r="J222" s="6">
        <f t="shared" si="71"/>
        <v>4.5513808066288235E-3</v>
      </c>
      <c r="K222" s="2"/>
      <c r="L222" s="7">
        <f t="shared" si="72"/>
        <v>-367.25</v>
      </c>
      <c r="M222" s="2"/>
      <c r="N222" s="6">
        <f t="shared" si="73"/>
        <v>-5.2166193181818185E-2</v>
      </c>
      <c r="O222" s="11"/>
      <c r="P222" s="7">
        <v>19048.190000000002</v>
      </c>
      <c r="Q222" s="2"/>
      <c r="R222" s="6">
        <f t="shared" si="74"/>
        <v>4.026685045766633E-3</v>
      </c>
      <c r="S222" s="2"/>
      <c r="T222" s="7">
        <v>21195</v>
      </c>
      <c r="U222" s="2"/>
      <c r="V222" s="6">
        <f t="shared" si="75"/>
        <v>4.2355675170925632E-3</v>
      </c>
      <c r="W222" s="2"/>
      <c r="X222" s="7">
        <f t="shared" si="76"/>
        <v>-2146.8099999999977</v>
      </c>
      <c r="Y222" s="2"/>
      <c r="Z222" s="6">
        <f t="shared" si="77"/>
        <v>-0.10128851144137757</v>
      </c>
    </row>
    <row r="223" spans="1:26" s="24" customFormat="1" hidden="1" outlineLevel="2" x14ac:dyDescent="0.25">
      <c r="A223" s="25"/>
      <c r="B223" s="11" t="str">
        <f>CONCATENATE("          ", "6375", " - ", "OUTSIDE REPAIRS &amp; MAINTENANCE")</f>
        <v xml:space="preserve">          6375 - OUTSIDE REPAIRS &amp; MAINTENANCE</v>
      </c>
      <c r="C223" s="11"/>
      <c r="D223" s="7">
        <v>4493.01</v>
      </c>
      <c r="E223" s="2"/>
      <c r="F223" s="6">
        <f t="shared" si="70"/>
        <v>3.0194923151302651E-3</v>
      </c>
      <c r="G223" s="2"/>
      <c r="H223" s="7">
        <v>9142</v>
      </c>
      <c r="I223" s="2"/>
      <c r="J223" s="6">
        <f t="shared" si="71"/>
        <v>5.9103300190625997E-3</v>
      </c>
      <c r="K223" s="2"/>
      <c r="L223" s="7">
        <f t="shared" si="72"/>
        <v>-4648.99</v>
      </c>
      <c r="M223" s="2"/>
      <c r="N223" s="6">
        <f t="shared" si="73"/>
        <v>-0.5085309560271275</v>
      </c>
      <c r="O223" s="11"/>
      <c r="P223" s="7">
        <v>24299.919999999998</v>
      </c>
      <c r="Q223" s="2"/>
      <c r="R223" s="6">
        <f t="shared" si="74"/>
        <v>5.1368725573046831E-3</v>
      </c>
      <c r="S223" s="2"/>
      <c r="T223" s="7">
        <v>21707</v>
      </c>
      <c r="U223" s="2"/>
      <c r="V223" s="6">
        <f t="shared" si="75"/>
        <v>4.3378845998362E-3</v>
      </c>
      <c r="W223" s="2"/>
      <c r="X223" s="7">
        <f t="shared" si="76"/>
        <v>2592.9199999999983</v>
      </c>
      <c r="Y223" s="2"/>
      <c r="Z223" s="6">
        <f t="shared" si="77"/>
        <v>0.11945086838347069</v>
      </c>
    </row>
    <row r="224" spans="1:26" s="26" customFormat="1" outlineLevel="1" collapsed="1" x14ac:dyDescent="0.25">
      <c r="A224" s="27"/>
      <c r="B224" s="13" t="str">
        <f>CONCATENATE("     ","Royalty &amp; Commissions                             ")</f>
        <v xml:space="preserve">     Royalty &amp; Commissions                             </v>
      </c>
      <c r="C224" s="13"/>
      <c r="D224" s="1">
        <f>SUM(OSRRefD22_19x_0)</f>
        <v>16254.27</v>
      </c>
      <c r="E224" s="1"/>
      <c r="F224" s="5">
        <f t="shared" ref="F224:F228" si="78">IF(D$12=0,0,D224/D$12)</f>
        <v>1.0923555334408874E-2</v>
      </c>
      <c r="G224" s="1"/>
      <c r="H224" s="1">
        <f>SUM(OSRRefH22_19x_0)</f>
        <v>20622</v>
      </c>
      <c r="I224" s="1"/>
      <c r="J224" s="5">
        <f t="shared" ref="J224:J228" si="79">IF(H$12=0,0,H224/H$12)</f>
        <v>1.3332183948053919E-2</v>
      </c>
      <c r="K224" s="1"/>
      <c r="L224" s="1">
        <f t="shared" ref="L224:L228" si="80">+D224-H224</f>
        <v>-4367.7299999999996</v>
      </c>
      <c r="M224" s="1"/>
      <c r="N224" s="5">
        <f t="shared" ref="N224:N228" si="81">IF(H224=0,0,L224/H224)</f>
        <v>-0.21179953447774219</v>
      </c>
      <c r="O224" s="13"/>
      <c r="P224" s="1">
        <f>SUM(OSRRefP22_19x_0)</f>
        <v>25125.89</v>
      </c>
      <c r="Q224" s="1"/>
      <c r="R224" s="5">
        <f t="shared" ref="R224:R228" si="82">IF(P$12=0,0,P224/P$12)</f>
        <v>5.3114781784819112E-3</v>
      </c>
      <c r="S224" s="1"/>
      <c r="T224" s="1">
        <f>SUM(OSRRefT22_19x_0)</f>
        <v>55655</v>
      </c>
      <c r="U224" s="1"/>
      <c r="V224" s="5">
        <f t="shared" ref="V224:V228" si="83">IF(T$12=0,0,T224/T$12)</f>
        <v>1.1121986797064713E-2</v>
      </c>
      <c r="W224" s="1"/>
      <c r="X224" s="1">
        <f t="shared" ref="X224:X228" si="84">+P224-T224</f>
        <v>-30529.11</v>
      </c>
      <c r="Y224" s="1"/>
      <c r="Z224" s="5">
        <f t="shared" ref="Z224:Z228" si="85">IF(T224=0,0,X224/T224)</f>
        <v>-0.54854208965950946</v>
      </c>
    </row>
    <row r="225" spans="1:26" s="24" customFormat="1" hidden="1" outlineLevel="2" x14ac:dyDescent="0.25">
      <c r="A225" s="25"/>
      <c r="B225" s="11" t="str">
        <f>CONCATENATE("          ", "6252", " - ", "ROYALTY DUE CSTV")</f>
        <v xml:space="preserve">          6252 - ROYALTY DUE CSTV</v>
      </c>
      <c r="C225" s="11"/>
      <c r="D225" s="7"/>
      <c r="E225" s="2"/>
      <c r="F225" s="6">
        <f t="shared" si="78"/>
        <v>0</v>
      </c>
      <c r="G225" s="2"/>
      <c r="H225" s="7">
        <v>1085</v>
      </c>
      <c r="I225" s="2"/>
      <c r="J225" s="6">
        <f t="shared" si="79"/>
        <v>7.0145570670344796E-4</v>
      </c>
      <c r="K225" s="2"/>
      <c r="L225" s="7">
        <f t="shared" si="80"/>
        <v>-1085</v>
      </c>
      <c r="M225" s="2"/>
      <c r="N225" s="6">
        <f t="shared" si="81"/>
        <v>-1</v>
      </c>
      <c r="O225" s="11"/>
      <c r="P225" s="7"/>
      <c r="Q225" s="2"/>
      <c r="R225" s="6">
        <f t="shared" si="82"/>
        <v>0</v>
      </c>
      <c r="S225" s="2"/>
      <c r="T225" s="7">
        <v>3255</v>
      </c>
      <c r="U225" s="2"/>
      <c r="V225" s="6">
        <f t="shared" si="83"/>
        <v>6.5047286002058472E-4</v>
      </c>
      <c r="W225" s="2"/>
      <c r="X225" s="7">
        <f t="shared" si="84"/>
        <v>-3255</v>
      </c>
      <c r="Y225" s="2"/>
      <c r="Z225" s="6">
        <f t="shared" si="85"/>
        <v>-1</v>
      </c>
    </row>
    <row r="226" spans="1:26" s="24" customFormat="1" hidden="1" outlineLevel="2" x14ac:dyDescent="0.25">
      <c r="A226" s="25"/>
      <c r="B226" s="11" t="str">
        <f>CONCATENATE("          ", "6253", " - ", "ROYALTY DUE ATHLETICS-LRG")</f>
        <v xml:space="preserve">          6253 - ROYALTY DUE ATHLETICS-LRG</v>
      </c>
      <c r="C226" s="11"/>
      <c r="D226" s="7"/>
      <c r="E226" s="2"/>
      <c r="F226" s="6">
        <f t="shared" si="78"/>
        <v>0</v>
      </c>
      <c r="G226" s="2"/>
      <c r="H226" s="7">
        <v>3700</v>
      </c>
      <c r="I226" s="2"/>
      <c r="J226" s="6">
        <f t="shared" si="79"/>
        <v>2.3920609353020802E-3</v>
      </c>
      <c r="K226" s="2"/>
      <c r="L226" s="7">
        <f t="shared" si="80"/>
        <v>-3700</v>
      </c>
      <c r="M226" s="2"/>
      <c r="N226" s="6">
        <f t="shared" si="81"/>
        <v>-1</v>
      </c>
      <c r="O226" s="11"/>
      <c r="P226" s="7">
        <v>4366.95</v>
      </c>
      <c r="Q226" s="2"/>
      <c r="R226" s="6">
        <f t="shared" si="82"/>
        <v>9.2314977226763239E-4</v>
      </c>
      <c r="S226" s="2"/>
      <c r="T226" s="7">
        <v>11100</v>
      </c>
      <c r="U226" s="2"/>
      <c r="V226" s="6">
        <f t="shared" si="83"/>
        <v>2.2182023797936989E-3</v>
      </c>
      <c r="W226" s="2"/>
      <c r="X226" s="7">
        <f t="shared" si="84"/>
        <v>-6733.05</v>
      </c>
      <c r="Y226" s="2"/>
      <c r="Z226" s="6">
        <f t="shared" si="85"/>
        <v>-0.60658108108108111</v>
      </c>
    </row>
    <row r="227" spans="1:26" s="24" customFormat="1" hidden="1" outlineLevel="2" x14ac:dyDescent="0.25">
      <c r="A227" s="25"/>
      <c r="B227" s="11" t="str">
        <f>CONCATENATE("          ", "6254", " - ", "ROYALTY &amp; COMMISSIONS")</f>
        <v xml:space="preserve">          6254 - ROYALTY &amp; COMMISSIONS</v>
      </c>
      <c r="C227" s="11"/>
      <c r="D227" s="7">
        <v>6038.83</v>
      </c>
      <c r="E227" s="2"/>
      <c r="F227" s="6">
        <f t="shared" si="78"/>
        <v>4.0583485853310135E-3</v>
      </c>
      <c r="G227" s="2"/>
      <c r="H227" s="7">
        <v>11700</v>
      </c>
      <c r="I227" s="2"/>
      <c r="J227" s="6">
        <f t="shared" si="79"/>
        <v>7.5640845791984709E-3</v>
      </c>
      <c r="K227" s="2"/>
      <c r="L227" s="7">
        <f t="shared" si="80"/>
        <v>-5661.17</v>
      </c>
      <c r="M227" s="2"/>
      <c r="N227" s="6">
        <f t="shared" si="81"/>
        <v>-0.48386068376068375</v>
      </c>
      <c r="O227" s="11"/>
      <c r="P227" s="7">
        <v>6289.32</v>
      </c>
      <c r="Q227" s="2"/>
      <c r="R227" s="6">
        <f t="shared" si="82"/>
        <v>1.3295284639664449E-3</v>
      </c>
      <c r="S227" s="2"/>
      <c r="T227" s="7">
        <v>35100</v>
      </c>
      <c r="U227" s="2"/>
      <c r="V227" s="6">
        <f t="shared" si="83"/>
        <v>7.0143156334016967E-3</v>
      </c>
      <c r="W227" s="2"/>
      <c r="X227" s="7">
        <f t="shared" si="84"/>
        <v>-28810.68</v>
      </c>
      <c r="Y227" s="2"/>
      <c r="Z227" s="6">
        <f t="shared" si="85"/>
        <v>-0.82081709401709402</v>
      </c>
    </row>
    <row r="228" spans="1:26" s="24" customFormat="1" hidden="1" outlineLevel="2" x14ac:dyDescent="0.25">
      <c r="A228" s="25"/>
      <c r="B228" s="11" t="str">
        <f>CONCATENATE("          ", "6259", " - ", "ROYALTY &amp; COMMISSIONS")</f>
        <v xml:space="preserve">          6259 - ROYALTY &amp; COMMISSIONS</v>
      </c>
      <c r="C228" s="11"/>
      <c r="D228" s="7">
        <v>10215.44</v>
      </c>
      <c r="E228" s="2"/>
      <c r="F228" s="6">
        <f t="shared" si="78"/>
        <v>6.8652067490778592E-3</v>
      </c>
      <c r="G228" s="2"/>
      <c r="H228" s="7">
        <v>4137</v>
      </c>
      <c r="I228" s="2"/>
      <c r="J228" s="6">
        <f t="shared" si="79"/>
        <v>2.674582726849921E-3</v>
      </c>
      <c r="K228" s="2"/>
      <c r="L228" s="7">
        <f t="shared" si="80"/>
        <v>6078.4400000000005</v>
      </c>
      <c r="M228" s="2"/>
      <c r="N228" s="6">
        <f t="shared" si="81"/>
        <v>1.4692869228909839</v>
      </c>
      <c r="O228" s="11"/>
      <c r="P228" s="7">
        <v>14469.62</v>
      </c>
      <c r="Q228" s="2"/>
      <c r="R228" s="6">
        <f t="shared" si="82"/>
        <v>3.0587999422478345E-3</v>
      </c>
      <c r="S228" s="2"/>
      <c r="T228" s="7">
        <v>6200</v>
      </c>
      <c r="U228" s="2"/>
      <c r="V228" s="6">
        <f t="shared" si="83"/>
        <v>1.2389959238487327E-3</v>
      </c>
      <c r="W228" s="2"/>
      <c r="X228" s="7">
        <f t="shared" si="84"/>
        <v>8269.6200000000008</v>
      </c>
      <c r="Y228" s="2"/>
      <c r="Z228" s="6">
        <f t="shared" si="85"/>
        <v>1.3338096774193551</v>
      </c>
    </row>
    <row r="229" spans="1:26" s="26" customFormat="1" outlineLevel="1" collapsed="1" x14ac:dyDescent="0.25">
      <c r="A229" s="27"/>
      <c r="B229" s="13" t="str">
        <f>CONCATENATE("     ","Services                                          ")</f>
        <v xml:space="preserve">     Services                                          </v>
      </c>
      <c r="C229" s="13"/>
      <c r="D229" s="1">
        <f>SUM(OSRRefD22_20x_0)</f>
        <v>5430.2699999999995</v>
      </c>
      <c r="E229" s="1"/>
      <c r="F229" s="5">
        <f t="shared" ref="F229:F235" si="86">IF(D$12=0,0,D229/D$12)</f>
        <v>3.6493705854388088E-3</v>
      </c>
      <c r="G229" s="1"/>
      <c r="H229" s="1">
        <f>SUM(OSRRefH22_20x_0)</f>
        <v>5604.5</v>
      </c>
      <c r="I229" s="1"/>
      <c r="J229" s="5">
        <f t="shared" ref="J229:J235" si="87">IF(H$12=0,0,H229/H$12)</f>
        <v>3.6233258140271648E-3</v>
      </c>
      <c r="K229" s="1"/>
      <c r="L229" s="1">
        <f t="shared" ref="L229:L235" si="88">+D229-H229</f>
        <v>-174.23000000000047</v>
      </c>
      <c r="M229" s="1"/>
      <c r="N229" s="5">
        <f t="shared" ref="N229:N235" si="89">IF(H229=0,0,L229/H229)</f>
        <v>-3.108751895798028E-2</v>
      </c>
      <c r="O229" s="13"/>
      <c r="P229" s="1">
        <f>SUM(OSRRefP22_20x_0)</f>
        <v>18188.96</v>
      </c>
      <c r="Q229" s="1"/>
      <c r="R229" s="5">
        <f t="shared" ref="R229:R235" si="90">IF(P$12=0,0,P229/P$12)</f>
        <v>3.8450484392505242E-3</v>
      </c>
      <c r="S229" s="1"/>
      <c r="T229" s="1">
        <f>SUM(OSRRefT22_20x_0)</f>
        <v>15505.5</v>
      </c>
      <c r="U229" s="1"/>
      <c r="V229" s="5">
        <f t="shared" ref="V229:V235" si="91">IF(T$12=0,0,T229/T$12)</f>
        <v>3.098588918909117E-3</v>
      </c>
      <c r="W229" s="1"/>
      <c r="X229" s="1">
        <f t="shared" ref="X229:X235" si="92">+P229-T229</f>
        <v>2683.4599999999991</v>
      </c>
      <c r="Y229" s="1"/>
      <c r="Z229" s="5">
        <f t="shared" ref="Z229:Z235" si="93">IF(T229=0,0,X229/T229)</f>
        <v>0.17306504143690943</v>
      </c>
    </row>
    <row r="230" spans="1:26" s="24" customFormat="1" hidden="1" outlineLevel="2" x14ac:dyDescent="0.25">
      <c r="A230" s="25"/>
      <c r="B230" s="11" t="str">
        <f>CONCATENATE("          ", "6281", " - ", "STORAGE FEE")</f>
        <v xml:space="preserve">          6281 - STORAGE FEE</v>
      </c>
      <c r="C230" s="11"/>
      <c r="D230" s="7"/>
      <c r="E230" s="2"/>
      <c r="F230" s="6">
        <f t="shared" si="86"/>
        <v>0</v>
      </c>
      <c r="G230" s="2"/>
      <c r="H230" s="7"/>
      <c r="I230" s="2"/>
      <c r="J230" s="6">
        <f t="shared" si="87"/>
        <v>0</v>
      </c>
      <c r="K230" s="2"/>
      <c r="L230" s="7">
        <f t="shared" si="88"/>
        <v>0</v>
      </c>
      <c r="M230" s="2"/>
      <c r="N230" s="6">
        <f t="shared" si="89"/>
        <v>0</v>
      </c>
      <c r="O230" s="11"/>
      <c r="P230" s="7"/>
      <c r="Q230" s="2"/>
      <c r="R230" s="6">
        <f t="shared" si="90"/>
        <v>0</v>
      </c>
      <c r="S230" s="2"/>
      <c r="T230" s="7">
        <v>0</v>
      </c>
      <c r="U230" s="2"/>
      <c r="V230" s="6">
        <f t="shared" si="91"/>
        <v>0</v>
      </c>
      <c r="W230" s="2"/>
      <c r="X230" s="7">
        <f t="shared" si="92"/>
        <v>0</v>
      </c>
      <c r="Y230" s="2"/>
      <c r="Z230" s="6">
        <f t="shared" si="93"/>
        <v>0</v>
      </c>
    </row>
    <row r="231" spans="1:26" s="24" customFormat="1" hidden="1" outlineLevel="2" x14ac:dyDescent="0.25">
      <c r="A231" s="25"/>
      <c r="B231" s="11" t="str">
        <f>CONCATENATE("          ", "6282", " - ", "JANITORIAL/EXTERMINATOR EXPENS")</f>
        <v xml:space="preserve">          6282 - JANITORIAL/EXTERMINATOR EXPENS</v>
      </c>
      <c r="C231" s="11"/>
      <c r="D231" s="7">
        <v>752.24</v>
      </c>
      <c r="E231" s="2"/>
      <c r="F231" s="6">
        <f t="shared" si="86"/>
        <v>5.0553702287188106E-4</v>
      </c>
      <c r="G231" s="2"/>
      <c r="H231" s="7">
        <v>706</v>
      </c>
      <c r="I231" s="2"/>
      <c r="J231" s="6">
        <f t="shared" si="87"/>
        <v>4.5643108657385641E-4</v>
      </c>
      <c r="K231" s="2"/>
      <c r="L231" s="7">
        <f t="shared" si="88"/>
        <v>46.240000000000009</v>
      </c>
      <c r="M231" s="2"/>
      <c r="N231" s="6">
        <f t="shared" si="89"/>
        <v>6.5495750708215311E-2</v>
      </c>
      <c r="O231" s="11"/>
      <c r="P231" s="7">
        <v>2934.16</v>
      </c>
      <c r="Q231" s="2"/>
      <c r="R231" s="6">
        <f t="shared" si="90"/>
        <v>6.2026566271580774E-4</v>
      </c>
      <c r="S231" s="2"/>
      <c r="T231" s="7">
        <v>1314</v>
      </c>
      <c r="U231" s="2"/>
      <c r="V231" s="6">
        <f t="shared" si="91"/>
        <v>2.6258720063503788E-4</v>
      </c>
      <c r="W231" s="2"/>
      <c r="X231" s="7">
        <f t="shared" si="92"/>
        <v>1620.1599999999999</v>
      </c>
      <c r="Y231" s="2"/>
      <c r="Z231" s="6">
        <f t="shared" si="93"/>
        <v>1.2329984779299847</v>
      </c>
    </row>
    <row r="232" spans="1:26" s="24" customFormat="1" hidden="1" outlineLevel="2" x14ac:dyDescent="0.25">
      <c r="A232" s="25"/>
      <c r="B232" s="11" t="str">
        <f>CONCATENATE("          ", "6283", " - ", "PLANT SERVICE")</f>
        <v xml:space="preserve">          6283 - PLANT SERVICE</v>
      </c>
      <c r="C232" s="11"/>
      <c r="D232" s="7">
        <v>180.66</v>
      </c>
      <c r="E232" s="2"/>
      <c r="F232" s="6">
        <f t="shared" si="86"/>
        <v>1.2141114345426199E-4</v>
      </c>
      <c r="G232" s="2"/>
      <c r="H232" s="7">
        <v>60</v>
      </c>
      <c r="I232" s="2"/>
      <c r="J232" s="6">
        <f t="shared" si="87"/>
        <v>3.8790177329222927E-5</v>
      </c>
      <c r="K232" s="2"/>
      <c r="L232" s="7">
        <f t="shared" si="88"/>
        <v>120.66</v>
      </c>
      <c r="M232" s="2"/>
      <c r="N232" s="6">
        <f t="shared" si="89"/>
        <v>2.0110000000000001</v>
      </c>
      <c r="O232" s="11"/>
      <c r="P232" s="7">
        <v>541.98</v>
      </c>
      <c r="Q232" s="2"/>
      <c r="R232" s="6">
        <f t="shared" si="90"/>
        <v>1.1457166067246281E-4</v>
      </c>
      <c r="S232" s="2"/>
      <c r="T232" s="7">
        <v>180</v>
      </c>
      <c r="U232" s="2"/>
      <c r="V232" s="6">
        <f t="shared" si="91"/>
        <v>3.5970849402059982E-5</v>
      </c>
      <c r="W232" s="2"/>
      <c r="X232" s="7">
        <f t="shared" si="92"/>
        <v>361.98</v>
      </c>
      <c r="Y232" s="2"/>
      <c r="Z232" s="6">
        <f t="shared" si="93"/>
        <v>2.0110000000000001</v>
      </c>
    </row>
    <row r="233" spans="1:26" s="24" customFormat="1" hidden="1" outlineLevel="2" x14ac:dyDescent="0.25">
      <c r="A233" s="25"/>
      <c r="B233" s="11" t="str">
        <f>CONCATENATE("          ", "6284", " - ", "TRASH REMOVAL EXPENSE")</f>
        <v xml:space="preserve">          6284 - TRASH REMOVAL EXPENSE</v>
      </c>
      <c r="C233" s="11"/>
      <c r="D233" s="7">
        <v>371.82</v>
      </c>
      <c r="E233" s="2"/>
      <c r="F233" s="6">
        <f t="shared" si="86"/>
        <v>2.4987872998540734E-4</v>
      </c>
      <c r="G233" s="2"/>
      <c r="H233" s="7">
        <v>212.5</v>
      </c>
      <c r="I233" s="2"/>
      <c r="J233" s="6">
        <f t="shared" si="87"/>
        <v>1.3738187804099785E-4</v>
      </c>
      <c r="K233" s="2"/>
      <c r="L233" s="7">
        <f t="shared" si="88"/>
        <v>159.32</v>
      </c>
      <c r="M233" s="2"/>
      <c r="N233" s="6">
        <f t="shared" si="89"/>
        <v>0.74974117647058824</v>
      </c>
      <c r="O233" s="11"/>
      <c r="P233" s="7">
        <v>878.46</v>
      </c>
      <c r="Q233" s="2"/>
      <c r="R233" s="6">
        <f t="shared" si="90"/>
        <v>1.8570172521925474E-4</v>
      </c>
      <c r="S233" s="2"/>
      <c r="T233" s="7">
        <v>637.5</v>
      </c>
      <c r="U233" s="2"/>
      <c r="V233" s="6">
        <f t="shared" si="91"/>
        <v>1.2739675829896244E-4</v>
      </c>
      <c r="W233" s="2"/>
      <c r="X233" s="7">
        <f t="shared" si="92"/>
        <v>240.96000000000004</v>
      </c>
      <c r="Y233" s="2"/>
      <c r="Z233" s="6">
        <f t="shared" si="93"/>
        <v>0.37797647058823536</v>
      </c>
    </row>
    <row r="234" spans="1:26" s="24" customFormat="1" hidden="1" outlineLevel="2" x14ac:dyDescent="0.25">
      <c r="A234" s="25"/>
      <c r="B234" s="11" t="str">
        <f>CONCATENATE("          ", "6285", " - ", "JANITORIAL SERVICES")</f>
        <v xml:space="preserve">          6285 - JANITORIAL SERVICES</v>
      </c>
      <c r="C234" s="11"/>
      <c r="D234" s="7">
        <v>3364.77</v>
      </c>
      <c r="E234" s="2"/>
      <c r="F234" s="6">
        <f t="shared" si="86"/>
        <v>2.2612674258861792E-3</v>
      </c>
      <c r="G234" s="2"/>
      <c r="H234" s="7">
        <v>4536</v>
      </c>
      <c r="I234" s="2"/>
      <c r="J234" s="6">
        <f t="shared" si="87"/>
        <v>2.9325374060892532E-3</v>
      </c>
      <c r="K234" s="2"/>
      <c r="L234" s="7">
        <f t="shared" si="88"/>
        <v>-1171.23</v>
      </c>
      <c r="M234" s="2"/>
      <c r="N234" s="6">
        <f t="shared" si="89"/>
        <v>-0.25820767195767197</v>
      </c>
      <c r="O234" s="11"/>
      <c r="P234" s="7">
        <v>11654.33</v>
      </c>
      <c r="Q234" s="2"/>
      <c r="R234" s="6">
        <f t="shared" si="90"/>
        <v>2.4636627590038443E-3</v>
      </c>
      <c r="S234" s="2"/>
      <c r="T234" s="7">
        <v>13194</v>
      </c>
      <c r="U234" s="2"/>
      <c r="V234" s="6">
        <f t="shared" si="91"/>
        <v>2.6366632611709967E-3</v>
      </c>
      <c r="W234" s="2"/>
      <c r="X234" s="7">
        <f t="shared" si="92"/>
        <v>-1539.67</v>
      </c>
      <c r="Y234" s="2"/>
      <c r="Z234" s="6">
        <f t="shared" si="93"/>
        <v>-0.11669470971653782</v>
      </c>
    </row>
    <row r="235" spans="1:26" s="24" customFormat="1" hidden="1" outlineLevel="2" x14ac:dyDescent="0.25">
      <c r="A235" s="25"/>
      <c r="B235" s="11" t="str">
        <f>CONCATENATE("          ", "6286", " - ", "LAUNDRY EXPENSE")</f>
        <v xml:space="preserve">          6286 - LAUNDRY EXPENSE</v>
      </c>
      <c r="C235" s="11"/>
      <c r="D235" s="7">
        <v>760.78</v>
      </c>
      <c r="E235" s="2"/>
      <c r="F235" s="6">
        <f t="shared" si="86"/>
        <v>5.112762632410795E-4</v>
      </c>
      <c r="G235" s="2"/>
      <c r="H235" s="7">
        <v>90</v>
      </c>
      <c r="I235" s="2"/>
      <c r="J235" s="6">
        <f t="shared" si="87"/>
        <v>5.8185265993834387E-5</v>
      </c>
      <c r="K235" s="2"/>
      <c r="L235" s="7">
        <f t="shared" si="88"/>
        <v>670.78</v>
      </c>
      <c r="M235" s="2"/>
      <c r="N235" s="6">
        <f t="shared" si="89"/>
        <v>7.4531111111111112</v>
      </c>
      <c r="O235" s="11"/>
      <c r="P235" s="7">
        <v>2180.0300000000002</v>
      </c>
      <c r="Q235" s="2"/>
      <c r="R235" s="6">
        <f t="shared" si="90"/>
        <v>4.6084663163915477E-4</v>
      </c>
      <c r="S235" s="2"/>
      <c r="T235" s="7">
        <v>180</v>
      </c>
      <c r="U235" s="2"/>
      <c r="V235" s="6">
        <f t="shared" si="91"/>
        <v>3.5970849402059982E-5</v>
      </c>
      <c r="W235" s="2"/>
      <c r="X235" s="7">
        <f t="shared" si="92"/>
        <v>2000.0300000000002</v>
      </c>
      <c r="Y235" s="2"/>
      <c r="Z235" s="6">
        <f t="shared" si="93"/>
        <v>11.111277777777779</v>
      </c>
    </row>
    <row r="236" spans="1:26" s="26" customFormat="1" outlineLevel="1" collapsed="1" x14ac:dyDescent="0.25">
      <c r="A236" s="27"/>
      <c r="B236" s="13" t="str">
        <f>CONCATENATE("     ","Subscriptions &amp; Dues                              ")</f>
        <v xml:space="preserve">     Subscriptions &amp; Dues                              </v>
      </c>
      <c r="C236" s="13"/>
      <c r="D236" s="1">
        <f>SUM(OSRRefD22_21x_0)</f>
        <v>883.02</v>
      </c>
      <c r="E236" s="1"/>
      <c r="F236" s="5">
        <f t="shared" ref="F236:F238" si="94">IF(D$12=0,0,D236/D$12)</f>
        <v>5.9342670149995804E-4</v>
      </c>
      <c r="G236" s="1"/>
      <c r="H236" s="1">
        <f>SUM(OSRRefH22_21x_0)</f>
        <v>1695</v>
      </c>
      <c r="I236" s="1"/>
      <c r="J236" s="5">
        <f t="shared" ref="J236:J238" si="95">IF(H$12=0,0,H236/H$12)</f>
        <v>1.0958225095505476E-3</v>
      </c>
      <c r="K236" s="1"/>
      <c r="L236" s="1">
        <f t="shared" ref="L236:L238" si="96">+D236-H236</f>
        <v>-811.98</v>
      </c>
      <c r="M236" s="1"/>
      <c r="N236" s="5">
        <f t="shared" ref="N236:N238" si="97">IF(H236=0,0,L236/H236)</f>
        <v>-0.47904424778761062</v>
      </c>
      <c r="O236" s="13"/>
      <c r="P236" s="1">
        <f>SUM(OSRRefP22_21x_0)</f>
        <v>2228.0500000000002</v>
      </c>
      <c r="Q236" s="1"/>
      <c r="R236" s="5">
        <f t="shared" ref="R236:R238" si="98">IF(P$12=0,0,P236/P$12)</f>
        <v>4.7099780169246243E-4</v>
      </c>
      <c r="S236" s="1"/>
      <c r="T236" s="1">
        <f>SUM(OSRRefT22_21x_0)</f>
        <v>5755</v>
      </c>
      <c r="U236" s="1"/>
      <c r="V236" s="5">
        <f t="shared" ref="V236:V238" si="99">IF(T$12=0,0,T236/T$12)</f>
        <v>1.1500679906047511E-3</v>
      </c>
      <c r="W236" s="1"/>
      <c r="X236" s="1">
        <f t="shared" ref="X236:X238" si="100">+P236-T236</f>
        <v>-3526.95</v>
      </c>
      <c r="Y236" s="1"/>
      <c r="Z236" s="5">
        <f t="shared" ref="Z236:Z238" si="101">IF(T236=0,0,X236/T236)</f>
        <v>-0.61284969591659422</v>
      </c>
    </row>
    <row r="237" spans="1:26" s="24" customFormat="1" hidden="1" outlineLevel="2" x14ac:dyDescent="0.25">
      <c r="A237" s="25"/>
      <c r="B237" s="11" t="str">
        <f>CONCATENATE("          ", "6258", " - ", "MEMBERSHIP DUES")</f>
        <v xml:space="preserve">          6258 - MEMBERSHIP DUES</v>
      </c>
      <c r="C237" s="11"/>
      <c r="D237" s="7">
        <v>250</v>
      </c>
      <c r="E237" s="2"/>
      <c r="F237" s="6">
        <f t="shared" si="94"/>
        <v>1.6801054944960421E-4</v>
      </c>
      <c r="G237" s="2"/>
      <c r="H237" s="7">
        <v>1300</v>
      </c>
      <c r="I237" s="2"/>
      <c r="J237" s="6">
        <f t="shared" si="95"/>
        <v>8.4045384213316345E-4</v>
      </c>
      <c r="K237" s="2"/>
      <c r="L237" s="7">
        <f t="shared" si="96"/>
        <v>-1050</v>
      </c>
      <c r="M237" s="2"/>
      <c r="N237" s="6">
        <f t="shared" si="97"/>
        <v>-0.80769230769230771</v>
      </c>
      <c r="O237" s="11"/>
      <c r="P237" s="7">
        <v>908.85</v>
      </c>
      <c r="Q237" s="2"/>
      <c r="R237" s="6">
        <f t="shared" si="98"/>
        <v>1.9212600797477366E-4</v>
      </c>
      <c r="S237" s="2"/>
      <c r="T237" s="7">
        <v>3695</v>
      </c>
      <c r="U237" s="2"/>
      <c r="V237" s="6">
        <f t="shared" si="99"/>
        <v>7.3840160300339794E-4</v>
      </c>
      <c r="W237" s="2"/>
      <c r="X237" s="7">
        <f t="shared" si="100"/>
        <v>-2786.15</v>
      </c>
      <c r="Y237" s="2"/>
      <c r="Z237" s="6">
        <f t="shared" si="101"/>
        <v>-0.75403247631935055</v>
      </c>
    </row>
    <row r="238" spans="1:26" s="24" customFormat="1" hidden="1" outlineLevel="2" x14ac:dyDescent="0.25">
      <c r="A238" s="25"/>
      <c r="B238" s="11" t="str">
        <f>CONCATENATE("          ", "6275", " - ", "SUBSCRIPTIONS")</f>
        <v xml:space="preserve">          6275 - SUBSCRIPTIONS</v>
      </c>
      <c r="C238" s="11"/>
      <c r="D238" s="7">
        <v>633.02</v>
      </c>
      <c r="E238" s="2"/>
      <c r="F238" s="6">
        <f t="shared" si="94"/>
        <v>4.2541615205035383E-4</v>
      </c>
      <c r="G238" s="2"/>
      <c r="H238" s="7">
        <v>395</v>
      </c>
      <c r="I238" s="2"/>
      <c r="J238" s="6">
        <f t="shared" si="95"/>
        <v>2.5536866741738428E-4</v>
      </c>
      <c r="K238" s="2"/>
      <c r="L238" s="7">
        <f t="shared" si="96"/>
        <v>238.01999999999998</v>
      </c>
      <c r="M238" s="2"/>
      <c r="N238" s="6">
        <f t="shared" si="97"/>
        <v>0.60258227848101265</v>
      </c>
      <c r="O238" s="11"/>
      <c r="P238" s="7">
        <v>1319.2</v>
      </c>
      <c r="Q238" s="2"/>
      <c r="R238" s="6">
        <f t="shared" si="98"/>
        <v>2.7887179371768872E-4</v>
      </c>
      <c r="S238" s="2"/>
      <c r="T238" s="7">
        <v>2060</v>
      </c>
      <c r="U238" s="2"/>
      <c r="V238" s="6">
        <f t="shared" si="99"/>
        <v>4.1166638760135313E-4</v>
      </c>
      <c r="W238" s="2"/>
      <c r="X238" s="7">
        <f t="shared" si="100"/>
        <v>-740.8</v>
      </c>
      <c r="Y238" s="2"/>
      <c r="Z238" s="6">
        <f t="shared" si="101"/>
        <v>-0.35961165048543686</v>
      </c>
    </row>
    <row r="239" spans="1:26" s="26" customFormat="1" outlineLevel="1" collapsed="1" x14ac:dyDescent="0.25">
      <c r="A239" s="27"/>
      <c r="B239" s="13" t="str">
        <f>CONCATENATE("     ","Supplies                                          ")</f>
        <v xml:space="preserve">     Supplies                                          </v>
      </c>
      <c r="C239" s="13"/>
      <c r="D239" s="1">
        <f>SUM(OSRRefD22_22x_0)</f>
        <v>27368.699999999997</v>
      </c>
      <c r="E239" s="1"/>
      <c r="F239" s="5">
        <f t="shared" ref="F239:F247" si="102">IF(D$12=0,0,D239/D$12)</f>
        <v>1.839292129888553E-2</v>
      </c>
      <c r="G239" s="1"/>
      <c r="H239" s="1">
        <f>SUM(OSRRefH22_22x_0)</f>
        <v>26129</v>
      </c>
      <c r="I239" s="1"/>
      <c r="J239" s="5">
        <f t="shared" ref="J239:J247" si="103">IF(H$12=0,0,H239/H$12)</f>
        <v>1.6892475723921097E-2</v>
      </c>
      <c r="K239" s="1"/>
      <c r="L239" s="1">
        <f t="shared" ref="L239:L247" si="104">+D239-H239</f>
        <v>1239.6999999999971</v>
      </c>
      <c r="M239" s="1"/>
      <c r="N239" s="5">
        <f t="shared" ref="N239:N247" si="105">IF(H239=0,0,L239/H239)</f>
        <v>4.7445367216502624E-2</v>
      </c>
      <c r="O239" s="13"/>
      <c r="P239" s="1">
        <f>SUM(OSRRefP22_22x_0)</f>
        <v>57370.770000000004</v>
      </c>
      <c r="Q239" s="1"/>
      <c r="R239" s="5">
        <f t="shared" ref="R239:R247" si="106">IF(P$12=0,0,P239/P$12)</f>
        <v>1.2127872602232387E-2</v>
      </c>
      <c r="S239" s="1"/>
      <c r="T239" s="1">
        <f>SUM(OSRRefT22_22x_0)</f>
        <v>60053</v>
      </c>
      <c r="U239" s="1"/>
      <c r="V239" s="5">
        <f t="shared" ref="V239:V247" si="107">IF(T$12=0,0,T239/T$12)</f>
        <v>1.2000874550788378E-2</v>
      </c>
      <c r="W239" s="1"/>
      <c r="X239" s="1">
        <f t="shared" ref="X239:X247" si="108">+P239-T239</f>
        <v>-2682.2299999999959</v>
      </c>
      <c r="Y239" s="1"/>
      <c r="Z239" s="5">
        <f t="shared" ref="Z239:Z247" si="109">IF(T239=0,0,X239/T239)</f>
        <v>-4.4664379797845169E-2</v>
      </c>
    </row>
    <row r="240" spans="1:26" s="24" customFormat="1" hidden="1" outlineLevel="2" x14ac:dyDescent="0.25">
      <c r="A240" s="25"/>
      <c r="B240" s="11" t="str">
        <f>CONCATENATE("          ", "6234", " - ", "EXPENDABLE SUPPLIES &amp; EQUIPMEN")</f>
        <v xml:space="preserve">          6234 - EXPENDABLE SUPPLIES &amp; EQUIPMEN</v>
      </c>
      <c r="C240" s="11"/>
      <c r="D240" s="7"/>
      <c r="E240" s="2"/>
      <c r="F240" s="6">
        <f t="shared" si="102"/>
        <v>0</v>
      </c>
      <c r="G240" s="2"/>
      <c r="H240" s="7">
        <v>450</v>
      </c>
      <c r="I240" s="2"/>
      <c r="J240" s="6">
        <f t="shared" si="103"/>
        <v>2.9092632996917194E-4</v>
      </c>
      <c r="K240" s="2"/>
      <c r="L240" s="7">
        <f t="shared" si="104"/>
        <v>-450</v>
      </c>
      <c r="M240" s="2"/>
      <c r="N240" s="6">
        <f t="shared" si="105"/>
        <v>-1</v>
      </c>
      <c r="O240" s="11"/>
      <c r="P240" s="7">
        <v>2780.34</v>
      </c>
      <c r="Q240" s="2"/>
      <c r="R240" s="6">
        <f t="shared" si="106"/>
        <v>5.87748940983201E-4</v>
      </c>
      <c r="S240" s="2"/>
      <c r="T240" s="7">
        <v>5050</v>
      </c>
      <c r="U240" s="2"/>
      <c r="V240" s="6">
        <f t="shared" si="107"/>
        <v>1.0091821637800162E-3</v>
      </c>
      <c r="W240" s="2"/>
      <c r="X240" s="7">
        <f t="shared" si="108"/>
        <v>-2269.66</v>
      </c>
      <c r="Y240" s="2"/>
      <c r="Z240" s="6">
        <f t="shared" si="109"/>
        <v>-0.44943762376237623</v>
      </c>
    </row>
    <row r="241" spans="1:26" s="24" customFormat="1" hidden="1" outlineLevel="2" x14ac:dyDescent="0.25">
      <c r="A241" s="25"/>
      <c r="B241" s="11" t="str">
        <f>CONCATENATE("          ", "6237", " - ", "JANITORIAL SUPPLIES")</f>
        <v xml:space="preserve">          6237 - JANITORIAL SUPPLIES</v>
      </c>
      <c r="C241" s="11"/>
      <c r="D241" s="7">
        <v>1260.17</v>
      </c>
      <c r="E241" s="2"/>
      <c r="F241" s="6">
        <f t="shared" si="102"/>
        <v>8.4688741639963097E-4</v>
      </c>
      <c r="G241" s="2"/>
      <c r="H241" s="7">
        <v>175</v>
      </c>
      <c r="I241" s="2"/>
      <c r="J241" s="6">
        <f t="shared" si="103"/>
        <v>1.1313801721023354E-4</v>
      </c>
      <c r="K241" s="2"/>
      <c r="L241" s="7">
        <f t="shared" si="104"/>
        <v>1085.17</v>
      </c>
      <c r="M241" s="2"/>
      <c r="N241" s="6">
        <f t="shared" si="105"/>
        <v>6.200971428571429</v>
      </c>
      <c r="O241" s="11"/>
      <c r="P241" s="7">
        <v>3049.51</v>
      </c>
      <c r="Q241" s="2"/>
      <c r="R241" s="6">
        <f t="shared" si="106"/>
        <v>6.4465003309583768E-4</v>
      </c>
      <c r="S241" s="2"/>
      <c r="T241" s="7">
        <v>645</v>
      </c>
      <c r="U241" s="2"/>
      <c r="V241" s="6">
        <f t="shared" si="107"/>
        <v>1.2889554369071495E-4</v>
      </c>
      <c r="W241" s="2"/>
      <c r="X241" s="7">
        <f t="shared" si="108"/>
        <v>2404.5100000000002</v>
      </c>
      <c r="Y241" s="2"/>
      <c r="Z241" s="6">
        <f t="shared" si="109"/>
        <v>3.7279224806201552</v>
      </c>
    </row>
    <row r="242" spans="1:26" s="24" customFormat="1" hidden="1" outlineLevel="2" x14ac:dyDescent="0.25">
      <c r="A242" s="25"/>
      <c r="B242" s="11" t="str">
        <f>CONCATENATE("          ", "6241", " - ", "OFFICE EXPENSE")</f>
        <v xml:space="preserve">          6241 - OFFICE EXPENSE</v>
      </c>
      <c r="C242" s="11"/>
      <c r="D242" s="7">
        <v>2982.56</v>
      </c>
      <c r="E242" s="2"/>
      <c r="F242" s="6">
        <f t="shared" si="102"/>
        <v>2.0044061774656462E-3</v>
      </c>
      <c r="G242" s="2"/>
      <c r="H242" s="7">
        <v>1320</v>
      </c>
      <c r="I242" s="2"/>
      <c r="J242" s="6">
        <f t="shared" si="103"/>
        <v>8.533839012429044E-4</v>
      </c>
      <c r="K242" s="2"/>
      <c r="L242" s="7">
        <f t="shared" si="104"/>
        <v>1662.56</v>
      </c>
      <c r="M242" s="2"/>
      <c r="N242" s="6">
        <f t="shared" si="105"/>
        <v>1.2595151515151515</v>
      </c>
      <c r="O242" s="11"/>
      <c r="P242" s="7">
        <v>10730.64</v>
      </c>
      <c r="Q242" s="2"/>
      <c r="R242" s="6">
        <f t="shared" si="106"/>
        <v>2.2683996547443745E-3</v>
      </c>
      <c r="S242" s="2"/>
      <c r="T242" s="7">
        <v>3465</v>
      </c>
      <c r="U242" s="2"/>
      <c r="V242" s="6">
        <f t="shared" si="107"/>
        <v>6.9243885098965469E-4</v>
      </c>
      <c r="W242" s="2"/>
      <c r="X242" s="7">
        <f t="shared" si="108"/>
        <v>7265.6399999999994</v>
      </c>
      <c r="Y242" s="2"/>
      <c r="Z242" s="6">
        <f t="shared" si="109"/>
        <v>2.0968658008658005</v>
      </c>
    </row>
    <row r="243" spans="1:26" s="24" customFormat="1" hidden="1" outlineLevel="2" x14ac:dyDescent="0.25">
      <c r="A243" s="25"/>
      <c r="B243" s="11" t="str">
        <f>CONCATENATE("          ", "6243", " - ", "PAPER SUPPLIES")</f>
        <v xml:space="preserve">          6243 - PAPER SUPPLIES</v>
      </c>
      <c r="C243" s="11"/>
      <c r="D243" s="7">
        <v>516.04999999999995</v>
      </c>
      <c r="E243" s="2"/>
      <c r="F243" s="6">
        <f t="shared" si="102"/>
        <v>3.4680737617387295E-4</v>
      </c>
      <c r="G243" s="2"/>
      <c r="H243" s="7">
        <v>250</v>
      </c>
      <c r="I243" s="2"/>
      <c r="J243" s="6">
        <f t="shared" si="103"/>
        <v>1.6162573887176218E-4</v>
      </c>
      <c r="K243" s="2"/>
      <c r="L243" s="7">
        <f t="shared" si="104"/>
        <v>266.04999999999995</v>
      </c>
      <c r="M243" s="2"/>
      <c r="N243" s="6">
        <f t="shared" si="105"/>
        <v>1.0641999999999998</v>
      </c>
      <c r="O243" s="11"/>
      <c r="P243" s="7">
        <v>3776.01</v>
      </c>
      <c r="Q243" s="2"/>
      <c r="R243" s="6">
        <f t="shared" si="106"/>
        <v>7.9822823059121431E-4</v>
      </c>
      <c r="S243" s="2"/>
      <c r="T243" s="7">
        <v>1250</v>
      </c>
      <c r="U243" s="2"/>
      <c r="V243" s="6">
        <f t="shared" si="107"/>
        <v>2.4979756529208322E-4</v>
      </c>
      <c r="W243" s="2"/>
      <c r="X243" s="7">
        <f t="shared" si="108"/>
        <v>2526.0100000000002</v>
      </c>
      <c r="Y243" s="2"/>
      <c r="Z243" s="6">
        <f t="shared" si="109"/>
        <v>2.0208080000000002</v>
      </c>
    </row>
    <row r="244" spans="1:26" s="24" customFormat="1" hidden="1" outlineLevel="2" x14ac:dyDescent="0.25">
      <c r="A244" s="25"/>
      <c r="B244" s="11" t="str">
        <f>CONCATENATE("          ", "6244", " - ", "SAFETY SUPPLY EXPENSE")</f>
        <v xml:space="preserve">          6244 - SAFETY SUPPLY EXPENSE</v>
      </c>
      <c r="C244" s="11"/>
      <c r="D244" s="7"/>
      <c r="E244" s="2"/>
      <c r="F244" s="6">
        <f t="shared" si="102"/>
        <v>0</v>
      </c>
      <c r="G244" s="2"/>
      <c r="H244" s="7"/>
      <c r="I244" s="2"/>
      <c r="J244" s="6">
        <f t="shared" si="103"/>
        <v>0</v>
      </c>
      <c r="K244" s="2"/>
      <c r="L244" s="7">
        <f t="shared" si="104"/>
        <v>0</v>
      </c>
      <c r="M244" s="2"/>
      <c r="N244" s="6">
        <f t="shared" si="105"/>
        <v>0</v>
      </c>
      <c r="O244" s="11"/>
      <c r="P244" s="7"/>
      <c r="Q244" s="2"/>
      <c r="R244" s="6">
        <f t="shared" si="106"/>
        <v>0</v>
      </c>
      <c r="S244" s="2"/>
      <c r="T244" s="7">
        <v>30</v>
      </c>
      <c r="U244" s="2"/>
      <c r="V244" s="6">
        <f t="shared" si="107"/>
        <v>5.9951415670099968E-6</v>
      </c>
      <c r="W244" s="2"/>
      <c r="X244" s="7">
        <f t="shared" si="108"/>
        <v>-30</v>
      </c>
      <c r="Y244" s="2"/>
      <c r="Z244" s="6">
        <f t="shared" si="109"/>
        <v>-1</v>
      </c>
    </row>
    <row r="245" spans="1:26" s="24" customFormat="1" hidden="1" outlineLevel="2" x14ac:dyDescent="0.25">
      <c r="A245" s="25"/>
      <c r="B245" s="11" t="str">
        <f>CONCATENATE("          ", "6245", " - ", "PRINTING")</f>
        <v xml:space="preserve">          6245 - PRINTING</v>
      </c>
      <c r="C245" s="11"/>
      <c r="D245" s="7">
        <v>290.44</v>
      </c>
      <c r="E245" s="2"/>
      <c r="F245" s="6">
        <f t="shared" si="102"/>
        <v>1.9518793592857218E-4</v>
      </c>
      <c r="G245" s="2"/>
      <c r="H245" s="7">
        <v>100</v>
      </c>
      <c r="I245" s="2"/>
      <c r="J245" s="6">
        <f t="shared" si="103"/>
        <v>6.465029554870488E-5</v>
      </c>
      <c r="K245" s="2"/>
      <c r="L245" s="7">
        <f t="shared" si="104"/>
        <v>190.44</v>
      </c>
      <c r="M245" s="2"/>
      <c r="N245" s="6">
        <f t="shared" si="105"/>
        <v>1.9043999999999999</v>
      </c>
      <c r="O245" s="11"/>
      <c r="P245" s="7">
        <v>5275.55</v>
      </c>
      <c r="Q245" s="2"/>
      <c r="R245" s="6">
        <f t="shared" si="106"/>
        <v>1.115222931585319E-3</v>
      </c>
      <c r="S245" s="2"/>
      <c r="T245" s="7">
        <v>700</v>
      </c>
      <c r="U245" s="2"/>
      <c r="V245" s="6">
        <f t="shared" si="107"/>
        <v>1.398866365635666E-4</v>
      </c>
      <c r="W245" s="2"/>
      <c r="X245" s="7">
        <f t="shared" si="108"/>
        <v>4575.55</v>
      </c>
      <c r="Y245" s="2"/>
      <c r="Z245" s="6">
        <f t="shared" si="109"/>
        <v>6.5365000000000002</v>
      </c>
    </row>
    <row r="246" spans="1:26" s="24" customFormat="1" hidden="1" outlineLevel="2" x14ac:dyDescent="0.25">
      <c r="A246" s="25"/>
      <c r="B246" s="11" t="str">
        <f>CONCATENATE("          ", "6247", " - ", "STORE SUPPLIES")</f>
        <v xml:space="preserve">          6247 - STORE SUPPLIES</v>
      </c>
      <c r="C246" s="11"/>
      <c r="D246" s="7">
        <v>22319.48</v>
      </c>
      <c r="E246" s="2"/>
      <c r="F246" s="6">
        <f t="shared" si="102"/>
        <v>1.4999632392917808E-2</v>
      </c>
      <c r="G246" s="2"/>
      <c r="H246" s="7">
        <v>22834</v>
      </c>
      <c r="I246" s="2"/>
      <c r="J246" s="6">
        <f t="shared" si="103"/>
        <v>1.4762248485591272E-2</v>
      </c>
      <c r="K246" s="2"/>
      <c r="L246" s="7">
        <f t="shared" si="104"/>
        <v>-514.52000000000044</v>
      </c>
      <c r="M246" s="2"/>
      <c r="N246" s="6">
        <f t="shared" si="105"/>
        <v>-2.2533064728037157E-2</v>
      </c>
      <c r="O246" s="11"/>
      <c r="P246" s="7">
        <v>31758.720000000001</v>
      </c>
      <c r="Q246" s="2"/>
      <c r="R246" s="6">
        <f t="shared" si="106"/>
        <v>6.7136228112324404E-3</v>
      </c>
      <c r="S246" s="2"/>
      <c r="T246" s="7">
        <v>45613</v>
      </c>
      <c r="U246" s="2"/>
      <c r="V246" s="6">
        <f t="shared" si="107"/>
        <v>9.1152130765342326E-3</v>
      </c>
      <c r="W246" s="2"/>
      <c r="X246" s="7">
        <f t="shared" si="108"/>
        <v>-13854.279999999999</v>
      </c>
      <c r="Y246" s="2"/>
      <c r="Z246" s="6">
        <f t="shared" si="109"/>
        <v>-0.30373533860960689</v>
      </c>
    </row>
    <row r="247" spans="1:26" s="24" customFormat="1" hidden="1" outlineLevel="2" x14ac:dyDescent="0.25">
      <c r="A247" s="25"/>
      <c r="B247" s="11" t="str">
        <f>CONCATENATE("          ", "6248", " - ", "UNIFORMS")</f>
        <v xml:space="preserve">          6248 - UNIFORMS</v>
      </c>
      <c r="C247" s="11"/>
      <c r="D247" s="7"/>
      <c r="E247" s="2"/>
      <c r="F247" s="6">
        <f t="shared" si="102"/>
        <v>0</v>
      </c>
      <c r="G247" s="2"/>
      <c r="H247" s="7">
        <v>1000</v>
      </c>
      <c r="I247" s="2"/>
      <c r="J247" s="6">
        <f t="shared" si="103"/>
        <v>6.4650295548704872E-4</v>
      </c>
      <c r="K247" s="2"/>
      <c r="L247" s="7">
        <f t="shared" si="104"/>
        <v>-1000</v>
      </c>
      <c r="M247" s="2"/>
      <c r="N247" s="6">
        <f t="shared" si="105"/>
        <v>-1</v>
      </c>
      <c r="O247" s="11"/>
      <c r="P247" s="7"/>
      <c r="Q247" s="2"/>
      <c r="R247" s="6">
        <f t="shared" si="106"/>
        <v>0</v>
      </c>
      <c r="S247" s="2"/>
      <c r="T247" s="7">
        <v>3300</v>
      </c>
      <c r="U247" s="2"/>
      <c r="V247" s="6">
        <f t="shared" si="107"/>
        <v>6.5946557237109966E-4</v>
      </c>
      <c r="W247" s="2"/>
      <c r="X247" s="7">
        <f t="shared" si="108"/>
        <v>-3300</v>
      </c>
      <c r="Y247" s="2"/>
      <c r="Z247" s="6">
        <f t="shared" si="109"/>
        <v>-1</v>
      </c>
    </row>
    <row r="248" spans="1:26" s="26" customFormat="1" outlineLevel="1" collapsed="1" x14ac:dyDescent="0.25">
      <c r="A248" s="27"/>
      <c r="B248" s="13" t="str">
        <f>CONCATENATE("     ","Telephone/Data Lines                              ")</f>
        <v xml:space="preserve">     Telephone/Data Lines                              </v>
      </c>
      <c r="C248" s="13"/>
      <c r="D248" s="1">
        <f>SUM(OSRRefD22_23x_0)</f>
        <v>6427.04</v>
      </c>
      <c r="E248" s="1"/>
      <c r="F248" s="5">
        <f t="shared" ref="F248:F250" si="110">IF(D$12=0,0,D248/D$12)</f>
        <v>4.3192420869383368E-3</v>
      </c>
      <c r="G248" s="1"/>
      <c r="H248" s="1">
        <f>SUM(OSRRefH22_23x_0)</f>
        <v>5105</v>
      </c>
      <c r="I248" s="1"/>
      <c r="J248" s="5">
        <f t="shared" ref="J248:J250" si="111">IF(H$12=0,0,H248/H$12)</f>
        <v>3.3003975877613839E-3</v>
      </c>
      <c r="K248" s="1"/>
      <c r="L248" s="1">
        <f t="shared" ref="L248:L250" si="112">+D248-H248</f>
        <v>1322.04</v>
      </c>
      <c r="M248" s="1"/>
      <c r="N248" s="5">
        <f t="shared" ref="N248:N250" si="113">IF(H248=0,0,L248/H248)</f>
        <v>0.2589696376101861</v>
      </c>
      <c r="O248" s="13"/>
      <c r="P248" s="1">
        <f>SUM(OSRRefP22_23x_0)</f>
        <v>11425.98</v>
      </c>
      <c r="Q248" s="1"/>
      <c r="R248" s="5">
        <f t="shared" ref="R248:R250" si="114">IF(P$12=0,0,P248/P$12)</f>
        <v>2.4153907956204041E-3</v>
      </c>
      <c r="S248" s="1"/>
      <c r="T248" s="1">
        <f>SUM(OSRRefT22_23x_0)</f>
        <v>11015</v>
      </c>
      <c r="U248" s="1"/>
      <c r="V248" s="5">
        <f t="shared" ref="V248:V250" si="115">IF(T$12=0,0,T248/T$12)</f>
        <v>2.2012161453538372E-3</v>
      </c>
      <c r="W248" s="1"/>
      <c r="X248" s="1">
        <f t="shared" ref="X248:X250" si="116">+P248-T248</f>
        <v>410.97999999999956</v>
      </c>
      <c r="Y248" s="1"/>
      <c r="Z248" s="5">
        <f t="shared" ref="Z248:Z250" si="117">IF(T248=0,0,X248/T248)</f>
        <v>3.731093962778026E-2</v>
      </c>
    </row>
    <row r="249" spans="1:26" s="24" customFormat="1" hidden="1" outlineLevel="2" x14ac:dyDescent="0.25">
      <c r="A249" s="25"/>
      <c r="B249" s="11" t="str">
        <f>CONCATENATE("          ", "6303", " - ", "DATA PHONE LINES")</f>
        <v xml:space="preserve">          6303 - DATA PHONE LINES</v>
      </c>
      <c r="C249" s="11"/>
      <c r="D249" s="7">
        <v>295</v>
      </c>
      <c r="E249" s="2"/>
      <c r="F249" s="6">
        <f t="shared" si="110"/>
        <v>1.9825244835053297E-4</v>
      </c>
      <c r="G249" s="2"/>
      <c r="H249" s="7">
        <v>2000</v>
      </c>
      <c r="I249" s="2"/>
      <c r="J249" s="6">
        <f t="shared" si="111"/>
        <v>1.2930059109740974E-3</v>
      </c>
      <c r="K249" s="2"/>
      <c r="L249" s="7">
        <f t="shared" si="112"/>
        <v>-1705</v>
      </c>
      <c r="M249" s="2"/>
      <c r="N249" s="6">
        <f t="shared" si="113"/>
        <v>-0.85250000000000004</v>
      </c>
      <c r="O249" s="11"/>
      <c r="P249" s="7">
        <v>885</v>
      </c>
      <c r="Q249" s="2"/>
      <c r="R249" s="6">
        <f t="shared" si="114"/>
        <v>1.8708424608865565E-4</v>
      </c>
      <c r="S249" s="2"/>
      <c r="T249" s="7">
        <v>3725</v>
      </c>
      <c r="U249" s="2"/>
      <c r="V249" s="6">
        <f t="shared" si="115"/>
        <v>7.4439674457040797E-4</v>
      </c>
      <c r="W249" s="2"/>
      <c r="X249" s="7">
        <f t="shared" si="116"/>
        <v>-2840</v>
      </c>
      <c r="Y249" s="2"/>
      <c r="Z249" s="6">
        <f t="shared" si="117"/>
        <v>-0.76241610738255039</v>
      </c>
    </row>
    <row r="250" spans="1:26" s="24" customFormat="1" hidden="1" outlineLevel="2" x14ac:dyDescent="0.25">
      <c r="A250" s="25"/>
      <c r="B250" s="11" t="str">
        <f>CONCATENATE("          ", "6309", " - ", "TELEPHONE")</f>
        <v xml:space="preserve">          6309 - TELEPHONE</v>
      </c>
      <c r="C250" s="11"/>
      <c r="D250" s="7">
        <v>6132.04</v>
      </c>
      <c r="E250" s="2"/>
      <c r="F250" s="6">
        <f t="shared" si="110"/>
        <v>4.1209896385878035E-3</v>
      </c>
      <c r="G250" s="2"/>
      <c r="H250" s="7">
        <v>3105</v>
      </c>
      <c r="I250" s="2"/>
      <c r="J250" s="6">
        <f t="shared" si="111"/>
        <v>2.0073916767872862E-3</v>
      </c>
      <c r="K250" s="2"/>
      <c r="L250" s="7">
        <f t="shared" si="112"/>
        <v>3027.04</v>
      </c>
      <c r="M250" s="2"/>
      <c r="N250" s="6">
        <f t="shared" si="113"/>
        <v>0.97489210950080518</v>
      </c>
      <c r="O250" s="11"/>
      <c r="P250" s="7">
        <v>10540.98</v>
      </c>
      <c r="Q250" s="2"/>
      <c r="R250" s="6">
        <f t="shared" si="114"/>
        <v>2.2283065495317484E-3</v>
      </c>
      <c r="S250" s="2"/>
      <c r="T250" s="7">
        <v>7290</v>
      </c>
      <c r="U250" s="2"/>
      <c r="V250" s="6">
        <f t="shared" si="115"/>
        <v>1.4568194007834293E-3</v>
      </c>
      <c r="W250" s="2"/>
      <c r="X250" s="7">
        <f t="shared" si="116"/>
        <v>3250.9799999999996</v>
      </c>
      <c r="Y250" s="2"/>
      <c r="Z250" s="6">
        <f t="shared" si="117"/>
        <v>0.44595061728395058</v>
      </c>
    </row>
    <row r="251" spans="1:26" s="26" customFormat="1" outlineLevel="1" collapsed="1" x14ac:dyDescent="0.25">
      <c r="A251" s="27"/>
      <c r="B251" s="13" t="str">
        <f>CONCATENATE("     ","Training                                          ")</f>
        <v xml:space="preserve">     Training                                          </v>
      </c>
      <c r="C251" s="13"/>
      <c r="D251" s="1">
        <f>SUM(OSRRefD22_24x_0)</f>
        <v>-4806.29</v>
      </c>
      <c r="E251" s="1"/>
      <c r="F251" s="5">
        <f t="shared" ref="F251:F256" si="118">IF(D$12=0,0,D251/D$12)</f>
        <v>-3.2300296948565527E-3</v>
      </c>
      <c r="G251" s="1"/>
      <c r="H251" s="1">
        <f>SUM(OSRRefH22_24x_0)</f>
        <v>1300</v>
      </c>
      <c r="I251" s="1"/>
      <c r="J251" s="5">
        <f t="shared" ref="J251:J256" si="119">IF(H$12=0,0,H251/H$12)</f>
        <v>8.4045384213316345E-4</v>
      </c>
      <c r="K251" s="1"/>
      <c r="L251" s="1">
        <f t="shared" ref="L251:L256" si="120">+D251-H251</f>
        <v>-6106.29</v>
      </c>
      <c r="M251" s="1"/>
      <c r="N251" s="5">
        <f t="shared" ref="N251:N256" si="121">IF(H251=0,0,L251/H251)</f>
        <v>-4.6971461538461536</v>
      </c>
      <c r="O251" s="13"/>
      <c r="P251" s="1">
        <f>SUM(OSRRefP22_24x_0)</f>
        <v>2516.2399999999998</v>
      </c>
      <c r="Q251" s="1"/>
      <c r="R251" s="5">
        <f t="shared" ref="R251:R256" si="122">IF(P$12=0,0,P251/P$12)</f>
        <v>5.3191961963629242E-4</v>
      </c>
      <c r="S251" s="1"/>
      <c r="T251" s="1">
        <f>SUM(OSRRefT22_24x_0)</f>
        <v>6000</v>
      </c>
      <c r="U251" s="1"/>
      <c r="V251" s="5">
        <f t="shared" ref="V251:V256" si="123">IF(T$12=0,0,T251/T$12)</f>
        <v>1.1990283134019994E-3</v>
      </c>
      <c r="W251" s="1"/>
      <c r="X251" s="1">
        <f t="shared" ref="X251:X256" si="124">+P251-T251</f>
        <v>-3483.76</v>
      </c>
      <c r="Y251" s="1"/>
      <c r="Z251" s="5">
        <f t="shared" ref="Z251:Z256" si="125">IF(T251=0,0,X251/T251)</f>
        <v>-0.58062666666666674</v>
      </c>
    </row>
    <row r="252" spans="1:26" s="24" customFormat="1" hidden="1" outlineLevel="2" x14ac:dyDescent="0.25">
      <c r="A252" s="25"/>
      <c r="B252" s="11" t="str">
        <f>CONCATENATE("          ", "6376", " - ", "TRAINING")</f>
        <v xml:space="preserve">          6376 - TRAINING</v>
      </c>
      <c r="C252" s="11"/>
      <c r="D252" s="7">
        <v>-4806.29</v>
      </c>
      <c r="E252" s="2"/>
      <c r="F252" s="6">
        <f t="shared" si="118"/>
        <v>-3.2300296948565527E-3</v>
      </c>
      <c r="G252" s="2"/>
      <c r="H252" s="7">
        <v>1300</v>
      </c>
      <c r="I252" s="2"/>
      <c r="J252" s="6">
        <f t="shared" si="119"/>
        <v>8.4045384213316345E-4</v>
      </c>
      <c r="K252" s="2"/>
      <c r="L252" s="7">
        <f t="shared" si="120"/>
        <v>-6106.29</v>
      </c>
      <c r="M252" s="2"/>
      <c r="N252" s="6">
        <f t="shared" si="121"/>
        <v>-4.6971461538461536</v>
      </c>
      <c r="O252" s="11"/>
      <c r="P252" s="7">
        <v>2516.2399999999998</v>
      </c>
      <c r="Q252" s="2"/>
      <c r="R252" s="6">
        <f t="shared" si="122"/>
        <v>5.3191961963629242E-4</v>
      </c>
      <c r="S252" s="2"/>
      <c r="T252" s="7">
        <v>6000</v>
      </c>
      <c r="U252" s="2"/>
      <c r="V252" s="6">
        <f t="shared" si="123"/>
        <v>1.1990283134019994E-3</v>
      </c>
      <c r="W252" s="2"/>
      <c r="X252" s="7">
        <f t="shared" si="124"/>
        <v>-3483.76</v>
      </c>
      <c r="Y252" s="2"/>
      <c r="Z252" s="6">
        <f t="shared" si="125"/>
        <v>-0.58062666666666674</v>
      </c>
    </row>
    <row r="253" spans="1:26" s="26" customFormat="1" outlineLevel="1" collapsed="1" x14ac:dyDescent="0.25">
      <c r="A253" s="27"/>
      <c r="B253" s="13" t="str">
        <f>CONCATENATE("     ","Travel                                            ")</f>
        <v xml:space="preserve">     Travel                                            </v>
      </c>
      <c r="C253" s="13"/>
      <c r="D253" s="1">
        <f>SUM(OSRRefD22_25x_0)</f>
        <v>207.82999999999998</v>
      </c>
      <c r="E253" s="1"/>
      <c r="F253" s="5">
        <f t="shared" si="118"/>
        <v>1.3967052996844497E-4</v>
      </c>
      <c r="G253" s="1"/>
      <c r="H253" s="1">
        <f>SUM(OSRRefH22_25x_0)</f>
        <v>100</v>
      </c>
      <c r="I253" s="1"/>
      <c r="J253" s="5">
        <f t="shared" si="119"/>
        <v>6.465029554870488E-5</v>
      </c>
      <c r="K253" s="1"/>
      <c r="L253" s="1">
        <f t="shared" si="120"/>
        <v>107.82999999999998</v>
      </c>
      <c r="M253" s="1"/>
      <c r="N253" s="5">
        <f t="shared" si="121"/>
        <v>1.0782999999999998</v>
      </c>
      <c r="O253" s="13"/>
      <c r="P253" s="1">
        <f>SUM(OSRRefP22_25x_0)</f>
        <v>613.86</v>
      </c>
      <c r="Q253" s="1"/>
      <c r="R253" s="5">
        <f t="shared" si="122"/>
        <v>1.2976670655817193E-4</v>
      </c>
      <c r="S253" s="1"/>
      <c r="T253" s="1">
        <f>SUM(OSRRefT22_25x_0)</f>
        <v>810</v>
      </c>
      <c r="U253" s="1"/>
      <c r="V253" s="5">
        <f t="shared" si="123"/>
        <v>1.6186882230926993E-4</v>
      </c>
      <c r="W253" s="1"/>
      <c r="X253" s="1">
        <f t="shared" si="124"/>
        <v>-196.14</v>
      </c>
      <c r="Y253" s="1"/>
      <c r="Z253" s="5">
        <f t="shared" si="125"/>
        <v>-0.24214814814814814</v>
      </c>
    </row>
    <row r="254" spans="1:26" s="24" customFormat="1" hidden="1" outlineLevel="2" x14ac:dyDescent="0.25">
      <c r="A254" s="25"/>
      <c r="B254" s="11" t="str">
        <f>CONCATENATE("          ", "6292", " - ", "TRAVEL/CONFERENCE")</f>
        <v xml:space="preserve">          6292 - TRAVEL/CONFERENCE</v>
      </c>
      <c r="C254" s="11"/>
      <c r="D254" s="7">
        <v>91.13</v>
      </c>
      <c r="E254" s="2"/>
      <c r="F254" s="6">
        <f t="shared" si="118"/>
        <v>6.1243205485369723E-5</v>
      </c>
      <c r="G254" s="2"/>
      <c r="H254" s="7"/>
      <c r="I254" s="2"/>
      <c r="J254" s="6">
        <f t="shared" si="119"/>
        <v>0</v>
      </c>
      <c r="K254" s="2"/>
      <c r="L254" s="7">
        <f t="shared" si="120"/>
        <v>91.13</v>
      </c>
      <c r="M254" s="2"/>
      <c r="N254" s="6">
        <f t="shared" si="121"/>
        <v>0</v>
      </c>
      <c r="O254" s="11"/>
      <c r="P254" s="7">
        <v>341.77</v>
      </c>
      <c r="Q254" s="2"/>
      <c r="R254" s="6">
        <f t="shared" si="122"/>
        <v>7.2248342130756875E-5</v>
      </c>
      <c r="S254" s="2"/>
      <c r="T254" s="7"/>
      <c r="U254" s="2"/>
      <c r="V254" s="6">
        <f t="shared" si="123"/>
        <v>0</v>
      </c>
      <c r="W254" s="2"/>
      <c r="X254" s="7">
        <f t="shared" si="124"/>
        <v>341.77</v>
      </c>
      <c r="Y254" s="2"/>
      <c r="Z254" s="6">
        <f t="shared" si="125"/>
        <v>0</v>
      </c>
    </row>
    <row r="255" spans="1:26" s="24" customFormat="1" hidden="1" outlineLevel="2" x14ac:dyDescent="0.25">
      <c r="A255" s="25"/>
      <c r="B255" s="11" t="str">
        <f>CONCATENATE("          ", "6294", " - ", "TRAVEL OPERATIONAL")</f>
        <v xml:space="preserve">          6294 - TRAVEL OPERATIONAL</v>
      </c>
      <c r="C255" s="11"/>
      <c r="D255" s="7">
        <v>33.43</v>
      </c>
      <c r="E255" s="2"/>
      <c r="F255" s="6">
        <f t="shared" si="118"/>
        <v>2.2466370672401076E-5</v>
      </c>
      <c r="G255" s="2"/>
      <c r="H255" s="7">
        <v>100</v>
      </c>
      <c r="I255" s="2"/>
      <c r="J255" s="6">
        <f t="shared" si="119"/>
        <v>6.465029554870488E-5</v>
      </c>
      <c r="K255" s="2"/>
      <c r="L255" s="7">
        <f t="shared" si="120"/>
        <v>-66.569999999999993</v>
      </c>
      <c r="M255" s="2"/>
      <c r="N255" s="6">
        <f t="shared" si="121"/>
        <v>-0.66569999999999996</v>
      </c>
      <c r="O255" s="11"/>
      <c r="P255" s="7">
        <v>102.1</v>
      </c>
      <c r="Q255" s="2"/>
      <c r="R255" s="6">
        <f t="shared" si="122"/>
        <v>2.1583391554408745E-5</v>
      </c>
      <c r="S255" s="2"/>
      <c r="T255" s="7">
        <v>360</v>
      </c>
      <c r="U255" s="2"/>
      <c r="V255" s="6">
        <f t="shared" si="123"/>
        <v>7.1941698804119965E-5</v>
      </c>
      <c r="W255" s="2"/>
      <c r="X255" s="7">
        <f t="shared" si="124"/>
        <v>-257.89999999999998</v>
      </c>
      <c r="Y255" s="2"/>
      <c r="Z255" s="6">
        <f t="shared" si="125"/>
        <v>-0.71638888888888885</v>
      </c>
    </row>
    <row r="256" spans="1:26" s="24" customFormat="1" hidden="1" outlineLevel="2" x14ac:dyDescent="0.25">
      <c r="A256" s="25"/>
      <c r="B256" s="11" t="str">
        <f>CONCATENATE("          ", "6298", " - ", "VEHICLE MILEAGE")</f>
        <v xml:space="preserve">          6298 - VEHICLE MILEAGE</v>
      </c>
      <c r="C256" s="11"/>
      <c r="D256" s="7">
        <v>83.27</v>
      </c>
      <c r="E256" s="2"/>
      <c r="F256" s="6">
        <f t="shared" si="118"/>
        <v>5.5960953810674166E-5</v>
      </c>
      <c r="G256" s="2"/>
      <c r="H256" s="7"/>
      <c r="I256" s="2"/>
      <c r="J256" s="6">
        <f t="shared" si="119"/>
        <v>0</v>
      </c>
      <c r="K256" s="2"/>
      <c r="L256" s="7">
        <f t="shared" si="120"/>
        <v>83.27</v>
      </c>
      <c r="M256" s="2"/>
      <c r="N256" s="6">
        <f t="shared" si="121"/>
        <v>0</v>
      </c>
      <c r="O256" s="11"/>
      <c r="P256" s="7">
        <v>169.99</v>
      </c>
      <c r="Q256" s="2"/>
      <c r="R256" s="6">
        <f t="shared" si="122"/>
        <v>3.5934972873006295E-5</v>
      </c>
      <c r="S256" s="2"/>
      <c r="T256" s="7">
        <v>450</v>
      </c>
      <c r="U256" s="2"/>
      <c r="V256" s="6">
        <f t="shared" si="123"/>
        <v>8.9927123505149949E-5</v>
      </c>
      <c r="W256" s="2"/>
      <c r="X256" s="7">
        <f t="shared" si="124"/>
        <v>-280.01</v>
      </c>
      <c r="Y256" s="2"/>
      <c r="Z256" s="6">
        <f t="shared" si="125"/>
        <v>-0.62224444444444438</v>
      </c>
    </row>
    <row r="257" spans="1:26" s="26" customFormat="1" outlineLevel="1" collapsed="1" x14ac:dyDescent="0.25">
      <c r="A257" s="27"/>
      <c r="B257" s="13" t="str">
        <f>CONCATENATE("     ","Utilities                                         ")</f>
        <v xml:space="preserve">     Utilities                                         </v>
      </c>
      <c r="C257" s="13"/>
      <c r="D257" s="1">
        <f>SUM(OSRRefD22_26x_0)</f>
        <v>6647.02</v>
      </c>
      <c r="E257" s="1"/>
      <c r="F257" s="5">
        <f t="shared" ref="F257:F258" si="126">IF(D$12=0,0,D257/D$12)</f>
        <v>4.4670779296100329E-3</v>
      </c>
      <c r="G257" s="1"/>
      <c r="H257" s="1">
        <f>SUM(OSRRefH22_26x_0)</f>
        <v>6221</v>
      </c>
      <c r="I257" s="1"/>
      <c r="J257" s="5">
        <f t="shared" ref="J257:J258" si="127">IF(H$12=0,0,H257/H$12)</f>
        <v>4.0218948860849301E-3</v>
      </c>
      <c r="K257" s="1"/>
      <c r="L257" s="1">
        <f t="shared" ref="L257:L258" si="128">+D257-H257</f>
        <v>426.02000000000044</v>
      </c>
      <c r="M257" s="1"/>
      <c r="N257" s="5">
        <f t="shared" ref="N257:N258" si="129">IF(H257=0,0,L257/H257)</f>
        <v>6.8480951615495972E-2</v>
      </c>
      <c r="O257" s="13"/>
      <c r="P257" s="1">
        <f>SUM(OSRRefP22_26x_0)</f>
        <v>12392.92</v>
      </c>
      <c r="Q257" s="1"/>
      <c r="R257" s="5">
        <f t="shared" ref="R257:R258" si="130">IF(P$12=0,0,P257/P$12)</f>
        <v>2.6197967175559576E-3</v>
      </c>
      <c r="S257" s="1"/>
      <c r="T257" s="1">
        <f>SUM(OSRRefT22_26x_0)</f>
        <v>18619</v>
      </c>
      <c r="U257" s="1"/>
      <c r="V257" s="5">
        <f t="shared" ref="V257:V258" si="131">IF(T$12=0,0,T257/T$12)</f>
        <v>3.720784694538638E-3</v>
      </c>
      <c r="W257" s="1"/>
      <c r="X257" s="1">
        <f t="shared" ref="X257:X258" si="132">+P257-T257</f>
        <v>-6226.08</v>
      </c>
      <c r="Y257" s="1"/>
      <c r="Z257" s="5">
        <f t="shared" ref="Z257:Z258" si="133">IF(T257=0,0,X257/T257)</f>
        <v>-0.3343938987056233</v>
      </c>
    </row>
    <row r="258" spans="1:26" s="24" customFormat="1" hidden="1" outlineLevel="2" x14ac:dyDescent="0.25">
      <c r="A258" s="25"/>
      <c r="B258" s="11" t="str">
        <f>CONCATENATE("          ", "6274", " - ", "UTILITIES")</f>
        <v xml:space="preserve">          6274 - UTILITIES</v>
      </c>
      <c r="C258" s="11"/>
      <c r="D258" s="7">
        <v>6647.02</v>
      </c>
      <c r="E258" s="2"/>
      <c r="F258" s="6">
        <f t="shared" si="126"/>
        <v>4.4670779296100329E-3</v>
      </c>
      <c r="G258" s="2"/>
      <c r="H258" s="7">
        <v>6221</v>
      </c>
      <c r="I258" s="2"/>
      <c r="J258" s="6">
        <f t="shared" si="127"/>
        <v>4.0218948860849301E-3</v>
      </c>
      <c r="K258" s="2"/>
      <c r="L258" s="7">
        <f t="shared" si="128"/>
        <v>426.02000000000044</v>
      </c>
      <c r="M258" s="2"/>
      <c r="N258" s="6">
        <f t="shared" si="129"/>
        <v>6.8480951615495972E-2</v>
      </c>
      <c r="O258" s="11"/>
      <c r="P258" s="7">
        <v>12392.92</v>
      </c>
      <c r="Q258" s="2"/>
      <c r="R258" s="6">
        <f t="shared" si="130"/>
        <v>2.6197967175559576E-3</v>
      </c>
      <c r="S258" s="2"/>
      <c r="T258" s="7">
        <v>18619</v>
      </c>
      <c r="U258" s="2"/>
      <c r="V258" s="6">
        <f t="shared" si="131"/>
        <v>3.720784694538638E-3</v>
      </c>
      <c r="W258" s="2"/>
      <c r="X258" s="7">
        <f t="shared" si="132"/>
        <v>-6226.08</v>
      </c>
      <c r="Y258" s="2"/>
      <c r="Z258" s="6">
        <f t="shared" si="133"/>
        <v>-0.3343938987056233</v>
      </c>
    </row>
    <row r="259" spans="1:26" s="63" customFormat="1" x14ac:dyDescent="0.25">
      <c r="A259" s="36"/>
      <c r="B259" s="36"/>
      <c r="C259" s="36"/>
      <c r="D259" s="1"/>
      <c r="E259" s="1"/>
      <c r="F259" s="5"/>
      <c r="G259" s="1"/>
      <c r="H259" s="1"/>
      <c r="I259" s="1"/>
      <c r="J259" s="5"/>
      <c r="K259" s="1"/>
      <c r="L259" s="1"/>
      <c r="M259" s="1"/>
      <c r="N259" s="5"/>
      <c r="O259" s="36"/>
      <c r="P259" s="1"/>
      <c r="Q259" s="1"/>
      <c r="R259" s="5"/>
      <c r="S259" s="1"/>
      <c r="T259" s="1"/>
      <c r="U259" s="1"/>
      <c r="V259" s="5"/>
      <c r="W259" s="1"/>
      <c r="X259" s="1"/>
      <c r="Y259" s="1"/>
      <c r="Z259" s="5"/>
    </row>
    <row r="260" spans="1:26" s="23" customFormat="1" collapsed="1" x14ac:dyDescent="0.25">
      <c r="A260" s="10"/>
      <c r="B260" s="28" t="s">
        <v>0</v>
      </c>
      <c r="C260" s="10"/>
      <c r="D260" s="4">
        <f>SUM(OSRRefD25x_0)</f>
        <v>123340.45</v>
      </c>
      <c r="E260" s="4"/>
      <c r="F260" s="12">
        <f t="shared" ref="F260:F267" si="134">IF(D$12=0,0,D260/D$12)</f>
        <v>8.2889987095445733E-2</v>
      </c>
      <c r="G260" s="4"/>
      <c r="H260" s="4">
        <f>SUM(OSRRefH25x_0)</f>
        <v>133375</v>
      </c>
      <c r="I260" s="4"/>
      <c r="J260" s="12">
        <f t="shared" ref="J260:J267" si="135">IF(H$12=0,0,H260/H$12)</f>
        <v>8.6227331688085135E-2</v>
      </c>
      <c r="K260" s="4"/>
      <c r="L260" s="4">
        <f t="shared" ref="L260:L267" si="136">+D260-H260</f>
        <v>-10034.550000000003</v>
      </c>
      <c r="M260" s="4"/>
      <c r="N260" s="12">
        <f t="shared" ref="N260:N267" si="137">IF(H260=0,0,L260/H260)</f>
        <v>-7.5235613870665435E-2</v>
      </c>
      <c r="O260" s="10"/>
      <c r="P260" s="4">
        <f>SUM(OSRRefP25x_0)</f>
        <v>244543.30000000002</v>
      </c>
      <c r="Q260" s="4"/>
      <c r="R260" s="12">
        <f t="shared" ref="R260:R267" si="138">IF(P$12=0,0,P260/P$12)</f>
        <v>5.1695140018680162E-2</v>
      </c>
      <c r="S260" s="4"/>
      <c r="T260" s="4">
        <f>SUM(OSRRefT25x_0)</f>
        <v>257925</v>
      </c>
      <c r="U260" s="4"/>
      <c r="V260" s="12">
        <f t="shared" ref="V260:V267" si="139">IF(T$12=0,0,T260/T$12)</f>
        <v>5.1543229622368451E-2</v>
      </c>
      <c r="W260" s="4"/>
      <c r="X260" s="4">
        <f t="shared" ref="X260:X267" si="140">+P260-T260</f>
        <v>-13381.699999999983</v>
      </c>
      <c r="Y260" s="4"/>
      <c r="Z260" s="12">
        <f t="shared" ref="Z260:Z267" si="141">IF(T260=0,0,X260/T260)</f>
        <v>-5.1882136279926265E-2</v>
      </c>
    </row>
    <row r="261" spans="1:26" s="24" customFormat="1" hidden="1" outlineLevel="1" x14ac:dyDescent="0.25">
      <c r="A261" s="46"/>
      <c r="B261" s="11" t="str">
        <f>CONCATENATE("          ", "4098", " - ", "TAXABLE SALES-GRAD RENTALS")</f>
        <v xml:space="preserve">          4098 - TAXABLE SALES-GRAD RENTALS</v>
      </c>
      <c r="C261" s="11"/>
      <c r="D261" s="2">
        <f t="shared" ref="D261:D262" si="142">0</f>
        <v>0</v>
      </c>
      <c r="E261" s="2"/>
      <c r="F261" s="19">
        <f t="shared" si="134"/>
        <v>0</v>
      </c>
      <c r="G261" s="2"/>
      <c r="H261" s="2"/>
      <c r="I261" s="2"/>
      <c r="J261" s="19">
        <f t="shared" si="135"/>
        <v>0</v>
      </c>
      <c r="K261" s="2"/>
      <c r="L261" s="2">
        <f t="shared" si="136"/>
        <v>0</v>
      </c>
      <c r="M261" s="2"/>
      <c r="N261" s="19">
        <f t="shared" si="137"/>
        <v>0</v>
      </c>
      <c r="O261" s="11"/>
      <c r="P261" s="2">
        <f>--1626.85</f>
        <v>1626.85</v>
      </c>
      <c r="Q261" s="2"/>
      <c r="R261" s="19">
        <f t="shared" si="138"/>
        <v>3.439073511291858E-4</v>
      </c>
      <c r="S261" s="2"/>
      <c r="T261" s="2"/>
      <c r="U261" s="2"/>
      <c r="V261" s="19">
        <f t="shared" si="139"/>
        <v>0</v>
      </c>
      <c r="W261" s="2"/>
      <c r="X261" s="2">
        <f t="shared" si="140"/>
        <v>1626.85</v>
      </c>
      <c r="Y261" s="2"/>
      <c r="Z261" s="19">
        <f t="shared" si="141"/>
        <v>0</v>
      </c>
    </row>
    <row r="262" spans="1:26" s="24" customFormat="1" hidden="1" outlineLevel="1" x14ac:dyDescent="0.25">
      <c r="A262" s="46"/>
      <c r="B262" s="11" t="str">
        <f>CONCATENATE("          ", "4197", " - ", "NON-TAXABLE SALES-RETURNED CHE")</f>
        <v xml:space="preserve">          4197 - NON-TAXABLE SALES-RETURNED CHE</v>
      </c>
      <c r="C262" s="11"/>
      <c r="D262" s="2">
        <f t="shared" si="142"/>
        <v>0</v>
      </c>
      <c r="E262" s="2"/>
      <c r="F262" s="19">
        <f t="shared" si="134"/>
        <v>0</v>
      </c>
      <c r="G262" s="2"/>
      <c r="H262" s="2"/>
      <c r="I262" s="2"/>
      <c r="J262" s="19">
        <f t="shared" si="135"/>
        <v>0</v>
      </c>
      <c r="K262" s="2"/>
      <c r="L262" s="2">
        <f t="shared" si="136"/>
        <v>0</v>
      </c>
      <c r="M262" s="2"/>
      <c r="N262" s="19">
        <f t="shared" si="137"/>
        <v>0</v>
      </c>
      <c r="O262" s="11"/>
      <c r="P262" s="2">
        <f>--30</f>
        <v>30</v>
      </c>
      <c r="Q262" s="2"/>
      <c r="R262" s="19">
        <f t="shared" si="138"/>
        <v>6.3418388504629028E-6</v>
      </c>
      <c r="S262" s="2"/>
      <c r="T262" s="2"/>
      <c r="U262" s="2"/>
      <c r="V262" s="19">
        <f t="shared" si="139"/>
        <v>0</v>
      </c>
      <c r="W262" s="2"/>
      <c r="X262" s="2">
        <f t="shared" si="140"/>
        <v>30</v>
      </c>
      <c r="Y262" s="2"/>
      <c r="Z262" s="19">
        <f t="shared" si="141"/>
        <v>0</v>
      </c>
    </row>
    <row r="263" spans="1:26" s="24" customFormat="1" hidden="1" outlineLevel="1" x14ac:dyDescent="0.25">
      <c r="A263" s="46"/>
      <c r="B263" s="11" t="str">
        <f>CONCATENATE("          ", "4198", " - ", "NON-TAXABLE SALES-GRAD RENTALS")</f>
        <v xml:space="preserve">          4198 - NON-TAXABLE SALES-GRAD RENTALS</v>
      </c>
      <c r="C263" s="11"/>
      <c r="D263" s="2">
        <f>--30</f>
        <v>30</v>
      </c>
      <c r="E263" s="2"/>
      <c r="F263" s="19">
        <f t="shared" si="134"/>
        <v>2.0161265933952504E-5</v>
      </c>
      <c r="G263" s="2"/>
      <c r="H263" s="2"/>
      <c r="I263" s="2"/>
      <c r="J263" s="19">
        <f t="shared" si="135"/>
        <v>0</v>
      </c>
      <c r="K263" s="2"/>
      <c r="L263" s="2">
        <f t="shared" si="136"/>
        <v>30</v>
      </c>
      <c r="M263" s="2"/>
      <c r="N263" s="19">
        <f t="shared" si="137"/>
        <v>0</v>
      </c>
      <c r="O263" s="11"/>
      <c r="P263" s="2">
        <f>--495</f>
        <v>495</v>
      </c>
      <c r="Q263" s="2"/>
      <c r="R263" s="19">
        <f t="shared" si="138"/>
        <v>1.0464034103263789E-4</v>
      </c>
      <c r="S263" s="2"/>
      <c r="T263" s="2"/>
      <c r="U263" s="2"/>
      <c r="V263" s="19">
        <f t="shared" si="139"/>
        <v>0</v>
      </c>
      <c r="W263" s="2"/>
      <c r="X263" s="2">
        <f t="shared" si="140"/>
        <v>495</v>
      </c>
      <c r="Y263" s="2"/>
      <c r="Z263" s="19">
        <f t="shared" si="141"/>
        <v>0</v>
      </c>
    </row>
    <row r="264" spans="1:26" s="24" customFormat="1" hidden="1" outlineLevel="1" x14ac:dyDescent="0.25">
      <c r="A264" s="46"/>
      <c r="B264" s="11" t="str">
        <f>CONCATENATE("          ", "9150", " - ", "MISC. INCOME")</f>
        <v xml:space="preserve">          9150 - MISC. INCOME</v>
      </c>
      <c r="C264" s="11"/>
      <c r="D264" s="2">
        <f>--39218.84</f>
        <v>39218.839999999997</v>
      </c>
      <c r="E264" s="2"/>
      <c r="F264" s="19">
        <f t="shared" si="134"/>
        <v>2.635671542870446E-2</v>
      </c>
      <c r="G264" s="2"/>
      <c r="H264" s="2">
        <v>29225</v>
      </c>
      <c r="I264" s="2"/>
      <c r="J264" s="19">
        <f t="shared" si="135"/>
        <v>1.8894048874109001E-2</v>
      </c>
      <c r="K264" s="2"/>
      <c r="L264" s="2">
        <f t="shared" si="136"/>
        <v>9993.8399999999965</v>
      </c>
      <c r="M264" s="2"/>
      <c r="N264" s="19">
        <f t="shared" si="137"/>
        <v>0.34196201881950372</v>
      </c>
      <c r="O264" s="11"/>
      <c r="P264" s="2">
        <f>--137386.92</f>
        <v>137386.92000000001</v>
      </c>
      <c r="Q264" s="2"/>
      <c r="R264" s="19">
        <f t="shared" si="138"/>
        <v>2.9042856893381298E-2</v>
      </c>
      <c r="S264" s="2"/>
      <c r="T264" s="2">
        <v>99925</v>
      </c>
      <c r="U264" s="2"/>
      <c r="V264" s="19">
        <f t="shared" si="139"/>
        <v>1.9968817369449131E-2</v>
      </c>
      <c r="W264" s="2"/>
      <c r="X264" s="2">
        <f t="shared" si="140"/>
        <v>37461.920000000013</v>
      </c>
      <c r="Y264" s="2"/>
      <c r="Z264" s="19">
        <f t="shared" si="141"/>
        <v>0.37490037528146125</v>
      </c>
    </row>
    <row r="265" spans="1:26" s="24" customFormat="1" hidden="1" outlineLevel="1" x14ac:dyDescent="0.25">
      <c r="A265" s="46"/>
      <c r="B265" s="11" t="str">
        <f>CONCATENATE("          ", "9151", " - ", "MISC. INCOME")</f>
        <v xml:space="preserve">          9151 - MISC. INCOME</v>
      </c>
      <c r="C265" s="11"/>
      <c r="D265" s="2">
        <f>--83458.02</f>
        <v>83458.02</v>
      </c>
      <c r="E265" s="2"/>
      <c r="F265" s="19">
        <f t="shared" si="134"/>
        <v>5.6087311184704232E-2</v>
      </c>
      <c r="G265" s="2"/>
      <c r="H265" s="2">
        <v>12850</v>
      </c>
      <c r="I265" s="2"/>
      <c r="J265" s="19">
        <f t="shared" si="135"/>
        <v>8.3075629780085761E-3</v>
      </c>
      <c r="K265" s="2"/>
      <c r="L265" s="2">
        <f t="shared" si="136"/>
        <v>70608.02</v>
      </c>
      <c r="M265" s="2"/>
      <c r="N265" s="19">
        <f t="shared" si="137"/>
        <v>5.4947875486381328</v>
      </c>
      <c r="O265" s="11"/>
      <c r="P265" s="2">
        <f>--83193.51</f>
        <v>83193.509999999995</v>
      </c>
      <c r="Q265" s="2"/>
      <c r="R265" s="19">
        <f t="shared" si="138"/>
        <v>1.7586661127479135E-2</v>
      </c>
      <c r="S265" s="2"/>
      <c r="T265" s="2">
        <v>26300</v>
      </c>
      <c r="U265" s="2"/>
      <c r="V265" s="19">
        <f t="shared" si="139"/>
        <v>5.2557407737454306E-3</v>
      </c>
      <c r="W265" s="2"/>
      <c r="X265" s="2">
        <f t="shared" si="140"/>
        <v>56893.509999999995</v>
      </c>
      <c r="Y265" s="2"/>
      <c r="Z265" s="19">
        <f t="shared" si="141"/>
        <v>2.1632513307984791</v>
      </c>
    </row>
    <row r="266" spans="1:26" s="24" customFormat="1" hidden="1" outlineLevel="1" x14ac:dyDescent="0.25">
      <c r="A266" s="46"/>
      <c r="B266" s="11" t="str">
        <f>CONCATENATE("          ", "9152", " - ", "MISC. INCOME")</f>
        <v xml:space="preserve">          9152 - MISC. INCOME</v>
      </c>
      <c r="C266" s="11"/>
      <c r="D266" s="2">
        <f>--633.59</f>
        <v>633.59</v>
      </c>
      <c r="E266" s="2"/>
      <c r="F266" s="19">
        <f t="shared" si="134"/>
        <v>4.2579921610309894E-4</v>
      </c>
      <c r="G266" s="2"/>
      <c r="H266" s="2"/>
      <c r="I266" s="2"/>
      <c r="J266" s="19">
        <f t="shared" si="135"/>
        <v>0</v>
      </c>
      <c r="K266" s="2"/>
      <c r="L266" s="2">
        <f t="shared" si="136"/>
        <v>633.59</v>
      </c>
      <c r="M266" s="2"/>
      <c r="N266" s="19">
        <f t="shared" si="137"/>
        <v>0</v>
      </c>
      <c r="O266" s="11"/>
      <c r="P266" s="2">
        <f>--641.02</f>
        <v>641.02</v>
      </c>
      <c r="Q266" s="2"/>
      <c r="R266" s="19">
        <f t="shared" si="138"/>
        <v>1.3550818466412433E-4</v>
      </c>
      <c r="S266" s="2"/>
      <c r="T266" s="2"/>
      <c r="U266" s="2"/>
      <c r="V266" s="19">
        <f t="shared" si="139"/>
        <v>0</v>
      </c>
      <c r="W266" s="2"/>
      <c r="X266" s="2">
        <f t="shared" si="140"/>
        <v>641.02</v>
      </c>
      <c r="Y266" s="2"/>
      <c r="Z266" s="19">
        <f t="shared" si="141"/>
        <v>0</v>
      </c>
    </row>
    <row r="267" spans="1:26" s="24" customFormat="1" hidden="1" outlineLevel="1" x14ac:dyDescent="0.25">
      <c r="A267" s="46"/>
      <c r="B267" s="11" t="str">
        <f>CONCATENATE("          ", "9160", " - ", "MISC. INCOME")</f>
        <v xml:space="preserve">          9160 - MISC. INCOME</v>
      </c>
      <c r="C267" s="11"/>
      <c r="D267" s="2">
        <f>0</f>
        <v>0</v>
      </c>
      <c r="E267" s="2"/>
      <c r="F267" s="19">
        <f t="shared" si="134"/>
        <v>0</v>
      </c>
      <c r="G267" s="2"/>
      <c r="H267" s="2">
        <v>91300</v>
      </c>
      <c r="I267" s="2"/>
      <c r="J267" s="19">
        <f t="shared" si="135"/>
        <v>5.9025719835967549E-2</v>
      </c>
      <c r="K267" s="2"/>
      <c r="L267" s="2">
        <f t="shared" si="136"/>
        <v>-91300</v>
      </c>
      <c r="M267" s="2"/>
      <c r="N267" s="19">
        <f t="shared" si="137"/>
        <v>-1</v>
      </c>
      <c r="O267" s="11"/>
      <c r="P267" s="2">
        <f>--21170</f>
        <v>21170</v>
      </c>
      <c r="Q267" s="2"/>
      <c r="R267" s="19">
        <f t="shared" si="138"/>
        <v>4.4752242821433216E-3</v>
      </c>
      <c r="S267" s="2"/>
      <c r="T267" s="2">
        <v>131700</v>
      </c>
      <c r="U267" s="2"/>
      <c r="V267" s="19">
        <f t="shared" si="139"/>
        <v>2.6318671479173886E-2</v>
      </c>
      <c r="W267" s="2"/>
      <c r="X267" s="2">
        <f t="shared" si="140"/>
        <v>-110530</v>
      </c>
      <c r="Y267" s="2"/>
      <c r="Z267" s="19">
        <f t="shared" si="141"/>
        <v>-0.83925588458618072</v>
      </c>
    </row>
    <row r="268" spans="1:26" x14ac:dyDescent="0.25">
      <c r="A268" s="9"/>
      <c r="B268" s="10"/>
      <c r="C268" s="10"/>
      <c r="D268" s="3"/>
      <c r="E268" s="3"/>
      <c r="F268" s="8"/>
      <c r="G268" s="3"/>
      <c r="H268" s="3"/>
      <c r="I268" s="3"/>
      <c r="J268" s="8"/>
      <c r="K268" s="3"/>
      <c r="L268" s="3"/>
      <c r="M268" s="3"/>
      <c r="N268" s="8"/>
      <c r="O268" s="10"/>
      <c r="P268" s="3"/>
      <c r="Q268" s="3"/>
      <c r="R268" s="8"/>
      <c r="S268" s="3"/>
      <c r="T268" s="3"/>
      <c r="U268" s="3"/>
      <c r="V268" s="8"/>
      <c r="W268" s="3"/>
      <c r="X268" s="3"/>
      <c r="Y268" s="3"/>
      <c r="Z268" s="8"/>
    </row>
    <row r="269" spans="1:26" s="23" customFormat="1" x14ac:dyDescent="0.25">
      <c r="A269" s="10"/>
      <c r="B269" s="29" t="s">
        <v>3</v>
      </c>
      <c r="C269" s="29"/>
      <c r="D269" s="22">
        <f>+D157-D159+D260</f>
        <v>311728.65999999893</v>
      </c>
      <c r="E269" s="14"/>
      <c r="F269" s="20">
        <f>IF(D$12=0,0,D269/D$12)</f>
        <v>0.20949481378315471</v>
      </c>
      <c r="G269" s="14"/>
      <c r="H269" s="22">
        <f>+H157-H159+H260</f>
        <v>326185.77382093086</v>
      </c>
      <c r="I269" s="14"/>
      <c r="J269" s="20">
        <f>IF(H$12=0,0,H269/H$12)</f>
        <v>0.21088006681306182</v>
      </c>
      <c r="K269" s="15"/>
      <c r="L269" s="22">
        <f>+D269-H269</f>
        <v>-14457.113820931932</v>
      </c>
      <c r="M269" s="15"/>
      <c r="N269" s="20">
        <f>IF(H269=0,0,L269/H269)</f>
        <v>-4.432171781001272E-2</v>
      </c>
      <c r="O269" s="28"/>
      <c r="P269" s="22">
        <f>+P157-P159+P260</f>
        <v>681174.60999999894</v>
      </c>
      <c r="Q269" s="14"/>
      <c r="R269" s="20">
        <f>IF(P$12=0,0,P269/P$12)</f>
        <v>0.14399665352156366</v>
      </c>
      <c r="S269" s="14"/>
      <c r="T269" s="22">
        <f>+T157-T159+T260</f>
        <v>712535.83864344936</v>
      </c>
      <c r="U269" s="14"/>
      <c r="V269" s="20">
        <f>IF(T$12=0,0,T269/T$12)</f>
        <v>0.14239177414118906</v>
      </c>
      <c r="W269" s="15"/>
      <c r="X269" s="22">
        <f>+P269-T269</f>
        <v>-31361.22864345042</v>
      </c>
      <c r="Y269" s="15"/>
      <c r="Z269" s="20">
        <f>IF(T269=0,0,X269/T269)</f>
        <v>-4.4013545624816602E-2</v>
      </c>
    </row>
    <row r="270" spans="1:26" x14ac:dyDescent="0.25">
      <c r="A270" s="9"/>
      <c r="B270" s="10"/>
      <c r="C270" s="9"/>
      <c r="D270" s="3"/>
      <c r="E270" s="3"/>
      <c r="F270" s="8"/>
      <c r="G270" s="3"/>
      <c r="H270" s="3"/>
      <c r="I270" s="3"/>
      <c r="J270" s="8"/>
      <c r="K270" s="3"/>
      <c r="L270" s="3"/>
      <c r="M270" s="3"/>
      <c r="N270" s="8"/>
      <c r="P270" s="3"/>
      <c r="Q270" s="3"/>
      <c r="R270" s="8"/>
      <c r="S270" s="3"/>
      <c r="T270" s="3"/>
      <c r="U270" s="3"/>
      <c r="V270" s="8"/>
      <c r="W270" s="3"/>
      <c r="X270" s="3"/>
      <c r="Y270" s="3"/>
      <c r="Z270" s="8"/>
    </row>
    <row r="271" spans="1:26" s="23" customFormat="1" x14ac:dyDescent="0.25">
      <c r="A271" s="52"/>
      <c r="B271" s="10" t="s">
        <v>14</v>
      </c>
      <c r="C271" s="10"/>
      <c r="D271" s="4">
        <v>103838.16</v>
      </c>
      <c r="E271" s="4"/>
      <c r="F271" s="12">
        <f>IF(D$12=0,0,D271/D$12)</f>
        <v>6.9783625261743656E-2</v>
      </c>
      <c r="G271" s="4"/>
      <c r="H271" s="4">
        <v>71466</v>
      </c>
      <c r="I271" s="4"/>
      <c r="J271" s="12">
        <f>IF(H$12=0,0,H271/H$12)</f>
        <v>4.6202980216837428E-2</v>
      </c>
      <c r="K271" s="4"/>
      <c r="L271" s="4">
        <f>+D271-H271</f>
        <v>32372.160000000003</v>
      </c>
      <c r="M271" s="4"/>
      <c r="N271" s="12">
        <f>IF(H271=0,0,L271/H271)</f>
        <v>0.45297288220972215</v>
      </c>
      <c r="O271" s="10"/>
      <c r="P271" s="4">
        <v>508117.2</v>
      </c>
      <c r="Q271" s="4"/>
      <c r="R271" s="12">
        <f>IF(P$12=0,0,P271/P$12)</f>
        <v>0.10741324665161431</v>
      </c>
      <c r="S271" s="4"/>
      <c r="T271" s="4">
        <v>632935</v>
      </c>
      <c r="U271" s="4"/>
      <c r="V271" s="12">
        <f>IF(T$12=0,0,T271/T$12)</f>
        <v>0.12648449759051575</v>
      </c>
      <c r="W271" s="4"/>
      <c r="X271" s="4">
        <f>+P271-T271</f>
        <v>-124817.79999999999</v>
      </c>
      <c r="Y271" s="4"/>
      <c r="Z271" s="12">
        <f>IF(T271=0,0,X271/T271)</f>
        <v>-0.19720476826214381</v>
      </c>
    </row>
    <row r="272" spans="1:26" x14ac:dyDescent="0.25">
      <c r="A272" s="9"/>
      <c r="B272" s="10"/>
      <c r="C272" s="10"/>
      <c r="D272" s="3"/>
      <c r="E272" s="3"/>
      <c r="F272" s="8"/>
      <c r="G272" s="3"/>
      <c r="H272" s="3"/>
      <c r="I272" s="3"/>
      <c r="J272" s="8"/>
      <c r="K272" s="3"/>
      <c r="L272" s="3"/>
      <c r="M272" s="3"/>
      <c r="N272" s="8"/>
      <c r="O272" s="10"/>
      <c r="P272" s="3"/>
      <c r="Q272" s="3"/>
      <c r="R272" s="8"/>
      <c r="S272" s="3"/>
      <c r="T272" s="3"/>
      <c r="U272" s="3"/>
      <c r="V272" s="8"/>
      <c r="W272" s="3"/>
      <c r="X272" s="3"/>
      <c r="Y272" s="3"/>
      <c r="Z272" s="8"/>
    </row>
    <row r="273" spans="1:26" s="23" customFormat="1" ht="15.75" thickBot="1" x14ac:dyDescent="0.3">
      <c r="A273" s="10"/>
      <c r="B273" s="29" t="s">
        <v>4</v>
      </c>
      <c r="C273" s="29"/>
      <c r="D273" s="35">
        <f>+D269-D271</f>
        <v>207890.49999999892</v>
      </c>
      <c r="E273" s="14"/>
      <c r="F273" s="32">
        <f>IF(D$12=0,0,D273/D$12)</f>
        <v>0.13971118852141104</v>
      </c>
      <c r="G273" s="14"/>
      <c r="H273" s="35">
        <f>+H269-H271</f>
        <v>254719.77382093086</v>
      </c>
      <c r="I273" s="14"/>
      <c r="J273" s="32">
        <f>IF(H$12=0,0,H273/H$12)</f>
        <v>0.1646770865962244</v>
      </c>
      <c r="K273" s="15"/>
      <c r="L273" s="35">
        <f>D273-H273</f>
        <v>-46829.273820931936</v>
      </c>
      <c r="M273" s="15"/>
      <c r="N273" s="32">
        <f>IF(H273=0,0,L273/H273)</f>
        <v>-0.1838462445159563</v>
      </c>
      <c r="O273" s="28"/>
      <c r="P273" s="35">
        <f>+P269-P271</f>
        <v>173057.40999999893</v>
      </c>
      <c r="Q273" s="14"/>
      <c r="R273" s="32">
        <f>IF(P$12=0,0,P273/P$12)</f>
        <v>3.6583406869949348E-2</v>
      </c>
      <c r="S273" s="14"/>
      <c r="T273" s="35">
        <f>+T269-T271</f>
        <v>79600.838643449359</v>
      </c>
      <c r="U273" s="14"/>
      <c r="V273" s="32">
        <f>IF(T$12=0,0,T273/T$12)</f>
        <v>1.5907276550673297E-2</v>
      </c>
      <c r="W273" s="15"/>
      <c r="X273" s="35">
        <f>P273-T273</f>
        <v>93456.571356549568</v>
      </c>
      <c r="Y273" s="15"/>
      <c r="Z273" s="32">
        <f>IF(T273=0,0,X273/T273)</f>
        <v>1.1740651599810807</v>
      </c>
    </row>
    <row r="274" spans="1:26" ht="15.75" thickTop="1" x14ac:dyDescent="0.25">
      <c r="A274" s="9"/>
      <c r="B274" s="9"/>
      <c r="C274" s="9"/>
      <c r="D274" s="3"/>
      <c r="E274" s="3"/>
      <c r="F274" s="8"/>
      <c r="G274" s="3"/>
      <c r="H274" s="3"/>
      <c r="I274" s="3"/>
      <c r="J274" s="8"/>
      <c r="K274" s="3"/>
      <c r="L274" s="3"/>
      <c r="M274" s="3"/>
      <c r="N274" s="8"/>
      <c r="P274" s="3"/>
      <c r="Q274" s="3"/>
      <c r="R274" s="8"/>
      <c r="S274" s="3"/>
      <c r="T274" s="3"/>
      <c r="U274" s="3"/>
      <c r="V274" s="8"/>
      <c r="W274" s="3"/>
      <c r="X274" s="3"/>
      <c r="Y274" s="3"/>
      <c r="Z274" s="8"/>
    </row>
    <row r="275" spans="1:26" x14ac:dyDescent="0.25">
      <c r="A275" s="9"/>
      <c r="B275" s="9"/>
      <c r="C275" s="9"/>
      <c r="D275" s="3"/>
      <c r="E275" s="3"/>
      <c r="F275" s="8"/>
      <c r="G275" s="3"/>
      <c r="H275" s="3"/>
      <c r="I275" s="3"/>
      <c r="J275" s="8"/>
      <c r="K275" s="3"/>
      <c r="L275" s="3"/>
      <c r="M275" s="3"/>
      <c r="N275" s="8"/>
      <c r="P275" s="3"/>
      <c r="Q275" s="3"/>
      <c r="R275" s="8"/>
      <c r="S275" s="3"/>
      <c r="T275" s="3"/>
      <c r="U275" s="3"/>
      <c r="V275" s="8"/>
      <c r="W275" s="3"/>
      <c r="X275" s="3"/>
      <c r="Y275" s="3"/>
      <c r="Z275" s="8"/>
    </row>
    <row r="276" spans="1:26" s="23" customFormat="1" ht="15.75" thickBot="1" x14ac:dyDescent="0.3">
      <c r="A276" s="10"/>
      <c r="B276" s="29" t="s">
        <v>5</v>
      </c>
      <c r="C276" s="29"/>
      <c r="D276" s="30">
        <f>SUM(D273:D275)</f>
        <v>207890.49999999892</v>
      </c>
      <c r="E276" s="14"/>
      <c r="F276" s="31">
        <f>IF(D$12=0,0,D276/D$12)</f>
        <v>0.13971118852141104</v>
      </c>
      <c r="G276" s="14"/>
      <c r="H276" s="30">
        <f>SUM(H273:H275)</f>
        <v>254719.77382093086</v>
      </c>
      <c r="I276" s="14"/>
      <c r="J276" s="31">
        <f>IF(H$12=0,0,H276/H$12)</f>
        <v>0.1646770865962244</v>
      </c>
      <c r="K276" s="15"/>
      <c r="L276" s="30">
        <f>+D276-H276</f>
        <v>-46829.273820931936</v>
      </c>
      <c r="M276" s="15"/>
      <c r="N276" s="31">
        <f>IF(H276=0,0,L276/H276)</f>
        <v>-0.1838462445159563</v>
      </c>
      <c r="O276" s="28"/>
      <c r="P276" s="30">
        <f>SUM(P273:P275)</f>
        <v>173057.40999999893</v>
      </c>
      <c r="Q276" s="14"/>
      <c r="R276" s="31">
        <f>IF(P$12=0,0,P276/P$12)</f>
        <v>3.6583406869949348E-2</v>
      </c>
      <c r="S276" s="14"/>
      <c r="T276" s="30">
        <f>SUM(T273:T275)</f>
        <v>79600.838643449359</v>
      </c>
      <c r="U276" s="14"/>
      <c r="V276" s="31">
        <f>IF(T$12=0,0,T276/T$12)</f>
        <v>1.5907276550673297E-2</v>
      </c>
      <c r="W276" s="15"/>
      <c r="X276" s="30">
        <f>+P276-T276</f>
        <v>93456.571356549568</v>
      </c>
      <c r="Y276" s="15"/>
      <c r="Z276" s="31">
        <f>IF(T276=0,0,X276/T276)</f>
        <v>1.1740651599810807</v>
      </c>
    </row>
    <row r="277" spans="1:26" ht="15.75" thickTop="1" x14ac:dyDescent="0.25">
      <c r="A277" s="9"/>
      <c r="C277" s="9"/>
      <c r="D277" s="18"/>
      <c r="E277" s="18"/>
      <c r="G277" s="18"/>
      <c r="H277" s="18"/>
      <c r="I277" s="18"/>
      <c r="J277" s="43"/>
      <c r="K277" s="18"/>
      <c r="L277" s="18"/>
      <c r="M277" s="18"/>
      <c r="P277" s="18"/>
      <c r="Q277" s="18"/>
      <c r="R277" s="43"/>
      <c r="S277" s="18"/>
      <c r="T277" s="18"/>
      <c r="U277" s="18"/>
      <c r="V277" s="43"/>
      <c r="W277" s="18"/>
      <c r="X277" s="18"/>
    </row>
    <row r="278" spans="1:26" x14ac:dyDescent="0.25">
      <c r="A278" s="9"/>
      <c r="B278" s="53">
        <v>43756.451751076391</v>
      </c>
      <c r="D278" s="18"/>
      <c r="E278" s="18"/>
      <c r="G278" s="18"/>
      <c r="H278" s="18"/>
      <c r="I278" s="18"/>
      <c r="J278" s="43"/>
      <c r="K278" s="18"/>
      <c r="L278" s="18"/>
      <c r="M278" s="18"/>
      <c r="P278" s="18"/>
      <c r="Q278" s="18"/>
      <c r="R278" s="43"/>
      <c r="S278" s="18"/>
      <c r="T278" s="18"/>
      <c r="U278" s="18"/>
      <c r="V278" s="43"/>
      <c r="W278" s="18"/>
      <c r="X278" s="18"/>
    </row>
    <row r="279" spans="1:26" x14ac:dyDescent="0.25">
      <c r="A279" s="9"/>
      <c r="B279" s="55" t="s">
        <v>314</v>
      </c>
      <c r="D279" s="18"/>
      <c r="E279" s="18"/>
      <c r="G279" s="18"/>
      <c r="H279" s="18"/>
      <c r="I279" s="18"/>
      <c r="J279" s="43"/>
      <c r="K279" s="18"/>
      <c r="L279" s="18"/>
      <c r="M279" s="18"/>
      <c r="P279" s="18"/>
      <c r="Q279" s="18"/>
      <c r="R279" s="43"/>
      <c r="S279" s="18"/>
      <c r="T279" s="18"/>
      <c r="U279" s="18"/>
      <c r="V279" s="43"/>
      <c r="W279" s="18"/>
      <c r="X279" s="18"/>
    </row>
    <row r="280" spans="1:26" x14ac:dyDescent="0.25">
      <c r="A280" s="9"/>
      <c r="B280" s="56"/>
      <c r="D280" s="18"/>
      <c r="E280" s="18"/>
      <c r="G280" s="18"/>
      <c r="H280" s="18"/>
      <c r="I280" s="18"/>
      <c r="J280" s="43"/>
      <c r="K280" s="18"/>
      <c r="L280" s="18"/>
      <c r="M280" s="18"/>
      <c r="P280" s="18"/>
      <c r="Q280" s="18"/>
      <c r="R280" s="43"/>
      <c r="S280" s="18"/>
      <c r="T280" s="18"/>
      <c r="U280" s="18"/>
      <c r="V280" s="43"/>
      <c r="W280" s="18"/>
      <c r="X280" s="18"/>
    </row>
    <row r="281" spans="1:26" x14ac:dyDescent="0.25">
      <c r="D281" s="18"/>
      <c r="E281" s="18"/>
      <c r="G281" s="18"/>
      <c r="H281" s="18"/>
      <c r="I281" s="18"/>
      <c r="J281" s="43"/>
      <c r="K281" s="18"/>
      <c r="L281" s="18"/>
      <c r="M281" s="18"/>
      <c r="P281" s="18"/>
      <c r="Q281" s="18"/>
      <c r="R281" s="43"/>
      <c r="S281" s="18"/>
      <c r="T281" s="18"/>
      <c r="U281" s="18"/>
      <c r="V281" s="43"/>
      <c r="W281" s="18"/>
      <c r="X281" s="18"/>
    </row>
  </sheetData>
  <pageMargins left="0.25" right="0.25" top="0.75" bottom="0.75" header="0.3" footer="0.3"/>
  <pageSetup scale="55" fitToWidth="2"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26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str">
        <f>CONCATENATE("Period ",RIGHT(202003,2),", ",2020)</f>
        <v>Period 03, 2020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43736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">
        <v>309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1087059.2599999998</v>
      </c>
      <c r="E12" s="4"/>
      <c r="F12" s="12"/>
      <c r="G12" s="4"/>
      <c r="H12" s="4">
        <f>SUM(OSRRefH13x_0)</f>
        <v>1141995.3387500001</v>
      </c>
      <c r="I12" s="4"/>
      <c r="J12" s="12"/>
      <c r="K12" s="4"/>
      <c r="L12" s="4">
        <f t="shared" ref="L12:L99" si="0">+D12-H12</f>
        <v>-54936.078750000335</v>
      </c>
      <c r="M12" s="4"/>
      <c r="N12" s="12">
        <f t="shared" ref="N12:N99" si="1">IF(H12=0,0,L12/H12)</f>
        <v>-4.8105344116493511E-2</v>
      </c>
      <c r="O12" s="10"/>
      <c r="P12" s="4">
        <f>SUM(OSRRefP13x_0)</f>
        <v>4142003.3299999982</v>
      </c>
      <c r="Q12" s="4"/>
      <c r="R12" s="12"/>
      <c r="S12" s="4"/>
      <c r="T12" s="4">
        <f>SUM(OSRRefT13x_0)</f>
        <v>4400320.7752</v>
      </c>
      <c r="U12" s="4"/>
      <c r="V12" s="12"/>
      <c r="W12" s="4"/>
      <c r="X12" s="4">
        <f t="shared" ref="X12:X99" si="2">+P12-T12</f>
        <v>-258317.44520000182</v>
      </c>
      <c r="Y12" s="4"/>
      <c r="Z12" s="12">
        <f t="shared" ref="Z12:Z99" si="3">IF(T12=0,0,X12/T12)</f>
        <v>-5.8704230531525507E-2</v>
      </c>
    </row>
    <row r="13" spans="1:26" s="24" customFormat="1" hidden="1" outlineLevel="1" x14ac:dyDescent="0.25">
      <c r="A13" s="46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501484.33875000005</v>
      </c>
      <c r="I13" s="2"/>
      <c r="J13" s="19"/>
      <c r="K13" s="2"/>
      <c r="L13" s="2">
        <f t="shared" si="0"/>
        <v>-501484.33875000005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1274595.7751999998</v>
      </c>
      <c r="U13" s="2"/>
      <c r="V13" s="19"/>
      <c r="W13" s="2"/>
      <c r="X13" s="2">
        <f t="shared" si="2"/>
        <v>-1274595.7751999998</v>
      </c>
      <c r="Y13" s="2"/>
      <c r="Z13" s="19">
        <f t="shared" si="3"/>
        <v>-1</v>
      </c>
    </row>
    <row r="14" spans="1:26" s="24" customFormat="1" hidden="1" outlineLevel="1" x14ac:dyDescent="0.25">
      <c r="A14" s="46"/>
      <c r="B14" s="11" t="str">
        <f>CONCATENATE("          ", "4001", " - ", "TAXABLE SALES-NEW TEXT")</f>
        <v xml:space="preserve">          4001 - TAXABLE SALES-NEW TEXT</v>
      </c>
      <c r="C14" s="11"/>
      <c r="D14" s="2">
        <f>--336733.45</f>
        <v>336733.45</v>
      </c>
      <c r="E14" s="2"/>
      <c r="F14" s="19"/>
      <c r="G14" s="2"/>
      <c r="H14" s="2"/>
      <c r="I14" s="2"/>
      <c r="J14" s="19"/>
      <c r="K14" s="2"/>
      <c r="L14" s="2">
        <f t="shared" si="0"/>
        <v>336733.45</v>
      </c>
      <c r="M14" s="2"/>
      <c r="N14" s="19">
        <f t="shared" si="1"/>
        <v>0</v>
      </c>
      <c r="O14" s="11"/>
      <c r="P14" s="2">
        <f>--1463955.42</f>
        <v>1463955.42</v>
      </c>
      <c r="Q14" s="2"/>
      <c r="R14" s="19"/>
      <c r="S14" s="2"/>
      <c r="T14" s="2"/>
      <c r="U14" s="2"/>
      <c r="V14" s="19"/>
      <c r="W14" s="2"/>
      <c r="X14" s="2">
        <f t="shared" si="2"/>
        <v>1463955.42</v>
      </c>
      <c r="Y14" s="2"/>
      <c r="Z14" s="19">
        <f t="shared" si="3"/>
        <v>0</v>
      </c>
    </row>
    <row r="15" spans="1:26" s="24" customFormat="1" hidden="1" outlineLevel="1" x14ac:dyDescent="0.25">
      <c r="A15" s="46"/>
      <c r="B15" s="11" t="str">
        <f>CONCATENATE("          ", "4002", " - ", "TAXABLE SALES-USED TEXT")</f>
        <v xml:space="preserve">          4002 - TAXABLE SALES-USED TEXT</v>
      </c>
      <c r="C15" s="11"/>
      <c r="D15" s="2">
        <f>--101849.66</f>
        <v>101849.66</v>
      </c>
      <c r="E15" s="2"/>
      <c r="F15" s="19"/>
      <c r="G15" s="2"/>
      <c r="H15" s="2"/>
      <c r="I15" s="2"/>
      <c r="J15" s="19"/>
      <c r="K15" s="2"/>
      <c r="L15" s="2">
        <f t="shared" si="0"/>
        <v>101849.66</v>
      </c>
      <c r="M15" s="2"/>
      <c r="N15" s="19">
        <f t="shared" si="1"/>
        <v>0</v>
      </c>
      <c r="O15" s="11"/>
      <c r="P15" s="2">
        <f>--657310.58</f>
        <v>657310.57999999996</v>
      </c>
      <c r="Q15" s="2"/>
      <c r="R15" s="19"/>
      <c r="S15" s="2"/>
      <c r="T15" s="2"/>
      <c r="U15" s="2"/>
      <c r="V15" s="19"/>
      <c r="W15" s="2"/>
      <c r="X15" s="2">
        <f t="shared" si="2"/>
        <v>657310.57999999996</v>
      </c>
      <c r="Y15" s="2"/>
      <c r="Z15" s="19">
        <f t="shared" si="3"/>
        <v>0</v>
      </c>
    </row>
    <row r="16" spans="1:26" s="24" customFormat="1" hidden="1" outlineLevel="1" x14ac:dyDescent="0.25">
      <c r="A16" s="46"/>
      <c r="B16" s="11" t="str">
        <f>CONCATENATE("          ", "4003", " - ", "TAXABLE SALES-RENTAL TEXT")</f>
        <v xml:space="preserve">          4003 - TAXABLE SALES-RENTAL TEXT</v>
      </c>
      <c r="C16" s="11"/>
      <c r="D16" s="2">
        <f>--2800.64</f>
        <v>2800.64</v>
      </c>
      <c r="E16" s="2"/>
      <c r="F16" s="19"/>
      <c r="G16" s="2"/>
      <c r="H16" s="2"/>
      <c r="I16" s="2"/>
      <c r="J16" s="19"/>
      <c r="K16" s="2"/>
      <c r="L16" s="2">
        <f t="shared" si="0"/>
        <v>2800.64</v>
      </c>
      <c r="M16" s="2"/>
      <c r="N16" s="19">
        <f t="shared" si="1"/>
        <v>0</v>
      </c>
      <c r="O16" s="11"/>
      <c r="P16" s="2">
        <f>--15536.69</f>
        <v>15536.69</v>
      </c>
      <c r="Q16" s="2"/>
      <c r="R16" s="19"/>
      <c r="S16" s="2"/>
      <c r="T16" s="2"/>
      <c r="U16" s="2"/>
      <c r="V16" s="19"/>
      <c r="W16" s="2"/>
      <c r="X16" s="2">
        <f t="shared" si="2"/>
        <v>15536.69</v>
      </c>
      <c r="Y16" s="2"/>
      <c r="Z16" s="19">
        <f t="shared" si="3"/>
        <v>0</v>
      </c>
    </row>
    <row r="17" spans="1:26" s="24" customFormat="1" hidden="1" outlineLevel="1" x14ac:dyDescent="0.25">
      <c r="A17" s="46"/>
      <c r="B17" s="11" t="str">
        <f>CONCATENATE("          ", "4004", " - ", "TAXABLE SALES-DIGITAL TEXT")</f>
        <v xml:space="preserve">          4004 - TAXABLE SALES-DIGITAL TEXT</v>
      </c>
      <c r="C17" s="11"/>
      <c r="D17" s="2">
        <f>--7290.37</f>
        <v>7290.37</v>
      </c>
      <c r="E17" s="2"/>
      <c r="F17" s="19"/>
      <c r="G17" s="2"/>
      <c r="H17" s="2"/>
      <c r="I17" s="2"/>
      <c r="J17" s="19"/>
      <c r="K17" s="2"/>
      <c r="L17" s="2">
        <f t="shared" si="0"/>
        <v>7290.37</v>
      </c>
      <c r="M17" s="2"/>
      <c r="N17" s="19">
        <f t="shared" si="1"/>
        <v>0</v>
      </c>
      <c r="O17" s="11"/>
      <c r="P17" s="2">
        <f>--29700.44</f>
        <v>29700.44</v>
      </c>
      <c r="Q17" s="2"/>
      <c r="R17" s="19"/>
      <c r="S17" s="2"/>
      <c r="T17" s="2"/>
      <c r="U17" s="2"/>
      <c r="V17" s="19"/>
      <c r="W17" s="2"/>
      <c r="X17" s="2">
        <f t="shared" si="2"/>
        <v>29700.44</v>
      </c>
      <c r="Y17" s="2"/>
      <c r="Z17" s="19">
        <f t="shared" si="3"/>
        <v>0</v>
      </c>
    </row>
    <row r="18" spans="1:26" s="24" customFormat="1" hidden="1" outlineLevel="1" x14ac:dyDescent="0.25">
      <c r="A18" s="46"/>
      <c r="B18" s="11" t="str">
        <f>CONCATENATE("          ", "4011", " - ", "TAXABLE SALES-NO VALUE TEXT")</f>
        <v xml:space="preserve">          4011 - TAXABLE SALES-NO VALUE TEXT</v>
      </c>
      <c r="C18" s="11"/>
      <c r="D18" s="2">
        <f>--9.6</f>
        <v>9.6</v>
      </c>
      <c r="E18" s="2"/>
      <c r="F18" s="19"/>
      <c r="G18" s="2"/>
      <c r="H18" s="2"/>
      <c r="I18" s="2"/>
      <c r="J18" s="19"/>
      <c r="K18" s="2"/>
      <c r="L18" s="2">
        <f t="shared" si="0"/>
        <v>9.6</v>
      </c>
      <c r="M18" s="2"/>
      <c r="N18" s="19">
        <f t="shared" si="1"/>
        <v>0</v>
      </c>
      <c r="O18" s="11"/>
      <c r="P18" s="2">
        <f>--9.6</f>
        <v>9.6</v>
      </c>
      <c r="Q18" s="2"/>
      <c r="R18" s="19"/>
      <c r="S18" s="2"/>
      <c r="T18" s="2"/>
      <c r="U18" s="2"/>
      <c r="V18" s="19"/>
      <c r="W18" s="2"/>
      <c r="X18" s="2">
        <f t="shared" si="2"/>
        <v>9.6</v>
      </c>
      <c r="Y18" s="2"/>
      <c r="Z18" s="19">
        <f t="shared" si="3"/>
        <v>0</v>
      </c>
    </row>
    <row r="19" spans="1:26" s="24" customFormat="1" hidden="1" outlineLevel="1" x14ac:dyDescent="0.25">
      <c r="A19" s="46"/>
      <c r="B19" s="11" t="str">
        <f>CONCATENATE("          ", "4013", " - ", "TAXABLE SALES-TRADE BOOKS")</f>
        <v xml:space="preserve">          4013 - TAXABLE SALES-TRADE BOOKS</v>
      </c>
      <c r="C19" s="11"/>
      <c r="D19" s="2">
        <f>--29.95</f>
        <v>29.95</v>
      </c>
      <c r="E19" s="2"/>
      <c r="F19" s="19"/>
      <c r="G19" s="2"/>
      <c r="H19" s="2"/>
      <c r="I19" s="2"/>
      <c r="J19" s="19"/>
      <c r="K19" s="2"/>
      <c r="L19" s="2">
        <f t="shared" si="0"/>
        <v>29.95</v>
      </c>
      <c r="M19" s="2"/>
      <c r="N19" s="19">
        <f t="shared" si="1"/>
        <v>0</v>
      </c>
      <c r="O19" s="11"/>
      <c r="P19" s="2">
        <f>--140.76</f>
        <v>140.76</v>
      </c>
      <c r="Q19" s="2"/>
      <c r="R19" s="19"/>
      <c r="S19" s="2"/>
      <c r="T19" s="2"/>
      <c r="U19" s="2"/>
      <c r="V19" s="19"/>
      <c r="W19" s="2"/>
      <c r="X19" s="2">
        <f t="shared" si="2"/>
        <v>140.76</v>
      </c>
      <c r="Y19" s="2"/>
      <c r="Z19" s="19">
        <f t="shared" si="3"/>
        <v>0</v>
      </c>
    </row>
    <row r="20" spans="1:26" s="24" customFormat="1" hidden="1" outlineLevel="1" x14ac:dyDescent="0.25">
      <c r="A20" s="46"/>
      <c r="B20" s="11" t="str">
        <f>CONCATENATE("          ", "4014", " - ", "TAXABLE SALES-REMAINDERS")</f>
        <v xml:space="preserve">          4014 - TAXABLE SALES-REMAINDERS</v>
      </c>
      <c r="C20" s="11"/>
      <c r="D20" s="2">
        <f>--97.44</f>
        <v>97.44</v>
      </c>
      <c r="E20" s="2"/>
      <c r="F20" s="19"/>
      <c r="G20" s="2"/>
      <c r="H20" s="2"/>
      <c r="I20" s="2"/>
      <c r="J20" s="19"/>
      <c r="K20" s="2"/>
      <c r="L20" s="2">
        <f t="shared" si="0"/>
        <v>97.44</v>
      </c>
      <c r="M20" s="2"/>
      <c r="N20" s="19">
        <f t="shared" si="1"/>
        <v>0</v>
      </c>
      <c r="O20" s="11"/>
      <c r="P20" s="2">
        <f>--523.09</f>
        <v>523.09</v>
      </c>
      <c r="Q20" s="2"/>
      <c r="R20" s="19"/>
      <c r="S20" s="2"/>
      <c r="T20" s="2"/>
      <c r="U20" s="2"/>
      <c r="V20" s="19"/>
      <c r="W20" s="2"/>
      <c r="X20" s="2">
        <f t="shared" si="2"/>
        <v>523.09</v>
      </c>
      <c r="Y20" s="2"/>
      <c r="Z20" s="19">
        <f t="shared" si="3"/>
        <v>0</v>
      </c>
    </row>
    <row r="21" spans="1:26" s="24" customFormat="1" hidden="1" outlineLevel="1" x14ac:dyDescent="0.25">
      <c r="A21" s="46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--65.39</f>
        <v>65.39</v>
      </c>
      <c r="E21" s="2"/>
      <c r="F21" s="19"/>
      <c r="G21" s="2"/>
      <c r="H21" s="2"/>
      <c r="I21" s="2"/>
      <c r="J21" s="19"/>
      <c r="K21" s="2"/>
      <c r="L21" s="2">
        <f t="shared" si="0"/>
        <v>65.39</v>
      </c>
      <c r="M21" s="2"/>
      <c r="N21" s="19">
        <f t="shared" si="1"/>
        <v>0</v>
      </c>
      <c r="O21" s="11"/>
      <c r="P21" s="2">
        <f>--222.69</f>
        <v>222.69</v>
      </c>
      <c r="Q21" s="2"/>
      <c r="R21" s="19"/>
      <c r="S21" s="2"/>
      <c r="T21" s="2"/>
      <c r="U21" s="2"/>
      <c r="V21" s="19"/>
      <c r="W21" s="2"/>
      <c r="X21" s="2">
        <f t="shared" si="2"/>
        <v>222.69</v>
      </c>
      <c r="Y21" s="2"/>
      <c r="Z21" s="19">
        <f t="shared" si="3"/>
        <v>0</v>
      </c>
    </row>
    <row r="22" spans="1:26" s="24" customFormat="1" hidden="1" outlineLevel="1" x14ac:dyDescent="0.25">
      <c r="A22" s="46"/>
      <c r="B22" s="11" t="str">
        <f>CONCATENATE("          ", "4018", " - ", "TAXABLE SALES-STUDY GUIDES")</f>
        <v xml:space="preserve">          4018 - TAXABLE SALES-STUDY GUIDES</v>
      </c>
      <c r="C22" s="11"/>
      <c r="D22" s="2">
        <f>--696.02</f>
        <v>696.02</v>
      </c>
      <c r="E22" s="2"/>
      <c r="F22" s="19"/>
      <c r="G22" s="2"/>
      <c r="H22" s="2"/>
      <c r="I22" s="2"/>
      <c r="J22" s="19"/>
      <c r="K22" s="2"/>
      <c r="L22" s="2">
        <f t="shared" si="0"/>
        <v>696.02</v>
      </c>
      <c r="M22" s="2"/>
      <c r="N22" s="19">
        <f t="shared" si="1"/>
        <v>0</v>
      </c>
      <c r="O22" s="11"/>
      <c r="P22" s="2">
        <f>--2060.15</f>
        <v>2060.15</v>
      </c>
      <c r="Q22" s="2"/>
      <c r="R22" s="19"/>
      <c r="S22" s="2"/>
      <c r="T22" s="2"/>
      <c r="U22" s="2"/>
      <c r="V22" s="19"/>
      <c r="W22" s="2"/>
      <c r="X22" s="2">
        <f t="shared" si="2"/>
        <v>2060.15</v>
      </c>
      <c r="Y22" s="2"/>
      <c r="Z22" s="19">
        <f t="shared" si="3"/>
        <v>0</v>
      </c>
    </row>
    <row r="23" spans="1:26" s="24" customFormat="1" hidden="1" outlineLevel="1" x14ac:dyDescent="0.25">
      <c r="A23" s="46"/>
      <c r="B23" s="11" t="str">
        <f>CONCATENATE("          ", "4019", " - ", "TAXABLE SALES-BOOK RELATED")</f>
        <v xml:space="preserve">          4019 - TAXABLE SALES-BOOK RELATED</v>
      </c>
      <c r="C23" s="11"/>
      <c r="D23" s="2">
        <f>0</f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--14.95</f>
        <v>14.95</v>
      </c>
      <c r="Q23" s="2"/>
      <c r="R23" s="19"/>
      <c r="S23" s="2"/>
      <c r="T23" s="2"/>
      <c r="U23" s="2"/>
      <c r="V23" s="19"/>
      <c r="W23" s="2"/>
      <c r="X23" s="2">
        <f t="shared" si="2"/>
        <v>14.95</v>
      </c>
      <c r="Y23" s="2"/>
      <c r="Z23" s="19">
        <f t="shared" si="3"/>
        <v>0</v>
      </c>
    </row>
    <row r="24" spans="1:26" s="24" customFormat="1" hidden="1" outlineLevel="1" x14ac:dyDescent="0.25">
      <c r="A24" s="46"/>
      <c r="B24" s="11" t="str">
        <f>CONCATENATE("          ", "4025", " - ", "TAXABLE SALES-TEST FORMS")</f>
        <v xml:space="preserve">          4025 - TAXABLE SALES-TEST FORMS</v>
      </c>
      <c r="C24" s="11"/>
      <c r="D24" s="2">
        <f>--11837.54</f>
        <v>11837.54</v>
      </c>
      <c r="E24" s="2"/>
      <c r="F24" s="19"/>
      <c r="G24" s="2"/>
      <c r="H24" s="2"/>
      <c r="I24" s="2"/>
      <c r="J24" s="19"/>
      <c r="K24" s="2"/>
      <c r="L24" s="2">
        <f t="shared" si="0"/>
        <v>11837.54</v>
      </c>
      <c r="M24" s="2"/>
      <c r="N24" s="19">
        <f t="shared" si="1"/>
        <v>0</v>
      </c>
      <c r="O24" s="11"/>
      <c r="P24" s="2">
        <f>--16296.07</f>
        <v>16296.07</v>
      </c>
      <c r="Q24" s="2"/>
      <c r="R24" s="19"/>
      <c r="S24" s="2"/>
      <c r="T24" s="2"/>
      <c r="U24" s="2"/>
      <c r="V24" s="19"/>
      <c r="W24" s="2"/>
      <c r="X24" s="2">
        <f t="shared" si="2"/>
        <v>16296.07</v>
      </c>
      <c r="Y24" s="2"/>
      <c r="Z24" s="19">
        <f t="shared" si="3"/>
        <v>0</v>
      </c>
    </row>
    <row r="25" spans="1:26" s="24" customFormat="1" hidden="1" outlineLevel="1" x14ac:dyDescent="0.25">
      <c r="A25" s="46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--11722.76</f>
        <v>11722.76</v>
      </c>
      <c r="E25" s="2"/>
      <c r="F25" s="19"/>
      <c r="G25" s="2"/>
      <c r="H25" s="2"/>
      <c r="I25" s="2"/>
      <c r="J25" s="19"/>
      <c r="K25" s="2"/>
      <c r="L25" s="2">
        <f t="shared" si="0"/>
        <v>11722.76</v>
      </c>
      <c r="M25" s="2"/>
      <c r="N25" s="19">
        <f t="shared" si="1"/>
        <v>0</v>
      </c>
      <c r="O25" s="11"/>
      <c r="P25" s="2">
        <f>--24499.3</f>
        <v>24499.3</v>
      </c>
      <c r="Q25" s="2"/>
      <c r="R25" s="19"/>
      <c r="S25" s="2"/>
      <c r="T25" s="2"/>
      <c r="U25" s="2"/>
      <c r="V25" s="19"/>
      <c r="W25" s="2"/>
      <c r="X25" s="2">
        <f t="shared" si="2"/>
        <v>24499.3</v>
      </c>
      <c r="Y25" s="2"/>
      <c r="Z25" s="19">
        <f t="shared" si="3"/>
        <v>0</v>
      </c>
    </row>
    <row r="26" spans="1:26" s="24" customFormat="1" hidden="1" outlineLevel="1" x14ac:dyDescent="0.25">
      <c r="A26" s="46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--44221.34</f>
        <v>44221.34</v>
      </c>
      <c r="E26" s="2"/>
      <c r="F26" s="19"/>
      <c r="G26" s="2"/>
      <c r="H26" s="2"/>
      <c r="I26" s="2"/>
      <c r="J26" s="19"/>
      <c r="K26" s="2"/>
      <c r="L26" s="2">
        <f t="shared" si="0"/>
        <v>44221.34</v>
      </c>
      <c r="M26" s="2"/>
      <c r="N26" s="19">
        <f t="shared" si="1"/>
        <v>0</v>
      </c>
      <c r="O26" s="11"/>
      <c r="P26" s="2">
        <f>--123320.59</f>
        <v>123320.59</v>
      </c>
      <c r="Q26" s="2"/>
      <c r="R26" s="19"/>
      <c r="S26" s="2"/>
      <c r="T26" s="2"/>
      <c r="U26" s="2"/>
      <c r="V26" s="19"/>
      <c r="W26" s="2"/>
      <c r="X26" s="2">
        <f t="shared" si="2"/>
        <v>123320.59</v>
      </c>
      <c r="Y26" s="2"/>
      <c r="Z26" s="19">
        <f t="shared" si="3"/>
        <v>0</v>
      </c>
    </row>
    <row r="27" spans="1:26" s="24" customFormat="1" hidden="1" outlineLevel="1" x14ac:dyDescent="0.25">
      <c r="A27" s="46"/>
      <c r="B27" s="11" t="str">
        <f>CONCATENATE("          ", "4028", " - ", "TAXABLE SALES-ART/TECH")</f>
        <v xml:space="preserve">          4028 - TAXABLE SALES-ART/TECH</v>
      </c>
      <c r="C27" s="11"/>
      <c r="D27" s="2">
        <f>--51812.13</f>
        <v>51812.13</v>
      </c>
      <c r="E27" s="2"/>
      <c r="F27" s="19"/>
      <c r="G27" s="2"/>
      <c r="H27" s="2"/>
      <c r="I27" s="2"/>
      <c r="J27" s="19"/>
      <c r="K27" s="2"/>
      <c r="L27" s="2">
        <f t="shared" si="0"/>
        <v>51812.13</v>
      </c>
      <c r="M27" s="2"/>
      <c r="N27" s="19">
        <f t="shared" si="1"/>
        <v>0</v>
      </c>
      <c r="O27" s="11"/>
      <c r="P27" s="2">
        <f>--100727.68</f>
        <v>100727.67999999999</v>
      </c>
      <c r="Q27" s="2"/>
      <c r="R27" s="19"/>
      <c r="S27" s="2"/>
      <c r="T27" s="2"/>
      <c r="U27" s="2"/>
      <c r="V27" s="19"/>
      <c r="W27" s="2"/>
      <c r="X27" s="2">
        <f t="shared" si="2"/>
        <v>100727.67999999999</v>
      </c>
      <c r="Y27" s="2"/>
      <c r="Z27" s="19">
        <f t="shared" si="3"/>
        <v>0</v>
      </c>
    </row>
    <row r="28" spans="1:26" s="24" customFormat="1" hidden="1" outlineLevel="1" x14ac:dyDescent="0.25">
      <c r="A28" s="46"/>
      <c r="B28" s="11" t="str">
        <f>CONCATENATE("          ", "4031", " - ", "TAXABLE SALES-FOOD")</f>
        <v xml:space="preserve">          4031 - TAXABLE SALES-FOOD</v>
      </c>
      <c r="C28" s="11"/>
      <c r="D28" s="2">
        <f>--88.48</f>
        <v>88.48</v>
      </c>
      <c r="E28" s="2"/>
      <c r="F28" s="19"/>
      <c r="G28" s="2"/>
      <c r="H28" s="2"/>
      <c r="I28" s="2"/>
      <c r="J28" s="19"/>
      <c r="K28" s="2"/>
      <c r="L28" s="2">
        <f t="shared" si="0"/>
        <v>88.48</v>
      </c>
      <c r="M28" s="2"/>
      <c r="N28" s="19">
        <f t="shared" si="1"/>
        <v>0</v>
      </c>
      <c r="O28" s="11"/>
      <c r="P28" s="2">
        <f>--120.82</f>
        <v>120.82</v>
      </c>
      <c r="Q28" s="2"/>
      <c r="R28" s="19"/>
      <c r="S28" s="2"/>
      <c r="T28" s="2"/>
      <c r="U28" s="2"/>
      <c r="V28" s="19"/>
      <c r="W28" s="2"/>
      <c r="X28" s="2">
        <f t="shared" si="2"/>
        <v>120.82</v>
      </c>
      <c r="Y28" s="2"/>
      <c r="Z28" s="19">
        <f t="shared" si="3"/>
        <v>0</v>
      </c>
    </row>
    <row r="29" spans="1:26" s="24" customFormat="1" hidden="1" outlineLevel="1" x14ac:dyDescent="0.25">
      <c r="A29" s="46"/>
      <c r="B29" s="11" t="str">
        <f>CONCATENATE("          ", "4032", " - ", "TAXABLE SALES-JUICE")</f>
        <v xml:space="preserve">          4032 - TAXABLE SALES-JUICE</v>
      </c>
      <c r="C29" s="11"/>
      <c r="D29" s="2">
        <f>--17.54</f>
        <v>17.54</v>
      </c>
      <c r="E29" s="2"/>
      <c r="F29" s="19"/>
      <c r="G29" s="2"/>
      <c r="H29" s="2"/>
      <c r="I29" s="2"/>
      <c r="J29" s="19"/>
      <c r="K29" s="2"/>
      <c r="L29" s="2">
        <f t="shared" si="0"/>
        <v>17.54</v>
      </c>
      <c r="M29" s="2"/>
      <c r="N29" s="19">
        <f t="shared" si="1"/>
        <v>0</v>
      </c>
      <c r="O29" s="11"/>
      <c r="P29" s="2">
        <f>--21.35</f>
        <v>21.35</v>
      </c>
      <c r="Q29" s="2"/>
      <c r="R29" s="19"/>
      <c r="S29" s="2"/>
      <c r="T29" s="2"/>
      <c r="U29" s="2"/>
      <c r="V29" s="19"/>
      <c r="W29" s="2"/>
      <c r="X29" s="2">
        <f t="shared" si="2"/>
        <v>21.35</v>
      </c>
      <c r="Y29" s="2"/>
      <c r="Z29" s="19">
        <f t="shared" si="3"/>
        <v>0</v>
      </c>
    </row>
    <row r="30" spans="1:26" s="24" customFormat="1" hidden="1" outlineLevel="1" x14ac:dyDescent="0.25">
      <c r="A30" s="46"/>
      <c r="B30" s="11" t="str">
        <f>CONCATENATE("          ", "4033", " - ", "TAXABLE SALES-CANDY")</f>
        <v xml:space="preserve">          4033 - TAXABLE SALES-CANDY</v>
      </c>
      <c r="C30" s="11"/>
      <c r="D30" s="2">
        <f>--27.97</f>
        <v>27.97</v>
      </c>
      <c r="E30" s="2"/>
      <c r="F30" s="19"/>
      <c r="G30" s="2"/>
      <c r="H30" s="2"/>
      <c r="I30" s="2"/>
      <c r="J30" s="19"/>
      <c r="K30" s="2"/>
      <c r="L30" s="2">
        <f t="shared" si="0"/>
        <v>27.97</v>
      </c>
      <c r="M30" s="2"/>
      <c r="N30" s="19">
        <f t="shared" si="1"/>
        <v>0</v>
      </c>
      <c r="O30" s="11"/>
      <c r="P30" s="2">
        <f>--40.97</f>
        <v>40.97</v>
      </c>
      <c r="Q30" s="2"/>
      <c r="R30" s="19"/>
      <c r="S30" s="2"/>
      <c r="T30" s="2"/>
      <c r="U30" s="2"/>
      <c r="V30" s="19"/>
      <c r="W30" s="2"/>
      <c r="X30" s="2">
        <f t="shared" si="2"/>
        <v>40.97</v>
      </c>
      <c r="Y30" s="2"/>
      <c r="Z30" s="19">
        <f t="shared" si="3"/>
        <v>0</v>
      </c>
    </row>
    <row r="31" spans="1:26" s="24" customFormat="1" hidden="1" outlineLevel="1" x14ac:dyDescent="0.25">
      <c r="A31" s="46"/>
      <c r="B31" s="11" t="str">
        <f>CONCATENATE("          ", "4034", " - ", "TAXABLE SALES-SODA")</f>
        <v xml:space="preserve">          4034 - TAXABLE SALES-SODA</v>
      </c>
      <c r="C31" s="11"/>
      <c r="D31" s="2">
        <f>--1544.01</f>
        <v>1544.01</v>
      </c>
      <c r="E31" s="2"/>
      <c r="F31" s="19"/>
      <c r="G31" s="2"/>
      <c r="H31" s="2"/>
      <c r="I31" s="2"/>
      <c r="J31" s="19"/>
      <c r="K31" s="2"/>
      <c r="L31" s="2">
        <f t="shared" si="0"/>
        <v>1544.01</v>
      </c>
      <c r="M31" s="2"/>
      <c r="N31" s="19">
        <f t="shared" si="1"/>
        <v>0</v>
      </c>
      <c r="O31" s="11"/>
      <c r="P31" s="2">
        <f>--1859.55</f>
        <v>1859.55</v>
      </c>
      <c r="Q31" s="2"/>
      <c r="R31" s="19"/>
      <c r="S31" s="2"/>
      <c r="T31" s="2"/>
      <c r="U31" s="2"/>
      <c r="V31" s="19"/>
      <c r="W31" s="2"/>
      <c r="X31" s="2">
        <f t="shared" si="2"/>
        <v>1859.55</v>
      </c>
      <c r="Y31" s="2"/>
      <c r="Z31" s="19">
        <f t="shared" si="3"/>
        <v>0</v>
      </c>
    </row>
    <row r="32" spans="1:26" s="24" customFormat="1" hidden="1" outlineLevel="1" x14ac:dyDescent="0.25">
      <c r="A32" s="46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>--339.98</f>
        <v>339.98</v>
      </c>
      <c r="E32" s="2"/>
      <c r="F32" s="19"/>
      <c r="G32" s="2"/>
      <c r="H32" s="2"/>
      <c r="I32" s="2"/>
      <c r="J32" s="19"/>
      <c r="K32" s="2"/>
      <c r="L32" s="2">
        <f t="shared" si="0"/>
        <v>339.98</v>
      </c>
      <c r="M32" s="2"/>
      <c r="N32" s="19">
        <f t="shared" si="1"/>
        <v>0</v>
      </c>
      <c r="O32" s="11"/>
      <c r="P32" s="2">
        <f>--438.43</f>
        <v>438.43</v>
      </c>
      <c r="Q32" s="2"/>
      <c r="R32" s="19"/>
      <c r="S32" s="2"/>
      <c r="T32" s="2"/>
      <c r="U32" s="2"/>
      <c r="V32" s="19"/>
      <c r="W32" s="2"/>
      <c r="X32" s="2">
        <f t="shared" si="2"/>
        <v>438.43</v>
      </c>
      <c r="Y32" s="2"/>
      <c r="Z32" s="19">
        <f t="shared" si="3"/>
        <v>0</v>
      </c>
    </row>
    <row r="33" spans="1:26" s="24" customFormat="1" hidden="1" outlineLevel="1" x14ac:dyDescent="0.25">
      <c r="A33" s="46"/>
      <c r="B33" s="11" t="str">
        <f>CONCATENATE("          ", "4037", " - ", "TAXABLE SALES-WATER")</f>
        <v xml:space="preserve">          4037 - TAXABLE SALES-WATER</v>
      </c>
      <c r="C33" s="11"/>
      <c r="D33" s="2">
        <f>--131.98</f>
        <v>131.97999999999999</v>
      </c>
      <c r="E33" s="2"/>
      <c r="F33" s="19"/>
      <c r="G33" s="2"/>
      <c r="H33" s="2"/>
      <c r="I33" s="2"/>
      <c r="J33" s="19"/>
      <c r="K33" s="2"/>
      <c r="L33" s="2">
        <f t="shared" si="0"/>
        <v>131.97999999999999</v>
      </c>
      <c r="M33" s="2"/>
      <c r="N33" s="19">
        <f t="shared" si="1"/>
        <v>0</v>
      </c>
      <c r="O33" s="11"/>
      <c r="P33" s="2">
        <f>--174.15</f>
        <v>174.15</v>
      </c>
      <c r="Q33" s="2"/>
      <c r="R33" s="19"/>
      <c r="S33" s="2"/>
      <c r="T33" s="2"/>
      <c r="U33" s="2"/>
      <c r="V33" s="19"/>
      <c r="W33" s="2"/>
      <c r="X33" s="2">
        <f t="shared" si="2"/>
        <v>174.15</v>
      </c>
      <c r="Y33" s="2"/>
      <c r="Z33" s="19">
        <f t="shared" si="3"/>
        <v>0</v>
      </c>
    </row>
    <row r="34" spans="1:26" s="24" customFormat="1" hidden="1" outlineLevel="1" x14ac:dyDescent="0.25">
      <c r="A34" s="46"/>
      <c r="B34" s="11" t="str">
        <f>CONCATENATE("          ", "4040", " - ", "TAXABLE SALES-LOGO CLOTHING")</f>
        <v xml:space="preserve">          4040 - TAXABLE SALES-LOGO CLOTHING</v>
      </c>
      <c r="C34" s="11"/>
      <c r="D34" s="2">
        <f>--243145.84</f>
        <v>243145.84</v>
      </c>
      <c r="E34" s="2"/>
      <c r="F34" s="19"/>
      <c r="G34" s="2"/>
      <c r="H34" s="2"/>
      <c r="I34" s="2"/>
      <c r="J34" s="19"/>
      <c r="K34" s="2"/>
      <c r="L34" s="2">
        <f t="shared" si="0"/>
        <v>243145.84</v>
      </c>
      <c r="M34" s="2"/>
      <c r="N34" s="19">
        <f t="shared" si="1"/>
        <v>0</v>
      </c>
      <c r="O34" s="11"/>
      <c r="P34" s="2">
        <f>--632899.52</f>
        <v>632899.52</v>
      </c>
      <c r="Q34" s="2"/>
      <c r="R34" s="19"/>
      <c r="S34" s="2"/>
      <c r="T34" s="2"/>
      <c r="U34" s="2"/>
      <c r="V34" s="19"/>
      <c r="W34" s="2"/>
      <c r="X34" s="2">
        <f t="shared" si="2"/>
        <v>632899.52</v>
      </c>
      <c r="Y34" s="2"/>
      <c r="Z34" s="19">
        <f t="shared" si="3"/>
        <v>0</v>
      </c>
    </row>
    <row r="35" spans="1:26" s="24" customFormat="1" hidden="1" outlineLevel="1" x14ac:dyDescent="0.25">
      <c r="A35" s="46"/>
      <c r="B35" s="11" t="str">
        <f>CONCATENATE("          ", "4041", " - ", "TAXABLE SALES-LOGO GIFTS")</f>
        <v xml:space="preserve">          4041 - TAXABLE SALES-LOGO GIFTS</v>
      </c>
      <c r="C35" s="11"/>
      <c r="D35" s="2">
        <f>--49940.2</f>
        <v>49940.2</v>
      </c>
      <c r="E35" s="2"/>
      <c r="F35" s="19"/>
      <c r="G35" s="2"/>
      <c r="H35" s="2"/>
      <c r="I35" s="2"/>
      <c r="J35" s="19"/>
      <c r="K35" s="2"/>
      <c r="L35" s="2">
        <f t="shared" si="0"/>
        <v>49940.2</v>
      </c>
      <c r="M35" s="2"/>
      <c r="N35" s="19">
        <f t="shared" si="1"/>
        <v>0</v>
      </c>
      <c r="O35" s="11"/>
      <c r="P35" s="2">
        <f>--201632.61</f>
        <v>201632.61</v>
      </c>
      <c r="Q35" s="2"/>
      <c r="R35" s="19"/>
      <c r="S35" s="2"/>
      <c r="T35" s="2"/>
      <c r="U35" s="2"/>
      <c r="V35" s="19"/>
      <c r="W35" s="2"/>
      <c r="X35" s="2">
        <f t="shared" si="2"/>
        <v>201632.61</v>
      </c>
      <c r="Y35" s="2"/>
      <c r="Z35" s="19">
        <f t="shared" si="3"/>
        <v>0</v>
      </c>
    </row>
    <row r="36" spans="1:26" s="24" customFormat="1" hidden="1" outlineLevel="1" x14ac:dyDescent="0.25">
      <c r="A36" s="46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--35079.3</f>
        <v>35079.300000000003</v>
      </c>
      <c r="E36" s="2"/>
      <c r="F36" s="19"/>
      <c r="G36" s="2"/>
      <c r="H36" s="2"/>
      <c r="I36" s="2"/>
      <c r="J36" s="19"/>
      <c r="K36" s="2"/>
      <c r="L36" s="2">
        <f t="shared" si="0"/>
        <v>35079.300000000003</v>
      </c>
      <c r="M36" s="2"/>
      <c r="N36" s="19">
        <f t="shared" si="1"/>
        <v>0</v>
      </c>
      <c r="O36" s="11"/>
      <c r="P36" s="2">
        <f>--95118.27</f>
        <v>95118.27</v>
      </c>
      <c r="Q36" s="2"/>
      <c r="R36" s="19"/>
      <c r="S36" s="2"/>
      <c r="T36" s="2"/>
      <c r="U36" s="2"/>
      <c r="V36" s="19"/>
      <c r="W36" s="2"/>
      <c r="X36" s="2">
        <f t="shared" si="2"/>
        <v>95118.27</v>
      </c>
      <c r="Y36" s="2"/>
      <c r="Z36" s="19">
        <f t="shared" si="3"/>
        <v>0</v>
      </c>
    </row>
    <row r="37" spans="1:26" s="24" customFormat="1" hidden="1" outlineLevel="1" x14ac:dyDescent="0.25">
      <c r="A37" s="46"/>
      <c r="B37" s="11" t="str">
        <f>CONCATENATE("          ", "4043", " - ", "TAXABLE SALES-CARDS")</f>
        <v xml:space="preserve">          4043 - TAXABLE SALES-CARDS</v>
      </c>
      <c r="C37" s="11"/>
      <c r="D37" s="2">
        <f>--272.36</f>
        <v>272.36</v>
      </c>
      <c r="E37" s="2"/>
      <c r="F37" s="19"/>
      <c r="G37" s="2"/>
      <c r="H37" s="2"/>
      <c r="I37" s="2"/>
      <c r="J37" s="19"/>
      <c r="K37" s="2"/>
      <c r="L37" s="2">
        <f t="shared" si="0"/>
        <v>272.36</v>
      </c>
      <c r="M37" s="2"/>
      <c r="N37" s="19">
        <f t="shared" si="1"/>
        <v>0</v>
      </c>
      <c r="O37" s="11"/>
      <c r="P37" s="2">
        <f>--457.81</f>
        <v>457.81</v>
      </c>
      <c r="Q37" s="2"/>
      <c r="R37" s="19"/>
      <c r="S37" s="2"/>
      <c r="T37" s="2"/>
      <c r="U37" s="2"/>
      <c r="V37" s="19"/>
      <c r="W37" s="2"/>
      <c r="X37" s="2">
        <f t="shared" si="2"/>
        <v>457.81</v>
      </c>
      <c r="Y37" s="2"/>
      <c r="Z37" s="19">
        <f t="shared" si="3"/>
        <v>0</v>
      </c>
    </row>
    <row r="38" spans="1:26" s="24" customFormat="1" hidden="1" outlineLevel="1" x14ac:dyDescent="0.25">
      <c r="A38" s="46"/>
      <c r="B38" s="11" t="str">
        <f>CONCATENATE("          ", "4044", " - ", "TAXABLE SALES-ACCESSORIES")</f>
        <v xml:space="preserve">          4044 - TAXABLE SALES-ACCESSORIES</v>
      </c>
      <c r="C38" s="11"/>
      <c r="D38" s="2">
        <f>--6451.34</f>
        <v>6451.34</v>
      </c>
      <c r="E38" s="2"/>
      <c r="F38" s="19"/>
      <c r="G38" s="2"/>
      <c r="H38" s="2"/>
      <c r="I38" s="2"/>
      <c r="J38" s="19"/>
      <c r="K38" s="2"/>
      <c r="L38" s="2">
        <f t="shared" si="0"/>
        <v>6451.34</v>
      </c>
      <c r="M38" s="2"/>
      <c r="N38" s="19">
        <f t="shared" si="1"/>
        <v>0</v>
      </c>
      <c r="O38" s="11"/>
      <c r="P38" s="2">
        <f>--28228.41</f>
        <v>28228.41</v>
      </c>
      <c r="Q38" s="2"/>
      <c r="R38" s="19"/>
      <c r="S38" s="2"/>
      <c r="T38" s="2"/>
      <c r="U38" s="2"/>
      <c r="V38" s="19"/>
      <c r="W38" s="2"/>
      <c r="X38" s="2">
        <f t="shared" si="2"/>
        <v>28228.41</v>
      </c>
      <c r="Y38" s="2"/>
      <c r="Z38" s="19">
        <f t="shared" si="3"/>
        <v>0</v>
      </c>
    </row>
    <row r="39" spans="1:26" s="24" customFormat="1" hidden="1" outlineLevel="1" x14ac:dyDescent="0.25">
      <c r="A39" s="46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--5803.07</f>
        <v>5803.07</v>
      </c>
      <c r="E39" s="2"/>
      <c r="F39" s="19"/>
      <c r="G39" s="2"/>
      <c r="H39" s="2"/>
      <c r="I39" s="2"/>
      <c r="J39" s="19"/>
      <c r="K39" s="2"/>
      <c r="L39" s="2">
        <f t="shared" si="0"/>
        <v>5803.07</v>
      </c>
      <c r="M39" s="2"/>
      <c r="N39" s="19">
        <f t="shared" si="1"/>
        <v>0</v>
      </c>
      <c r="O39" s="11"/>
      <c r="P39" s="2">
        <f>--31327.11</f>
        <v>31327.11</v>
      </c>
      <c r="Q39" s="2"/>
      <c r="R39" s="19"/>
      <c r="S39" s="2"/>
      <c r="T39" s="2"/>
      <c r="U39" s="2"/>
      <c r="V39" s="19"/>
      <c r="W39" s="2"/>
      <c r="X39" s="2">
        <f t="shared" si="2"/>
        <v>31327.11</v>
      </c>
      <c r="Y39" s="2"/>
      <c r="Z39" s="19">
        <f t="shared" si="3"/>
        <v>0</v>
      </c>
    </row>
    <row r="40" spans="1:26" s="24" customFormat="1" hidden="1" outlineLevel="1" x14ac:dyDescent="0.25">
      <c r="A40" s="46"/>
      <c r="B40" s="11" t="str">
        <f>CONCATENATE("          ", "4047", " - ", "TAXABLE SALES-MISC")</f>
        <v xml:space="preserve">          4047 - TAXABLE SALES-MISC</v>
      </c>
      <c r="C40" s="11"/>
      <c r="D40" s="2">
        <f>--488.97</f>
        <v>488.97</v>
      </c>
      <c r="E40" s="2"/>
      <c r="F40" s="19"/>
      <c r="G40" s="2"/>
      <c r="H40" s="2"/>
      <c r="I40" s="2"/>
      <c r="J40" s="19"/>
      <c r="K40" s="2"/>
      <c r="L40" s="2">
        <f t="shared" si="0"/>
        <v>488.97</v>
      </c>
      <c r="M40" s="2"/>
      <c r="N40" s="19">
        <f t="shared" si="1"/>
        <v>0</v>
      </c>
      <c r="O40" s="11"/>
      <c r="P40" s="2">
        <f>--971.35</f>
        <v>971.35</v>
      </c>
      <c r="Q40" s="2"/>
      <c r="R40" s="19"/>
      <c r="S40" s="2"/>
      <c r="T40" s="2"/>
      <c r="U40" s="2"/>
      <c r="V40" s="19"/>
      <c r="W40" s="2"/>
      <c r="X40" s="2">
        <f t="shared" si="2"/>
        <v>971.35</v>
      </c>
      <c r="Y40" s="2"/>
      <c r="Z40" s="19">
        <f t="shared" si="3"/>
        <v>0</v>
      </c>
    </row>
    <row r="41" spans="1:26" s="24" customFormat="1" hidden="1" outlineLevel="1" x14ac:dyDescent="0.25">
      <c r="A41" s="46"/>
      <c r="B41" s="11" t="str">
        <f>CONCATENATE("          ", "4081", " - ", "TAXABLE SALES-ELECTRONICS")</f>
        <v xml:space="preserve">          4081 - TAXABLE SALES-ELECTRONICS</v>
      </c>
      <c r="C41" s="11"/>
      <c r="D41" s="2">
        <f>--650.56</f>
        <v>650.55999999999995</v>
      </c>
      <c r="E41" s="2"/>
      <c r="F41" s="19"/>
      <c r="G41" s="2"/>
      <c r="H41" s="2"/>
      <c r="I41" s="2"/>
      <c r="J41" s="19"/>
      <c r="K41" s="2"/>
      <c r="L41" s="2">
        <f t="shared" si="0"/>
        <v>650.55999999999995</v>
      </c>
      <c r="M41" s="2"/>
      <c r="N41" s="19">
        <f t="shared" si="1"/>
        <v>0</v>
      </c>
      <c r="O41" s="11"/>
      <c r="P41" s="2">
        <f>--919.42</f>
        <v>919.42</v>
      </c>
      <c r="Q41" s="2"/>
      <c r="R41" s="19"/>
      <c r="S41" s="2"/>
      <c r="T41" s="2"/>
      <c r="U41" s="2"/>
      <c r="V41" s="19"/>
      <c r="W41" s="2"/>
      <c r="X41" s="2">
        <f t="shared" si="2"/>
        <v>919.42</v>
      </c>
      <c r="Y41" s="2"/>
      <c r="Z41" s="19">
        <f t="shared" si="3"/>
        <v>0</v>
      </c>
    </row>
    <row r="42" spans="1:26" s="24" customFormat="1" hidden="1" outlineLevel="1" x14ac:dyDescent="0.25">
      <c r="A42" s="46"/>
      <c r="B42" s="11" t="str">
        <f>CONCATENATE("          ", "4082", " - ", "TAXABLE SALES-COMPUTER HARDWAR")</f>
        <v xml:space="preserve">          4082 - TAXABLE SALES-COMPUTER HARDWAR</v>
      </c>
      <c r="C42" s="11"/>
      <c r="D42" s="2">
        <f>--124</f>
        <v>124</v>
      </c>
      <c r="E42" s="2"/>
      <c r="F42" s="19"/>
      <c r="G42" s="2"/>
      <c r="H42" s="2"/>
      <c r="I42" s="2"/>
      <c r="J42" s="19"/>
      <c r="K42" s="2"/>
      <c r="L42" s="2">
        <f t="shared" si="0"/>
        <v>124</v>
      </c>
      <c r="M42" s="2"/>
      <c r="N42" s="19">
        <f t="shared" si="1"/>
        <v>0</v>
      </c>
      <c r="O42" s="11"/>
      <c r="P42" s="2">
        <f>--162</f>
        <v>162</v>
      </c>
      <c r="Q42" s="2"/>
      <c r="R42" s="19"/>
      <c r="S42" s="2"/>
      <c r="T42" s="2"/>
      <c r="U42" s="2"/>
      <c r="V42" s="19"/>
      <c r="W42" s="2"/>
      <c r="X42" s="2">
        <f t="shared" si="2"/>
        <v>162</v>
      </c>
      <c r="Y42" s="2"/>
      <c r="Z42" s="19">
        <f t="shared" si="3"/>
        <v>0</v>
      </c>
    </row>
    <row r="43" spans="1:26" s="24" customFormat="1" hidden="1" outlineLevel="1" x14ac:dyDescent="0.25">
      <c r="A43" s="46"/>
      <c r="B43" s="11" t="str">
        <f>CONCATENATE("          ", "4083", " - ", "TAXABLE SALES-COMPUTER EQUIPME")</f>
        <v xml:space="preserve">          4083 - TAXABLE SALES-COMPUTER EQUIPME</v>
      </c>
      <c r="C43" s="11"/>
      <c r="D43" s="2">
        <f>--269.82</f>
        <v>269.82</v>
      </c>
      <c r="E43" s="2"/>
      <c r="F43" s="19"/>
      <c r="G43" s="2"/>
      <c r="H43" s="2"/>
      <c r="I43" s="2"/>
      <c r="J43" s="19"/>
      <c r="K43" s="2"/>
      <c r="L43" s="2">
        <f t="shared" si="0"/>
        <v>269.82</v>
      </c>
      <c r="M43" s="2"/>
      <c r="N43" s="19">
        <f t="shared" si="1"/>
        <v>0</v>
      </c>
      <c r="O43" s="11"/>
      <c r="P43" s="2">
        <f>--299.8</f>
        <v>299.8</v>
      </c>
      <c r="Q43" s="2"/>
      <c r="R43" s="19"/>
      <c r="S43" s="2"/>
      <c r="T43" s="2"/>
      <c r="U43" s="2"/>
      <c r="V43" s="19"/>
      <c r="W43" s="2"/>
      <c r="X43" s="2">
        <f t="shared" si="2"/>
        <v>299.8</v>
      </c>
      <c r="Y43" s="2"/>
      <c r="Z43" s="19">
        <f t="shared" si="3"/>
        <v>0</v>
      </c>
    </row>
    <row r="44" spans="1:26" s="24" customFormat="1" hidden="1" outlineLevel="1" x14ac:dyDescent="0.25">
      <c r="A44" s="46"/>
      <c r="B44" s="11" t="str">
        <f>CONCATENATE("          ", "4086", " - ", "TAXABLE SALES-COMPUTER SUPPLIE")</f>
        <v xml:space="preserve">          4086 - TAXABLE SALES-COMPUTER SUPPLIE</v>
      </c>
      <c r="C44" s="11"/>
      <c r="D44" s="2">
        <f>--344.87</f>
        <v>344.87</v>
      </c>
      <c r="E44" s="2"/>
      <c r="F44" s="19"/>
      <c r="G44" s="2"/>
      <c r="H44" s="2"/>
      <c r="I44" s="2"/>
      <c r="J44" s="19"/>
      <c r="K44" s="2"/>
      <c r="L44" s="2">
        <f t="shared" si="0"/>
        <v>344.87</v>
      </c>
      <c r="M44" s="2"/>
      <c r="N44" s="19">
        <f t="shared" si="1"/>
        <v>0</v>
      </c>
      <c r="O44" s="11"/>
      <c r="P44" s="2">
        <f>--453.82</f>
        <v>453.82</v>
      </c>
      <c r="Q44" s="2"/>
      <c r="R44" s="19"/>
      <c r="S44" s="2"/>
      <c r="T44" s="2"/>
      <c r="U44" s="2"/>
      <c r="V44" s="19"/>
      <c r="W44" s="2"/>
      <c r="X44" s="2">
        <f t="shared" si="2"/>
        <v>453.82</v>
      </c>
      <c r="Y44" s="2"/>
      <c r="Z44" s="19">
        <f t="shared" si="3"/>
        <v>0</v>
      </c>
    </row>
    <row r="45" spans="1:26" s="24" customFormat="1" hidden="1" outlineLevel="1" x14ac:dyDescent="0.25">
      <c r="A45" s="46"/>
      <c r="B45" s="11" t="str">
        <f>CONCATENATE("          ", "4092", " - ", "TAXABLE SALES-GRAD MERCH")</f>
        <v xml:space="preserve">          4092 - TAXABLE SALES-GRAD MERCH</v>
      </c>
      <c r="C45" s="11"/>
      <c r="D45" s="2">
        <f>--49.9</f>
        <v>49.9</v>
      </c>
      <c r="E45" s="2"/>
      <c r="F45" s="19"/>
      <c r="G45" s="2"/>
      <c r="H45" s="2"/>
      <c r="I45" s="2"/>
      <c r="J45" s="19"/>
      <c r="K45" s="2"/>
      <c r="L45" s="2">
        <f t="shared" si="0"/>
        <v>49.9</v>
      </c>
      <c r="M45" s="2"/>
      <c r="N45" s="19">
        <f t="shared" si="1"/>
        <v>0</v>
      </c>
      <c r="O45" s="11"/>
      <c r="P45" s="2">
        <f>--3872.63</f>
        <v>3872.63</v>
      </c>
      <c r="Q45" s="2"/>
      <c r="R45" s="19"/>
      <c r="S45" s="2"/>
      <c r="T45" s="2"/>
      <c r="U45" s="2"/>
      <c r="V45" s="19"/>
      <c r="W45" s="2"/>
      <c r="X45" s="2">
        <f t="shared" si="2"/>
        <v>3872.63</v>
      </c>
      <c r="Y45" s="2"/>
      <c r="Z45" s="19">
        <f t="shared" si="3"/>
        <v>0</v>
      </c>
    </row>
    <row r="46" spans="1:26" s="24" customFormat="1" hidden="1" outlineLevel="1" x14ac:dyDescent="0.25">
      <c r="A46" s="46"/>
      <c r="B46" s="11" t="str">
        <f>CONCATENATE("          ", "4095", " - ", "TAXABLE SALES-CUSTOMER SERVICE")</f>
        <v xml:space="preserve">          4095 - TAXABLE SALES-CUSTOMER SERVICE</v>
      </c>
      <c r="C46" s="11"/>
      <c r="D46" s="2">
        <f>--26.83</f>
        <v>26.83</v>
      </c>
      <c r="E46" s="2"/>
      <c r="F46" s="19"/>
      <c r="G46" s="2"/>
      <c r="H46" s="2"/>
      <c r="I46" s="2"/>
      <c r="J46" s="19"/>
      <c r="K46" s="2"/>
      <c r="L46" s="2">
        <f t="shared" si="0"/>
        <v>26.83</v>
      </c>
      <c r="M46" s="2"/>
      <c r="N46" s="19">
        <f t="shared" si="1"/>
        <v>0</v>
      </c>
      <c r="O46" s="11"/>
      <c r="P46" s="2">
        <f>--200.85</f>
        <v>200.85</v>
      </c>
      <c r="Q46" s="2"/>
      <c r="R46" s="19"/>
      <c r="S46" s="2"/>
      <c r="T46" s="2"/>
      <c r="U46" s="2"/>
      <c r="V46" s="19"/>
      <c r="W46" s="2"/>
      <c r="X46" s="2">
        <f t="shared" si="2"/>
        <v>200.85</v>
      </c>
      <c r="Y46" s="2"/>
      <c r="Z46" s="19">
        <f t="shared" si="3"/>
        <v>0</v>
      </c>
    </row>
    <row r="47" spans="1:26" s="24" customFormat="1" hidden="1" outlineLevel="1" x14ac:dyDescent="0.25">
      <c r="A47" s="46"/>
      <c r="B47" s="11" t="str">
        <f>CONCATENATE("          ", "4100", " - ", "NON-TAXABLE SALES")</f>
        <v xml:space="preserve">          4100 - NON-TAXABLE SALES</v>
      </c>
      <c r="C47" s="11"/>
      <c r="D47" s="2">
        <f>--66153.34</f>
        <v>66153.34</v>
      </c>
      <c r="E47" s="2"/>
      <c r="F47" s="19"/>
      <c r="G47" s="2"/>
      <c r="H47" s="2">
        <v>640511</v>
      </c>
      <c r="I47" s="2"/>
      <c r="J47" s="19"/>
      <c r="K47" s="2"/>
      <c r="L47" s="2">
        <f t="shared" si="0"/>
        <v>-574357.66</v>
      </c>
      <c r="M47" s="2"/>
      <c r="N47" s="19">
        <f t="shared" si="1"/>
        <v>-0.89671787057521268</v>
      </c>
      <c r="O47" s="11"/>
      <c r="P47" s="2">
        <f>--331667.77</f>
        <v>331667.77</v>
      </c>
      <c r="Q47" s="2"/>
      <c r="R47" s="19"/>
      <c r="S47" s="2"/>
      <c r="T47" s="2">
        <v>3125725</v>
      </c>
      <c r="U47" s="2"/>
      <c r="V47" s="19"/>
      <c r="W47" s="2"/>
      <c r="X47" s="2">
        <f t="shared" si="2"/>
        <v>-2794057.23</v>
      </c>
      <c r="Y47" s="2"/>
      <c r="Z47" s="19">
        <f t="shared" si="3"/>
        <v>-0.89389093090403027</v>
      </c>
    </row>
    <row r="48" spans="1:26" s="24" customFormat="1" hidden="1" outlineLevel="1" x14ac:dyDescent="0.25">
      <c r="A48" s="46"/>
      <c r="B48" s="11" t="str">
        <f>CONCATENATE("          ", "4101", " - ", "NON-TAXABLE SALES-NEW TEXT")</f>
        <v xml:space="preserve">          4101 - NON-TAXABLE SALES-NEW TEXT</v>
      </c>
      <c r="C48" s="11"/>
      <c r="D48" s="2">
        <f>--27999.53</f>
        <v>27999.53</v>
      </c>
      <c r="E48" s="2"/>
      <c r="F48" s="19"/>
      <c r="G48" s="2"/>
      <c r="H48" s="2"/>
      <c r="I48" s="2"/>
      <c r="J48" s="19"/>
      <c r="K48" s="2"/>
      <c r="L48" s="2">
        <f t="shared" si="0"/>
        <v>27999.53</v>
      </c>
      <c r="M48" s="2"/>
      <c r="N48" s="19">
        <f t="shared" si="1"/>
        <v>0</v>
      </c>
      <c r="O48" s="11"/>
      <c r="P48" s="2">
        <f>--83892.55</f>
        <v>83892.55</v>
      </c>
      <c r="Q48" s="2"/>
      <c r="R48" s="19"/>
      <c r="S48" s="2"/>
      <c r="T48" s="2"/>
      <c r="U48" s="2"/>
      <c r="V48" s="19"/>
      <c r="W48" s="2"/>
      <c r="X48" s="2">
        <f t="shared" si="2"/>
        <v>83892.55</v>
      </c>
      <c r="Y48" s="2"/>
      <c r="Z48" s="19">
        <f t="shared" si="3"/>
        <v>0</v>
      </c>
    </row>
    <row r="49" spans="1:26" s="24" customFormat="1" hidden="1" outlineLevel="1" x14ac:dyDescent="0.25">
      <c r="A49" s="46"/>
      <c r="B49" s="11" t="str">
        <f>CONCATENATE("          ", "4102", " - ", "NON-TAXABLE SALES-USED TEXT")</f>
        <v xml:space="preserve">          4102 - NON-TAXABLE SALES-USED TEXT</v>
      </c>
      <c r="C49" s="11"/>
      <c r="D49" s="2">
        <f>--3969.18</f>
        <v>3969.18</v>
      </c>
      <c r="E49" s="2"/>
      <c r="F49" s="19"/>
      <c r="G49" s="2"/>
      <c r="H49" s="2"/>
      <c r="I49" s="2"/>
      <c r="J49" s="19"/>
      <c r="K49" s="2"/>
      <c r="L49" s="2">
        <f t="shared" si="0"/>
        <v>3969.18</v>
      </c>
      <c r="M49" s="2"/>
      <c r="N49" s="19">
        <f t="shared" si="1"/>
        <v>0</v>
      </c>
      <c r="O49" s="11"/>
      <c r="P49" s="2">
        <f>--36443.51</f>
        <v>36443.51</v>
      </c>
      <c r="Q49" s="2"/>
      <c r="R49" s="19"/>
      <c r="S49" s="2"/>
      <c r="T49" s="2"/>
      <c r="U49" s="2"/>
      <c r="V49" s="19"/>
      <c r="W49" s="2"/>
      <c r="X49" s="2">
        <f t="shared" si="2"/>
        <v>36443.51</v>
      </c>
      <c r="Y49" s="2"/>
      <c r="Z49" s="19">
        <f t="shared" si="3"/>
        <v>0</v>
      </c>
    </row>
    <row r="50" spans="1:26" s="24" customFormat="1" hidden="1" outlineLevel="1" x14ac:dyDescent="0.25">
      <c r="A50" s="46"/>
      <c r="B50" s="11" t="str">
        <f>CONCATENATE("          ", "4103", " - ", "NON-TAXABLE SALES-RENTAL TEXT")</f>
        <v xml:space="preserve">          4103 - NON-TAXABLE SALES-RENTAL TEXT</v>
      </c>
      <c r="C50" s="11"/>
      <c r="D50" s="2">
        <f>-144.99</f>
        <v>-144.99</v>
      </c>
      <c r="E50" s="2"/>
      <c r="F50" s="19"/>
      <c r="G50" s="2"/>
      <c r="H50" s="2"/>
      <c r="I50" s="2"/>
      <c r="J50" s="19"/>
      <c r="K50" s="2"/>
      <c r="L50" s="2">
        <f t="shared" si="0"/>
        <v>-144.99</v>
      </c>
      <c r="M50" s="2"/>
      <c r="N50" s="19">
        <f t="shared" si="1"/>
        <v>0</v>
      </c>
      <c r="O50" s="11"/>
      <c r="P50" s="2">
        <f>--329.98</f>
        <v>329.98</v>
      </c>
      <c r="Q50" s="2"/>
      <c r="R50" s="19"/>
      <c r="S50" s="2"/>
      <c r="T50" s="2"/>
      <c r="U50" s="2"/>
      <c r="V50" s="19"/>
      <c r="W50" s="2"/>
      <c r="X50" s="2">
        <f t="shared" si="2"/>
        <v>329.98</v>
      </c>
      <c r="Y50" s="2"/>
      <c r="Z50" s="19">
        <f t="shared" si="3"/>
        <v>0</v>
      </c>
    </row>
    <row r="51" spans="1:26" s="24" customFormat="1" hidden="1" outlineLevel="1" x14ac:dyDescent="0.25">
      <c r="A51" s="46"/>
      <c r="B51" s="11" t="str">
        <f>CONCATENATE("          ", "4104", " - ", "NON-TAXABLE SALES-DIGITAL TEXT")</f>
        <v xml:space="preserve">          4104 - NON-TAXABLE SALES-DIGITAL TEXT</v>
      </c>
      <c r="C51" s="11"/>
      <c r="D51" s="2">
        <f>--59065.75</f>
        <v>59065.75</v>
      </c>
      <c r="E51" s="2"/>
      <c r="F51" s="19"/>
      <c r="G51" s="2"/>
      <c r="H51" s="2"/>
      <c r="I51" s="2"/>
      <c r="J51" s="19"/>
      <c r="K51" s="2"/>
      <c r="L51" s="2">
        <f t="shared" si="0"/>
        <v>59065.75</v>
      </c>
      <c r="M51" s="2"/>
      <c r="N51" s="19">
        <f t="shared" si="1"/>
        <v>0</v>
      </c>
      <c r="O51" s="11"/>
      <c r="P51" s="2">
        <f>--318933.82</f>
        <v>318933.82</v>
      </c>
      <c r="Q51" s="2"/>
      <c r="R51" s="19"/>
      <c r="S51" s="2"/>
      <c r="T51" s="2"/>
      <c r="U51" s="2"/>
      <c r="V51" s="19"/>
      <c r="W51" s="2"/>
      <c r="X51" s="2">
        <f t="shared" si="2"/>
        <v>318933.82</v>
      </c>
      <c r="Y51" s="2"/>
      <c r="Z51" s="19">
        <f t="shared" si="3"/>
        <v>0</v>
      </c>
    </row>
    <row r="52" spans="1:26" s="24" customFormat="1" hidden="1" outlineLevel="1" x14ac:dyDescent="0.25">
      <c r="A52" s="46"/>
      <c r="B52" s="11" t="str">
        <f>CONCATENATE("          ", "4111", " - ", "NON-TAXABLE SALES-NO VALUE TEX")</f>
        <v xml:space="preserve">          4111 - NON-TAXABLE SALES-NO VALUE TEX</v>
      </c>
      <c r="C52" s="11"/>
      <c r="D52" s="2">
        <f>--594.06</f>
        <v>594.05999999999995</v>
      </c>
      <c r="E52" s="2"/>
      <c r="F52" s="19"/>
      <c r="G52" s="2"/>
      <c r="H52" s="2"/>
      <c r="I52" s="2"/>
      <c r="J52" s="19"/>
      <c r="K52" s="2"/>
      <c r="L52" s="2">
        <f t="shared" si="0"/>
        <v>594.05999999999995</v>
      </c>
      <c r="M52" s="2"/>
      <c r="N52" s="19">
        <f t="shared" si="1"/>
        <v>0</v>
      </c>
      <c r="O52" s="11"/>
      <c r="P52" s="2">
        <f>--6342.17</f>
        <v>6342.17</v>
      </c>
      <c r="Q52" s="2"/>
      <c r="R52" s="19"/>
      <c r="S52" s="2"/>
      <c r="T52" s="2"/>
      <c r="U52" s="2"/>
      <c r="V52" s="19"/>
      <c r="W52" s="2"/>
      <c r="X52" s="2">
        <f t="shared" si="2"/>
        <v>6342.17</v>
      </c>
      <c r="Y52" s="2"/>
      <c r="Z52" s="19">
        <f t="shared" si="3"/>
        <v>0</v>
      </c>
    </row>
    <row r="53" spans="1:26" s="24" customFormat="1" hidden="1" outlineLevel="1" x14ac:dyDescent="0.25">
      <c r="A53" s="46"/>
      <c r="B53" s="11" t="str">
        <f>CONCATENATE("          ", "4113", " - ", "NON-TAXABLE SALES-TRADE BOOKS")</f>
        <v xml:space="preserve">          4113 - NON-TAXABLE SALES-TRADE BOOKS</v>
      </c>
      <c r="C53" s="11"/>
      <c r="D53" s="2">
        <f>0</f>
        <v>0</v>
      </c>
      <c r="E53" s="2"/>
      <c r="F53" s="19"/>
      <c r="G53" s="2"/>
      <c r="H53" s="2"/>
      <c r="I53" s="2"/>
      <c r="J53" s="19"/>
      <c r="K53" s="2"/>
      <c r="L53" s="2">
        <f t="shared" si="0"/>
        <v>0</v>
      </c>
      <c r="M53" s="2"/>
      <c r="N53" s="19">
        <f t="shared" si="1"/>
        <v>0</v>
      </c>
      <c r="O53" s="11"/>
      <c r="P53" s="2">
        <f>--1146.72</f>
        <v>1146.72</v>
      </c>
      <c r="Q53" s="2"/>
      <c r="R53" s="19"/>
      <c r="S53" s="2"/>
      <c r="T53" s="2"/>
      <c r="U53" s="2"/>
      <c r="V53" s="19"/>
      <c r="W53" s="2"/>
      <c r="X53" s="2">
        <f t="shared" si="2"/>
        <v>1146.72</v>
      </c>
      <c r="Y53" s="2"/>
      <c r="Z53" s="19">
        <f t="shared" si="3"/>
        <v>0</v>
      </c>
    </row>
    <row r="54" spans="1:26" s="24" customFormat="1" hidden="1" outlineLevel="1" x14ac:dyDescent="0.25">
      <c r="A54" s="46"/>
      <c r="B54" s="11" t="str">
        <f>CONCATENATE("          ", "4118", " - ", "NON-TAXABLE SALES-STUDY GUIDES")</f>
        <v xml:space="preserve">          4118 - NON-TAXABLE SALES-STUDY GUIDES</v>
      </c>
      <c r="C54" s="11"/>
      <c r="D54" s="2">
        <f>--6.95</f>
        <v>6.95</v>
      </c>
      <c r="E54" s="2"/>
      <c r="F54" s="19"/>
      <c r="G54" s="2"/>
      <c r="H54" s="2"/>
      <c r="I54" s="2"/>
      <c r="J54" s="19"/>
      <c r="K54" s="2"/>
      <c r="L54" s="2">
        <f t="shared" si="0"/>
        <v>6.95</v>
      </c>
      <c r="M54" s="2"/>
      <c r="N54" s="19">
        <f t="shared" si="1"/>
        <v>0</v>
      </c>
      <c r="O54" s="11"/>
      <c r="P54" s="2">
        <f>--20.92</f>
        <v>20.92</v>
      </c>
      <c r="Q54" s="2"/>
      <c r="R54" s="19"/>
      <c r="S54" s="2"/>
      <c r="T54" s="2"/>
      <c r="U54" s="2"/>
      <c r="V54" s="19"/>
      <c r="W54" s="2"/>
      <c r="X54" s="2">
        <f t="shared" si="2"/>
        <v>20.92</v>
      </c>
      <c r="Y54" s="2"/>
      <c r="Z54" s="19">
        <f t="shared" si="3"/>
        <v>0</v>
      </c>
    </row>
    <row r="55" spans="1:26" s="24" customFormat="1" hidden="1" outlineLevel="1" x14ac:dyDescent="0.25">
      <c r="A55" s="46"/>
      <c r="B55" s="11" t="str">
        <f>CONCATENATE("          ", "4125", " - ", "NON-TAXABLE SALES-TEST FORMS")</f>
        <v xml:space="preserve">          4125 - NON-TAXABLE SALES-TEST FORMS</v>
      </c>
      <c r="C55" s="11"/>
      <c r="D55" s="2">
        <f>--42.03</f>
        <v>42.03</v>
      </c>
      <c r="E55" s="2"/>
      <c r="F55" s="19"/>
      <c r="G55" s="2"/>
      <c r="H55" s="2"/>
      <c r="I55" s="2"/>
      <c r="J55" s="19"/>
      <c r="K55" s="2"/>
      <c r="L55" s="2">
        <f t="shared" si="0"/>
        <v>42.03</v>
      </c>
      <c r="M55" s="2"/>
      <c r="N55" s="19">
        <f t="shared" si="1"/>
        <v>0</v>
      </c>
      <c r="O55" s="11"/>
      <c r="P55" s="2">
        <f>--124.18</f>
        <v>124.18</v>
      </c>
      <c r="Q55" s="2"/>
      <c r="R55" s="19"/>
      <c r="S55" s="2"/>
      <c r="T55" s="2"/>
      <c r="U55" s="2"/>
      <c r="V55" s="19"/>
      <c r="W55" s="2"/>
      <c r="X55" s="2">
        <f t="shared" si="2"/>
        <v>124.18</v>
      </c>
      <c r="Y55" s="2"/>
      <c r="Z55" s="19">
        <f t="shared" si="3"/>
        <v>0</v>
      </c>
    </row>
    <row r="56" spans="1:26" s="24" customFormat="1" hidden="1" outlineLevel="1" x14ac:dyDescent="0.25">
      <c r="A56" s="46"/>
      <c r="B56" s="11" t="str">
        <f>CONCATENATE("          ", "4126", " - ", "NON-TAXABLE SALES-WRITING INST")</f>
        <v xml:space="preserve">          4126 - NON-TAXABLE SALES-WRITING INST</v>
      </c>
      <c r="C56" s="11"/>
      <c r="D56" s="2">
        <f>--332.14</f>
        <v>332.14</v>
      </c>
      <c r="E56" s="2"/>
      <c r="F56" s="19"/>
      <c r="G56" s="2"/>
      <c r="H56" s="2"/>
      <c r="I56" s="2"/>
      <c r="J56" s="19"/>
      <c r="K56" s="2"/>
      <c r="L56" s="2">
        <f t="shared" si="0"/>
        <v>332.14</v>
      </c>
      <c r="M56" s="2"/>
      <c r="N56" s="19">
        <f t="shared" si="1"/>
        <v>0</v>
      </c>
      <c r="O56" s="11"/>
      <c r="P56" s="2">
        <f>--1343.26</f>
        <v>1343.26</v>
      </c>
      <c r="Q56" s="2"/>
      <c r="R56" s="19"/>
      <c r="S56" s="2"/>
      <c r="T56" s="2"/>
      <c r="U56" s="2"/>
      <c r="V56" s="19"/>
      <c r="W56" s="2"/>
      <c r="X56" s="2">
        <f t="shared" si="2"/>
        <v>1343.26</v>
      </c>
      <c r="Y56" s="2"/>
      <c r="Z56" s="19">
        <f t="shared" si="3"/>
        <v>0</v>
      </c>
    </row>
    <row r="57" spans="1:26" s="24" customFormat="1" hidden="1" outlineLevel="1" x14ac:dyDescent="0.25">
      <c r="A57" s="46"/>
      <c r="B57" s="11" t="str">
        <f>CONCATENATE("          ", "4127", " - ", "NON-TAXABLE SALES-SCHOOL SUPPL")</f>
        <v xml:space="preserve">          4127 - NON-TAXABLE SALES-SCHOOL SUPPL</v>
      </c>
      <c r="C57" s="11"/>
      <c r="D57" s="2">
        <f>--547.21</f>
        <v>547.21</v>
      </c>
      <c r="E57" s="2"/>
      <c r="F57" s="19"/>
      <c r="G57" s="2"/>
      <c r="H57" s="2"/>
      <c r="I57" s="2"/>
      <c r="J57" s="19"/>
      <c r="K57" s="2"/>
      <c r="L57" s="2">
        <f t="shared" si="0"/>
        <v>547.21</v>
      </c>
      <c r="M57" s="2"/>
      <c r="N57" s="19">
        <f t="shared" si="1"/>
        <v>0</v>
      </c>
      <c r="O57" s="11"/>
      <c r="P57" s="2">
        <f>--2417.49</f>
        <v>2417.4899999999998</v>
      </c>
      <c r="Q57" s="2"/>
      <c r="R57" s="19"/>
      <c r="S57" s="2"/>
      <c r="T57" s="2"/>
      <c r="U57" s="2"/>
      <c r="V57" s="19"/>
      <c r="W57" s="2"/>
      <c r="X57" s="2">
        <f t="shared" si="2"/>
        <v>2417.4899999999998</v>
      </c>
      <c r="Y57" s="2"/>
      <c r="Z57" s="19">
        <f t="shared" si="3"/>
        <v>0</v>
      </c>
    </row>
    <row r="58" spans="1:26" s="24" customFormat="1" hidden="1" outlineLevel="1" x14ac:dyDescent="0.25">
      <c r="A58" s="46"/>
      <c r="B58" s="11" t="str">
        <f>CONCATENATE("          ", "4128", " - ", "NON-TAXABLE SALES-ART/TECH")</f>
        <v xml:space="preserve">          4128 - NON-TAXABLE SALES-ART/TECH</v>
      </c>
      <c r="C58" s="11"/>
      <c r="D58" s="2">
        <f>--132.8</f>
        <v>132.80000000000001</v>
      </c>
      <c r="E58" s="2"/>
      <c r="F58" s="19"/>
      <c r="G58" s="2"/>
      <c r="H58" s="2"/>
      <c r="I58" s="2"/>
      <c r="J58" s="19"/>
      <c r="K58" s="2"/>
      <c r="L58" s="2">
        <f t="shared" si="0"/>
        <v>132.80000000000001</v>
      </c>
      <c r="M58" s="2"/>
      <c r="N58" s="19">
        <f t="shared" si="1"/>
        <v>0</v>
      </c>
      <c r="O58" s="11"/>
      <c r="P58" s="2">
        <f>--262.9</f>
        <v>262.89999999999998</v>
      </c>
      <c r="Q58" s="2"/>
      <c r="R58" s="19"/>
      <c r="S58" s="2"/>
      <c r="T58" s="2"/>
      <c r="U58" s="2"/>
      <c r="V58" s="19"/>
      <c r="W58" s="2"/>
      <c r="X58" s="2">
        <f t="shared" si="2"/>
        <v>262.89999999999998</v>
      </c>
      <c r="Y58" s="2"/>
      <c r="Z58" s="19">
        <f t="shared" si="3"/>
        <v>0</v>
      </c>
    </row>
    <row r="59" spans="1:26" s="24" customFormat="1" hidden="1" outlineLevel="1" x14ac:dyDescent="0.25">
      <c r="A59" s="46"/>
      <c r="B59" s="11" t="str">
        <f>CONCATENATE("          ", "4131", " - ", "NON-TAXABLE SALES-FOOD")</f>
        <v xml:space="preserve">          4131 - NON-TAXABLE SALES-FOOD</v>
      </c>
      <c r="C59" s="11"/>
      <c r="D59" s="2">
        <f>--10548.09</f>
        <v>10548.09</v>
      </c>
      <c r="E59" s="2"/>
      <c r="F59" s="19"/>
      <c r="G59" s="2"/>
      <c r="H59" s="2"/>
      <c r="I59" s="2"/>
      <c r="J59" s="19"/>
      <c r="K59" s="2"/>
      <c r="L59" s="2">
        <f t="shared" si="0"/>
        <v>10548.09</v>
      </c>
      <c r="M59" s="2"/>
      <c r="N59" s="19">
        <f t="shared" si="1"/>
        <v>0</v>
      </c>
      <c r="O59" s="11"/>
      <c r="P59" s="2">
        <f>--13265.29</f>
        <v>13265.29</v>
      </c>
      <c r="Q59" s="2"/>
      <c r="R59" s="19"/>
      <c r="S59" s="2"/>
      <c r="T59" s="2"/>
      <c r="U59" s="2"/>
      <c r="V59" s="19"/>
      <c r="W59" s="2"/>
      <c r="X59" s="2">
        <f t="shared" si="2"/>
        <v>13265.29</v>
      </c>
      <c r="Y59" s="2"/>
      <c r="Z59" s="19">
        <f t="shared" si="3"/>
        <v>0</v>
      </c>
    </row>
    <row r="60" spans="1:26" s="24" customFormat="1" hidden="1" outlineLevel="1" x14ac:dyDescent="0.25">
      <c r="A60" s="46"/>
      <c r="B60" s="11" t="str">
        <f>CONCATENATE("          ", "4132", " - ", "NON-TAXABLE SALES-JUICE")</f>
        <v xml:space="preserve">          4132 - NON-TAXABLE SALES-JUICE</v>
      </c>
      <c r="C60" s="11"/>
      <c r="D60" s="2">
        <f>--3051.46</f>
        <v>3051.46</v>
      </c>
      <c r="E60" s="2"/>
      <c r="F60" s="19"/>
      <c r="G60" s="2"/>
      <c r="H60" s="2"/>
      <c r="I60" s="2"/>
      <c r="J60" s="19"/>
      <c r="K60" s="2"/>
      <c r="L60" s="2">
        <f t="shared" si="0"/>
        <v>3051.46</v>
      </c>
      <c r="M60" s="2"/>
      <c r="N60" s="19">
        <f t="shared" si="1"/>
        <v>0</v>
      </c>
      <c r="O60" s="11"/>
      <c r="P60" s="2">
        <f>--3810.37</f>
        <v>3810.37</v>
      </c>
      <c r="Q60" s="2"/>
      <c r="R60" s="19"/>
      <c r="S60" s="2"/>
      <c r="T60" s="2"/>
      <c r="U60" s="2"/>
      <c r="V60" s="19"/>
      <c r="W60" s="2"/>
      <c r="X60" s="2">
        <f t="shared" si="2"/>
        <v>3810.37</v>
      </c>
      <c r="Y60" s="2"/>
      <c r="Z60" s="19">
        <f t="shared" si="3"/>
        <v>0</v>
      </c>
    </row>
    <row r="61" spans="1:26" s="24" customFormat="1" hidden="1" outlineLevel="1" x14ac:dyDescent="0.25">
      <c r="A61" s="46"/>
      <c r="B61" s="11" t="str">
        <f>CONCATENATE("          ", "4133", " - ", "NON-TAXABLE SALES-CANDY")</f>
        <v xml:space="preserve">          4133 - NON-TAXABLE SALES-CANDY</v>
      </c>
      <c r="C61" s="11"/>
      <c r="D61" s="2">
        <f>--3292.63</f>
        <v>3292.63</v>
      </c>
      <c r="E61" s="2"/>
      <c r="F61" s="19"/>
      <c r="G61" s="2"/>
      <c r="H61" s="2"/>
      <c r="I61" s="2"/>
      <c r="J61" s="19"/>
      <c r="K61" s="2"/>
      <c r="L61" s="2">
        <f t="shared" si="0"/>
        <v>3292.63</v>
      </c>
      <c r="M61" s="2"/>
      <c r="N61" s="19">
        <f t="shared" si="1"/>
        <v>0</v>
      </c>
      <c r="O61" s="11"/>
      <c r="P61" s="2">
        <f>--4664.98</f>
        <v>4664.9799999999996</v>
      </c>
      <c r="Q61" s="2"/>
      <c r="R61" s="19"/>
      <c r="S61" s="2"/>
      <c r="T61" s="2"/>
      <c r="U61" s="2"/>
      <c r="V61" s="19"/>
      <c r="W61" s="2"/>
      <c r="X61" s="2">
        <f t="shared" si="2"/>
        <v>4664.9799999999996</v>
      </c>
      <c r="Y61" s="2"/>
      <c r="Z61" s="19">
        <f t="shared" si="3"/>
        <v>0</v>
      </c>
    </row>
    <row r="62" spans="1:26" s="24" customFormat="1" hidden="1" outlineLevel="1" x14ac:dyDescent="0.25">
      <c r="A62" s="46"/>
      <c r="B62" s="11" t="str">
        <f>CONCATENATE("          ", "4135", " - ", "NON-TAXABLE SALES")</f>
        <v xml:space="preserve">          4135 - NON-TAXABLE SALES</v>
      </c>
      <c r="C62" s="11"/>
      <c r="D62" s="2">
        <f>--32.31</f>
        <v>32.31</v>
      </c>
      <c r="E62" s="2"/>
      <c r="F62" s="19"/>
      <c r="G62" s="2"/>
      <c r="H62" s="2"/>
      <c r="I62" s="2"/>
      <c r="J62" s="19"/>
      <c r="K62" s="2"/>
      <c r="L62" s="2">
        <f t="shared" si="0"/>
        <v>32.31</v>
      </c>
      <c r="M62" s="2"/>
      <c r="N62" s="19">
        <f t="shared" si="1"/>
        <v>0</v>
      </c>
      <c r="O62" s="11"/>
      <c r="P62" s="2">
        <f>--86.06</f>
        <v>86.06</v>
      </c>
      <c r="Q62" s="2"/>
      <c r="R62" s="19"/>
      <c r="S62" s="2"/>
      <c r="T62" s="2"/>
      <c r="U62" s="2"/>
      <c r="V62" s="19"/>
      <c r="W62" s="2"/>
      <c r="X62" s="2">
        <f t="shared" si="2"/>
        <v>86.06</v>
      </c>
      <c r="Y62" s="2"/>
      <c r="Z62" s="19">
        <f t="shared" si="3"/>
        <v>0</v>
      </c>
    </row>
    <row r="63" spans="1:26" s="24" customFormat="1" hidden="1" outlineLevel="1" x14ac:dyDescent="0.25">
      <c r="A63" s="46"/>
      <c r="B63" s="11" t="str">
        <f>CONCATENATE("          ", "4137", " - ", "NON-TAXABLE SALES-WATER")</f>
        <v xml:space="preserve">          4137 - NON-TAXABLE SALES-WATER</v>
      </c>
      <c r="C63" s="11"/>
      <c r="D63" s="2">
        <f>--1634.15</f>
        <v>1634.15</v>
      </c>
      <c r="E63" s="2"/>
      <c r="F63" s="19"/>
      <c r="G63" s="2"/>
      <c r="H63" s="2"/>
      <c r="I63" s="2"/>
      <c r="J63" s="19"/>
      <c r="K63" s="2"/>
      <c r="L63" s="2">
        <f t="shared" si="0"/>
        <v>1634.15</v>
      </c>
      <c r="M63" s="2"/>
      <c r="N63" s="19">
        <f t="shared" si="1"/>
        <v>0</v>
      </c>
      <c r="O63" s="11"/>
      <c r="P63" s="2">
        <f>--2240.87</f>
        <v>2240.87</v>
      </c>
      <c r="Q63" s="2"/>
      <c r="R63" s="19"/>
      <c r="S63" s="2"/>
      <c r="T63" s="2"/>
      <c r="U63" s="2"/>
      <c r="V63" s="19"/>
      <c r="W63" s="2"/>
      <c r="X63" s="2">
        <f t="shared" si="2"/>
        <v>2240.87</v>
      </c>
      <c r="Y63" s="2"/>
      <c r="Z63" s="19">
        <f t="shared" si="3"/>
        <v>0</v>
      </c>
    </row>
    <row r="64" spans="1:26" s="24" customFormat="1" hidden="1" outlineLevel="1" x14ac:dyDescent="0.25">
      <c r="A64" s="46"/>
      <c r="B64" s="11" t="str">
        <f>CONCATENATE("          ", "4140", " - ", "NON-TAXABLE SALES-LOGO CLOTHIN")</f>
        <v xml:space="preserve">          4140 - NON-TAXABLE SALES-LOGO CLOTHIN</v>
      </c>
      <c r="C64" s="11"/>
      <c r="D64" s="2">
        <f>--3114.74</f>
        <v>3114.74</v>
      </c>
      <c r="E64" s="2"/>
      <c r="F64" s="19"/>
      <c r="G64" s="2"/>
      <c r="H64" s="2"/>
      <c r="I64" s="2"/>
      <c r="J64" s="19"/>
      <c r="K64" s="2"/>
      <c r="L64" s="2">
        <f t="shared" si="0"/>
        <v>3114.74</v>
      </c>
      <c r="M64" s="2"/>
      <c r="N64" s="19">
        <f t="shared" si="1"/>
        <v>0</v>
      </c>
      <c r="O64" s="11"/>
      <c r="P64" s="2">
        <f>--8257.7</f>
        <v>8257.7000000000007</v>
      </c>
      <c r="Q64" s="2"/>
      <c r="R64" s="19"/>
      <c r="S64" s="2"/>
      <c r="T64" s="2"/>
      <c r="U64" s="2"/>
      <c r="V64" s="19"/>
      <c r="W64" s="2"/>
      <c r="X64" s="2">
        <f t="shared" si="2"/>
        <v>8257.7000000000007</v>
      </c>
      <c r="Y64" s="2"/>
      <c r="Z64" s="19">
        <f t="shared" si="3"/>
        <v>0</v>
      </c>
    </row>
    <row r="65" spans="1:26" s="24" customFormat="1" hidden="1" outlineLevel="1" x14ac:dyDescent="0.25">
      <c r="A65" s="46"/>
      <c r="B65" s="11" t="str">
        <f>CONCATENATE("          ", "4141", " - ", "NON-TAXABLE SALES-LOGO GIFTS")</f>
        <v xml:space="preserve">          4141 - NON-TAXABLE SALES-LOGO GIFTS</v>
      </c>
      <c r="C65" s="11"/>
      <c r="D65" s="2">
        <f>--120.34</f>
        <v>120.34</v>
      </c>
      <c r="E65" s="2"/>
      <c r="F65" s="19"/>
      <c r="G65" s="2"/>
      <c r="H65" s="2"/>
      <c r="I65" s="2"/>
      <c r="J65" s="19"/>
      <c r="K65" s="2"/>
      <c r="L65" s="2">
        <f t="shared" si="0"/>
        <v>120.34</v>
      </c>
      <c r="M65" s="2"/>
      <c r="N65" s="19">
        <f t="shared" si="1"/>
        <v>0</v>
      </c>
      <c r="O65" s="11"/>
      <c r="P65" s="2">
        <f>--814.64</f>
        <v>814.64</v>
      </c>
      <c r="Q65" s="2"/>
      <c r="R65" s="19"/>
      <c r="S65" s="2"/>
      <c r="T65" s="2"/>
      <c r="U65" s="2"/>
      <c r="V65" s="19"/>
      <c r="W65" s="2"/>
      <c r="X65" s="2">
        <f t="shared" si="2"/>
        <v>814.64</v>
      </c>
      <c r="Y65" s="2"/>
      <c r="Z65" s="19">
        <f t="shared" si="3"/>
        <v>0</v>
      </c>
    </row>
    <row r="66" spans="1:26" s="24" customFormat="1" hidden="1" outlineLevel="1" x14ac:dyDescent="0.25">
      <c r="A66" s="46"/>
      <c r="B66" s="11" t="str">
        <f>CONCATENATE("          ", "4142", " - ", "NON-TAXABLE SALES-EVERYDAY GIF")</f>
        <v xml:space="preserve">          4142 - NON-TAXABLE SALES-EVERYDAY GIF</v>
      </c>
      <c r="C66" s="11"/>
      <c r="D66" s="2">
        <f>--2116.4</f>
        <v>2116.4</v>
      </c>
      <c r="E66" s="2"/>
      <c r="F66" s="19"/>
      <c r="G66" s="2"/>
      <c r="H66" s="2"/>
      <c r="I66" s="2"/>
      <c r="J66" s="19"/>
      <c r="K66" s="2"/>
      <c r="L66" s="2">
        <f t="shared" si="0"/>
        <v>2116.4</v>
      </c>
      <c r="M66" s="2"/>
      <c r="N66" s="19">
        <f t="shared" si="1"/>
        <v>0</v>
      </c>
      <c r="O66" s="11"/>
      <c r="P66" s="2">
        <f>--3036.5</f>
        <v>3036.5</v>
      </c>
      <c r="Q66" s="2"/>
      <c r="R66" s="19"/>
      <c r="S66" s="2"/>
      <c r="T66" s="2"/>
      <c r="U66" s="2"/>
      <c r="V66" s="19"/>
      <c r="W66" s="2"/>
      <c r="X66" s="2">
        <f t="shared" si="2"/>
        <v>3036.5</v>
      </c>
      <c r="Y66" s="2"/>
      <c r="Z66" s="19">
        <f t="shared" si="3"/>
        <v>0</v>
      </c>
    </row>
    <row r="67" spans="1:26" s="24" customFormat="1" hidden="1" outlineLevel="1" x14ac:dyDescent="0.25">
      <c r="A67" s="46"/>
      <c r="B67" s="11" t="str">
        <f>CONCATENATE("          ", "4144", " - ", "NON-TAXABLE SALES-ACCESSORIES")</f>
        <v xml:space="preserve">          4144 - NON-TAXABLE SALES-ACCESSORIES</v>
      </c>
      <c r="C67" s="11"/>
      <c r="D67" s="2">
        <f t="shared" ref="D67:D68" si="4">0</f>
        <v>0</v>
      </c>
      <c r="E67" s="2"/>
      <c r="F67" s="19"/>
      <c r="G67" s="2"/>
      <c r="H67" s="2"/>
      <c r="I67" s="2"/>
      <c r="J67" s="19"/>
      <c r="K67" s="2"/>
      <c r="L67" s="2">
        <f t="shared" si="0"/>
        <v>0</v>
      </c>
      <c r="M67" s="2"/>
      <c r="N67" s="19">
        <f t="shared" si="1"/>
        <v>0</v>
      </c>
      <c r="O67" s="11"/>
      <c r="P67" s="2">
        <f>--139.76</f>
        <v>139.76</v>
      </c>
      <c r="Q67" s="2"/>
      <c r="R67" s="19"/>
      <c r="S67" s="2"/>
      <c r="T67" s="2"/>
      <c r="U67" s="2"/>
      <c r="V67" s="19"/>
      <c r="W67" s="2"/>
      <c r="X67" s="2">
        <f t="shared" si="2"/>
        <v>139.76</v>
      </c>
      <c r="Y67" s="2"/>
      <c r="Z67" s="19">
        <f t="shared" si="3"/>
        <v>0</v>
      </c>
    </row>
    <row r="68" spans="1:26" s="24" customFormat="1" hidden="1" outlineLevel="1" x14ac:dyDescent="0.25">
      <c r="A68" s="46"/>
      <c r="B68" s="11" t="str">
        <f>CONCATENATE("          ", "4145", " - ", "NON-TAXABLE SALES-SPECIAL ORDE")</f>
        <v xml:space="preserve">          4145 - NON-TAXABLE SALES-SPECIAL ORDE</v>
      </c>
      <c r="C68" s="11"/>
      <c r="D68" s="2">
        <f t="shared" si="4"/>
        <v>0</v>
      </c>
      <c r="E68" s="2"/>
      <c r="F68" s="19"/>
      <c r="G68" s="2"/>
      <c r="H68" s="2"/>
      <c r="I68" s="2"/>
      <c r="J68" s="19"/>
      <c r="K68" s="2"/>
      <c r="L68" s="2">
        <f t="shared" si="0"/>
        <v>0</v>
      </c>
      <c r="M68" s="2"/>
      <c r="N68" s="19">
        <f t="shared" si="1"/>
        <v>0</v>
      </c>
      <c r="O68" s="11"/>
      <c r="P68" s="2">
        <f>--90</f>
        <v>90</v>
      </c>
      <c r="Q68" s="2"/>
      <c r="R68" s="19"/>
      <c r="S68" s="2"/>
      <c r="T68" s="2"/>
      <c r="U68" s="2"/>
      <c r="V68" s="19"/>
      <c r="W68" s="2"/>
      <c r="X68" s="2">
        <f t="shared" si="2"/>
        <v>90</v>
      </c>
      <c r="Y68" s="2"/>
      <c r="Z68" s="19">
        <f t="shared" si="3"/>
        <v>0</v>
      </c>
    </row>
    <row r="69" spans="1:26" s="24" customFormat="1" hidden="1" outlineLevel="1" x14ac:dyDescent="0.25">
      <c r="A69" s="46"/>
      <c r="B69" s="11" t="str">
        <f>CONCATENATE("          ", "4146", " - ", "NON-TAXABLE SALES-COIN OP MACH")</f>
        <v xml:space="preserve">          4146 - NON-TAXABLE SALES-COIN OP MACH</v>
      </c>
      <c r="C69" s="11"/>
      <c r="D69" s="2">
        <f>--34744.75</f>
        <v>34744.75</v>
      </c>
      <c r="E69" s="2"/>
      <c r="F69" s="19"/>
      <c r="G69" s="2"/>
      <c r="H69" s="2"/>
      <c r="I69" s="2"/>
      <c r="J69" s="19"/>
      <c r="K69" s="2"/>
      <c r="L69" s="2">
        <f t="shared" si="0"/>
        <v>34744.75</v>
      </c>
      <c r="M69" s="2"/>
      <c r="N69" s="19">
        <f t="shared" si="1"/>
        <v>0</v>
      </c>
      <c r="O69" s="11"/>
      <c r="P69" s="2">
        <f>--50093.5</f>
        <v>50093.5</v>
      </c>
      <c r="Q69" s="2"/>
      <c r="R69" s="19"/>
      <c r="S69" s="2"/>
      <c r="T69" s="2"/>
      <c r="U69" s="2"/>
      <c r="V69" s="19"/>
      <c r="W69" s="2"/>
      <c r="X69" s="2">
        <f t="shared" si="2"/>
        <v>50093.5</v>
      </c>
      <c r="Y69" s="2"/>
      <c r="Z69" s="19">
        <f t="shared" si="3"/>
        <v>0</v>
      </c>
    </row>
    <row r="70" spans="1:26" s="24" customFormat="1" hidden="1" outlineLevel="1" x14ac:dyDescent="0.25">
      <c r="A70" s="46"/>
      <c r="B70" s="11" t="str">
        <f>CONCATENATE("          ", "4147", " - ", "NON-TAXABLE SALES-MISC")</f>
        <v xml:space="preserve">          4147 - NON-TAXABLE SALES-MISC</v>
      </c>
      <c r="C70" s="11"/>
      <c r="D70" s="2">
        <f>--344.5</f>
        <v>344.5</v>
      </c>
      <c r="E70" s="2"/>
      <c r="F70" s="19"/>
      <c r="G70" s="2"/>
      <c r="H70" s="2"/>
      <c r="I70" s="2"/>
      <c r="J70" s="19"/>
      <c r="K70" s="2"/>
      <c r="L70" s="2">
        <f t="shared" si="0"/>
        <v>344.5</v>
      </c>
      <c r="M70" s="2"/>
      <c r="N70" s="19">
        <f t="shared" si="1"/>
        <v>0</v>
      </c>
      <c r="O70" s="11"/>
      <c r="P70" s="2">
        <f>--414.9</f>
        <v>414.9</v>
      </c>
      <c r="Q70" s="2"/>
      <c r="R70" s="19"/>
      <c r="S70" s="2"/>
      <c r="T70" s="2"/>
      <c r="U70" s="2"/>
      <c r="V70" s="19"/>
      <c r="W70" s="2"/>
      <c r="X70" s="2">
        <f t="shared" si="2"/>
        <v>414.9</v>
      </c>
      <c r="Y70" s="2"/>
      <c r="Z70" s="19">
        <f t="shared" si="3"/>
        <v>0</v>
      </c>
    </row>
    <row r="71" spans="1:26" s="24" customFormat="1" hidden="1" outlineLevel="1" x14ac:dyDescent="0.25">
      <c r="A71" s="46"/>
      <c r="B71" s="11" t="str">
        <f>CONCATENATE("          ", "4186", " - ", "NON-TAXABLE SALES-COMPUTER SUP")</f>
        <v xml:space="preserve">          4186 - NON-TAXABLE SALES-COMPUTER SUP</v>
      </c>
      <c r="C71" s="11"/>
      <c r="D71" s="2">
        <f>-34.98</f>
        <v>-34.979999999999997</v>
      </c>
      <c r="E71" s="2"/>
      <c r="F71" s="19"/>
      <c r="G71" s="2"/>
      <c r="H71" s="2"/>
      <c r="I71" s="2"/>
      <c r="J71" s="19"/>
      <c r="K71" s="2"/>
      <c r="L71" s="2">
        <f t="shared" si="0"/>
        <v>-34.979999999999997</v>
      </c>
      <c r="M71" s="2"/>
      <c r="N71" s="19">
        <f t="shared" si="1"/>
        <v>0</v>
      </c>
      <c r="O71" s="11"/>
      <c r="P71" s="2">
        <f>-34.98</f>
        <v>-34.979999999999997</v>
      </c>
      <c r="Q71" s="2"/>
      <c r="R71" s="19"/>
      <c r="S71" s="2"/>
      <c r="T71" s="2"/>
      <c r="U71" s="2"/>
      <c r="V71" s="19"/>
      <c r="W71" s="2"/>
      <c r="X71" s="2">
        <f t="shared" si="2"/>
        <v>-34.979999999999997</v>
      </c>
      <c r="Y71" s="2"/>
      <c r="Z71" s="19">
        <f t="shared" si="3"/>
        <v>0</v>
      </c>
    </row>
    <row r="72" spans="1:26" s="24" customFormat="1" hidden="1" outlineLevel="1" x14ac:dyDescent="0.25">
      <c r="A72" s="46"/>
      <c r="B72" s="11" t="str">
        <f>CONCATENATE("          ", "4201", " - ", "SALES RETURN TAXABLE-NEW TEXT")</f>
        <v xml:space="preserve">          4201 - SALES RETURN TAXABLE-NEW TEXT</v>
      </c>
      <c r="C72" s="11"/>
      <c r="D72" s="2">
        <f>-14069.34</f>
        <v>-14069.34</v>
      </c>
      <c r="E72" s="2"/>
      <c r="F72" s="19"/>
      <c r="G72" s="2"/>
      <c r="H72" s="2"/>
      <c r="I72" s="2"/>
      <c r="J72" s="19"/>
      <c r="K72" s="2"/>
      <c r="L72" s="2">
        <f t="shared" si="0"/>
        <v>-14069.34</v>
      </c>
      <c r="M72" s="2"/>
      <c r="N72" s="19">
        <f t="shared" si="1"/>
        <v>0</v>
      </c>
      <c r="O72" s="11"/>
      <c r="P72" s="2">
        <f>-73239.75</f>
        <v>-73239.75</v>
      </c>
      <c r="Q72" s="2"/>
      <c r="R72" s="19"/>
      <c r="S72" s="2"/>
      <c r="T72" s="2"/>
      <c r="U72" s="2"/>
      <c r="V72" s="19"/>
      <c r="W72" s="2"/>
      <c r="X72" s="2">
        <f t="shared" si="2"/>
        <v>-73239.75</v>
      </c>
      <c r="Y72" s="2"/>
      <c r="Z72" s="19">
        <f t="shared" si="3"/>
        <v>0</v>
      </c>
    </row>
    <row r="73" spans="1:26" s="24" customFormat="1" hidden="1" outlineLevel="1" x14ac:dyDescent="0.25">
      <c r="A73" s="46"/>
      <c r="B73" s="11" t="str">
        <f>CONCATENATE("          ", "4202", " - ", "SALES RETURN TAXABLE-USED TEXT")</f>
        <v xml:space="preserve">          4202 - SALES RETURN TAXABLE-USED TEXT</v>
      </c>
      <c r="C73" s="11"/>
      <c r="D73" s="2">
        <f>-2096.65</f>
        <v>-2096.65</v>
      </c>
      <c r="E73" s="2"/>
      <c r="F73" s="19"/>
      <c r="G73" s="2"/>
      <c r="H73" s="2"/>
      <c r="I73" s="2"/>
      <c r="J73" s="19"/>
      <c r="K73" s="2"/>
      <c r="L73" s="2">
        <f t="shared" si="0"/>
        <v>-2096.65</v>
      </c>
      <c r="M73" s="2"/>
      <c r="N73" s="19">
        <f t="shared" si="1"/>
        <v>0</v>
      </c>
      <c r="O73" s="11"/>
      <c r="P73" s="2">
        <f>-23351.1</f>
        <v>-23351.1</v>
      </c>
      <c r="Q73" s="2"/>
      <c r="R73" s="19"/>
      <c r="S73" s="2"/>
      <c r="T73" s="2"/>
      <c r="U73" s="2"/>
      <c r="V73" s="19"/>
      <c r="W73" s="2"/>
      <c r="X73" s="2">
        <f t="shared" si="2"/>
        <v>-23351.1</v>
      </c>
      <c r="Y73" s="2"/>
      <c r="Z73" s="19">
        <f t="shared" si="3"/>
        <v>0</v>
      </c>
    </row>
    <row r="74" spans="1:26" s="24" customFormat="1" hidden="1" outlineLevel="1" x14ac:dyDescent="0.25">
      <c r="A74" s="46"/>
      <c r="B74" s="11" t="str">
        <f>CONCATENATE("          ", "4203", " - ", "SALES RETURN TAXABLE-RENTAL TE")</f>
        <v xml:space="preserve">          4203 - SALES RETURN TAXABLE-RENTAL TE</v>
      </c>
      <c r="C74" s="11"/>
      <c r="D74" s="2">
        <f>-144.99</f>
        <v>-144.99</v>
      </c>
      <c r="E74" s="2"/>
      <c r="F74" s="19"/>
      <c r="G74" s="2"/>
      <c r="H74" s="2"/>
      <c r="I74" s="2"/>
      <c r="J74" s="19"/>
      <c r="K74" s="2"/>
      <c r="L74" s="2">
        <f t="shared" si="0"/>
        <v>-144.99</v>
      </c>
      <c r="M74" s="2"/>
      <c r="N74" s="19">
        <f t="shared" si="1"/>
        <v>0</v>
      </c>
      <c r="O74" s="11"/>
      <c r="P74" s="2">
        <f>-144.99</f>
        <v>-144.99</v>
      </c>
      <c r="Q74" s="2"/>
      <c r="R74" s="19"/>
      <c r="S74" s="2"/>
      <c r="T74" s="2"/>
      <c r="U74" s="2"/>
      <c r="V74" s="19"/>
      <c r="W74" s="2"/>
      <c r="X74" s="2">
        <f t="shared" si="2"/>
        <v>-144.99</v>
      </c>
      <c r="Y74" s="2"/>
      <c r="Z74" s="19">
        <f t="shared" si="3"/>
        <v>0</v>
      </c>
    </row>
    <row r="75" spans="1:26" s="24" customFormat="1" hidden="1" outlineLevel="1" x14ac:dyDescent="0.25">
      <c r="A75" s="46"/>
      <c r="B75" s="11" t="str">
        <f>CONCATENATE("          ", "4204", " - ", "SALES RETURN TAXABLE-DIGITAL T")</f>
        <v xml:space="preserve">          4204 - SALES RETURN TAXABLE-DIGITAL T</v>
      </c>
      <c r="C75" s="11"/>
      <c r="D75" s="2">
        <f>-4208.35</f>
        <v>-4208.3500000000004</v>
      </c>
      <c r="E75" s="2"/>
      <c r="F75" s="19"/>
      <c r="G75" s="2"/>
      <c r="H75" s="2"/>
      <c r="I75" s="2"/>
      <c r="J75" s="19"/>
      <c r="K75" s="2"/>
      <c r="L75" s="2">
        <f t="shared" si="0"/>
        <v>-4208.3500000000004</v>
      </c>
      <c r="M75" s="2"/>
      <c r="N75" s="19">
        <f t="shared" si="1"/>
        <v>0</v>
      </c>
      <c r="O75" s="11"/>
      <c r="P75" s="2">
        <f>-11056.72</f>
        <v>-11056.72</v>
      </c>
      <c r="Q75" s="2"/>
      <c r="R75" s="19"/>
      <c r="S75" s="2"/>
      <c r="T75" s="2"/>
      <c r="U75" s="2"/>
      <c r="V75" s="19"/>
      <c r="W75" s="2"/>
      <c r="X75" s="2">
        <f t="shared" si="2"/>
        <v>-11056.72</v>
      </c>
      <c r="Y75" s="2"/>
      <c r="Z75" s="19">
        <f t="shared" si="3"/>
        <v>0</v>
      </c>
    </row>
    <row r="76" spans="1:26" s="24" customFormat="1" hidden="1" outlineLevel="1" x14ac:dyDescent="0.25">
      <c r="A76" s="46"/>
      <c r="B76" s="11" t="str">
        <f>CONCATENATE("          ", "4218", " - ", "SALES RETURN TAXABLE-STUDY GUI")</f>
        <v xml:space="preserve">          4218 - SALES RETURN TAXABLE-STUDY GUI</v>
      </c>
      <c r="C76" s="11"/>
      <c r="D76" s="2">
        <f>-5.95</f>
        <v>-5.95</v>
      </c>
      <c r="E76" s="2"/>
      <c r="F76" s="19"/>
      <c r="G76" s="2"/>
      <c r="H76" s="2"/>
      <c r="I76" s="2"/>
      <c r="J76" s="19"/>
      <c r="K76" s="2"/>
      <c r="L76" s="2">
        <f t="shared" si="0"/>
        <v>-5.95</v>
      </c>
      <c r="M76" s="2"/>
      <c r="N76" s="19">
        <f t="shared" si="1"/>
        <v>0</v>
      </c>
      <c r="O76" s="11"/>
      <c r="P76" s="2">
        <f>-32.75</f>
        <v>-32.75</v>
      </c>
      <c r="Q76" s="2"/>
      <c r="R76" s="19"/>
      <c r="S76" s="2"/>
      <c r="T76" s="2"/>
      <c r="U76" s="2"/>
      <c r="V76" s="19"/>
      <c r="W76" s="2"/>
      <c r="X76" s="2">
        <f t="shared" si="2"/>
        <v>-32.75</v>
      </c>
      <c r="Y76" s="2"/>
      <c r="Z76" s="19">
        <f t="shared" si="3"/>
        <v>0</v>
      </c>
    </row>
    <row r="77" spans="1:26" s="24" customFormat="1" hidden="1" outlineLevel="1" x14ac:dyDescent="0.25">
      <c r="A77" s="46"/>
      <c r="B77" s="11" t="str">
        <f>CONCATENATE("          ", "4225", " - ", "SALES RETURN TAXABLE-TEST FORM")</f>
        <v xml:space="preserve">          4225 - SALES RETURN TAXABLE-TEST FORM</v>
      </c>
      <c r="C77" s="11"/>
      <c r="D77" s="2">
        <f>-20.41</f>
        <v>-20.41</v>
      </c>
      <c r="E77" s="2"/>
      <c r="F77" s="19"/>
      <c r="G77" s="2"/>
      <c r="H77" s="2"/>
      <c r="I77" s="2"/>
      <c r="J77" s="19"/>
      <c r="K77" s="2"/>
      <c r="L77" s="2">
        <f t="shared" si="0"/>
        <v>-20.41</v>
      </c>
      <c r="M77" s="2"/>
      <c r="N77" s="19">
        <f t="shared" si="1"/>
        <v>0</v>
      </c>
      <c r="O77" s="11"/>
      <c r="P77" s="2">
        <f>-33.1</f>
        <v>-33.1</v>
      </c>
      <c r="Q77" s="2"/>
      <c r="R77" s="19"/>
      <c r="S77" s="2"/>
      <c r="T77" s="2"/>
      <c r="U77" s="2"/>
      <c r="V77" s="19"/>
      <c r="W77" s="2"/>
      <c r="X77" s="2">
        <f t="shared" si="2"/>
        <v>-33.1</v>
      </c>
      <c r="Y77" s="2"/>
      <c r="Z77" s="19">
        <f t="shared" si="3"/>
        <v>0</v>
      </c>
    </row>
    <row r="78" spans="1:26" s="24" customFormat="1" hidden="1" outlineLevel="1" x14ac:dyDescent="0.25">
      <c r="A78" s="46"/>
      <c r="B78" s="11" t="str">
        <f>CONCATENATE("          ", "4226", " - ", "SALES RETURN TAXABLE-WRITING I")</f>
        <v xml:space="preserve">          4226 - SALES RETURN TAXABLE-WRITING I</v>
      </c>
      <c r="C78" s="11"/>
      <c r="D78" s="2">
        <f>-184.86</f>
        <v>-184.86</v>
      </c>
      <c r="E78" s="2"/>
      <c r="F78" s="19"/>
      <c r="G78" s="2"/>
      <c r="H78" s="2"/>
      <c r="I78" s="2"/>
      <c r="J78" s="19"/>
      <c r="K78" s="2"/>
      <c r="L78" s="2">
        <f t="shared" si="0"/>
        <v>-184.86</v>
      </c>
      <c r="M78" s="2"/>
      <c r="N78" s="19">
        <f t="shared" si="1"/>
        <v>0</v>
      </c>
      <c r="O78" s="11"/>
      <c r="P78" s="2">
        <f>-309.07</f>
        <v>-309.07</v>
      </c>
      <c r="Q78" s="2"/>
      <c r="R78" s="19"/>
      <c r="S78" s="2"/>
      <c r="T78" s="2"/>
      <c r="U78" s="2"/>
      <c r="V78" s="19"/>
      <c r="W78" s="2"/>
      <c r="X78" s="2">
        <f t="shared" si="2"/>
        <v>-309.07</v>
      </c>
      <c r="Y78" s="2"/>
      <c r="Z78" s="19">
        <f t="shared" si="3"/>
        <v>0</v>
      </c>
    </row>
    <row r="79" spans="1:26" s="24" customFormat="1" hidden="1" outlineLevel="1" x14ac:dyDescent="0.25">
      <c r="A79" s="46"/>
      <c r="B79" s="11" t="str">
        <f>CONCATENATE("          ", "4227", " - ", "SALES RETURN TAXABLE-SCHOOL SU")</f>
        <v xml:space="preserve">          4227 - SALES RETURN TAXABLE-SCHOOL SU</v>
      </c>
      <c r="C79" s="11"/>
      <c r="D79" s="2">
        <f>-2805.04</f>
        <v>-2805.04</v>
      </c>
      <c r="E79" s="2"/>
      <c r="F79" s="19"/>
      <c r="G79" s="2"/>
      <c r="H79" s="2"/>
      <c r="I79" s="2"/>
      <c r="J79" s="19"/>
      <c r="K79" s="2"/>
      <c r="L79" s="2">
        <f t="shared" si="0"/>
        <v>-2805.04</v>
      </c>
      <c r="M79" s="2"/>
      <c r="N79" s="19">
        <f t="shared" si="1"/>
        <v>0</v>
      </c>
      <c r="O79" s="11"/>
      <c r="P79" s="2">
        <f>-4501.63</f>
        <v>-4501.63</v>
      </c>
      <c r="Q79" s="2"/>
      <c r="R79" s="19"/>
      <c r="S79" s="2"/>
      <c r="T79" s="2"/>
      <c r="U79" s="2"/>
      <c r="V79" s="19"/>
      <c r="W79" s="2"/>
      <c r="X79" s="2">
        <f t="shared" si="2"/>
        <v>-4501.63</v>
      </c>
      <c r="Y79" s="2"/>
      <c r="Z79" s="19">
        <f t="shared" si="3"/>
        <v>0</v>
      </c>
    </row>
    <row r="80" spans="1:26" s="24" customFormat="1" hidden="1" outlineLevel="1" x14ac:dyDescent="0.25">
      <c r="A80" s="46"/>
      <c r="B80" s="11" t="str">
        <f>CONCATENATE("          ", "4228", " - ", "SALES RETURN TAXABLE-ART/TECH")</f>
        <v xml:space="preserve">          4228 - SALES RETURN TAXABLE-ART/TECH</v>
      </c>
      <c r="C80" s="11"/>
      <c r="D80" s="2">
        <f>-1058.54</f>
        <v>-1058.54</v>
      </c>
      <c r="E80" s="2"/>
      <c r="F80" s="19"/>
      <c r="G80" s="2"/>
      <c r="H80" s="2"/>
      <c r="I80" s="2"/>
      <c r="J80" s="19"/>
      <c r="K80" s="2"/>
      <c r="L80" s="2">
        <f t="shared" si="0"/>
        <v>-1058.54</v>
      </c>
      <c r="M80" s="2"/>
      <c r="N80" s="19">
        <f t="shared" si="1"/>
        <v>0</v>
      </c>
      <c r="O80" s="11"/>
      <c r="P80" s="2">
        <f>-1927.27</f>
        <v>-1927.27</v>
      </c>
      <c r="Q80" s="2"/>
      <c r="R80" s="19"/>
      <c r="S80" s="2"/>
      <c r="T80" s="2"/>
      <c r="U80" s="2"/>
      <c r="V80" s="19"/>
      <c r="W80" s="2"/>
      <c r="X80" s="2">
        <f t="shared" si="2"/>
        <v>-1927.27</v>
      </c>
      <c r="Y80" s="2"/>
      <c r="Z80" s="19">
        <f t="shared" si="3"/>
        <v>0</v>
      </c>
    </row>
    <row r="81" spans="1:26" s="24" customFormat="1" hidden="1" outlineLevel="1" x14ac:dyDescent="0.25">
      <c r="A81" s="46"/>
      <c r="B81" s="11" t="str">
        <f>CONCATENATE("          ", "4240", " - ", "SALES RETURN TAXABLE-LOGO CLOT")</f>
        <v xml:space="preserve">          4240 - SALES RETURN TAXABLE-LOGO CLOT</v>
      </c>
      <c r="C81" s="11"/>
      <c r="D81" s="2">
        <f>-9538.49</f>
        <v>-9538.49</v>
      </c>
      <c r="E81" s="2"/>
      <c r="F81" s="19"/>
      <c r="G81" s="2"/>
      <c r="H81" s="2"/>
      <c r="I81" s="2"/>
      <c r="J81" s="19"/>
      <c r="K81" s="2"/>
      <c r="L81" s="2">
        <f t="shared" si="0"/>
        <v>-9538.49</v>
      </c>
      <c r="M81" s="2"/>
      <c r="N81" s="19">
        <f t="shared" si="1"/>
        <v>0</v>
      </c>
      <c r="O81" s="11"/>
      <c r="P81" s="2">
        <f>-20792.98</f>
        <v>-20792.98</v>
      </c>
      <c r="Q81" s="2"/>
      <c r="R81" s="19"/>
      <c r="S81" s="2"/>
      <c r="T81" s="2"/>
      <c r="U81" s="2"/>
      <c r="V81" s="19"/>
      <c r="W81" s="2"/>
      <c r="X81" s="2">
        <f t="shared" si="2"/>
        <v>-20792.98</v>
      </c>
      <c r="Y81" s="2"/>
      <c r="Z81" s="19">
        <f t="shared" si="3"/>
        <v>0</v>
      </c>
    </row>
    <row r="82" spans="1:26" s="24" customFormat="1" hidden="1" outlineLevel="1" x14ac:dyDescent="0.25">
      <c r="A82" s="46"/>
      <c r="B82" s="11" t="str">
        <f>CONCATENATE("          ", "4241", " - ", "SALES RETURN TAXABLE-LOGO GIFT")</f>
        <v xml:space="preserve">          4241 - SALES RETURN TAXABLE-LOGO GIFT</v>
      </c>
      <c r="C82" s="11"/>
      <c r="D82" s="2">
        <f>-700.87</f>
        <v>-700.87</v>
      </c>
      <c r="E82" s="2"/>
      <c r="F82" s="19"/>
      <c r="G82" s="2"/>
      <c r="H82" s="2"/>
      <c r="I82" s="2"/>
      <c r="J82" s="19"/>
      <c r="K82" s="2"/>
      <c r="L82" s="2">
        <f t="shared" si="0"/>
        <v>-700.87</v>
      </c>
      <c r="M82" s="2"/>
      <c r="N82" s="19">
        <f t="shared" si="1"/>
        <v>0</v>
      </c>
      <c r="O82" s="11"/>
      <c r="P82" s="2">
        <f>-2390.88</f>
        <v>-2390.88</v>
      </c>
      <c r="Q82" s="2"/>
      <c r="R82" s="19"/>
      <c r="S82" s="2"/>
      <c r="T82" s="2"/>
      <c r="U82" s="2"/>
      <c r="V82" s="19"/>
      <c r="W82" s="2"/>
      <c r="X82" s="2">
        <f t="shared" si="2"/>
        <v>-2390.88</v>
      </c>
      <c r="Y82" s="2"/>
      <c r="Z82" s="19">
        <f t="shared" si="3"/>
        <v>0</v>
      </c>
    </row>
    <row r="83" spans="1:26" s="24" customFormat="1" hidden="1" outlineLevel="1" x14ac:dyDescent="0.25">
      <c r="A83" s="46"/>
      <c r="B83" s="11" t="str">
        <f>CONCATENATE("          ", "4242", " - ", "SALES RETURN TAXABLE-EVERYDAY")</f>
        <v xml:space="preserve">          4242 - SALES RETURN TAXABLE-EVERYDAY</v>
      </c>
      <c r="C83" s="11"/>
      <c r="D83" s="2">
        <f>-169.66</f>
        <v>-169.66</v>
      </c>
      <c r="E83" s="2"/>
      <c r="F83" s="19"/>
      <c r="G83" s="2"/>
      <c r="H83" s="2"/>
      <c r="I83" s="2"/>
      <c r="J83" s="19"/>
      <c r="K83" s="2"/>
      <c r="L83" s="2">
        <f t="shared" si="0"/>
        <v>-169.66</v>
      </c>
      <c r="M83" s="2"/>
      <c r="N83" s="19">
        <f t="shared" si="1"/>
        <v>0</v>
      </c>
      <c r="O83" s="11"/>
      <c r="P83" s="2">
        <f>-994.47</f>
        <v>-994.47</v>
      </c>
      <c r="Q83" s="2"/>
      <c r="R83" s="19"/>
      <c r="S83" s="2"/>
      <c r="T83" s="2"/>
      <c r="U83" s="2"/>
      <c r="V83" s="19"/>
      <c r="W83" s="2"/>
      <c r="X83" s="2">
        <f t="shared" si="2"/>
        <v>-994.47</v>
      </c>
      <c r="Y83" s="2"/>
      <c r="Z83" s="19">
        <f t="shared" si="3"/>
        <v>0</v>
      </c>
    </row>
    <row r="84" spans="1:26" s="24" customFormat="1" hidden="1" outlineLevel="1" x14ac:dyDescent="0.25">
      <c r="A84" s="46"/>
      <c r="B84" s="11" t="str">
        <f>CONCATENATE("          ", "4243", " - ", "SALES RETURN TAXABLE-CARDS")</f>
        <v xml:space="preserve">          4243 - SALES RETURN TAXABLE-CARDS</v>
      </c>
      <c r="C84" s="11"/>
      <c r="D84" s="2">
        <f>-4.5</f>
        <v>-4.5</v>
      </c>
      <c r="E84" s="2"/>
      <c r="F84" s="19"/>
      <c r="G84" s="2"/>
      <c r="H84" s="2"/>
      <c r="I84" s="2"/>
      <c r="J84" s="19"/>
      <c r="K84" s="2"/>
      <c r="L84" s="2">
        <f t="shared" si="0"/>
        <v>-4.5</v>
      </c>
      <c r="M84" s="2"/>
      <c r="N84" s="19">
        <f t="shared" si="1"/>
        <v>0</v>
      </c>
      <c r="O84" s="11"/>
      <c r="P84" s="2">
        <f>-4.5</f>
        <v>-4.5</v>
      </c>
      <c r="Q84" s="2"/>
      <c r="R84" s="19"/>
      <c r="S84" s="2"/>
      <c r="T84" s="2"/>
      <c r="U84" s="2"/>
      <c r="V84" s="19"/>
      <c r="W84" s="2"/>
      <c r="X84" s="2">
        <f t="shared" si="2"/>
        <v>-4.5</v>
      </c>
      <c r="Y84" s="2"/>
      <c r="Z84" s="19">
        <f t="shared" si="3"/>
        <v>0</v>
      </c>
    </row>
    <row r="85" spans="1:26" s="24" customFormat="1" hidden="1" outlineLevel="1" x14ac:dyDescent="0.25">
      <c r="A85" s="46"/>
      <c r="B85" s="11" t="str">
        <f>CONCATENATE("          ", "4244", " - ", "SALES RETURN TAXABLE-ACCESSORI")</f>
        <v xml:space="preserve">          4244 - SALES RETURN TAXABLE-ACCESSORI</v>
      </c>
      <c r="C85" s="11"/>
      <c r="D85" s="2">
        <f>-704.04</f>
        <v>-704.04</v>
      </c>
      <c r="E85" s="2"/>
      <c r="F85" s="19"/>
      <c r="G85" s="2"/>
      <c r="H85" s="2"/>
      <c r="I85" s="2"/>
      <c r="J85" s="19"/>
      <c r="K85" s="2"/>
      <c r="L85" s="2">
        <f t="shared" si="0"/>
        <v>-704.04</v>
      </c>
      <c r="M85" s="2"/>
      <c r="N85" s="19">
        <f t="shared" si="1"/>
        <v>0</v>
      </c>
      <c r="O85" s="11"/>
      <c r="P85" s="2">
        <f>-1254.51</f>
        <v>-1254.51</v>
      </c>
      <c r="Q85" s="2"/>
      <c r="R85" s="19"/>
      <c r="S85" s="2"/>
      <c r="T85" s="2"/>
      <c r="U85" s="2"/>
      <c r="V85" s="19"/>
      <c r="W85" s="2"/>
      <c r="X85" s="2">
        <f t="shared" si="2"/>
        <v>-1254.51</v>
      </c>
      <c r="Y85" s="2"/>
      <c r="Z85" s="19">
        <f t="shared" si="3"/>
        <v>0</v>
      </c>
    </row>
    <row r="86" spans="1:26" s="24" customFormat="1" hidden="1" outlineLevel="1" x14ac:dyDescent="0.25">
      <c r="A86" s="46"/>
      <c r="B86" s="11" t="str">
        <f>CONCATENATE("          ", "4245", " - ", "SALES RETURN TAXABLE-SPECIAL O")</f>
        <v xml:space="preserve">          4245 - SALES RETURN TAXABLE-SPECIAL O</v>
      </c>
      <c r="C86" s="11"/>
      <c r="D86" s="2">
        <f>-71.98</f>
        <v>-71.98</v>
      </c>
      <c r="E86" s="2"/>
      <c r="F86" s="19"/>
      <c r="G86" s="2"/>
      <c r="H86" s="2"/>
      <c r="I86" s="2"/>
      <c r="J86" s="19"/>
      <c r="K86" s="2"/>
      <c r="L86" s="2">
        <f t="shared" si="0"/>
        <v>-71.98</v>
      </c>
      <c r="M86" s="2"/>
      <c r="N86" s="19">
        <f t="shared" si="1"/>
        <v>0</v>
      </c>
      <c r="O86" s="11"/>
      <c r="P86" s="2">
        <f>-91.96</f>
        <v>-91.96</v>
      </c>
      <c r="Q86" s="2"/>
      <c r="R86" s="19"/>
      <c r="S86" s="2"/>
      <c r="T86" s="2"/>
      <c r="U86" s="2"/>
      <c r="V86" s="19"/>
      <c r="W86" s="2"/>
      <c r="X86" s="2">
        <f t="shared" si="2"/>
        <v>-91.96</v>
      </c>
      <c r="Y86" s="2"/>
      <c r="Z86" s="19">
        <f t="shared" si="3"/>
        <v>0</v>
      </c>
    </row>
    <row r="87" spans="1:26" s="24" customFormat="1" hidden="1" outlineLevel="1" x14ac:dyDescent="0.25">
      <c r="A87" s="46"/>
      <c r="B87" s="11" t="str">
        <f>CONCATENATE("          ", "4281", " - ", "SALES RETURN TAXABLE-ELECTRONI")</f>
        <v xml:space="preserve">          4281 - SALES RETURN TAXABLE-ELECTRONI</v>
      </c>
      <c r="C87" s="11"/>
      <c r="D87" s="2">
        <f>-24.99</f>
        <v>-24.99</v>
      </c>
      <c r="E87" s="2"/>
      <c r="F87" s="19"/>
      <c r="G87" s="2"/>
      <c r="H87" s="2"/>
      <c r="I87" s="2"/>
      <c r="J87" s="19"/>
      <c r="K87" s="2"/>
      <c r="L87" s="2">
        <f t="shared" si="0"/>
        <v>-24.99</v>
      </c>
      <c r="M87" s="2"/>
      <c r="N87" s="19">
        <f t="shared" si="1"/>
        <v>0</v>
      </c>
      <c r="O87" s="11"/>
      <c r="P87" s="2">
        <f>-24.99</f>
        <v>-24.99</v>
      </c>
      <c r="Q87" s="2"/>
      <c r="R87" s="19"/>
      <c r="S87" s="2"/>
      <c r="T87" s="2"/>
      <c r="U87" s="2"/>
      <c r="V87" s="19"/>
      <c r="W87" s="2"/>
      <c r="X87" s="2">
        <f t="shared" si="2"/>
        <v>-24.99</v>
      </c>
      <c r="Y87" s="2"/>
      <c r="Z87" s="19">
        <f t="shared" si="3"/>
        <v>0</v>
      </c>
    </row>
    <row r="88" spans="1:26" s="24" customFormat="1" hidden="1" outlineLevel="1" x14ac:dyDescent="0.25">
      <c r="A88" s="46"/>
      <c r="B88" s="11" t="str">
        <f>CONCATENATE("          ", "4292", " - ", "SALES RETURN TAXABLE-GRAD MERC")</f>
        <v xml:space="preserve">          4292 - SALES RETURN TAXABLE-GRAD MERC</v>
      </c>
      <c r="C88" s="11"/>
      <c r="D88" s="2">
        <f t="shared" ref="D88:D89" si="5">0</f>
        <v>0</v>
      </c>
      <c r="E88" s="2"/>
      <c r="F88" s="19"/>
      <c r="G88" s="2"/>
      <c r="H88" s="2"/>
      <c r="I88" s="2"/>
      <c r="J88" s="19"/>
      <c r="K88" s="2"/>
      <c r="L88" s="2">
        <f t="shared" si="0"/>
        <v>0</v>
      </c>
      <c r="M88" s="2"/>
      <c r="N88" s="19">
        <f t="shared" si="1"/>
        <v>0</v>
      </c>
      <c r="O88" s="11"/>
      <c r="P88" s="2">
        <f>-369.15</f>
        <v>-369.15</v>
      </c>
      <c r="Q88" s="2"/>
      <c r="R88" s="19"/>
      <c r="S88" s="2"/>
      <c r="T88" s="2"/>
      <c r="U88" s="2"/>
      <c r="V88" s="19"/>
      <c r="W88" s="2"/>
      <c r="X88" s="2">
        <f t="shared" si="2"/>
        <v>-369.15</v>
      </c>
      <c r="Y88" s="2"/>
      <c r="Z88" s="19">
        <f t="shared" si="3"/>
        <v>0</v>
      </c>
    </row>
    <row r="89" spans="1:26" s="24" customFormat="1" hidden="1" outlineLevel="1" x14ac:dyDescent="0.25">
      <c r="A89" s="46"/>
      <c r="B89" s="11" t="str">
        <f>CONCATENATE("          ", "4295", " - ", "SALES RETURN TAXABLE-CUSTOMER")</f>
        <v xml:space="preserve">          4295 - SALES RETURN TAXABLE-CUSTOMER</v>
      </c>
      <c r="C89" s="11"/>
      <c r="D89" s="2">
        <f t="shared" si="5"/>
        <v>0</v>
      </c>
      <c r="E89" s="2"/>
      <c r="F89" s="19"/>
      <c r="G89" s="2"/>
      <c r="H89" s="2"/>
      <c r="I89" s="2"/>
      <c r="J89" s="19"/>
      <c r="K89" s="2"/>
      <c r="L89" s="2">
        <f t="shared" si="0"/>
        <v>0</v>
      </c>
      <c r="M89" s="2"/>
      <c r="N89" s="19">
        <f t="shared" si="1"/>
        <v>0</v>
      </c>
      <c r="O89" s="11"/>
      <c r="P89" s="2">
        <f>--0.99</f>
        <v>0.99</v>
      </c>
      <c r="Q89" s="2"/>
      <c r="R89" s="19"/>
      <c r="S89" s="2"/>
      <c r="T89" s="2"/>
      <c r="U89" s="2"/>
      <c r="V89" s="19"/>
      <c r="W89" s="2"/>
      <c r="X89" s="2">
        <f t="shared" si="2"/>
        <v>0.99</v>
      </c>
      <c r="Y89" s="2"/>
      <c r="Z89" s="19">
        <f t="shared" si="3"/>
        <v>0</v>
      </c>
    </row>
    <row r="90" spans="1:26" s="24" customFormat="1" hidden="1" outlineLevel="1" x14ac:dyDescent="0.25">
      <c r="A90" s="46"/>
      <c r="B90" s="11" t="str">
        <f>CONCATENATE("          ", "4301", " - ", "SALES RETURN NON TAXABLE-NEW T")</f>
        <v xml:space="preserve">          4301 - SALES RETURN NON TAXABLE-NEW T</v>
      </c>
      <c r="C90" s="11"/>
      <c r="D90" s="2">
        <f>-3805.44</f>
        <v>-3805.44</v>
      </c>
      <c r="E90" s="2"/>
      <c r="F90" s="19"/>
      <c r="G90" s="2"/>
      <c r="H90" s="2"/>
      <c r="I90" s="2"/>
      <c r="J90" s="19"/>
      <c r="K90" s="2"/>
      <c r="L90" s="2">
        <f t="shared" si="0"/>
        <v>-3805.44</v>
      </c>
      <c r="M90" s="2"/>
      <c r="N90" s="19">
        <f t="shared" si="1"/>
        <v>0</v>
      </c>
      <c r="O90" s="11"/>
      <c r="P90" s="2">
        <f>-6725.22</f>
        <v>-6725.22</v>
      </c>
      <c r="Q90" s="2"/>
      <c r="R90" s="19"/>
      <c r="S90" s="2"/>
      <c r="T90" s="2"/>
      <c r="U90" s="2"/>
      <c r="V90" s="19"/>
      <c r="W90" s="2"/>
      <c r="X90" s="2">
        <f t="shared" si="2"/>
        <v>-6725.22</v>
      </c>
      <c r="Y90" s="2"/>
      <c r="Z90" s="19">
        <f t="shared" si="3"/>
        <v>0</v>
      </c>
    </row>
    <row r="91" spans="1:26" s="24" customFormat="1" hidden="1" outlineLevel="1" x14ac:dyDescent="0.25">
      <c r="A91" s="46"/>
      <c r="B91" s="11" t="str">
        <f>CONCATENATE("          ", "4302", " - ", "SALES RETURN NON TAXABLE-TEXT")</f>
        <v xml:space="preserve">          4302 - SALES RETURN NON TAXABLE-TEXT</v>
      </c>
      <c r="C91" s="11"/>
      <c r="D91" s="2">
        <f>-398.45</f>
        <v>-398.45</v>
      </c>
      <c r="E91" s="2"/>
      <c r="F91" s="19"/>
      <c r="G91" s="2"/>
      <c r="H91" s="2"/>
      <c r="I91" s="2"/>
      <c r="J91" s="19"/>
      <c r="K91" s="2"/>
      <c r="L91" s="2">
        <f t="shared" si="0"/>
        <v>-398.45</v>
      </c>
      <c r="M91" s="2"/>
      <c r="N91" s="19">
        <f t="shared" si="1"/>
        <v>0</v>
      </c>
      <c r="O91" s="11"/>
      <c r="P91" s="2">
        <f>-648.7</f>
        <v>-648.70000000000005</v>
      </c>
      <c r="Q91" s="2"/>
      <c r="R91" s="19"/>
      <c r="S91" s="2"/>
      <c r="T91" s="2"/>
      <c r="U91" s="2"/>
      <c r="V91" s="19"/>
      <c r="W91" s="2"/>
      <c r="X91" s="2">
        <f t="shared" si="2"/>
        <v>-648.70000000000005</v>
      </c>
      <c r="Y91" s="2"/>
      <c r="Z91" s="19">
        <f t="shared" si="3"/>
        <v>0</v>
      </c>
    </row>
    <row r="92" spans="1:26" s="24" customFormat="1" hidden="1" outlineLevel="1" x14ac:dyDescent="0.25">
      <c r="A92" s="46"/>
      <c r="B92" s="11" t="str">
        <f>CONCATENATE("          ", "4303", " - ", "SALES RETURN NON-TAXABLE-RENTA")</f>
        <v xml:space="preserve">          4303 - SALES RETURN NON-TAXABLE-RENTA</v>
      </c>
      <c r="C92" s="11"/>
      <c r="D92" s="2">
        <f>-184.99</f>
        <v>-184.99</v>
      </c>
      <c r="E92" s="2"/>
      <c r="F92" s="19"/>
      <c r="G92" s="2"/>
      <c r="H92" s="2"/>
      <c r="I92" s="2"/>
      <c r="J92" s="19"/>
      <c r="K92" s="2"/>
      <c r="L92" s="2">
        <f t="shared" si="0"/>
        <v>-184.99</v>
      </c>
      <c r="M92" s="2"/>
      <c r="N92" s="19">
        <f t="shared" si="1"/>
        <v>0</v>
      </c>
      <c r="O92" s="11"/>
      <c r="P92" s="2">
        <f>-184.99</f>
        <v>-184.99</v>
      </c>
      <c r="Q92" s="2"/>
      <c r="R92" s="19"/>
      <c r="S92" s="2"/>
      <c r="T92" s="2"/>
      <c r="U92" s="2"/>
      <c r="V92" s="19"/>
      <c r="W92" s="2"/>
      <c r="X92" s="2">
        <f t="shared" si="2"/>
        <v>-184.99</v>
      </c>
      <c r="Y92" s="2"/>
      <c r="Z92" s="19">
        <f t="shared" si="3"/>
        <v>0</v>
      </c>
    </row>
    <row r="93" spans="1:26" s="24" customFormat="1" hidden="1" outlineLevel="1" x14ac:dyDescent="0.25">
      <c r="A93" s="46"/>
      <c r="B93" s="11" t="str">
        <f>CONCATENATE("          ", "4304", " - ", "SALES RETURN NON TAXABLE-DIGIT")</f>
        <v xml:space="preserve">          4304 - SALES RETURN NON TAXABLE-DIGIT</v>
      </c>
      <c r="C93" s="11"/>
      <c r="D93" s="2">
        <f>-4048.76</f>
        <v>-4048.76</v>
      </c>
      <c r="E93" s="2"/>
      <c r="F93" s="19"/>
      <c r="G93" s="2"/>
      <c r="H93" s="2"/>
      <c r="I93" s="2"/>
      <c r="J93" s="19"/>
      <c r="K93" s="2"/>
      <c r="L93" s="2">
        <f t="shared" si="0"/>
        <v>-4048.76</v>
      </c>
      <c r="M93" s="2"/>
      <c r="N93" s="19">
        <f t="shared" si="1"/>
        <v>0</v>
      </c>
      <c r="O93" s="11"/>
      <c r="P93" s="2">
        <f>-12515.31</f>
        <v>-12515.31</v>
      </c>
      <c r="Q93" s="2"/>
      <c r="R93" s="19"/>
      <c r="S93" s="2"/>
      <c r="T93" s="2"/>
      <c r="U93" s="2"/>
      <c r="V93" s="19"/>
      <c r="W93" s="2"/>
      <c r="X93" s="2">
        <f t="shared" si="2"/>
        <v>-12515.31</v>
      </c>
      <c r="Y93" s="2"/>
      <c r="Z93" s="19">
        <f t="shared" si="3"/>
        <v>0</v>
      </c>
    </row>
    <row r="94" spans="1:26" s="24" customFormat="1" hidden="1" outlineLevel="1" x14ac:dyDescent="0.25">
      <c r="A94" s="46"/>
      <c r="B94" s="11" t="str">
        <f>CONCATENATE("          ", "4311", " - ", "SALES RETURN NON TAXABLE-NO VA")</f>
        <v xml:space="preserve">          4311 - SALES RETURN NON TAXABLE-NO VA</v>
      </c>
      <c r="C94" s="11"/>
      <c r="D94" s="2">
        <f>-276.9</f>
        <v>-276.89999999999998</v>
      </c>
      <c r="E94" s="2"/>
      <c r="F94" s="19"/>
      <c r="G94" s="2"/>
      <c r="H94" s="2"/>
      <c r="I94" s="2"/>
      <c r="J94" s="19"/>
      <c r="K94" s="2"/>
      <c r="L94" s="2">
        <f t="shared" si="0"/>
        <v>-276.89999999999998</v>
      </c>
      <c r="M94" s="2"/>
      <c r="N94" s="19">
        <f t="shared" si="1"/>
        <v>0</v>
      </c>
      <c r="O94" s="11"/>
      <c r="P94" s="2">
        <f>-387.94</f>
        <v>-387.94</v>
      </c>
      <c r="Q94" s="2"/>
      <c r="R94" s="19"/>
      <c r="S94" s="2"/>
      <c r="T94" s="2"/>
      <c r="U94" s="2"/>
      <c r="V94" s="19"/>
      <c r="W94" s="2"/>
      <c r="X94" s="2">
        <f t="shared" si="2"/>
        <v>-387.94</v>
      </c>
      <c r="Y94" s="2"/>
      <c r="Z94" s="19">
        <f t="shared" si="3"/>
        <v>0</v>
      </c>
    </row>
    <row r="95" spans="1:26" s="24" customFormat="1" hidden="1" outlineLevel="1" x14ac:dyDescent="0.25">
      <c r="A95" s="46"/>
      <c r="B95" s="11" t="str">
        <f>CONCATENATE("          ", "4327", " - ", "SALES RETURN NON TAXABLE-SCHOO")</f>
        <v xml:space="preserve">          4327 - SALES RETURN NON TAXABLE-SCHOO</v>
      </c>
      <c r="C95" s="11"/>
      <c r="D95" s="2">
        <f>-8.29</f>
        <v>-8.2899999999999991</v>
      </c>
      <c r="E95" s="2"/>
      <c r="F95" s="19"/>
      <c r="G95" s="2"/>
      <c r="H95" s="2"/>
      <c r="I95" s="2"/>
      <c r="J95" s="19"/>
      <c r="K95" s="2"/>
      <c r="L95" s="2">
        <f t="shared" si="0"/>
        <v>-8.2899999999999991</v>
      </c>
      <c r="M95" s="2"/>
      <c r="N95" s="19">
        <f t="shared" si="1"/>
        <v>0</v>
      </c>
      <c r="O95" s="11"/>
      <c r="P95" s="2">
        <f>-21.87</f>
        <v>-21.87</v>
      </c>
      <c r="Q95" s="2"/>
      <c r="R95" s="19"/>
      <c r="S95" s="2"/>
      <c r="T95" s="2"/>
      <c r="U95" s="2"/>
      <c r="V95" s="19"/>
      <c r="W95" s="2"/>
      <c r="X95" s="2">
        <f t="shared" si="2"/>
        <v>-21.87</v>
      </c>
      <c r="Y95" s="2"/>
      <c r="Z95" s="19">
        <f t="shared" si="3"/>
        <v>0</v>
      </c>
    </row>
    <row r="96" spans="1:26" s="24" customFormat="1" hidden="1" outlineLevel="1" x14ac:dyDescent="0.25">
      <c r="A96" s="46"/>
      <c r="B96" s="11" t="str">
        <f>CONCATENATE("          ", "4340", " - ", "SALES RETURN NON TAXABLE-LOGO")</f>
        <v xml:space="preserve">          4340 - SALES RETURN NON TAXABLE-LOGO</v>
      </c>
      <c r="C96" s="11"/>
      <c r="D96" s="2">
        <f>-24.95</f>
        <v>-24.95</v>
      </c>
      <c r="E96" s="2"/>
      <c r="F96" s="19"/>
      <c r="G96" s="2"/>
      <c r="H96" s="2"/>
      <c r="I96" s="2"/>
      <c r="J96" s="19"/>
      <c r="K96" s="2"/>
      <c r="L96" s="2">
        <f t="shared" si="0"/>
        <v>-24.95</v>
      </c>
      <c r="M96" s="2"/>
      <c r="N96" s="19">
        <f t="shared" si="1"/>
        <v>0</v>
      </c>
      <c r="O96" s="11"/>
      <c r="P96" s="2">
        <f>-293.45</f>
        <v>-293.45</v>
      </c>
      <c r="Q96" s="2"/>
      <c r="R96" s="19"/>
      <c r="S96" s="2"/>
      <c r="T96" s="2"/>
      <c r="U96" s="2"/>
      <c r="V96" s="19"/>
      <c r="W96" s="2"/>
      <c r="X96" s="2">
        <f t="shared" si="2"/>
        <v>-293.45</v>
      </c>
      <c r="Y96" s="2"/>
      <c r="Z96" s="19">
        <f t="shared" si="3"/>
        <v>0</v>
      </c>
    </row>
    <row r="97" spans="1:26" s="24" customFormat="1" hidden="1" outlineLevel="1" x14ac:dyDescent="0.25">
      <c r="A97" s="46"/>
      <c r="B97" s="11" t="str">
        <f>CONCATENATE("          ", "4341", " - ", "SALES RETURN NON TAXABLE-LOGO")</f>
        <v xml:space="preserve">          4341 - SALES RETURN NON TAXABLE-LOGO</v>
      </c>
      <c r="C97" s="11"/>
      <c r="D97" s="2">
        <f>0</f>
        <v>0</v>
      </c>
      <c r="E97" s="2"/>
      <c r="F97" s="19"/>
      <c r="G97" s="2"/>
      <c r="H97" s="2"/>
      <c r="I97" s="2"/>
      <c r="J97" s="19"/>
      <c r="K97" s="2"/>
      <c r="L97" s="2">
        <f t="shared" si="0"/>
        <v>0</v>
      </c>
      <c r="M97" s="2"/>
      <c r="N97" s="19">
        <f t="shared" si="1"/>
        <v>0</v>
      </c>
      <c r="O97" s="11"/>
      <c r="P97" s="2">
        <f>-3.95</f>
        <v>-3.95</v>
      </c>
      <c r="Q97" s="2"/>
      <c r="R97" s="19"/>
      <c r="S97" s="2"/>
      <c r="T97" s="2"/>
      <c r="U97" s="2"/>
      <c r="V97" s="19"/>
      <c r="W97" s="2"/>
      <c r="X97" s="2">
        <f t="shared" si="2"/>
        <v>-3.95</v>
      </c>
      <c r="Y97" s="2"/>
      <c r="Z97" s="19">
        <f t="shared" si="3"/>
        <v>0</v>
      </c>
    </row>
    <row r="98" spans="1:26" s="24" customFormat="1" hidden="1" outlineLevel="1" x14ac:dyDescent="0.25">
      <c r="A98" s="46"/>
      <c r="B98" s="11" t="str">
        <f>CONCATENATE("          ", "4342", " - ", "SALES RETURN NON TAXABLE-EVERY")</f>
        <v xml:space="preserve">          4342 - SALES RETURN NON TAXABLE-EVERY</v>
      </c>
      <c r="C98" s="11"/>
      <c r="D98" s="2">
        <f>-10</f>
        <v>-10</v>
      </c>
      <c r="E98" s="2"/>
      <c r="F98" s="19"/>
      <c r="G98" s="2"/>
      <c r="H98" s="2"/>
      <c r="I98" s="2"/>
      <c r="J98" s="19"/>
      <c r="K98" s="2"/>
      <c r="L98" s="2">
        <f t="shared" si="0"/>
        <v>-10</v>
      </c>
      <c r="M98" s="2"/>
      <c r="N98" s="19">
        <f t="shared" si="1"/>
        <v>0</v>
      </c>
      <c r="O98" s="11"/>
      <c r="P98" s="2">
        <f>-10</f>
        <v>-10</v>
      </c>
      <c r="Q98" s="2"/>
      <c r="R98" s="19"/>
      <c r="S98" s="2"/>
      <c r="T98" s="2"/>
      <c r="U98" s="2"/>
      <c r="V98" s="19"/>
      <c r="W98" s="2"/>
      <c r="X98" s="2">
        <f t="shared" si="2"/>
        <v>-10</v>
      </c>
      <c r="Y98" s="2"/>
      <c r="Z98" s="19">
        <f t="shared" si="3"/>
        <v>0</v>
      </c>
    </row>
    <row r="99" spans="1:26" s="24" customFormat="1" hidden="1" outlineLevel="1" x14ac:dyDescent="0.25">
      <c r="A99" s="46"/>
      <c r="B99" s="11" t="str">
        <f>CONCATENATE("          ", "4346", " - ", "SALES RETURN NON TAXABLE-COIN-")</f>
        <v xml:space="preserve">          4346 - SALES RETURN NON TAXABLE-COIN-</v>
      </c>
      <c r="C99" s="11"/>
      <c r="D99" s="2">
        <f>0</f>
        <v>0</v>
      </c>
      <c r="E99" s="2"/>
      <c r="F99" s="19"/>
      <c r="G99" s="2"/>
      <c r="H99" s="2"/>
      <c r="I99" s="2"/>
      <c r="J99" s="19"/>
      <c r="K99" s="2"/>
      <c r="L99" s="2">
        <f t="shared" si="0"/>
        <v>0</v>
      </c>
      <c r="M99" s="2"/>
      <c r="N99" s="19">
        <f t="shared" si="1"/>
        <v>0</v>
      </c>
      <c r="O99" s="11"/>
      <c r="P99" s="2">
        <f>-8.15</f>
        <v>-8.15</v>
      </c>
      <c r="Q99" s="2"/>
      <c r="R99" s="19"/>
      <c r="S99" s="2"/>
      <c r="T99" s="2"/>
      <c r="U99" s="2"/>
      <c r="V99" s="19"/>
      <c r="W99" s="2"/>
      <c r="X99" s="2">
        <f t="shared" si="2"/>
        <v>-8.15</v>
      </c>
      <c r="Y99" s="2"/>
      <c r="Z99" s="19">
        <f t="shared" si="3"/>
        <v>0</v>
      </c>
    </row>
    <row r="100" spans="1:26" x14ac:dyDescent="0.25">
      <c r="A100" s="9"/>
      <c r="B100" s="10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collapsed="1" x14ac:dyDescent="0.25">
      <c r="A101" s="10"/>
      <c r="B101" s="28" t="s">
        <v>8</v>
      </c>
      <c r="C101" s="10"/>
      <c r="D101" s="4">
        <f>SUM(OSRRefD16x_0)</f>
        <v>637902.36000000034</v>
      </c>
      <c r="E101" s="4"/>
      <c r="F101" s="12">
        <f t="shared" ref="F101:F149" si="6">IF(D$12=0,0,D101/D$12)</f>
        <v>0.58681470594344642</v>
      </c>
      <c r="G101" s="4"/>
      <c r="H101" s="4">
        <f>SUM(OSRRefH16x_0)</f>
        <v>650530.87623000005</v>
      </c>
      <c r="I101" s="4"/>
      <c r="J101" s="12">
        <f t="shared" ref="J101:J149" si="7">IF(H$12=0,0,H101/H$12)</f>
        <v>0.56964407310283338</v>
      </c>
      <c r="K101" s="4"/>
      <c r="L101" s="4">
        <f t="shared" ref="L101:L149" si="8">+D101-H101</f>
        <v>-12628.516229999717</v>
      </c>
      <c r="M101" s="4"/>
      <c r="N101" s="12">
        <f t="shared" ref="N101:N149" si="9">IF(H101=0,0,L101/H101)</f>
        <v>-1.9412631577436164E-2</v>
      </c>
      <c r="O101" s="10"/>
      <c r="P101" s="4">
        <f>SUM(OSRRefP16x_0)</f>
        <v>2602102.6199999992</v>
      </c>
      <c r="Q101" s="4"/>
      <c r="R101" s="12">
        <f t="shared" ref="R101:R149" si="10">IF(P$12=0,0,P101/P$12)</f>
        <v>0.62822320811605925</v>
      </c>
      <c r="S101" s="4"/>
      <c r="T101" s="4">
        <f>SUM(OSRRefT16x_0)</f>
        <v>2733350.26719</v>
      </c>
      <c r="U101" s="4"/>
      <c r="V101" s="12">
        <f t="shared" ref="V101:V149" si="11">IF(T$12=0,0,T101/T$12)</f>
        <v>0.62117068432715927</v>
      </c>
      <c r="W101" s="4"/>
      <c r="X101" s="4">
        <f t="shared" ref="X101:X149" si="12">+P101-T101</f>
        <v>-131247.64719000086</v>
      </c>
      <c r="Y101" s="4"/>
      <c r="Z101" s="12">
        <f t="shared" ref="Z101:Z149" si="13">IF(T101=0,0,X101/T101)</f>
        <v>-4.8017134417583811E-2</v>
      </c>
    </row>
    <row r="102" spans="1:26" s="24" customFormat="1" hidden="1" outlineLevel="1" x14ac:dyDescent="0.25">
      <c r="A102" s="46"/>
      <c r="B102" s="11" t="str">
        <f>CONCATENATE("          ", "5000", " - ", "PURCHASES @ COST")</f>
        <v xml:space="preserve">          5000 - PURCHASES @ COST</v>
      </c>
      <c r="C102" s="11"/>
      <c r="D102" s="2"/>
      <c r="E102" s="2"/>
      <c r="F102" s="19">
        <f t="shared" si="6"/>
        <v>0</v>
      </c>
      <c r="G102" s="2"/>
      <c r="H102" s="2">
        <v>650530.87623000005</v>
      </c>
      <c r="I102" s="2"/>
      <c r="J102" s="19">
        <f t="shared" si="7"/>
        <v>0.56964407310283338</v>
      </c>
      <c r="K102" s="2"/>
      <c r="L102" s="2">
        <f t="shared" si="8"/>
        <v>-650530.87623000005</v>
      </c>
      <c r="M102" s="2"/>
      <c r="N102" s="19">
        <f t="shared" si="9"/>
        <v>-1</v>
      </c>
      <c r="O102" s="11"/>
      <c r="P102" s="2"/>
      <c r="Q102" s="2"/>
      <c r="R102" s="19">
        <f t="shared" si="10"/>
        <v>0</v>
      </c>
      <c r="S102" s="2"/>
      <c r="T102" s="2">
        <v>2733350.26719</v>
      </c>
      <c r="U102" s="2"/>
      <c r="V102" s="19">
        <f t="shared" si="11"/>
        <v>0.62117068432715927</v>
      </c>
      <c r="W102" s="2"/>
      <c r="X102" s="2">
        <f t="shared" si="12"/>
        <v>-2733350.26719</v>
      </c>
      <c r="Y102" s="2"/>
      <c r="Z102" s="19">
        <f t="shared" si="13"/>
        <v>-1</v>
      </c>
    </row>
    <row r="103" spans="1:26" s="24" customFormat="1" hidden="1" outlineLevel="1" x14ac:dyDescent="0.25">
      <c r="A103" s="46"/>
      <c r="B103" s="11" t="str">
        <f>CONCATENATE("          ", "5001", " - ", "PURCHASES @ COST-NEW TEXT")</f>
        <v xml:space="preserve">          5001 - PURCHASES @ COST-NEW TEXT</v>
      </c>
      <c r="C103" s="11"/>
      <c r="D103" s="2">
        <v>104892.25</v>
      </c>
      <c r="E103" s="2"/>
      <c r="F103" s="19">
        <f t="shared" si="6"/>
        <v>9.6491749677013947E-2</v>
      </c>
      <c r="G103" s="2"/>
      <c r="H103" s="2"/>
      <c r="I103" s="2"/>
      <c r="J103" s="19">
        <f t="shared" si="7"/>
        <v>0</v>
      </c>
      <c r="K103" s="2"/>
      <c r="L103" s="2">
        <f t="shared" si="8"/>
        <v>104892.25</v>
      </c>
      <c r="M103" s="2"/>
      <c r="N103" s="19">
        <f t="shared" si="9"/>
        <v>0</v>
      </c>
      <c r="O103" s="11"/>
      <c r="P103" s="2">
        <v>1932650.95</v>
      </c>
      <c r="Q103" s="2"/>
      <c r="R103" s="19">
        <f t="shared" si="10"/>
        <v>0.46659811594115758</v>
      </c>
      <c r="S103" s="2"/>
      <c r="T103" s="2"/>
      <c r="U103" s="2"/>
      <c r="V103" s="19">
        <f t="shared" si="11"/>
        <v>0</v>
      </c>
      <c r="W103" s="2"/>
      <c r="X103" s="2">
        <f t="shared" si="12"/>
        <v>1932650.95</v>
      </c>
      <c r="Y103" s="2"/>
      <c r="Z103" s="19">
        <f t="shared" si="13"/>
        <v>0</v>
      </c>
    </row>
    <row r="104" spans="1:26" s="24" customFormat="1" hidden="1" outlineLevel="1" x14ac:dyDescent="0.25">
      <c r="A104" s="46"/>
      <c r="B104" s="11" t="str">
        <f>CONCATENATE("          ", "5002", " - ", "PURCHASES @ COST-USED TEXT")</f>
        <v xml:space="preserve">          5002 - PURCHASES @ COST-USED TEXT</v>
      </c>
      <c r="C104" s="11"/>
      <c r="D104" s="2">
        <v>18830.57</v>
      </c>
      <c r="E104" s="2"/>
      <c r="F104" s="19">
        <f t="shared" si="6"/>
        <v>1.7322487092378023E-2</v>
      </c>
      <c r="G104" s="2"/>
      <c r="H104" s="2"/>
      <c r="I104" s="2"/>
      <c r="J104" s="19">
        <f t="shared" si="7"/>
        <v>0</v>
      </c>
      <c r="K104" s="2"/>
      <c r="L104" s="2">
        <f t="shared" si="8"/>
        <v>18830.57</v>
      </c>
      <c r="M104" s="2"/>
      <c r="N104" s="19">
        <f t="shared" si="9"/>
        <v>0</v>
      </c>
      <c r="O104" s="11"/>
      <c r="P104" s="2">
        <v>353811.24</v>
      </c>
      <c r="Q104" s="2"/>
      <c r="R104" s="19">
        <f t="shared" si="10"/>
        <v>8.5420317612347293E-2</v>
      </c>
      <c r="S104" s="2"/>
      <c r="T104" s="2"/>
      <c r="U104" s="2"/>
      <c r="V104" s="19">
        <f t="shared" si="11"/>
        <v>0</v>
      </c>
      <c r="W104" s="2"/>
      <c r="X104" s="2">
        <f t="shared" si="12"/>
        <v>353811.24</v>
      </c>
      <c r="Y104" s="2"/>
      <c r="Z104" s="19">
        <f t="shared" si="13"/>
        <v>0</v>
      </c>
    </row>
    <row r="105" spans="1:26" s="24" customFormat="1" hidden="1" outlineLevel="1" x14ac:dyDescent="0.25">
      <c r="A105" s="46"/>
      <c r="B105" s="11" t="str">
        <f>CONCATENATE("          ", "5003", " - ", "PURCHASES @ COST-RENTAL TEXT")</f>
        <v xml:space="preserve">          5003 - PURCHASES @ COST-RENTAL TEXT</v>
      </c>
      <c r="C105" s="11"/>
      <c r="D105" s="2"/>
      <c r="E105" s="2"/>
      <c r="F105" s="19">
        <f t="shared" si="6"/>
        <v>0</v>
      </c>
      <c r="G105" s="2"/>
      <c r="H105" s="2"/>
      <c r="I105" s="2"/>
      <c r="J105" s="19">
        <f t="shared" si="7"/>
        <v>0</v>
      </c>
      <c r="K105" s="2"/>
      <c r="L105" s="2">
        <f t="shared" si="8"/>
        <v>0</v>
      </c>
      <c r="M105" s="2"/>
      <c r="N105" s="19">
        <f t="shared" si="9"/>
        <v>0</v>
      </c>
      <c r="O105" s="11"/>
      <c r="P105" s="2">
        <v>-78.400000000000006</v>
      </c>
      <c r="Q105" s="2"/>
      <c r="R105" s="19">
        <f t="shared" si="10"/>
        <v>-1.8928038862779001E-5</v>
      </c>
      <c r="S105" s="2"/>
      <c r="T105" s="2"/>
      <c r="U105" s="2"/>
      <c r="V105" s="19">
        <f t="shared" si="11"/>
        <v>0</v>
      </c>
      <c r="W105" s="2"/>
      <c r="X105" s="2">
        <f t="shared" si="12"/>
        <v>-78.400000000000006</v>
      </c>
      <c r="Y105" s="2"/>
      <c r="Z105" s="19">
        <f t="shared" si="13"/>
        <v>0</v>
      </c>
    </row>
    <row r="106" spans="1:26" s="24" customFormat="1" hidden="1" outlineLevel="1" x14ac:dyDescent="0.25">
      <c r="A106" s="46"/>
      <c r="B106" s="11" t="str">
        <f>CONCATENATE("          ", "5004", " - ", "PURCHASES @ COST-DIGITAL TEXT")</f>
        <v xml:space="preserve">          5004 - PURCHASES @ COST-DIGITAL TEXT</v>
      </c>
      <c r="C106" s="11"/>
      <c r="D106" s="2">
        <v>50761.9</v>
      </c>
      <c r="E106" s="2"/>
      <c r="F106" s="19">
        <f t="shared" si="6"/>
        <v>4.6696534280937008E-2</v>
      </c>
      <c r="G106" s="2"/>
      <c r="H106" s="2"/>
      <c r="I106" s="2"/>
      <c r="J106" s="19">
        <f t="shared" si="7"/>
        <v>0</v>
      </c>
      <c r="K106" s="2"/>
      <c r="L106" s="2">
        <f t="shared" si="8"/>
        <v>50761.9</v>
      </c>
      <c r="M106" s="2"/>
      <c r="N106" s="19">
        <f t="shared" si="9"/>
        <v>0</v>
      </c>
      <c r="O106" s="11"/>
      <c r="P106" s="2">
        <v>353728.39</v>
      </c>
      <c r="Q106" s="2"/>
      <c r="R106" s="19">
        <f t="shared" si="10"/>
        <v>8.5400315214135811E-2</v>
      </c>
      <c r="S106" s="2"/>
      <c r="T106" s="2"/>
      <c r="U106" s="2"/>
      <c r="V106" s="19">
        <f t="shared" si="11"/>
        <v>0</v>
      </c>
      <c r="W106" s="2"/>
      <c r="X106" s="2">
        <f t="shared" si="12"/>
        <v>353728.39</v>
      </c>
      <c r="Y106" s="2"/>
      <c r="Z106" s="19">
        <f t="shared" si="13"/>
        <v>0</v>
      </c>
    </row>
    <row r="107" spans="1:26" s="24" customFormat="1" hidden="1" outlineLevel="1" x14ac:dyDescent="0.25">
      <c r="A107" s="46"/>
      <c r="B107" s="11" t="str">
        <f>CONCATENATE("          ", "5011", " - ", "PURCHASES @ COST-NO VALUE TEXT")</f>
        <v xml:space="preserve">          5011 - PURCHASES @ COST-NO VALUE TEXT</v>
      </c>
      <c r="C107" s="11"/>
      <c r="D107" s="2">
        <v>2928</v>
      </c>
      <c r="E107" s="2"/>
      <c r="F107" s="19">
        <f t="shared" si="6"/>
        <v>2.6935054120232602E-3</v>
      </c>
      <c r="G107" s="2"/>
      <c r="H107" s="2"/>
      <c r="I107" s="2"/>
      <c r="J107" s="19">
        <f t="shared" si="7"/>
        <v>0</v>
      </c>
      <c r="K107" s="2"/>
      <c r="L107" s="2">
        <f t="shared" si="8"/>
        <v>2928</v>
      </c>
      <c r="M107" s="2"/>
      <c r="N107" s="19">
        <f t="shared" si="9"/>
        <v>0</v>
      </c>
      <c r="O107" s="11"/>
      <c r="P107" s="2">
        <v>3585</v>
      </c>
      <c r="Q107" s="2"/>
      <c r="R107" s="19">
        <f t="shared" si="10"/>
        <v>8.655232056513102E-4</v>
      </c>
      <c r="S107" s="2"/>
      <c r="T107" s="2"/>
      <c r="U107" s="2"/>
      <c r="V107" s="19">
        <f t="shared" si="11"/>
        <v>0</v>
      </c>
      <c r="W107" s="2"/>
      <c r="X107" s="2">
        <f t="shared" si="12"/>
        <v>3585</v>
      </c>
      <c r="Y107" s="2"/>
      <c r="Z107" s="19">
        <f t="shared" si="13"/>
        <v>0</v>
      </c>
    </row>
    <row r="108" spans="1:26" s="24" customFormat="1" hidden="1" outlineLevel="1" x14ac:dyDescent="0.25">
      <c r="A108" s="46"/>
      <c r="B108" s="11" t="str">
        <f>CONCATENATE("          ", "5013", " - ", "PURCHASES @ COST-TRADE BOOKS")</f>
        <v xml:space="preserve">          5013 - PURCHASES @ COST-TRADE BOOKS</v>
      </c>
      <c r="C108" s="11"/>
      <c r="D108" s="2">
        <v>269.89</v>
      </c>
      <c r="E108" s="2"/>
      <c r="F108" s="19">
        <f t="shared" si="6"/>
        <v>2.4827533321412492E-4</v>
      </c>
      <c r="G108" s="2"/>
      <c r="H108" s="2"/>
      <c r="I108" s="2"/>
      <c r="J108" s="19">
        <f t="shared" si="7"/>
        <v>0</v>
      </c>
      <c r="K108" s="2"/>
      <c r="L108" s="2">
        <f t="shared" si="8"/>
        <v>269.89</v>
      </c>
      <c r="M108" s="2"/>
      <c r="N108" s="19">
        <f t="shared" si="9"/>
        <v>0</v>
      </c>
      <c r="O108" s="11"/>
      <c r="P108" s="2">
        <v>474.79</v>
      </c>
      <c r="Q108" s="2"/>
      <c r="R108" s="19">
        <f t="shared" si="10"/>
        <v>1.1462810678136278E-4</v>
      </c>
      <c r="S108" s="2"/>
      <c r="T108" s="2"/>
      <c r="U108" s="2"/>
      <c r="V108" s="19">
        <f t="shared" si="11"/>
        <v>0</v>
      </c>
      <c r="W108" s="2"/>
      <c r="X108" s="2">
        <f t="shared" si="12"/>
        <v>474.79</v>
      </c>
      <c r="Y108" s="2"/>
      <c r="Z108" s="19">
        <f t="shared" si="13"/>
        <v>0</v>
      </c>
    </row>
    <row r="109" spans="1:26" s="24" customFormat="1" hidden="1" outlineLevel="1" x14ac:dyDescent="0.25">
      <c r="A109" s="46"/>
      <c r="B109" s="11" t="str">
        <f>CONCATENATE("          ", "5014", " - ", "PURCHASES @ COST-REMAINDERS")</f>
        <v xml:space="preserve">          5014 - PURCHASES @ COST-REMAINDERS</v>
      </c>
      <c r="C109" s="11"/>
      <c r="D109" s="2">
        <v>55.65</v>
      </c>
      <c r="E109" s="2"/>
      <c r="F109" s="19">
        <f t="shared" si="6"/>
        <v>5.1193161263351925E-5</v>
      </c>
      <c r="G109" s="2"/>
      <c r="H109" s="2"/>
      <c r="I109" s="2"/>
      <c r="J109" s="19">
        <f t="shared" si="7"/>
        <v>0</v>
      </c>
      <c r="K109" s="2"/>
      <c r="L109" s="2">
        <f t="shared" si="8"/>
        <v>55.65</v>
      </c>
      <c r="M109" s="2"/>
      <c r="N109" s="19">
        <f t="shared" si="9"/>
        <v>0</v>
      </c>
      <c r="O109" s="11"/>
      <c r="P109" s="2">
        <v>289.97000000000003</v>
      </c>
      <c r="Q109" s="2"/>
      <c r="R109" s="19">
        <f t="shared" si="10"/>
        <v>7.0007186594898315E-5</v>
      </c>
      <c r="S109" s="2"/>
      <c r="T109" s="2"/>
      <c r="U109" s="2"/>
      <c r="V109" s="19">
        <f t="shared" si="11"/>
        <v>0</v>
      </c>
      <c r="W109" s="2"/>
      <c r="X109" s="2">
        <f t="shared" si="12"/>
        <v>289.97000000000003</v>
      </c>
      <c r="Y109" s="2"/>
      <c r="Z109" s="19">
        <f t="shared" si="13"/>
        <v>0</v>
      </c>
    </row>
    <row r="110" spans="1:26" s="24" customFormat="1" hidden="1" outlineLevel="1" x14ac:dyDescent="0.25">
      <c r="A110" s="46"/>
      <c r="B110" s="11" t="str">
        <f>CONCATENATE("          ", "5017", " - ", "PURCHASES @ COST-DORM/HOUSEWAR")</f>
        <v xml:space="preserve">          5017 - PURCHASES @ COST-DORM/HOUSEWAR</v>
      </c>
      <c r="C110" s="11"/>
      <c r="D110" s="2">
        <v>-139.86000000000001</v>
      </c>
      <c r="E110" s="2"/>
      <c r="F110" s="19">
        <f t="shared" si="6"/>
        <v>-1.286590392505373E-4</v>
      </c>
      <c r="G110" s="2"/>
      <c r="H110" s="2"/>
      <c r="I110" s="2"/>
      <c r="J110" s="19">
        <f t="shared" si="7"/>
        <v>0</v>
      </c>
      <c r="K110" s="2"/>
      <c r="L110" s="2">
        <f t="shared" si="8"/>
        <v>-139.86000000000001</v>
      </c>
      <c r="M110" s="2"/>
      <c r="N110" s="19">
        <f t="shared" si="9"/>
        <v>0</v>
      </c>
      <c r="O110" s="11"/>
      <c r="P110" s="2">
        <v>0</v>
      </c>
      <c r="Q110" s="2"/>
      <c r="R110" s="19">
        <f t="shared" si="10"/>
        <v>0</v>
      </c>
      <c r="S110" s="2"/>
      <c r="T110" s="2"/>
      <c r="U110" s="2"/>
      <c r="V110" s="19">
        <f t="shared" si="11"/>
        <v>0</v>
      </c>
      <c r="W110" s="2"/>
      <c r="X110" s="2">
        <f t="shared" si="12"/>
        <v>0</v>
      </c>
      <c r="Y110" s="2"/>
      <c r="Z110" s="19">
        <f t="shared" si="13"/>
        <v>0</v>
      </c>
    </row>
    <row r="111" spans="1:26" s="24" customFormat="1" hidden="1" outlineLevel="1" x14ac:dyDescent="0.25">
      <c r="A111" s="46"/>
      <c r="B111" s="11" t="str">
        <f>CONCATENATE("          ", "5018", " - ", "PURCHASES @ COST-STUDY GUIDES")</f>
        <v xml:space="preserve">          5018 - PURCHASES @ COST-STUDY GUIDES</v>
      </c>
      <c r="C111" s="11"/>
      <c r="D111" s="2"/>
      <c r="E111" s="2"/>
      <c r="F111" s="19">
        <f t="shared" si="6"/>
        <v>0</v>
      </c>
      <c r="G111" s="2"/>
      <c r="H111" s="2"/>
      <c r="I111" s="2"/>
      <c r="J111" s="19">
        <f t="shared" si="7"/>
        <v>0</v>
      </c>
      <c r="K111" s="2"/>
      <c r="L111" s="2">
        <f t="shared" si="8"/>
        <v>0</v>
      </c>
      <c r="M111" s="2"/>
      <c r="N111" s="19">
        <f t="shared" si="9"/>
        <v>0</v>
      </c>
      <c r="O111" s="11"/>
      <c r="P111" s="2">
        <v>503.93</v>
      </c>
      <c r="Q111" s="2"/>
      <c r="R111" s="19">
        <f t="shared" si="10"/>
        <v>1.216633497974518E-4</v>
      </c>
      <c r="S111" s="2"/>
      <c r="T111" s="2"/>
      <c r="U111" s="2"/>
      <c r="V111" s="19">
        <f t="shared" si="11"/>
        <v>0</v>
      </c>
      <c r="W111" s="2"/>
      <c r="X111" s="2">
        <f t="shared" si="12"/>
        <v>503.93</v>
      </c>
      <c r="Y111" s="2"/>
      <c r="Z111" s="19">
        <f t="shared" si="13"/>
        <v>0</v>
      </c>
    </row>
    <row r="112" spans="1:26" s="24" customFormat="1" hidden="1" outlineLevel="1" x14ac:dyDescent="0.25">
      <c r="A112" s="46"/>
      <c r="B112" s="11" t="str">
        <f>CONCATENATE("          ", "5025", " - ", "PURCHASES @ COST-TEST FORMS")</f>
        <v xml:space="preserve">          5025 - PURCHASES @ COST-TEST FORMS</v>
      </c>
      <c r="C112" s="11"/>
      <c r="D112" s="2">
        <v>1495.25</v>
      </c>
      <c r="E112" s="2"/>
      <c r="F112" s="19">
        <f t="shared" si="6"/>
        <v>1.375499988841455E-3</v>
      </c>
      <c r="G112" s="2"/>
      <c r="H112" s="2"/>
      <c r="I112" s="2"/>
      <c r="J112" s="19">
        <f t="shared" si="7"/>
        <v>0</v>
      </c>
      <c r="K112" s="2"/>
      <c r="L112" s="2">
        <f t="shared" si="8"/>
        <v>1495.25</v>
      </c>
      <c r="M112" s="2"/>
      <c r="N112" s="19">
        <f t="shared" si="9"/>
        <v>0</v>
      </c>
      <c r="O112" s="11"/>
      <c r="P112" s="2">
        <v>3252.39</v>
      </c>
      <c r="Q112" s="2"/>
      <c r="R112" s="19">
        <f t="shared" si="10"/>
        <v>7.8522148363410445E-4</v>
      </c>
      <c r="S112" s="2"/>
      <c r="T112" s="2"/>
      <c r="U112" s="2"/>
      <c r="V112" s="19">
        <f t="shared" si="11"/>
        <v>0</v>
      </c>
      <c r="W112" s="2"/>
      <c r="X112" s="2">
        <f t="shared" si="12"/>
        <v>3252.39</v>
      </c>
      <c r="Y112" s="2"/>
      <c r="Z112" s="19">
        <f t="shared" si="13"/>
        <v>0</v>
      </c>
    </row>
    <row r="113" spans="1:26" s="24" customFormat="1" hidden="1" outlineLevel="1" x14ac:dyDescent="0.25">
      <c r="A113" s="46"/>
      <c r="B113" s="11" t="str">
        <f>CONCATENATE("          ", "5026", " - ", "PURCHASES @ COST-WRITING INSTR")</f>
        <v xml:space="preserve">          5026 - PURCHASES @ COST-WRITING INSTR</v>
      </c>
      <c r="C113" s="11"/>
      <c r="D113" s="2">
        <v>2250.85</v>
      </c>
      <c r="E113" s="2"/>
      <c r="F113" s="19">
        <f t="shared" si="6"/>
        <v>2.0705862898403537E-3</v>
      </c>
      <c r="G113" s="2"/>
      <c r="H113" s="2"/>
      <c r="I113" s="2"/>
      <c r="J113" s="19">
        <f t="shared" si="7"/>
        <v>0</v>
      </c>
      <c r="K113" s="2"/>
      <c r="L113" s="2">
        <f t="shared" si="8"/>
        <v>2250.85</v>
      </c>
      <c r="M113" s="2"/>
      <c r="N113" s="19">
        <f t="shared" si="9"/>
        <v>0</v>
      </c>
      <c r="O113" s="11"/>
      <c r="P113" s="2">
        <v>14787.38</v>
      </c>
      <c r="Q113" s="2"/>
      <c r="R113" s="19">
        <f t="shared" si="10"/>
        <v>3.5701033586566446E-3</v>
      </c>
      <c r="S113" s="2"/>
      <c r="T113" s="2"/>
      <c r="U113" s="2"/>
      <c r="V113" s="19">
        <f t="shared" si="11"/>
        <v>0</v>
      </c>
      <c r="W113" s="2"/>
      <c r="X113" s="2">
        <f t="shared" si="12"/>
        <v>14787.38</v>
      </c>
      <c r="Y113" s="2"/>
      <c r="Z113" s="19">
        <f t="shared" si="13"/>
        <v>0</v>
      </c>
    </row>
    <row r="114" spans="1:26" s="24" customFormat="1" hidden="1" outlineLevel="1" x14ac:dyDescent="0.25">
      <c r="A114" s="46"/>
      <c r="B114" s="11" t="str">
        <f>CONCATENATE("          ", "5027", " - ", "PURCHASES @ COST-SCHOOL SUPPLI")</f>
        <v xml:space="preserve">          5027 - PURCHASES @ COST-SCHOOL SUPPLI</v>
      </c>
      <c r="C114" s="11"/>
      <c r="D114" s="2">
        <v>12655.95</v>
      </c>
      <c r="E114" s="2"/>
      <c r="F114" s="19">
        <f t="shared" si="6"/>
        <v>1.1642373572163861E-2</v>
      </c>
      <c r="G114" s="2"/>
      <c r="H114" s="2"/>
      <c r="I114" s="2"/>
      <c r="J114" s="19">
        <f t="shared" si="7"/>
        <v>0</v>
      </c>
      <c r="K114" s="2"/>
      <c r="L114" s="2">
        <f t="shared" si="8"/>
        <v>12655.95</v>
      </c>
      <c r="M114" s="2"/>
      <c r="N114" s="19">
        <f t="shared" si="9"/>
        <v>0</v>
      </c>
      <c r="O114" s="11"/>
      <c r="P114" s="2">
        <v>62182.680000000008</v>
      </c>
      <c r="Q114" s="2"/>
      <c r="R114" s="19">
        <f t="shared" si="10"/>
        <v>1.501270642387437E-2</v>
      </c>
      <c r="S114" s="2"/>
      <c r="T114" s="2"/>
      <c r="U114" s="2"/>
      <c r="V114" s="19">
        <f t="shared" si="11"/>
        <v>0</v>
      </c>
      <c r="W114" s="2"/>
      <c r="X114" s="2">
        <f t="shared" si="12"/>
        <v>62182.680000000008</v>
      </c>
      <c r="Y114" s="2"/>
      <c r="Z114" s="19">
        <f t="shared" si="13"/>
        <v>0</v>
      </c>
    </row>
    <row r="115" spans="1:26" s="24" customFormat="1" hidden="1" outlineLevel="1" x14ac:dyDescent="0.25">
      <c r="A115" s="46"/>
      <c r="B115" s="11" t="str">
        <f>CONCATENATE("          ", "5028", " - ", "PURCHASES @ COST-ART/TECH")</f>
        <v xml:space="preserve">          5028 - PURCHASES @ COST-ART/TECH</v>
      </c>
      <c r="C115" s="11"/>
      <c r="D115" s="2">
        <v>14830.009999999998</v>
      </c>
      <c r="E115" s="2"/>
      <c r="F115" s="19">
        <f t="shared" si="6"/>
        <v>1.3642319738852141E-2</v>
      </c>
      <c r="G115" s="2"/>
      <c r="H115" s="2"/>
      <c r="I115" s="2"/>
      <c r="J115" s="19">
        <f t="shared" si="7"/>
        <v>0</v>
      </c>
      <c r="K115" s="2"/>
      <c r="L115" s="2">
        <f t="shared" si="8"/>
        <v>14830.009999999998</v>
      </c>
      <c r="M115" s="2"/>
      <c r="N115" s="19">
        <f t="shared" si="9"/>
        <v>0</v>
      </c>
      <c r="O115" s="11"/>
      <c r="P115" s="2">
        <v>70844.78</v>
      </c>
      <c r="Q115" s="2"/>
      <c r="R115" s="19">
        <f t="shared" si="10"/>
        <v>1.7103989146237609E-2</v>
      </c>
      <c r="S115" s="2"/>
      <c r="T115" s="2"/>
      <c r="U115" s="2"/>
      <c r="V115" s="19">
        <f t="shared" si="11"/>
        <v>0</v>
      </c>
      <c r="W115" s="2"/>
      <c r="X115" s="2">
        <f t="shared" si="12"/>
        <v>70844.78</v>
      </c>
      <c r="Y115" s="2"/>
      <c r="Z115" s="19">
        <f t="shared" si="13"/>
        <v>0</v>
      </c>
    </row>
    <row r="116" spans="1:26" s="24" customFormat="1" hidden="1" outlineLevel="1" x14ac:dyDescent="0.25">
      <c r="A116" s="46"/>
      <c r="B116" s="11" t="str">
        <f>CONCATENATE("          ", "5031", " - ", "PURCHASES @ COST-FOOD")</f>
        <v xml:space="preserve">          5031 - PURCHASES @ COST-FOOD</v>
      </c>
      <c r="C116" s="11"/>
      <c r="D116" s="2">
        <v>5471.01</v>
      </c>
      <c r="E116" s="2"/>
      <c r="F116" s="19">
        <f t="shared" si="6"/>
        <v>5.0328534987135855E-3</v>
      </c>
      <c r="G116" s="2"/>
      <c r="H116" s="2"/>
      <c r="I116" s="2"/>
      <c r="J116" s="19">
        <f t="shared" si="7"/>
        <v>0</v>
      </c>
      <c r="K116" s="2"/>
      <c r="L116" s="2">
        <f t="shared" si="8"/>
        <v>5471.01</v>
      </c>
      <c r="M116" s="2"/>
      <c r="N116" s="19">
        <f t="shared" si="9"/>
        <v>0</v>
      </c>
      <c r="O116" s="11"/>
      <c r="P116" s="2">
        <v>8150.05</v>
      </c>
      <c r="Q116" s="2"/>
      <c r="R116" s="19">
        <f t="shared" si="10"/>
        <v>1.9676589685407144E-3</v>
      </c>
      <c r="S116" s="2"/>
      <c r="T116" s="2"/>
      <c r="U116" s="2"/>
      <c r="V116" s="19">
        <f t="shared" si="11"/>
        <v>0</v>
      </c>
      <c r="W116" s="2"/>
      <c r="X116" s="2">
        <f t="shared" si="12"/>
        <v>8150.05</v>
      </c>
      <c r="Y116" s="2"/>
      <c r="Z116" s="19">
        <f t="shared" si="13"/>
        <v>0</v>
      </c>
    </row>
    <row r="117" spans="1:26" s="24" customFormat="1" hidden="1" outlineLevel="1" x14ac:dyDescent="0.25">
      <c r="A117" s="46"/>
      <c r="B117" s="11" t="str">
        <f>CONCATENATE("          ", "5032", " - ", "PURCHASES @ COST-JUICE")</f>
        <v xml:space="preserve">          5032 - PURCHASES @ COST-JUICE</v>
      </c>
      <c r="C117" s="11"/>
      <c r="D117" s="2">
        <v>477.55</v>
      </c>
      <c r="E117" s="2"/>
      <c r="F117" s="19">
        <f t="shared" si="6"/>
        <v>4.3930447729225E-4</v>
      </c>
      <c r="G117" s="2"/>
      <c r="H117" s="2"/>
      <c r="I117" s="2"/>
      <c r="J117" s="19">
        <f t="shared" si="7"/>
        <v>0</v>
      </c>
      <c r="K117" s="2"/>
      <c r="L117" s="2">
        <f t="shared" si="8"/>
        <v>477.55</v>
      </c>
      <c r="M117" s="2"/>
      <c r="N117" s="19">
        <f t="shared" si="9"/>
        <v>0</v>
      </c>
      <c r="O117" s="11"/>
      <c r="P117" s="2">
        <v>819.15</v>
      </c>
      <c r="Q117" s="2"/>
      <c r="R117" s="19">
        <f t="shared" si="10"/>
        <v>1.97766620337314E-4</v>
      </c>
      <c r="S117" s="2"/>
      <c r="T117" s="2"/>
      <c r="U117" s="2"/>
      <c r="V117" s="19">
        <f t="shared" si="11"/>
        <v>0</v>
      </c>
      <c r="W117" s="2"/>
      <c r="X117" s="2">
        <f t="shared" si="12"/>
        <v>819.15</v>
      </c>
      <c r="Y117" s="2"/>
      <c r="Z117" s="19">
        <f t="shared" si="13"/>
        <v>0</v>
      </c>
    </row>
    <row r="118" spans="1:26" s="24" customFormat="1" hidden="1" outlineLevel="1" x14ac:dyDescent="0.25">
      <c r="A118" s="46"/>
      <c r="B118" s="11" t="str">
        <f>CONCATENATE("          ", "5033", " - ", "PURCHASES @ COST-CANDY")</f>
        <v xml:space="preserve">          5033 - PURCHASES @ COST-CANDY</v>
      </c>
      <c r="C118" s="11"/>
      <c r="D118" s="2">
        <v>1366.65</v>
      </c>
      <c r="E118" s="2"/>
      <c r="F118" s="19">
        <f t="shared" si="6"/>
        <v>1.2571991705401602E-3</v>
      </c>
      <c r="G118" s="2"/>
      <c r="H118" s="2"/>
      <c r="I118" s="2"/>
      <c r="J118" s="19">
        <f t="shared" si="7"/>
        <v>0</v>
      </c>
      <c r="K118" s="2"/>
      <c r="L118" s="2">
        <f t="shared" si="8"/>
        <v>1366.65</v>
      </c>
      <c r="M118" s="2"/>
      <c r="N118" s="19">
        <f t="shared" si="9"/>
        <v>0</v>
      </c>
      <c r="O118" s="11"/>
      <c r="P118" s="2">
        <v>2353.11</v>
      </c>
      <c r="Q118" s="2"/>
      <c r="R118" s="19">
        <f t="shared" si="10"/>
        <v>5.6810915214788133E-4</v>
      </c>
      <c r="S118" s="2"/>
      <c r="T118" s="2"/>
      <c r="U118" s="2"/>
      <c r="V118" s="19">
        <f t="shared" si="11"/>
        <v>0</v>
      </c>
      <c r="W118" s="2"/>
      <c r="X118" s="2">
        <f t="shared" si="12"/>
        <v>2353.11</v>
      </c>
      <c r="Y118" s="2"/>
      <c r="Z118" s="19">
        <f t="shared" si="13"/>
        <v>0</v>
      </c>
    </row>
    <row r="119" spans="1:26" s="24" customFormat="1" hidden="1" outlineLevel="1" x14ac:dyDescent="0.25">
      <c r="A119" s="46"/>
      <c r="B119" s="11" t="str">
        <f>CONCATENATE("          ", "5034", " - ", "PURCHASES @ COST-SODA")</f>
        <v xml:space="preserve">          5034 - PURCHASES @ COST-SODA</v>
      </c>
      <c r="C119" s="11"/>
      <c r="D119" s="2">
        <v>330.04</v>
      </c>
      <c r="E119" s="2"/>
      <c r="F119" s="19">
        <f t="shared" si="6"/>
        <v>3.0360810320497161E-4</v>
      </c>
      <c r="G119" s="2"/>
      <c r="H119" s="2"/>
      <c r="I119" s="2"/>
      <c r="J119" s="19">
        <f t="shared" si="7"/>
        <v>0</v>
      </c>
      <c r="K119" s="2"/>
      <c r="L119" s="2">
        <f t="shared" si="8"/>
        <v>330.04</v>
      </c>
      <c r="M119" s="2"/>
      <c r="N119" s="19">
        <f t="shared" si="9"/>
        <v>0</v>
      </c>
      <c r="O119" s="11"/>
      <c r="P119" s="2">
        <v>618.54</v>
      </c>
      <c r="Q119" s="2"/>
      <c r="R119" s="19">
        <f t="shared" si="10"/>
        <v>1.4933353518090974E-4</v>
      </c>
      <c r="S119" s="2"/>
      <c r="T119" s="2"/>
      <c r="U119" s="2"/>
      <c r="V119" s="19">
        <f t="shared" si="11"/>
        <v>0</v>
      </c>
      <c r="W119" s="2"/>
      <c r="X119" s="2">
        <f t="shared" si="12"/>
        <v>618.54</v>
      </c>
      <c r="Y119" s="2"/>
      <c r="Z119" s="19">
        <f t="shared" si="13"/>
        <v>0</v>
      </c>
    </row>
    <row r="120" spans="1:26" s="24" customFormat="1" hidden="1" outlineLevel="1" x14ac:dyDescent="0.25">
      <c r="A120" s="46"/>
      <c r="B120" s="11" t="str">
        <f>CONCATENATE("          ", "5035", " - ", "PURCHASES @ COST-HEALTH &amp; BEAU")</f>
        <v xml:space="preserve">          5035 - PURCHASES @ COST-HEALTH &amp; BEAU</v>
      </c>
      <c r="C120" s="11"/>
      <c r="D120" s="2">
        <v>210.83</v>
      </c>
      <c r="E120" s="2"/>
      <c r="F120" s="19">
        <f t="shared" si="6"/>
        <v>1.9394526844838253E-4</v>
      </c>
      <c r="G120" s="2"/>
      <c r="H120" s="2"/>
      <c r="I120" s="2"/>
      <c r="J120" s="19">
        <f t="shared" si="7"/>
        <v>0</v>
      </c>
      <c r="K120" s="2"/>
      <c r="L120" s="2">
        <f t="shared" si="8"/>
        <v>210.83</v>
      </c>
      <c r="M120" s="2"/>
      <c r="N120" s="19">
        <f t="shared" si="9"/>
        <v>0</v>
      </c>
      <c r="O120" s="11"/>
      <c r="P120" s="2">
        <v>287.56</v>
      </c>
      <c r="Q120" s="2"/>
      <c r="R120" s="19">
        <f t="shared" si="10"/>
        <v>6.9425342543121547E-5</v>
      </c>
      <c r="S120" s="2"/>
      <c r="T120" s="2"/>
      <c r="U120" s="2"/>
      <c r="V120" s="19">
        <f t="shared" si="11"/>
        <v>0</v>
      </c>
      <c r="W120" s="2"/>
      <c r="X120" s="2">
        <f t="shared" si="12"/>
        <v>287.56</v>
      </c>
      <c r="Y120" s="2"/>
      <c r="Z120" s="19">
        <f t="shared" si="13"/>
        <v>0</v>
      </c>
    </row>
    <row r="121" spans="1:26" s="24" customFormat="1" hidden="1" outlineLevel="1" x14ac:dyDescent="0.25">
      <c r="A121" s="46"/>
      <c r="B121" s="11" t="str">
        <f>CONCATENATE("          ", "5037", " - ", "PURCHASES @ COST-WATER")</f>
        <v xml:space="preserve">          5037 - PURCHASES @ COST-WATER</v>
      </c>
      <c r="C121" s="11"/>
      <c r="D121" s="2">
        <v>896.64</v>
      </c>
      <c r="E121" s="2"/>
      <c r="F121" s="19">
        <f t="shared" si="6"/>
        <v>8.248308376490902E-4</v>
      </c>
      <c r="G121" s="2"/>
      <c r="H121" s="2"/>
      <c r="I121" s="2"/>
      <c r="J121" s="19">
        <f t="shared" si="7"/>
        <v>0</v>
      </c>
      <c r="K121" s="2"/>
      <c r="L121" s="2">
        <f t="shared" si="8"/>
        <v>896.64</v>
      </c>
      <c r="M121" s="2"/>
      <c r="N121" s="19">
        <f t="shared" si="9"/>
        <v>0</v>
      </c>
      <c r="O121" s="11"/>
      <c r="P121" s="2">
        <v>1392.58</v>
      </c>
      <c r="Q121" s="2"/>
      <c r="R121" s="19">
        <f t="shared" si="10"/>
        <v>3.3620929030011199E-4</v>
      </c>
      <c r="S121" s="2"/>
      <c r="T121" s="2"/>
      <c r="U121" s="2"/>
      <c r="V121" s="19">
        <f t="shared" si="11"/>
        <v>0</v>
      </c>
      <c r="W121" s="2"/>
      <c r="X121" s="2">
        <f t="shared" si="12"/>
        <v>1392.58</v>
      </c>
      <c r="Y121" s="2"/>
      <c r="Z121" s="19">
        <f t="shared" si="13"/>
        <v>0</v>
      </c>
    </row>
    <row r="122" spans="1:26" s="24" customFormat="1" hidden="1" outlineLevel="1" x14ac:dyDescent="0.25">
      <c r="A122" s="46"/>
      <c r="B122" s="11" t="str">
        <f>CONCATENATE("          ", "5040", " - ", "PURCHASES @ COST-LOGO CLOTHING")</f>
        <v xml:space="preserve">          5040 - PURCHASES @ COST-LOGO CLOTHING</v>
      </c>
      <c r="C122" s="11"/>
      <c r="D122" s="2">
        <v>150282.89000000001</v>
      </c>
      <c r="E122" s="2"/>
      <c r="F122" s="19">
        <f t="shared" si="6"/>
        <v>0.13824719178603018</v>
      </c>
      <c r="G122" s="2"/>
      <c r="H122" s="2"/>
      <c r="I122" s="2"/>
      <c r="J122" s="19">
        <f t="shared" si="7"/>
        <v>0</v>
      </c>
      <c r="K122" s="2"/>
      <c r="L122" s="2">
        <f t="shared" si="8"/>
        <v>150282.89000000001</v>
      </c>
      <c r="M122" s="2"/>
      <c r="N122" s="19">
        <f t="shared" si="9"/>
        <v>0</v>
      </c>
      <c r="O122" s="11"/>
      <c r="P122" s="2">
        <v>335851.86000000004</v>
      </c>
      <c r="Q122" s="2"/>
      <c r="R122" s="19">
        <f t="shared" si="10"/>
        <v>8.1084401252762922E-2</v>
      </c>
      <c r="S122" s="2"/>
      <c r="T122" s="2"/>
      <c r="U122" s="2"/>
      <c r="V122" s="19">
        <f t="shared" si="11"/>
        <v>0</v>
      </c>
      <c r="W122" s="2"/>
      <c r="X122" s="2">
        <f t="shared" si="12"/>
        <v>335851.86000000004</v>
      </c>
      <c r="Y122" s="2"/>
      <c r="Z122" s="19">
        <f t="shared" si="13"/>
        <v>0</v>
      </c>
    </row>
    <row r="123" spans="1:26" s="24" customFormat="1" hidden="1" outlineLevel="1" x14ac:dyDescent="0.25">
      <c r="A123" s="46"/>
      <c r="B123" s="11" t="str">
        <f>CONCATENATE("          ", "5041", " - ", "PURCHASES @ COST-LOGO GIFTS")</f>
        <v xml:space="preserve">          5041 - PURCHASES @ COST-LOGO GIFTS</v>
      </c>
      <c r="C123" s="11"/>
      <c r="D123" s="2">
        <v>14167.32</v>
      </c>
      <c r="E123" s="2"/>
      <c r="F123" s="19">
        <f t="shared" si="6"/>
        <v>1.3032702559380252E-2</v>
      </c>
      <c r="G123" s="2"/>
      <c r="H123" s="2"/>
      <c r="I123" s="2"/>
      <c r="J123" s="19">
        <f t="shared" si="7"/>
        <v>0</v>
      </c>
      <c r="K123" s="2"/>
      <c r="L123" s="2">
        <f t="shared" si="8"/>
        <v>14167.32</v>
      </c>
      <c r="M123" s="2"/>
      <c r="N123" s="19">
        <f t="shared" si="9"/>
        <v>0</v>
      </c>
      <c r="O123" s="11"/>
      <c r="P123" s="2">
        <v>42696.480000000003</v>
      </c>
      <c r="Q123" s="2"/>
      <c r="R123" s="19">
        <f t="shared" si="10"/>
        <v>1.0308171336018704E-2</v>
      </c>
      <c r="S123" s="2"/>
      <c r="T123" s="2"/>
      <c r="U123" s="2"/>
      <c r="V123" s="19">
        <f t="shared" si="11"/>
        <v>0</v>
      </c>
      <c r="W123" s="2"/>
      <c r="X123" s="2">
        <f t="shared" si="12"/>
        <v>42696.480000000003</v>
      </c>
      <c r="Y123" s="2"/>
      <c r="Z123" s="19">
        <f t="shared" si="13"/>
        <v>0</v>
      </c>
    </row>
    <row r="124" spans="1:26" s="24" customFormat="1" hidden="1" outlineLevel="1" x14ac:dyDescent="0.25">
      <c r="A124" s="46"/>
      <c r="B124" s="11" t="str">
        <f>CONCATENATE("          ", "5042", " - ", "PURCHASES @ COST-EVERYDAY GIFT")</f>
        <v xml:space="preserve">          5042 - PURCHASES @ COST-EVERYDAY GIFT</v>
      </c>
      <c r="C124" s="11"/>
      <c r="D124" s="2">
        <v>11559.46</v>
      </c>
      <c r="E124" s="2"/>
      <c r="F124" s="19">
        <f t="shared" si="6"/>
        <v>1.0633698111361474E-2</v>
      </c>
      <c r="G124" s="2"/>
      <c r="H124" s="2"/>
      <c r="I124" s="2"/>
      <c r="J124" s="19">
        <f t="shared" si="7"/>
        <v>0</v>
      </c>
      <c r="K124" s="2"/>
      <c r="L124" s="2">
        <f t="shared" si="8"/>
        <v>11559.46</v>
      </c>
      <c r="M124" s="2"/>
      <c r="N124" s="19">
        <f t="shared" si="9"/>
        <v>0</v>
      </c>
      <c r="O124" s="11"/>
      <c r="P124" s="2">
        <v>35291.68</v>
      </c>
      <c r="Q124" s="2"/>
      <c r="R124" s="19">
        <f t="shared" si="10"/>
        <v>8.5204373797545963E-3</v>
      </c>
      <c r="S124" s="2"/>
      <c r="T124" s="2"/>
      <c r="U124" s="2"/>
      <c r="V124" s="19">
        <f t="shared" si="11"/>
        <v>0</v>
      </c>
      <c r="W124" s="2"/>
      <c r="X124" s="2">
        <f t="shared" si="12"/>
        <v>35291.68</v>
      </c>
      <c r="Y124" s="2"/>
      <c r="Z124" s="19">
        <f t="shared" si="13"/>
        <v>0</v>
      </c>
    </row>
    <row r="125" spans="1:26" s="24" customFormat="1" hidden="1" outlineLevel="1" x14ac:dyDescent="0.25">
      <c r="A125" s="46"/>
      <c r="B125" s="11" t="str">
        <f>CONCATENATE("          ", "5043", " - ", "PURCHASES @ COST-CARDS")</f>
        <v xml:space="preserve">          5043 - PURCHASES @ COST-CARDS</v>
      </c>
      <c r="C125" s="11"/>
      <c r="D125" s="2">
        <v>495.49</v>
      </c>
      <c r="E125" s="2"/>
      <c r="F125" s="19">
        <f t="shared" si="6"/>
        <v>4.558077174191958E-4</v>
      </c>
      <c r="G125" s="2"/>
      <c r="H125" s="2"/>
      <c r="I125" s="2"/>
      <c r="J125" s="19">
        <f t="shared" si="7"/>
        <v>0</v>
      </c>
      <c r="K125" s="2"/>
      <c r="L125" s="2">
        <f t="shared" si="8"/>
        <v>495.49</v>
      </c>
      <c r="M125" s="2"/>
      <c r="N125" s="19">
        <f t="shared" si="9"/>
        <v>0</v>
      </c>
      <c r="O125" s="11"/>
      <c r="P125" s="2">
        <v>1008.99</v>
      </c>
      <c r="Q125" s="2"/>
      <c r="R125" s="19">
        <f t="shared" si="10"/>
        <v>2.4359951444075746E-4</v>
      </c>
      <c r="S125" s="2"/>
      <c r="T125" s="2"/>
      <c r="U125" s="2"/>
      <c r="V125" s="19">
        <f t="shared" si="11"/>
        <v>0</v>
      </c>
      <c r="W125" s="2"/>
      <c r="X125" s="2">
        <f t="shared" si="12"/>
        <v>1008.99</v>
      </c>
      <c r="Y125" s="2"/>
      <c r="Z125" s="19">
        <f t="shared" si="13"/>
        <v>0</v>
      </c>
    </row>
    <row r="126" spans="1:26" s="24" customFormat="1" hidden="1" outlineLevel="1" x14ac:dyDescent="0.25">
      <c r="A126" s="46"/>
      <c r="B126" s="11" t="str">
        <f>CONCATENATE("          ", "5044", " - ", "PURCHASES @ COST-ACCESSORIES")</f>
        <v xml:space="preserve">          5044 - PURCHASES @ COST-ACCESSORIES</v>
      </c>
      <c r="C126" s="11"/>
      <c r="D126" s="2">
        <v>2315.5300000000002</v>
      </c>
      <c r="E126" s="2"/>
      <c r="F126" s="19">
        <f t="shared" si="6"/>
        <v>2.1300862659502122E-3</v>
      </c>
      <c r="G126" s="2"/>
      <c r="H126" s="2"/>
      <c r="I126" s="2"/>
      <c r="J126" s="19">
        <f t="shared" si="7"/>
        <v>0</v>
      </c>
      <c r="K126" s="2"/>
      <c r="L126" s="2">
        <f t="shared" si="8"/>
        <v>2315.5300000000002</v>
      </c>
      <c r="M126" s="2"/>
      <c r="N126" s="19">
        <f t="shared" si="9"/>
        <v>0</v>
      </c>
      <c r="O126" s="11"/>
      <c r="P126" s="2">
        <v>20403.649999999998</v>
      </c>
      <c r="Q126" s="2"/>
      <c r="R126" s="19">
        <f t="shared" si="10"/>
        <v>4.926034185491591E-3</v>
      </c>
      <c r="S126" s="2"/>
      <c r="T126" s="2"/>
      <c r="U126" s="2"/>
      <c r="V126" s="19">
        <f t="shared" si="11"/>
        <v>0</v>
      </c>
      <c r="W126" s="2"/>
      <c r="X126" s="2">
        <f t="shared" si="12"/>
        <v>20403.649999999998</v>
      </c>
      <c r="Y126" s="2"/>
      <c r="Z126" s="19">
        <f t="shared" si="13"/>
        <v>0</v>
      </c>
    </row>
    <row r="127" spans="1:26" s="24" customFormat="1" hidden="1" outlineLevel="1" x14ac:dyDescent="0.25">
      <c r="A127" s="46"/>
      <c r="B127" s="11" t="str">
        <f>CONCATENATE("          ", "5045", " - ", "PURCHASES @ COST-SPECIAL ORDER")</f>
        <v xml:space="preserve">          5045 - PURCHASES @ COST-SPECIAL ORDER</v>
      </c>
      <c r="C127" s="11"/>
      <c r="D127" s="2">
        <v>4318.3999999999996</v>
      </c>
      <c r="E127" s="2"/>
      <c r="F127" s="19">
        <f t="shared" si="6"/>
        <v>3.972552517514087E-3</v>
      </c>
      <c r="G127" s="2"/>
      <c r="H127" s="2"/>
      <c r="I127" s="2"/>
      <c r="J127" s="19">
        <f t="shared" si="7"/>
        <v>0</v>
      </c>
      <c r="K127" s="2"/>
      <c r="L127" s="2">
        <f t="shared" si="8"/>
        <v>4318.3999999999996</v>
      </c>
      <c r="M127" s="2"/>
      <c r="N127" s="19">
        <f t="shared" si="9"/>
        <v>0</v>
      </c>
      <c r="O127" s="11"/>
      <c r="P127" s="2">
        <v>24464.030000000002</v>
      </c>
      <c r="Q127" s="2"/>
      <c r="R127" s="19">
        <f t="shared" si="10"/>
        <v>5.9063279410738702E-3</v>
      </c>
      <c r="S127" s="2"/>
      <c r="T127" s="2"/>
      <c r="U127" s="2"/>
      <c r="V127" s="19">
        <f t="shared" si="11"/>
        <v>0</v>
      </c>
      <c r="W127" s="2"/>
      <c r="X127" s="2">
        <f t="shared" si="12"/>
        <v>24464.030000000002</v>
      </c>
      <c r="Y127" s="2"/>
      <c r="Z127" s="19">
        <f t="shared" si="13"/>
        <v>0</v>
      </c>
    </row>
    <row r="128" spans="1:26" s="24" customFormat="1" hidden="1" outlineLevel="1" x14ac:dyDescent="0.25">
      <c r="A128" s="46"/>
      <c r="B128" s="11" t="str">
        <f>CONCATENATE("          ", "5081", " - ", "PURCHASES @ COST-ELECTRONICS")</f>
        <v xml:space="preserve">          5081 - PURCHASES @ COST-ELECTRONICS</v>
      </c>
      <c r="C128" s="11"/>
      <c r="D128" s="2">
        <v>167.92</v>
      </c>
      <c r="E128" s="2"/>
      <c r="F128" s="19">
        <f t="shared" si="6"/>
        <v>1.5447179944909353E-4</v>
      </c>
      <c r="G128" s="2"/>
      <c r="H128" s="2"/>
      <c r="I128" s="2"/>
      <c r="J128" s="19">
        <f t="shared" si="7"/>
        <v>0</v>
      </c>
      <c r="K128" s="2"/>
      <c r="L128" s="2">
        <f t="shared" si="8"/>
        <v>167.92</v>
      </c>
      <c r="M128" s="2"/>
      <c r="N128" s="19">
        <f t="shared" si="9"/>
        <v>0</v>
      </c>
      <c r="O128" s="11"/>
      <c r="P128" s="2">
        <v>472.08</v>
      </c>
      <c r="Q128" s="2"/>
      <c r="R128" s="19">
        <f t="shared" si="10"/>
        <v>1.1397383400944784E-4</v>
      </c>
      <c r="S128" s="2"/>
      <c r="T128" s="2"/>
      <c r="U128" s="2"/>
      <c r="V128" s="19">
        <f t="shared" si="11"/>
        <v>0</v>
      </c>
      <c r="W128" s="2"/>
      <c r="X128" s="2">
        <f t="shared" si="12"/>
        <v>472.08</v>
      </c>
      <c r="Y128" s="2"/>
      <c r="Z128" s="19">
        <f t="shared" si="13"/>
        <v>0</v>
      </c>
    </row>
    <row r="129" spans="1:26" s="24" customFormat="1" hidden="1" outlineLevel="1" x14ac:dyDescent="0.25">
      <c r="A129" s="46"/>
      <c r="B129" s="11" t="str">
        <f>CONCATENATE("          ", "5082", " - ", "PURCHASES @ COST-COMPUTER HARD")</f>
        <v xml:space="preserve">          5082 - PURCHASES @ COST-COMPUTER HARD</v>
      </c>
      <c r="C129" s="11"/>
      <c r="D129" s="2">
        <v>19</v>
      </c>
      <c r="E129" s="2"/>
      <c r="F129" s="19">
        <f t="shared" si="6"/>
        <v>1.7478347960533452E-5</v>
      </c>
      <c r="G129" s="2"/>
      <c r="H129" s="2"/>
      <c r="I129" s="2"/>
      <c r="J129" s="19">
        <f t="shared" si="7"/>
        <v>0</v>
      </c>
      <c r="K129" s="2"/>
      <c r="L129" s="2">
        <f t="shared" si="8"/>
        <v>19</v>
      </c>
      <c r="M129" s="2"/>
      <c r="N129" s="19">
        <f t="shared" si="9"/>
        <v>0</v>
      </c>
      <c r="O129" s="11"/>
      <c r="P129" s="2">
        <v>149.6</v>
      </c>
      <c r="Q129" s="2"/>
      <c r="R129" s="19">
        <f t="shared" si="10"/>
        <v>3.6117788442241562E-5</v>
      </c>
      <c r="S129" s="2"/>
      <c r="T129" s="2"/>
      <c r="U129" s="2"/>
      <c r="V129" s="19">
        <f t="shared" si="11"/>
        <v>0</v>
      </c>
      <c r="W129" s="2"/>
      <c r="X129" s="2">
        <f t="shared" si="12"/>
        <v>149.6</v>
      </c>
      <c r="Y129" s="2"/>
      <c r="Z129" s="19">
        <f t="shared" si="13"/>
        <v>0</v>
      </c>
    </row>
    <row r="130" spans="1:26" s="24" customFormat="1" hidden="1" outlineLevel="1" x14ac:dyDescent="0.25">
      <c r="A130" s="46"/>
      <c r="B130" s="11" t="str">
        <f>CONCATENATE("          ", "5083", " - ", "PURCHASES @ COST-COMPUTER EQUI")</f>
        <v xml:space="preserve">          5083 - PURCHASES @ COST-COMPUTER EQUI</v>
      </c>
      <c r="C130" s="11"/>
      <c r="D130" s="2">
        <v>74.55</v>
      </c>
      <c r="E130" s="2"/>
      <c r="F130" s="19">
        <f t="shared" si="6"/>
        <v>6.8579517918829943E-5</v>
      </c>
      <c r="G130" s="2"/>
      <c r="H130" s="2"/>
      <c r="I130" s="2"/>
      <c r="J130" s="19">
        <f t="shared" si="7"/>
        <v>0</v>
      </c>
      <c r="K130" s="2"/>
      <c r="L130" s="2">
        <f t="shared" si="8"/>
        <v>74.55</v>
      </c>
      <c r="M130" s="2"/>
      <c r="N130" s="19">
        <f t="shared" si="9"/>
        <v>0</v>
      </c>
      <c r="O130" s="11"/>
      <c r="P130" s="2">
        <v>156</v>
      </c>
      <c r="Q130" s="2"/>
      <c r="R130" s="19">
        <f t="shared" si="10"/>
        <v>3.7662934471856178E-5</v>
      </c>
      <c r="S130" s="2"/>
      <c r="T130" s="2"/>
      <c r="U130" s="2"/>
      <c r="V130" s="19">
        <f t="shared" si="11"/>
        <v>0</v>
      </c>
      <c r="W130" s="2"/>
      <c r="X130" s="2">
        <f t="shared" si="12"/>
        <v>156</v>
      </c>
      <c r="Y130" s="2"/>
      <c r="Z130" s="19">
        <f t="shared" si="13"/>
        <v>0</v>
      </c>
    </row>
    <row r="131" spans="1:26" s="24" customFormat="1" hidden="1" outlineLevel="1" x14ac:dyDescent="0.25">
      <c r="A131" s="46"/>
      <c r="B131" s="11" t="str">
        <f>CONCATENATE("          ", "5086", " - ", "PURCHASES @ COST-COMPUTER SUPP")</f>
        <v xml:space="preserve">          5086 - PURCHASES @ COST-COMPUTER SUPP</v>
      </c>
      <c r="C131" s="11"/>
      <c r="D131" s="2">
        <v>29</v>
      </c>
      <c r="E131" s="2"/>
      <c r="F131" s="19">
        <f t="shared" si="6"/>
        <v>2.6677478466077375E-5</v>
      </c>
      <c r="G131" s="2"/>
      <c r="H131" s="2"/>
      <c r="I131" s="2"/>
      <c r="J131" s="19">
        <f t="shared" si="7"/>
        <v>0</v>
      </c>
      <c r="K131" s="2"/>
      <c r="L131" s="2">
        <f t="shared" si="8"/>
        <v>29</v>
      </c>
      <c r="M131" s="2"/>
      <c r="N131" s="19">
        <f t="shared" si="9"/>
        <v>0</v>
      </c>
      <c r="O131" s="11"/>
      <c r="P131" s="2">
        <v>87</v>
      </c>
      <c r="Q131" s="2"/>
      <c r="R131" s="19">
        <f t="shared" si="10"/>
        <v>2.1004328840073634E-5</v>
      </c>
      <c r="S131" s="2"/>
      <c r="T131" s="2"/>
      <c r="U131" s="2"/>
      <c r="V131" s="19">
        <f t="shared" si="11"/>
        <v>0</v>
      </c>
      <c r="W131" s="2"/>
      <c r="X131" s="2">
        <f t="shared" si="12"/>
        <v>87</v>
      </c>
      <c r="Y131" s="2"/>
      <c r="Z131" s="19">
        <f t="shared" si="13"/>
        <v>0</v>
      </c>
    </row>
    <row r="132" spans="1:26" s="24" customFormat="1" hidden="1" outlineLevel="1" x14ac:dyDescent="0.25">
      <c r="A132" s="46"/>
      <c r="B132" s="11" t="str">
        <f>CONCATENATE("          ", "5092", " - ", "PURCHASES @ COST-GRAD MERCH")</f>
        <v xml:space="preserve">          5092 - PURCHASES @ COST-GRAD MERCH</v>
      </c>
      <c r="C132" s="11"/>
      <c r="D132" s="2">
        <v>-628</v>
      </c>
      <c r="E132" s="2"/>
      <c r="F132" s="19">
        <f t="shared" si="6"/>
        <v>-5.7770539574815828E-4</v>
      </c>
      <c r="G132" s="2"/>
      <c r="H132" s="2"/>
      <c r="I132" s="2"/>
      <c r="J132" s="19">
        <f t="shared" si="7"/>
        <v>0</v>
      </c>
      <c r="K132" s="2"/>
      <c r="L132" s="2">
        <f t="shared" si="8"/>
        <v>-628</v>
      </c>
      <c r="M132" s="2"/>
      <c r="N132" s="19">
        <f t="shared" si="9"/>
        <v>0</v>
      </c>
      <c r="O132" s="11"/>
      <c r="P132" s="2">
        <v>0</v>
      </c>
      <c r="Q132" s="2"/>
      <c r="R132" s="19">
        <f t="shared" si="10"/>
        <v>0</v>
      </c>
      <c r="S132" s="2"/>
      <c r="T132" s="2"/>
      <c r="U132" s="2"/>
      <c r="V132" s="19">
        <f t="shared" si="11"/>
        <v>0</v>
      </c>
      <c r="W132" s="2"/>
      <c r="X132" s="2">
        <f t="shared" si="12"/>
        <v>0</v>
      </c>
      <c r="Y132" s="2"/>
      <c r="Z132" s="19">
        <f t="shared" si="13"/>
        <v>0</v>
      </c>
    </row>
    <row r="133" spans="1:26" s="24" customFormat="1" hidden="1" outlineLevel="1" x14ac:dyDescent="0.25">
      <c r="A133" s="46"/>
      <c r="B133" s="11" t="str">
        <f>CONCATENATE("          ", "5095", " - ", "PURCHASES @ COST-CUSTOMER SERV")</f>
        <v xml:space="preserve">          5095 - PURCHASES @ COST-CUSTOMER SERV</v>
      </c>
      <c r="C133" s="11"/>
      <c r="D133" s="2"/>
      <c r="E133" s="2"/>
      <c r="F133" s="19">
        <f t="shared" si="6"/>
        <v>0</v>
      </c>
      <c r="G133" s="2"/>
      <c r="H133" s="2"/>
      <c r="I133" s="2"/>
      <c r="J133" s="19">
        <f t="shared" si="7"/>
        <v>0</v>
      </c>
      <c r="K133" s="2"/>
      <c r="L133" s="2">
        <f t="shared" si="8"/>
        <v>0</v>
      </c>
      <c r="M133" s="2"/>
      <c r="N133" s="19">
        <f t="shared" si="9"/>
        <v>0</v>
      </c>
      <c r="O133" s="11"/>
      <c r="P133" s="2">
        <v>0</v>
      </c>
      <c r="Q133" s="2"/>
      <c r="R133" s="19">
        <f t="shared" si="10"/>
        <v>0</v>
      </c>
      <c r="S133" s="2"/>
      <c r="T133" s="2"/>
      <c r="U133" s="2"/>
      <c r="V133" s="19">
        <f t="shared" si="11"/>
        <v>0</v>
      </c>
      <c r="W133" s="2"/>
      <c r="X133" s="2">
        <f t="shared" si="12"/>
        <v>0</v>
      </c>
      <c r="Y133" s="2"/>
      <c r="Z133" s="19">
        <f t="shared" si="13"/>
        <v>0</v>
      </c>
    </row>
    <row r="134" spans="1:26" s="24" customFormat="1" hidden="1" outlineLevel="1" x14ac:dyDescent="0.25">
      <c r="A134" s="46"/>
      <c r="B134" s="11" t="str">
        <f>CONCATENATE("          ", "5200", " - ", "PURCHASES OFFSET")</f>
        <v xml:space="preserve">          5200 - PURCHASES OFFSET</v>
      </c>
      <c r="C134" s="11"/>
      <c r="D134" s="2">
        <v>-279973</v>
      </c>
      <c r="E134" s="2"/>
      <c r="F134" s="19">
        <f t="shared" si="6"/>
        <v>-0.25755081650286488</v>
      </c>
      <c r="G134" s="2"/>
      <c r="H134" s="2"/>
      <c r="I134" s="2"/>
      <c r="J134" s="19">
        <f t="shared" si="7"/>
        <v>0</v>
      </c>
      <c r="K134" s="2"/>
      <c r="L134" s="2">
        <f t="shared" si="8"/>
        <v>-279973</v>
      </c>
      <c r="M134" s="2"/>
      <c r="N134" s="19">
        <f t="shared" si="9"/>
        <v>0</v>
      </c>
      <c r="O134" s="11"/>
      <c r="P134" s="2">
        <v>-2636284</v>
      </c>
      <c r="Q134" s="2"/>
      <c r="R134" s="19">
        <f t="shared" si="10"/>
        <v>-0.63647558680258254</v>
      </c>
      <c r="S134" s="2"/>
      <c r="T134" s="2"/>
      <c r="U134" s="2"/>
      <c r="V134" s="19">
        <f t="shared" si="11"/>
        <v>0</v>
      </c>
      <c r="W134" s="2"/>
      <c r="X134" s="2">
        <f t="shared" si="12"/>
        <v>-2636284</v>
      </c>
      <c r="Y134" s="2"/>
      <c r="Z134" s="19">
        <f t="shared" si="13"/>
        <v>0</v>
      </c>
    </row>
    <row r="135" spans="1:26" s="24" customFormat="1" hidden="1" outlineLevel="1" x14ac:dyDescent="0.25">
      <c r="A135" s="46"/>
      <c r="B135" s="11" t="str">
        <f>CONCATENATE("          ", "5300", " - ", "COG$ OFFSET")</f>
        <v xml:space="preserve">          5300 - COG$ OFFSET</v>
      </c>
      <c r="C135" s="11"/>
      <c r="D135" s="2">
        <v>498314.00000000006</v>
      </c>
      <c r="E135" s="2"/>
      <c r="F135" s="19">
        <f t="shared" si="6"/>
        <v>0.45840555187396148</v>
      </c>
      <c r="G135" s="2"/>
      <c r="H135" s="2"/>
      <c r="I135" s="2"/>
      <c r="J135" s="19">
        <f t="shared" si="7"/>
        <v>0</v>
      </c>
      <c r="K135" s="2"/>
      <c r="L135" s="2">
        <f t="shared" si="8"/>
        <v>498314.00000000006</v>
      </c>
      <c r="M135" s="2"/>
      <c r="N135" s="19">
        <f t="shared" si="9"/>
        <v>0</v>
      </c>
      <c r="O135" s="11"/>
      <c r="P135" s="2">
        <v>1927748</v>
      </c>
      <c r="Q135" s="2"/>
      <c r="R135" s="19">
        <f t="shared" si="10"/>
        <v>0.46541440129648587</v>
      </c>
      <c r="S135" s="2"/>
      <c r="T135" s="2"/>
      <c r="U135" s="2"/>
      <c r="V135" s="19">
        <f t="shared" si="11"/>
        <v>0</v>
      </c>
      <c r="W135" s="2"/>
      <c r="X135" s="2">
        <f t="shared" si="12"/>
        <v>1927748</v>
      </c>
      <c r="Y135" s="2"/>
      <c r="Z135" s="19">
        <f t="shared" si="13"/>
        <v>0</v>
      </c>
    </row>
    <row r="136" spans="1:26" s="24" customFormat="1" hidden="1" outlineLevel="1" x14ac:dyDescent="0.25">
      <c r="A136" s="46"/>
      <c r="B136" s="11" t="str">
        <f>CONCATENATE("          ", "5500", " - ", "FREIGHT-IN")</f>
        <v xml:space="preserve">          5500 - FREIGHT-IN</v>
      </c>
      <c r="C136" s="11"/>
      <c r="D136" s="2">
        <v>-49</v>
      </c>
      <c r="E136" s="2"/>
      <c r="F136" s="19">
        <f t="shared" si="6"/>
        <v>-4.5075739477165222E-5</v>
      </c>
      <c r="G136" s="2"/>
      <c r="H136" s="2"/>
      <c r="I136" s="2"/>
      <c r="J136" s="19">
        <f t="shared" si="7"/>
        <v>0</v>
      </c>
      <c r="K136" s="2"/>
      <c r="L136" s="2">
        <f t="shared" si="8"/>
        <v>-49</v>
      </c>
      <c r="M136" s="2"/>
      <c r="N136" s="19">
        <f t="shared" si="9"/>
        <v>0</v>
      </c>
      <c r="O136" s="11"/>
      <c r="P136" s="2">
        <v>0</v>
      </c>
      <c r="Q136" s="2"/>
      <c r="R136" s="19">
        <f t="shared" si="10"/>
        <v>0</v>
      </c>
      <c r="S136" s="2"/>
      <c r="T136" s="2"/>
      <c r="U136" s="2"/>
      <c r="V136" s="19">
        <f t="shared" si="11"/>
        <v>0</v>
      </c>
      <c r="W136" s="2"/>
      <c r="X136" s="2">
        <f t="shared" si="12"/>
        <v>0</v>
      </c>
      <c r="Y136" s="2"/>
      <c r="Z136" s="19">
        <f t="shared" si="13"/>
        <v>0</v>
      </c>
    </row>
    <row r="137" spans="1:26" s="24" customFormat="1" hidden="1" outlineLevel="1" x14ac:dyDescent="0.25">
      <c r="A137" s="46"/>
      <c r="B137" s="11" t="str">
        <f>CONCATENATE("          ", "5501", " - ", "FREIGHT-IN-NEW TEXT")</f>
        <v xml:space="preserve">          5501 - FREIGHT-IN-NEW TEXT</v>
      </c>
      <c r="C137" s="11"/>
      <c r="D137" s="2">
        <v>13859.22</v>
      </c>
      <c r="E137" s="2"/>
      <c r="F137" s="19">
        <f t="shared" si="6"/>
        <v>1.2749277348504444E-2</v>
      </c>
      <c r="G137" s="2"/>
      <c r="H137" s="2"/>
      <c r="I137" s="2"/>
      <c r="J137" s="19">
        <f t="shared" si="7"/>
        <v>0</v>
      </c>
      <c r="K137" s="2"/>
      <c r="L137" s="2">
        <f t="shared" si="8"/>
        <v>13859.22</v>
      </c>
      <c r="M137" s="2"/>
      <c r="N137" s="19">
        <f t="shared" si="9"/>
        <v>0</v>
      </c>
      <c r="O137" s="11"/>
      <c r="P137" s="2">
        <v>26583.46</v>
      </c>
      <c r="Q137" s="2"/>
      <c r="R137" s="19">
        <f t="shared" si="10"/>
        <v>6.4180199488154469E-3</v>
      </c>
      <c r="S137" s="2"/>
      <c r="T137" s="2"/>
      <c r="U137" s="2"/>
      <c r="V137" s="19">
        <f t="shared" si="11"/>
        <v>0</v>
      </c>
      <c r="W137" s="2"/>
      <c r="X137" s="2">
        <f t="shared" si="12"/>
        <v>26583.46</v>
      </c>
      <c r="Y137" s="2"/>
      <c r="Z137" s="19">
        <f t="shared" si="13"/>
        <v>0</v>
      </c>
    </row>
    <row r="138" spans="1:26" s="24" customFormat="1" hidden="1" outlineLevel="1" x14ac:dyDescent="0.25">
      <c r="A138" s="46"/>
      <c r="B138" s="11" t="str">
        <f>CONCATENATE("          ", "5502", " - ", "FREIGHT-IN-USED TEXT")</f>
        <v xml:space="preserve">          5502 - FREIGHT-IN-USED TEXT</v>
      </c>
      <c r="C138" s="11"/>
      <c r="D138" s="2">
        <v>1998.66</v>
      </c>
      <c r="E138" s="2"/>
      <c r="F138" s="19">
        <f t="shared" si="6"/>
        <v>1.8385934176210416E-3</v>
      </c>
      <c r="G138" s="2"/>
      <c r="H138" s="2"/>
      <c r="I138" s="2"/>
      <c r="J138" s="19">
        <f t="shared" si="7"/>
        <v>0</v>
      </c>
      <c r="K138" s="2"/>
      <c r="L138" s="2">
        <f t="shared" si="8"/>
        <v>1998.66</v>
      </c>
      <c r="M138" s="2"/>
      <c r="N138" s="19">
        <f t="shared" si="9"/>
        <v>0</v>
      </c>
      <c r="O138" s="11"/>
      <c r="P138" s="2">
        <v>6261.17</v>
      </c>
      <c r="Q138" s="2"/>
      <c r="R138" s="19">
        <f t="shared" si="10"/>
        <v>1.5116284322253316E-3</v>
      </c>
      <c r="S138" s="2"/>
      <c r="T138" s="2"/>
      <c r="U138" s="2"/>
      <c r="V138" s="19">
        <f t="shared" si="11"/>
        <v>0</v>
      </c>
      <c r="W138" s="2"/>
      <c r="X138" s="2">
        <f t="shared" si="12"/>
        <v>6261.17</v>
      </c>
      <c r="Y138" s="2"/>
      <c r="Z138" s="19">
        <f t="shared" si="13"/>
        <v>0</v>
      </c>
    </row>
    <row r="139" spans="1:26" s="24" customFormat="1" hidden="1" outlineLevel="1" x14ac:dyDescent="0.25">
      <c r="A139" s="46"/>
      <c r="B139" s="11" t="str">
        <f>CONCATENATE("          ", "5504", " - ", "FREIGHT-IN-DIGITAL TEXT")</f>
        <v xml:space="preserve">          5504 - FREIGHT-IN-DIGITAL TEXT</v>
      </c>
      <c r="C139" s="11"/>
      <c r="D139" s="2"/>
      <c r="E139" s="2"/>
      <c r="F139" s="19">
        <f t="shared" si="6"/>
        <v>0</v>
      </c>
      <c r="G139" s="2"/>
      <c r="H139" s="2"/>
      <c r="I139" s="2"/>
      <c r="J139" s="19">
        <f t="shared" si="7"/>
        <v>0</v>
      </c>
      <c r="K139" s="2"/>
      <c r="L139" s="2">
        <f t="shared" si="8"/>
        <v>0</v>
      </c>
      <c r="M139" s="2"/>
      <c r="N139" s="19">
        <f t="shared" si="9"/>
        <v>0</v>
      </c>
      <c r="O139" s="11"/>
      <c r="P139" s="2">
        <v>7.03</v>
      </c>
      <c r="Q139" s="2"/>
      <c r="R139" s="19">
        <f t="shared" si="10"/>
        <v>1.6972463419048007E-6</v>
      </c>
      <c r="S139" s="2"/>
      <c r="T139" s="2"/>
      <c r="U139" s="2"/>
      <c r="V139" s="19">
        <f t="shared" si="11"/>
        <v>0</v>
      </c>
      <c r="W139" s="2"/>
      <c r="X139" s="2">
        <f t="shared" si="12"/>
        <v>7.03</v>
      </c>
      <c r="Y139" s="2"/>
      <c r="Z139" s="19">
        <f t="shared" si="13"/>
        <v>0</v>
      </c>
    </row>
    <row r="140" spans="1:26" s="24" customFormat="1" hidden="1" outlineLevel="1" x14ac:dyDescent="0.25">
      <c r="A140" s="46"/>
      <c r="B140" s="11" t="str">
        <f>CONCATENATE("          ", "5526", " - ", "FREIGHT-IN-WRITING INSTRUMENTS")</f>
        <v xml:space="preserve">          5526 - FREIGHT-IN-WRITING INSTRUMENTS</v>
      </c>
      <c r="C140" s="11"/>
      <c r="D140" s="2"/>
      <c r="E140" s="2"/>
      <c r="F140" s="19">
        <f t="shared" si="6"/>
        <v>0</v>
      </c>
      <c r="G140" s="2"/>
      <c r="H140" s="2"/>
      <c r="I140" s="2"/>
      <c r="J140" s="19">
        <f t="shared" si="7"/>
        <v>0</v>
      </c>
      <c r="K140" s="2"/>
      <c r="L140" s="2">
        <f t="shared" si="8"/>
        <v>0</v>
      </c>
      <c r="M140" s="2"/>
      <c r="N140" s="19">
        <f t="shared" si="9"/>
        <v>0</v>
      </c>
      <c r="O140" s="11"/>
      <c r="P140" s="2">
        <v>56.57</v>
      </c>
      <c r="Q140" s="2"/>
      <c r="R140" s="19">
        <f t="shared" si="10"/>
        <v>1.3657642327390409E-5</v>
      </c>
      <c r="S140" s="2"/>
      <c r="T140" s="2"/>
      <c r="U140" s="2"/>
      <c r="V140" s="19">
        <f t="shared" si="11"/>
        <v>0</v>
      </c>
      <c r="W140" s="2"/>
      <c r="X140" s="2">
        <f t="shared" si="12"/>
        <v>56.57</v>
      </c>
      <c r="Y140" s="2"/>
      <c r="Z140" s="19">
        <f t="shared" si="13"/>
        <v>0</v>
      </c>
    </row>
    <row r="141" spans="1:26" s="24" customFormat="1" hidden="1" outlineLevel="1" x14ac:dyDescent="0.25">
      <c r="A141" s="46"/>
      <c r="B141" s="11" t="str">
        <f>CONCATENATE("          ", "5527", " - ", "FREIGHT-IN-SCHOOL SUPPLIES")</f>
        <v xml:space="preserve">          5527 - FREIGHT-IN-SCHOOL SUPPLIES</v>
      </c>
      <c r="C141" s="11"/>
      <c r="D141" s="2">
        <v>133.38999999999999</v>
      </c>
      <c r="E141" s="2"/>
      <c r="F141" s="19">
        <f t="shared" si="6"/>
        <v>1.2270720181345037E-4</v>
      </c>
      <c r="G141" s="2"/>
      <c r="H141" s="2"/>
      <c r="I141" s="2"/>
      <c r="J141" s="19">
        <f t="shared" si="7"/>
        <v>0</v>
      </c>
      <c r="K141" s="2"/>
      <c r="L141" s="2">
        <f t="shared" si="8"/>
        <v>133.38999999999999</v>
      </c>
      <c r="M141" s="2"/>
      <c r="N141" s="19">
        <f t="shared" si="9"/>
        <v>0</v>
      </c>
      <c r="O141" s="11"/>
      <c r="P141" s="2">
        <v>393.9</v>
      </c>
      <c r="Q141" s="2"/>
      <c r="R141" s="19">
        <f t="shared" si="10"/>
        <v>9.5098909541436839E-5</v>
      </c>
      <c r="S141" s="2"/>
      <c r="T141" s="2"/>
      <c r="U141" s="2"/>
      <c r="V141" s="19">
        <f t="shared" si="11"/>
        <v>0</v>
      </c>
      <c r="W141" s="2"/>
      <c r="X141" s="2">
        <f t="shared" si="12"/>
        <v>393.9</v>
      </c>
      <c r="Y141" s="2"/>
      <c r="Z141" s="19">
        <f t="shared" si="13"/>
        <v>0</v>
      </c>
    </row>
    <row r="142" spans="1:26" s="24" customFormat="1" hidden="1" outlineLevel="1" x14ac:dyDescent="0.25">
      <c r="A142" s="46"/>
      <c r="B142" s="11" t="str">
        <f>CONCATENATE("          ", "5528", " - ", "FREIGHT-IN-ART/TECH")</f>
        <v xml:space="preserve">          5528 - FREIGHT-IN-ART/TECH</v>
      </c>
      <c r="C142" s="11"/>
      <c r="D142" s="2">
        <v>332.97</v>
      </c>
      <c r="E142" s="2"/>
      <c r="F142" s="19">
        <f t="shared" si="6"/>
        <v>3.0630344844309598E-4</v>
      </c>
      <c r="G142" s="2"/>
      <c r="H142" s="2"/>
      <c r="I142" s="2"/>
      <c r="J142" s="19">
        <f t="shared" si="7"/>
        <v>0</v>
      </c>
      <c r="K142" s="2"/>
      <c r="L142" s="2">
        <f t="shared" si="8"/>
        <v>332.97</v>
      </c>
      <c r="M142" s="2"/>
      <c r="N142" s="19">
        <f t="shared" si="9"/>
        <v>0</v>
      </c>
      <c r="O142" s="11"/>
      <c r="P142" s="2">
        <v>632.77</v>
      </c>
      <c r="Q142" s="2"/>
      <c r="R142" s="19">
        <f t="shared" si="10"/>
        <v>1.5276907080613098E-4</v>
      </c>
      <c r="S142" s="2"/>
      <c r="T142" s="2"/>
      <c r="U142" s="2"/>
      <c r="V142" s="19">
        <f t="shared" si="11"/>
        <v>0</v>
      </c>
      <c r="W142" s="2"/>
      <c r="X142" s="2">
        <f t="shared" si="12"/>
        <v>632.77</v>
      </c>
      <c r="Y142" s="2"/>
      <c r="Z142" s="19">
        <f t="shared" si="13"/>
        <v>0</v>
      </c>
    </row>
    <row r="143" spans="1:26" s="24" customFormat="1" hidden="1" outlineLevel="1" x14ac:dyDescent="0.25">
      <c r="A143" s="46"/>
      <c r="B143" s="11" t="str">
        <f>CONCATENATE("          ", "5540", " - ", "FREIGHT-IN-LOGO CLOTHING")</f>
        <v xml:space="preserve">          5540 - FREIGHT-IN-LOGO CLOTHING</v>
      </c>
      <c r="C143" s="11"/>
      <c r="D143" s="2">
        <v>2672.92</v>
      </c>
      <c r="E143" s="2"/>
      <c r="F143" s="19">
        <f t="shared" si="6"/>
        <v>2.4588539910878463E-3</v>
      </c>
      <c r="G143" s="2"/>
      <c r="H143" s="2"/>
      <c r="I143" s="2"/>
      <c r="J143" s="19">
        <f t="shared" si="7"/>
        <v>0</v>
      </c>
      <c r="K143" s="2"/>
      <c r="L143" s="2">
        <f t="shared" si="8"/>
        <v>2672.92</v>
      </c>
      <c r="M143" s="2"/>
      <c r="N143" s="19">
        <f t="shared" si="9"/>
        <v>0</v>
      </c>
      <c r="O143" s="11"/>
      <c r="P143" s="2">
        <v>5004.8599999999997</v>
      </c>
      <c r="Q143" s="2"/>
      <c r="R143" s="19">
        <f t="shared" si="10"/>
        <v>1.2083186809026545E-3</v>
      </c>
      <c r="S143" s="2"/>
      <c r="T143" s="2"/>
      <c r="U143" s="2"/>
      <c r="V143" s="19">
        <f t="shared" si="11"/>
        <v>0</v>
      </c>
      <c r="W143" s="2"/>
      <c r="X143" s="2">
        <f t="shared" si="12"/>
        <v>5004.8599999999997</v>
      </c>
      <c r="Y143" s="2"/>
      <c r="Z143" s="19">
        <f t="shared" si="13"/>
        <v>0</v>
      </c>
    </row>
    <row r="144" spans="1:26" s="24" customFormat="1" hidden="1" outlineLevel="1" x14ac:dyDescent="0.25">
      <c r="A144" s="46"/>
      <c r="B144" s="11" t="str">
        <f>CONCATENATE("          ", "5541", " - ", "FREIGHT-IN-LOGO GIFTS")</f>
        <v xml:space="preserve">          5541 - FREIGHT-IN-LOGO GIFTS</v>
      </c>
      <c r="C144" s="11"/>
      <c r="D144" s="2">
        <v>97.6</v>
      </c>
      <c r="E144" s="2"/>
      <c r="F144" s="19">
        <f t="shared" si="6"/>
        <v>8.978351373410867E-5</v>
      </c>
      <c r="G144" s="2"/>
      <c r="H144" s="2"/>
      <c r="I144" s="2"/>
      <c r="J144" s="19">
        <f t="shared" si="7"/>
        <v>0</v>
      </c>
      <c r="K144" s="2"/>
      <c r="L144" s="2">
        <f t="shared" si="8"/>
        <v>97.6</v>
      </c>
      <c r="M144" s="2"/>
      <c r="N144" s="19">
        <f t="shared" si="9"/>
        <v>0</v>
      </c>
      <c r="O144" s="11"/>
      <c r="P144" s="2">
        <v>818.01</v>
      </c>
      <c r="Q144" s="2"/>
      <c r="R144" s="19">
        <f t="shared" si="10"/>
        <v>1.9749139120078891E-4</v>
      </c>
      <c r="S144" s="2"/>
      <c r="T144" s="2"/>
      <c r="U144" s="2"/>
      <c r="V144" s="19">
        <f t="shared" si="11"/>
        <v>0</v>
      </c>
      <c r="W144" s="2"/>
      <c r="X144" s="2">
        <f t="shared" si="12"/>
        <v>818.01</v>
      </c>
      <c r="Y144" s="2"/>
      <c r="Z144" s="19">
        <f t="shared" si="13"/>
        <v>0</v>
      </c>
    </row>
    <row r="145" spans="1:26" s="24" customFormat="1" hidden="1" outlineLevel="1" x14ac:dyDescent="0.25">
      <c r="A145" s="46"/>
      <c r="B145" s="11" t="str">
        <f>CONCATENATE("          ", "5542", " - ", "FREIGHT-IN-EVERYDAY GIFTS")</f>
        <v xml:space="preserve">          5542 - FREIGHT-IN-EVERYDAY GIFTS</v>
      </c>
      <c r="C145" s="11"/>
      <c r="D145" s="2">
        <v>58.91</v>
      </c>
      <c r="E145" s="2"/>
      <c r="F145" s="19">
        <f t="shared" si="6"/>
        <v>5.419207780815924E-5</v>
      </c>
      <c r="G145" s="2"/>
      <c r="H145" s="2"/>
      <c r="I145" s="2"/>
      <c r="J145" s="19">
        <f t="shared" si="7"/>
        <v>0</v>
      </c>
      <c r="K145" s="2"/>
      <c r="L145" s="2">
        <f t="shared" si="8"/>
        <v>58.91</v>
      </c>
      <c r="M145" s="2"/>
      <c r="N145" s="19">
        <f t="shared" si="9"/>
        <v>0</v>
      </c>
      <c r="O145" s="11"/>
      <c r="P145" s="2">
        <v>171.68</v>
      </c>
      <c r="Q145" s="2"/>
      <c r="R145" s="19">
        <f t="shared" si="10"/>
        <v>4.1448542244411976E-5</v>
      </c>
      <c r="S145" s="2"/>
      <c r="T145" s="2"/>
      <c r="U145" s="2"/>
      <c r="V145" s="19">
        <f t="shared" si="11"/>
        <v>0</v>
      </c>
      <c r="W145" s="2"/>
      <c r="X145" s="2">
        <f t="shared" si="12"/>
        <v>171.68</v>
      </c>
      <c r="Y145" s="2"/>
      <c r="Z145" s="19">
        <f t="shared" si="13"/>
        <v>0</v>
      </c>
    </row>
    <row r="146" spans="1:26" s="24" customFormat="1" hidden="1" outlineLevel="1" x14ac:dyDescent="0.25">
      <c r="A146" s="46"/>
      <c r="B146" s="11" t="str">
        <f>CONCATENATE("          ", "5543", " - ", "FREIGHT-IN-CARDS")</f>
        <v xml:space="preserve">          5543 - FREIGHT-IN-CARDS</v>
      </c>
      <c r="C146" s="11"/>
      <c r="D146" s="2"/>
      <c r="E146" s="2"/>
      <c r="F146" s="19">
        <f t="shared" si="6"/>
        <v>0</v>
      </c>
      <c r="G146" s="2"/>
      <c r="H146" s="2"/>
      <c r="I146" s="2"/>
      <c r="J146" s="19">
        <f t="shared" si="7"/>
        <v>0</v>
      </c>
      <c r="K146" s="2"/>
      <c r="L146" s="2">
        <f t="shared" si="8"/>
        <v>0</v>
      </c>
      <c r="M146" s="2"/>
      <c r="N146" s="19">
        <f t="shared" si="9"/>
        <v>0</v>
      </c>
      <c r="O146" s="11"/>
      <c r="P146" s="2">
        <v>4.58</v>
      </c>
      <c r="Q146" s="2"/>
      <c r="R146" s="19">
        <f t="shared" si="10"/>
        <v>1.1057451274429569E-6</v>
      </c>
      <c r="S146" s="2"/>
      <c r="T146" s="2"/>
      <c r="U146" s="2"/>
      <c r="V146" s="19">
        <f t="shared" si="11"/>
        <v>0</v>
      </c>
      <c r="W146" s="2"/>
      <c r="X146" s="2">
        <f t="shared" si="12"/>
        <v>4.58</v>
      </c>
      <c r="Y146" s="2"/>
      <c r="Z146" s="19">
        <f t="shared" si="13"/>
        <v>0</v>
      </c>
    </row>
    <row r="147" spans="1:26" s="24" customFormat="1" hidden="1" outlineLevel="1" x14ac:dyDescent="0.25">
      <c r="A147" s="46"/>
      <c r="B147" s="11" t="str">
        <f>CONCATENATE("          ", "5544", " - ", "FREIGHT-IN-ACCESSORIES")</f>
        <v xml:space="preserve">          5544 - FREIGHT-IN-ACCESSORIES</v>
      </c>
      <c r="C147" s="11"/>
      <c r="D147" s="2">
        <v>34.18</v>
      </c>
      <c r="E147" s="2"/>
      <c r="F147" s="19">
        <f t="shared" si="6"/>
        <v>3.1442628067949125E-5</v>
      </c>
      <c r="G147" s="2"/>
      <c r="H147" s="2"/>
      <c r="I147" s="2"/>
      <c r="J147" s="19">
        <f t="shared" si="7"/>
        <v>0</v>
      </c>
      <c r="K147" s="2"/>
      <c r="L147" s="2">
        <f t="shared" si="8"/>
        <v>34.18</v>
      </c>
      <c r="M147" s="2"/>
      <c r="N147" s="19">
        <f t="shared" si="9"/>
        <v>0</v>
      </c>
      <c r="O147" s="11"/>
      <c r="P147" s="2">
        <v>135.84</v>
      </c>
      <c r="Q147" s="2"/>
      <c r="R147" s="19">
        <f t="shared" si="10"/>
        <v>3.2795724478570147E-5</v>
      </c>
      <c r="S147" s="2"/>
      <c r="T147" s="2"/>
      <c r="U147" s="2"/>
      <c r="V147" s="19">
        <f t="shared" si="11"/>
        <v>0</v>
      </c>
      <c r="W147" s="2"/>
      <c r="X147" s="2">
        <f t="shared" si="12"/>
        <v>135.84</v>
      </c>
      <c r="Y147" s="2"/>
      <c r="Z147" s="19">
        <f t="shared" si="13"/>
        <v>0</v>
      </c>
    </row>
    <row r="148" spans="1:26" s="24" customFormat="1" hidden="1" outlineLevel="1" x14ac:dyDescent="0.25">
      <c r="A148" s="46"/>
      <c r="B148" s="11" t="str">
        <f>CONCATENATE("          ", "5545", " - ", "FREIGHT-IN-SPECIAL ORDERS")</f>
        <v xml:space="preserve">          5545 - FREIGHT-IN-SPECIAL ORDERS</v>
      </c>
      <c r="C148" s="11"/>
      <c r="D148" s="2">
        <v>26.56</v>
      </c>
      <c r="E148" s="2"/>
      <c r="F148" s="19">
        <f t="shared" si="6"/>
        <v>2.4432890622724657E-5</v>
      </c>
      <c r="G148" s="2"/>
      <c r="H148" s="2"/>
      <c r="I148" s="2"/>
      <c r="J148" s="19">
        <f t="shared" si="7"/>
        <v>0</v>
      </c>
      <c r="K148" s="2"/>
      <c r="L148" s="2">
        <f t="shared" si="8"/>
        <v>26.56</v>
      </c>
      <c r="M148" s="2"/>
      <c r="N148" s="19">
        <f t="shared" si="9"/>
        <v>0</v>
      </c>
      <c r="O148" s="11"/>
      <c r="P148" s="2">
        <v>262.51</v>
      </c>
      <c r="Q148" s="2"/>
      <c r="R148" s="19">
        <f t="shared" si="10"/>
        <v>6.3377544411583102E-5</v>
      </c>
      <c r="S148" s="2"/>
      <c r="T148" s="2"/>
      <c r="U148" s="2"/>
      <c r="V148" s="19">
        <f t="shared" si="11"/>
        <v>0</v>
      </c>
      <c r="W148" s="2"/>
      <c r="X148" s="2">
        <f t="shared" si="12"/>
        <v>262.51</v>
      </c>
      <c r="Y148" s="2"/>
      <c r="Z148" s="19">
        <f t="shared" si="13"/>
        <v>0</v>
      </c>
    </row>
    <row r="149" spans="1:26" s="24" customFormat="1" hidden="1" outlineLevel="1" x14ac:dyDescent="0.25">
      <c r="A149" s="46"/>
      <c r="B149" s="11" t="str">
        <f>CONCATENATE("          ", "5592", " - ", "FREIGHT-IN-GRAD MERCH")</f>
        <v xml:space="preserve">          5592 - FREIGHT-IN-GRAD MERCH</v>
      </c>
      <c r="C149" s="11"/>
      <c r="D149" s="2">
        <v>11.21</v>
      </c>
      <c r="E149" s="2"/>
      <c r="F149" s="19">
        <f t="shared" si="6"/>
        <v>1.0312225296714738E-5</v>
      </c>
      <c r="G149" s="2"/>
      <c r="H149" s="2"/>
      <c r="I149" s="2"/>
      <c r="J149" s="19">
        <f t="shared" si="7"/>
        <v>0</v>
      </c>
      <c r="K149" s="2"/>
      <c r="L149" s="2">
        <f t="shared" si="8"/>
        <v>11.21</v>
      </c>
      <c r="M149" s="2"/>
      <c r="N149" s="19">
        <f t="shared" si="9"/>
        <v>0</v>
      </c>
      <c r="O149" s="11"/>
      <c r="P149" s="2">
        <v>70.78</v>
      </c>
      <c r="Q149" s="2"/>
      <c r="R149" s="19">
        <f t="shared" si="10"/>
        <v>1.7088349371269104E-5</v>
      </c>
      <c r="S149" s="2"/>
      <c r="T149" s="2"/>
      <c r="U149" s="2"/>
      <c r="V149" s="19">
        <f t="shared" si="11"/>
        <v>0</v>
      </c>
      <c r="W149" s="2"/>
      <c r="X149" s="2">
        <f t="shared" si="12"/>
        <v>70.78</v>
      </c>
      <c r="Y149" s="2"/>
      <c r="Z149" s="19">
        <f t="shared" si="13"/>
        <v>0</v>
      </c>
    </row>
    <row r="150" spans="1:26" x14ac:dyDescent="0.25">
      <c r="A150" s="9"/>
      <c r="B150" s="10"/>
      <c r="C150" s="10"/>
      <c r="D150" s="3"/>
      <c r="E150" s="3"/>
      <c r="F150" s="8"/>
      <c r="G150" s="3"/>
      <c r="H150" s="3"/>
      <c r="I150" s="3"/>
      <c r="J150" s="8"/>
      <c r="K150" s="3"/>
      <c r="L150" s="3"/>
      <c r="M150" s="3"/>
      <c r="N150" s="8"/>
      <c r="O150" s="10"/>
      <c r="P150" s="3"/>
      <c r="Q150" s="3"/>
      <c r="R150" s="8"/>
      <c r="S150" s="3"/>
      <c r="T150" s="3"/>
      <c r="U150" s="3"/>
      <c r="V150" s="8"/>
      <c r="W150" s="3"/>
      <c r="X150" s="3"/>
      <c r="Y150" s="3"/>
      <c r="Z150" s="8"/>
    </row>
    <row r="151" spans="1:26" s="23" customFormat="1" x14ac:dyDescent="0.25">
      <c r="A151" s="10"/>
      <c r="B151" s="29" t="s">
        <v>6</v>
      </c>
      <c r="C151" s="29"/>
      <c r="D151" s="22">
        <f>D12-D101</f>
        <v>449156.89999999944</v>
      </c>
      <c r="E151" s="14"/>
      <c r="F151" s="20">
        <f>IF(D$12=0,0,D151/D$12)</f>
        <v>0.41318529405655358</v>
      </c>
      <c r="G151" s="14"/>
      <c r="H151" s="22">
        <f>H12-H101</f>
        <v>491464.46252000006</v>
      </c>
      <c r="I151" s="14"/>
      <c r="J151" s="20">
        <f>IF(H$12=0,0,H151/H$12)</f>
        <v>0.43035592689716662</v>
      </c>
      <c r="K151" s="15"/>
      <c r="L151" s="22">
        <f>+D151-H151</f>
        <v>-42307.562520000618</v>
      </c>
      <c r="M151" s="15"/>
      <c r="N151" s="20">
        <f>IF(H151=0,0,L151/H151)</f>
        <v>-8.6084683118423683E-2</v>
      </c>
      <c r="O151" s="28"/>
      <c r="P151" s="22">
        <f>P12-P101</f>
        <v>1539900.709999999</v>
      </c>
      <c r="Q151" s="14"/>
      <c r="R151" s="20">
        <f>IF(P$12=0,0,P151/P$12)</f>
        <v>0.3717767918839408</v>
      </c>
      <c r="S151" s="14"/>
      <c r="T151" s="22">
        <f>T12-T101</f>
        <v>1666970.50801</v>
      </c>
      <c r="U151" s="14"/>
      <c r="V151" s="20">
        <f>IF(T$12=0,0,T151/T$12)</f>
        <v>0.37882931567284073</v>
      </c>
      <c r="W151" s="15"/>
      <c r="X151" s="22">
        <f>+P151-T151</f>
        <v>-127069.79801000096</v>
      </c>
      <c r="Y151" s="15"/>
      <c r="Z151" s="20">
        <f>IF(T151=0,0,X151/T151)</f>
        <v>-7.6227982078515985E-2</v>
      </c>
    </row>
    <row r="152" spans="1:26" x14ac:dyDescent="0.25">
      <c r="A152" s="9"/>
      <c r="B152" s="10"/>
      <c r="C152" s="9"/>
      <c r="D152" s="1"/>
      <c r="E152" s="1"/>
      <c r="F152" s="5"/>
      <c r="G152" s="1"/>
      <c r="H152" s="1"/>
      <c r="I152" s="1"/>
      <c r="J152" s="5"/>
      <c r="K152" s="1"/>
      <c r="L152" s="1"/>
      <c r="M152" s="1"/>
      <c r="N152" s="5"/>
      <c r="O152" s="36"/>
      <c r="P152" s="1"/>
      <c r="Q152" s="1"/>
      <c r="R152" s="5"/>
      <c r="S152" s="1"/>
      <c r="T152" s="1"/>
      <c r="U152" s="1"/>
      <c r="V152" s="5"/>
      <c r="W152" s="1"/>
      <c r="X152" s="1"/>
      <c r="Y152" s="1"/>
      <c r="Z152" s="5"/>
    </row>
    <row r="153" spans="1:26" s="23" customFormat="1" x14ac:dyDescent="0.25">
      <c r="A153" s="10"/>
      <c r="B153" s="28" t="s">
        <v>9</v>
      </c>
      <c r="C153" s="10"/>
      <c r="D153" s="21">
        <f>SUM(OSRRefD22x_0)</f>
        <v>353983.88000000018</v>
      </c>
      <c r="E153" s="21"/>
      <c r="F153" s="33">
        <f t="shared" ref="F153:F164" si="14">IF(D$12=0,0,D153/D$12)</f>
        <v>0.3256343908978801</v>
      </c>
      <c r="G153" s="21"/>
      <c r="H153" s="21">
        <f>SUM(OSRRefH22x_0)</f>
        <v>388611.81603993074</v>
      </c>
      <c r="I153" s="21"/>
      <c r="J153" s="33">
        <f t="shared" ref="J153:J164" si="15">IF(H$12=0,0,H153/H$12)</f>
        <v>0.34029194590697337</v>
      </c>
      <c r="K153" s="4"/>
      <c r="L153" s="21">
        <f t="shared" ref="L153:L164" si="16">+D153-H153</f>
        <v>-34627.936039930559</v>
      </c>
      <c r="M153" s="4"/>
      <c r="N153" s="33">
        <f t="shared" ref="N153:N164" si="17">IF(H153=0,0,L153/H153)</f>
        <v>-8.9106750259936668E-2</v>
      </c>
      <c r="O153" s="10"/>
      <c r="P153" s="21">
        <f>SUM(OSRRefP22x_0)</f>
        <v>1120093.6200000001</v>
      </c>
      <c r="Q153" s="21"/>
      <c r="R153" s="33">
        <f t="shared" ref="R153:R164" si="18">IF(P$12=0,0,P153/P$12)</f>
        <v>0.27042315777182163</v>
      </c>
      <c r="S153" s="21"/>
      <c r="T153" s="21">
        <f>SUM(OSRRefT22x_0)</f>
        <v>1252343.2417276006</v>
      </c>
      <c r="U153" s="21"/>
      <c r="V153" s="33">
        <f t="shared" ref="V153:V164" si="19">IF(T$12=0,0,T153/T$12)</f>
        <v>0.28460271550786659</v>
      </c>
      <c r="W153" s="4"/>
      <c r="X153" s="21">
        <f t="shared" ref="X153:X164" si="20">+P153-T153</f>
        <v>-132249.62172760046</v>
      </c>
      <c r="Y153" s="4"/>
      <c r="Z153" s="33">
        <f t="shared" ref="Z153:Z164" si="21">IF(T153=0,0,X153/T153)</f>
        <v>-0.10560173706464279</v>
      </c>
    </row>
    <row r="154" spans="1:26" s="26" customFormat="1" outlineLevel="1" collapsed="1" x14ac:dyDescent="0.25">
      <c r="A154" s="27"/>
      <c r="B154" s="13" t="str">
        <f>CONCATENATE("     ","*Benefits                                         ")</f>
        <v xml:space="preserve">     *Benefits                                         </v>
      </c>
      <c r="C154" s="13"/>
      <c r="D154" s="1">
        <f>SUM(OSRRefD22_0x_0)</f>
        <v>48491.650000000009</v>
      </c>
      <c r="E154" s="1"/>
      <c r="F154" s="5">
        <f t="shared" si="14"/>
        <v>4.4608101677915901E-2</v>
      </c>
      <c r="G154" s="1"/>
      <c r="H154" s="1">
        <f>SUM(OSRRefH22_0x_0)</f>
        <v>45967.697014318408</v>
      </c>
      <c r="I154" s="1"/>
      <c r="J154" s="5">
        <f t="shared" si="15"/>
        <v>4.0252088125537808E-2</v>
      </c>
      <c r="K154" s="1"/>
      <c r="L154" s="1">
        <f t="shared" si="16"/>
        <v>2523.9529856816007</v>
      </c>
      <c r="M154" s="1"/>
      <c r="N154" s="5">
        <f t="shared" si="17"/>
        <v>5.4907101064806847E-2</v>
      </c>
      <c r="O154" s="13"/>
      <c r="P154" s="1">
        <f>SUM(OSRRefP22_0x_0)</f>
        <v>156437.29</v>
      </c>
      <c r="Q154" s="1"/>
      <c r="R154" s="5">
        <f t="shared" si="18"/>
        <v>3.7768508988620268E-2</v>
      </c>
      <c r="S154" s="1"/>
      <c r="T154" s="1">
        <f>SUM(OSRRefT22_0x_0)</f>
        <v>152669.32846381044</v>
      </c>
      <c r="U154" s="1"/>
      <c r="V154" s="5">
        <f t="shared" si="19"/>
        <v>3.4695045262210782E-2</v>
      </c>
      <c r="W154" s="1"/>
      <c r="X154" s="1">
        <f t="shared" si="20"/>
        <v>3767.9615361895703</v>
      </c>
      <c r="Y154" s="1"/>
      <c r="Z154" s="5">
        <f t="shared" si="21"/>
        <v>2.4680540447145207E-2</v>
      </c>
    </row>
    <row r="155" spans="1:26" s="24" customFormat="1" hidden="1" outlineLevel="2" x14ac:dyDescent="0.25">
      <c r="A155" s="25"/>
      <c r="B155" s="11" t="str">
        <f>CONCATENATE("          ", "6111", " - ", "F.I.C.A.")</f>
        <v xml:space="preserve">          6111 - F.I.C.A.</v>
      </c>
      <c r="C155" s="11"/>
      <c r="D155" s="7">
        <v>7396.01</v>
      </c>
      <c r="E155" s="2"/>
      <c r="F155" s="6">
        <f t="shared" si="14"/>
        <v>6.8036861210307911E-3</v>
      </c>
      <c r="G155" s="2"/>
      <c r="H155" s="7">
        <v>7526.5738263703897</v>
      </c>
      <c r="I155" s="2"/>
      <c r="J155" s="6">
        <f t="shared" si="15"/>
        <v>6.5907220204670814E-3</v>
      </c>
      <c r="K155" s="2"/>
      <c r="L155" s="7">
        <f t="shared" si="16"/>
        <v>-130.56382637038951</v>
      </c>
      <c r="M155" s="2"/>
      <c r="N155" s="6">
        <f t="shared" si="17"/>
        <v>-1.7347046529051655E-2</v>
      </c>
      <c r="O155" s="11"/>
      <c r="P155" s="7">
        <v>32396.11</v>
      </c>
      <c r="Q155" s="2"/>
      <c r="R155" s="6">
        <f t="shared" si="18"/>
        <v>7.8213626158528497E-3</v>
      </c>
      <c r="S155" s="2"/>
      <c r="T155" s="7">
        <v>32860.61222689195</v>
      </c>
      <c r="U155" s="2"/>
      <c r="V155" s="6">
        <f t="shared" si="19"/>
        <v>7.4677765339501625E-3</v>
      </c>
      <c r="W155" s="2"/>
      <c r="X155" s="7">
        <f t="shared" si="20"/>
        <v>-464.50222689194925</v>
      </c>
      <c r="Y155" s="2"/>
      <c r="Z155" s="6">
        <f t="shared" si="21"/>
        <v>-1.413553173278425E-2</v>
      </c>
    </row>
    <row r="156" spans="1:26" s="24" customFormat="1" hidden="1" outlineLevel="2" x14ac:dyDescent="0.25">
      <c r="A156" s="25"/>
      <c r="B156" s="11" t="str">
        <f>CONCATENATE("          ", "6112", " - ", "COMPENSATION INSURANCE")</f>
        <v xml:space="preserve">          6112 - COMPENSATION INSURANCE</v>
      </c>
      <c r="C156" s="11"/>
      <c r="D156" s="7">
        <v>3283.18</v>
      </c>
      <c r="E156" s="2"/>
      <c r="F156" s="6">
        <f t="shared" si="14"/>
        <v>3.0202401293191695E-3</v>
      </c>
      <c r="G156" s="2"/>
      <c r="H156" s="7">
        <v>3440.8993941923077</v>
      </c>
      <c r="I156" s="2"/>
      <c r="J156" s="6">
        <f t="shared" si="15"/>
        <v>3.013059053252031E-3</v>
      </c>
      <c r="K156" s="2"/>
      <c r="L156" s="7">
        <f t="shared" si="16"/>
        <v>-157.71939419230785</v>
      </c>
      <c r="M156" s="2"/>
      <c r="N156" s="6">
        <f t="shared" si="17"/>
        <v>-4.5836677020697894E-2</v>
      </c>
      <c r="O156" s="11"/>
      <c r="P156" s="7">
        <v>8160.02</v>
      </c>
      <c r="Q156" s="2"/>
      <c r="R156" s="6">
        <f t="shared" si="18"/>
        <v>1.9700660163399731E-3</v>
      </c>
      <c r="S156" s="2"/>
      <c r="T156" s="7">
        <v>10945.885657374998</v>
      </c>
      <c r="U156" s="2"/>
      <c r="V156" s="6">
        <f t="shared" si="19"/>
        <v>2.487519936970389E-3</v>
      </c>
      <c r="W156" s="2"/>
      <c r="X156" s="7">
        <f t="shared" si="20"/>
        <v>-2785.8656573749977</v>
      </c>
      <c r="Y156" s="2"/>
      <c r="Z156" s="6">
        <f t="shared" si="21"/>
        <v>-0.25451258532907911</v>
      </c>
    </row>
    <row r="157" spans="1:26" s="24" customFormat="1" hidden="1" outlineLevel="2" x14ac:dyDescent="0.25">
      <c r="A157" s="25"/>
      <c r="B157" s="11" t="str">
        <f>CONCATENATE("          ", "6113", " - ", "GROUP INSURANCE")</f>
        <v xml:space="preserve">          6113 - GROUP INSURANCE</v>
      </c>
      <c r="C157" s="11"/>
      <c r="D157" s="7">
        <v>19035.550000000003</v>
      </c>
      <c r="E157" s="2"/>
      <c r="F157" s="6">
        <f t="shared" si="14"/>
        <v>1.7511050869480665E-2</v>
      </c>
      <c r="G157" s="2"/>
      <c r="H157" s="7">
        <v>18510.81923076923</v>
      </c>
      <c r="I157" s="2"/>
      <c r="J157" s="6">
        <f t="shared" si="15"/>
        <v>1.6209189829995904E-2</v>
      </c>
      <c r="K157" s="2"/>
      <c r="L157" s="7">
        <f t="shared" si="16"/>
        <v>524.73076923077315</v>
      </c>
      <c r="M157" s="2"/>
      <c r="N157" s="6">
        <f t="shared" si="17"/>
        <v>2.8347247233582736E-2</v>
      </c>
      <c r="O157" s="11"/>
      <c r="P157" s="7">
        <v>56564.1</v>
      </c>
      <c r="Q157" s="2"/>
      <c r="R157" s="6">
        <f t="shared" si="18"/>
        <v>1.3656217895894357E-2</v>
      </c>
      <c r="S157" s="2"/>
      <c r="T157" s="7">
        <v>56004.15</v>
      </c>
      <c r="U157" s="2"/>
      <c r="V157" s="6">
        <f t="shared" si="19"/>
        <v>1.2727288045825373E-2</v>
      </c>
      <c r="W157" s="2"/>
      <c r="X157" s="7">
        <f t="shared" si="20"/>
        <v>559.94999999999709</v>
      </c>
      <c r="Y157" s="2"/>
      <c r="Z157" s="6">
        <f t="shared" si="21"/>
        <v>9.998366192505324E-3</v>
      </c>
    </row>
    <row r="158" spans="1:26" s="24" customFormat="1" hidden="1" outlineLevel="2" x14ac:dyDescent="0.25">
      <c r="A158" s="25"/>
      <c r="B158" s="11" t="str">
        <f>CONCATENATE("          ", "6114", " - ", "STATE UNEMPLOYMENT INSURANCE")</f>
        <v xml:space="preserve">          6114 - STATE UNEMPLOYMENT INSURANCE</v>
      </c>
      <c r="C158" s="11"/>
      <c r="D158" s="7">
        <v>554.65</v>
      </c>
      <c r="E158" s="2"/>
      <c r="F158" s="6">
        <f t="shared" si="14"/>
        <v>5.1022977348999358E-4</v>
      </c>
      <c r="G158" s="2"/>
      <c r="H158" s="7">
        <v>489.05082020991199</v>
      </c>
      <c r="I158" s="2"/>
      <c r="J158" s="6">
        <f t="shared" si="15"/>
        <v>4.2824239610751382E-4</v>
      </c>
      <c r="K158" s="2"/>
      <c r="L158" s="7">
        <f t="shared" si="16"/>
        <v>65.599179790087987</v>
      </c>
      <c r="M158" s="2"/>
      <c r="N158" s="6">
        <f t="shared" si="17"/>
        <v>0.13413571162590279</v>
      </c>
      <c r="O158" s="11"/>
      <c r="P158" s="7">
        <v>1404.42</v>
      </c>
      <c r="Q158" s="2"/>
      <c r="R158" s="6">
        <f t="shared" si="18"/>
        <v>3.3906781045489907E-4</v>
      </c>
      <c r="S158" s="2"/>
      <c r="T158" s="7">
        <v>1552.3777980891439</v>
      </c>
      <c r="U158" s="2"/>
      <c r="V158" s="6">
        <f t="shared" si="19"/>
        <v>3.527874165079673E-4</v>
      </c>
      <c r="W158" s="2"/>
      <c r="X158" s="7">
        <f t="shared" si="20"/>
        <v>-147.95779808914381</v>
      </c>
      <c r="Y158" s="2"/>
      <c r="Z158" s="6">
        <f t="shared" si="21"/>
        <v>-9.5310431694699785E-2</v>
      </c>
    </row>
    <row r="159" spans="1:26" s="24" customFormat="1" hidden="1" outlineLevel="2" x14ac:dyDescent="0.25">
      <c r="A159" s="25"/>
      <c r="B159" s="11" t="str">
        <f>CONCATENATE("          ", "6115", " - ", "P.E.R.S.")</f>
        <v xml:space="preserve">          6115 - P.E.R.S.</v>
      </c>
      <c r="C159" s="11"/>
      <c r="D159" s="7">
        <v>6384.79</v>
      </c>
      <c r="E159" s="2"/>
      <c r="F159" s="6">
        <f t="shared" si="14"/>
        <v>5.8734516460491777E-3</v>
      </c>
      <c r="G159" s="2"/>
      <c r="H159" s="7">
        <v>6008.5115279230686</v>
      </c>
      <c r="I159" s="2"/>
      <c r="J159" s="6">
        <f t="shared" si="15"/>
        <v>5.2614151074380361E-3</v>
      </c>
      <c r="K159" s="2"/>
      <c r="L159" s="7">
        <f t="shared" si="16"/>
        <v>376.27847207693139</v>
      </c>
      <c r="M159" s="2"/>
      <c r="N159" s="6">
        <f t="shared" si="17"/>
        <v>6.2624240683948174E-2</v>
      </c>
      <c r="O159" s="11"/>
      <c r="P159" s="7">
        <v>18689.96</v>
      </c>
      <c r="Q159" s="2"/>
      <c r="R159" s="6">
        <f t="shared" si="18"/>
        <v>4.5122996074462374E-3</v>
      </c>
      <c r="S159" s="2"/>
      <c r="T159" s="7">
        <v>19527.662465749978</v>
      </c>
      <c r="U159" s="2"/>
      <c r="V159" s="6">
        <f t="shared" si="19"/>
        <v>4.4377815762448409E-3</v>
      </c>
      <c r="W159" s="2"/>
      <c r="X159" s="7">
        <f t="shared" si="20"/>
        <v>-837.70246574997873</v>
      </c>
      <c r="Y159" s="2"/>
      <c r="Z159" s="6">
        <f t="shared" si="21"/>
        <v>-4.2898245871426988E-2</v>
      </c>
    </row>
    <row r="160" spans="1:26" s="24" customFormat="1" hidden="1" outlineLevel="2" x14ac:dyDescent="0.25">
      <c r="A160" s="25"/>
      <c r="B160" s="11" t="str">
        <f>CONCATENATE("          ", "6116", " - ", "EDUCATIONAL BENEFITS")</f>
        <v xml:space="preserve">          6116 - EDUCATIONAL BENEFITS</v>
      </c>
      <c r="C160" s="11"/>
      <c r="D160" s="7"/>
      <c r="E160" s="2"/>
      <c r="F160" s="6">
        <f t="shared" si="14"/>
        <v>0</v>
      </c>
      <c r="G160" s="2"/>
      <c r="H160" s="7">
        <v>0</v>
      </c>
      <c r="I160" s="2"/>
      <c r="J160" s="6">
        <f t="shared" si="15"/>
        <v>0</v>
      </c>
      <c r="K160" s="2"/>
      <c r="L160" s="7">
        <f t="shared" si="16"/>
        <v>0</v>
      </c>
      <c r="M160" s="2"/>
      <c r="N160" s="6">
        <f t="shared" si="17"/>
        <v>0</v>
      </c>
      <c r="O160" s="11"/>
      <c r="P160" s="7"/>
      <c r="Q160" s="2"/>
      <c r="R160" s="6">
        <f t="shared" si="18"/>
        <v>0</v>
      </c>
      <c r="S160" s="2"/>
      <c r="T160" s="7">
        <v>0</v>
      </c>
      <c r="U160" s="2"/>
      <c r="V160" s="6">
        <f t="shared" si="19"/>
        <v>0</v>
      </c>
      <c r="W160" s="2"/>
      <c r="X160" s="7">
        <f t="shared" si="20"/>
        <v>0</v>
      </c>
      <c r="Y160" s="2"/>
      <c r="Z160" s="6">
        <f t="shared" si="21"/>
        <v>0</v>
      </c>
    </row>
    <row r="161" spans="1:26" s="24" customFormat="1" hidden="1" outlineLevel="2" x14ac:dyDescent="0.25">
      <c r="A161" s="25"/>
      <c r="B161" s="11" t="str">
        <f>CONCATENATE("          ", "6117", " - ", "RETIREMENT STAFF HOURLY")</f>
        <v xml:space="preserve">          6117 - RETIREMENT STAFF HOURLY</v>
      </c>
      <c r="C161" s="11"/>
      <c r="D161" s="7">
        <v>145.97</v>
      </c>
      <c r="E161" s="2"/>
      <c r="F161" s="6">
        <f t="shared" si="14"/>
        <v>1.3427970798942463E-4</v>
      </c>
      <c r="G161" s="2"/>
      <c r="H161" s="7"/>
      <c r="I161" s="2"/>
      <c r="J161" s="6">
        <f t="shared" si="15"/>
        <v>0</v>
      </c>
      <c r="K161" s="2"/>
      <c r="L161" s="7">
        <f t="shared" si="16"/>
        <v>145.97</v>
      </c>
      <c r="M161" s="2"/>
      <c r="N161" s="6">
        <f t="shared" si="17"/>
        <v>0</v>
      </c>
      <c r="O161" s="11"/>
      <c r="P161" s="7">
        <v>461.34</v>
      </c>
      <c r="Q161" s="2"/>
      <c r="R161" s="6">
        <f t="shared" si="18"/>
        <v>1.1138088582850081E-4</v>
      </c>
      <c r="S161" s="2"/>
      <c r="T161" s="7"/>
      <c r="U161" s="2"/>
      <c r="V161" s="6">
        <f t="shared" si="19"/>
        <v>0</v>
      </c>
      <c r="W161" s="2"/>
      <c r="X161" s="7">
        <f t="shared" si="20"/>
        <v>461.34</v>
      </c>
      <c r="Y161" s="2"/>
      <c r="Z161" s="6">
        <f t="shared" si="21"/>
        <v>0</v>
      </c>
    </row>
    <row r="162" spans="1:26" s="24" customFormat="1" hidden="1" outlineLevel="2" x14ac:dyDescent="0.25">
      <c r="A162" s="25"/>
      <c r="B162" s="11" t="str">
        <f>CONCATENATE("          ", "6118", " - ", "VACATION")</f>
        <v xml:space="preserve">          6118 - VACATION</v>
      </c>
      <c r="C162" s="11"/>
      <c r="D162" s="7">
        <v>5425.46</v>
      </c>
      <c r="E162" s="2"/>
      <c r="F162" s="6">
        <f t="shared" si="14"/>
        <v>4.9909514592608329E-3</v>
      </c>
      <c r="G162" s="2"/>
      <c r="H162" s="7">
        <v>4376.602598938458</v>
      </c>
      <c r="I162" s="2"/>
      <c r="J162" s="6">
        <f t="shared" si="15"/>
        <v>3.8324172178574555E-3</v>
      </c>
      <c r="K162" s="2"/>
      <c r="L162" s="7">
        <f t="shared" si="16"/>
        <v>1048.8574010615421</v>
      </c>
      <c r="M162" s="2"/>
      <c r="N162" s="6">
        <f t="shared" si="17"/>
        <v>0.23965104835333731</v>
      </c>
      <c r="O162" s="11"/>
      <c r="P162" s="7">
        <v>17465.22</v>
      </c>
      <c r="Q162" s="2"/>
      <c r="R162" s="6">
        <f t="shared" si="18"/>
        <v>4.2166117717727693E-3</v>
      </c>
      <c r="S162" s="2"/>
      <c r="T162" s="7">
        <v>14223.958446549992</v>
      </c>
      <c r="U162" s="2"/>
      <c r="V162" s="6">
        <f t="shared" si="19"/>
        <v>3.2324821696444383E-3</v>
      </c>
      <c r="W162" s="2"/>
      <c r="X162" s="7">
        <f t="shared" si="20"/>
        <v>3241.2615534500092</v>
      </c>
      <c r="Y162" s="2"/>
      <c r="Z162" s="6">
        <f t="shared" si="21"/>
        <v>0.22787338458769008</v>
      </c>
    </row>
    <row r="163" spans="1:26" s="24" customFormat="1" hidden="1" outlineLevel="2" x14ac:dyDescent="0.25">
      <c r="A163" s="25"/>
      <c r="B163" s="11" t="str">
        <f>CONCATENATE("          ", "6119", " - ", "SICK LEAVE")</f>
        <v xml:space="preserve">          6119 - SICK LEAVE</v>
      </c>
      <c r="C163" s="11"/>
      <c r="D163" s="7">
        <v>4119.51</v>
      </c>
      <c r="E163" s="2"/>
      <c r="F163" s="6">
        <f t="shared" si="14"/>
        <v>3.7895910108893247E-3</v>
      </c>
      <c r="G163" s="2"/>
      <c r="H163" s="7">
        <v>4065.2396159150458</v>
      </c>
      <c r="I163" s="2"/>
      <c r="J163" s="6">
        <f t="shared" si="15"/>
        <v>3.5597690095344491E-3</v>
      </c>
      <c r="K163" s="2"/>
      <c r="L163" s="7">
        <f t="shared" si="16"/>
        <v>54.270384084954458</v>
      </c>
      <c r="M163" s="2"/>
      <c r="N163" s="6">
        <f t="shared" si="17"/>
        <v>1.334986106907224E-2</v>
      </c>
      <c r="O163" s="11"/>
      <c r="P163" s="7">
        <v>15501.76</v>
      </c>
      <c r="Q163" s="2"/>
      <c r="R163" s="6">
        <f t="shared" si="18"/>
        <v>3.7425754556310331E-3</v>
      </c>
      <c r="S163" s="2"/>
      <c r="T163" s="7">
        <v>12904.681869154392</v>
      </c>
      <c r="U163" s="2"/>
      <c r="V163" s="6">
        <f t="shared" si="19"/>
        <v>2.9326684413292252E-3</v>
      </c>
      <c r="W163" s="2"/>
      <c r="X163" s="7">
        <f t="shared" si="20"/>
        <v>2597.078130845608</v>
      </c>
      <c r="Y163" s="2"/>
      <c r="Z163" s="6">
        <f t="shared" si="21"/>
        <v>0.20125084501721135</v>
      </c>
    </row>
    <row r="164" spans="1:26" s="24" customFormat="1" hidden="1" outlineLevel="2" x14ac:dyDescent="0.25">
      <c r="A164" s="25"/>
      <c r="B164" s="11" t="str">
        <f>CONCATENATE("          ", "6156", " - ", "EMPLOYEE MEALS")</f>
        <v xml:space="preserve">          6156 - EMPLOYEE MEALS</v>
      </c>
      <c r="C164" s="11"/>
      <c r="D164" s="7">
        <v>2146.5300000000002</v>
      </c>
      <c r="E164" s="2"/>
      <c r="F164" s="6">
        <f t="shared" si="14"/>
        <v>1.9746209604065198E-3</v>
      </c>
      <c r="G164" s="2"/>
      <c r="H164" s="7">
        <v>1550</v>
      </c>
      <c r="I164" s="2"/>
      <c r="J164" s="6">
        <f t="shared" si="15"/>
        <v>1.3572734908853408E-3</v>
      </c>
      <c r="K164" s="2"/>
      <c r="L164" s="7">
        <f t="shared" si="16"/>
        <v>596.5300000000002</v>
      </c>
      <c r="M164" s="2"/>
      <c r="N164" s="6">
        <f t="shared" si="17"/>
        <v>0.38485806451612914</v>
      </c>
      <c r="O164" s="11"/>
      <c r="P164" s="7">
        <v>5794.36</v>
      </c>
      <c r="Q164" s="2"/>
      <c r="R164" s="6">
        <f t="shared" si="18"/>
        <v>1.3989269293996445E-3</v>
      </c>
      <c r="S164" s="2"/>
      <c r="T164" s="7">
        <v>4650</v>
      </c>
      <c r="U164" s="2"/>
      <c r="V164" s="6">
        <f t="shared" si="19"/>
        <v>1.0567411417383888E-3</v>
      </c>
      <c r="W164" s="2"/>
      <c r="X164" s="7">
        <f t="shared" si="20"/>
        <v>1144.3599999999997</v>
      </c>
      <c r="Y164" s="2"/>
      <c r="Z164" s="6">
        <f t="shared" si="21"/>
        <v>0.24609892473118272</v>
      </c>
    </row>
    <row r="165" spans="1:26" s="26" customFormat="1" outlineLevel="1" collapsed="1" x14ac:dyDescent="0.25">
      <c r="A165" s="27"/>
      <c r="B165" s="13" t="str">
        <f>CONCATENATE("     ","*Payroll                                          ")</f>
        <v xml:space="preserve">     *Payroll                                          </v>
      </c>
      <c r="C165" s="13"/>
      <c r="D165" s="1">
        <f>SUM(OSRRefD22_1x_0)</f>
        <v>172459.12</v>
      </c>
      <c r="E165" s="1"/>
      <c r="F165" s="5">
        <f t="shared" ref="F165:F175" si="22">IF(D$12=0,0,D165/D$12)</f>
        <v>0.15864739517512599</v>
      </c>
      <c r="G165" s="1"/>
      <c r="H165" s="1">
        <f>SUM(OSRRefH22_1x_0)</f>
        <v>180809.61902561231</v>
      </c>
      <c r="I165" s="1"/>
      <c r="J165" s="5">
        <f t="shared" ref="J165:J175" si="23">IF(H$12=0,0,H165/H$12)</f>
        <v>0.15832780825841378</v>
      </c>
      <c r="K165" s="1"/>
      <c r="L165" s="1">
        <f t="shared" ref="L165:L175" si="24">+D165-H165</f>
        <v>-8350.4990256123128</v>
      </c>
      <c r="M165" s="1"/>
      <c r="N165" s="5">
        <f t="shared" ref="N165:N175" si="25">IF(H165=0,0,L165/H165)</f>
        <v>-4.6183931311914526E-2</v>
      </c>
      <c r="O165" s="13"/>
      <c r="P165" s="1">
        <f>SUM(OSRRefP22_1x_0)</f>
        <v>566591.30000000005</v>
      </c>
      <c r="Q165" s="1"/>
      <c r="R165" s="5">
        <f t="shared" ref="R165:R175" si="26">IF(P$12=0,0,P165/P$12)</f>
        <v>0.13679160900143464</v>
      </c>
      <c r="S165" s="1"/>
      <c r="T165" s="1">
        <f>SUM(OSRRefT22_1x_0)</f>
        <v>573645.41326379008</v>
      </c>
      <c r="U165" s="1"/>
      <c r="V165" s="5">
        <f t="shared" ref="V165:V175" si="27">IF(T$12=0,0,T165/T$12)</f>
        <v>0.13036445354093923</v>
      </c>
      <c r="W165" s="1"/>
      <c r="X165" s="1">
        <f t="shared" ref="X165:X175" si="28">+P165-T165</f>
        <v>-7054.11326379003</v>
      </c>
      <c r="Y165" s="1"/>
      <c r="Z165" s="5">
        <f t="shared" ref="Z165:Z175" si="29">IF(T165=0,0,X165/T165)</f>
        <v>-1.2296992359191418E-2</v>
      </c>
    </row>
    <row r="166" spans="1:26" s="24" customFormat="1" hidden="1" outlineLevel="2" x14ac:dyDescent="0.25">
      <c r="A166" s="25"/>
      <c r="B166" s="11" t="str">
        <f>CONCATENATE("          ", "6001", " - ", "ADMINISTRATIVE SALARIES")</f>
        <v xml:space="preserve">          6001 - ADMINISTRATIVE SALARIES</v>
      </c>
      <c r="C166" s="11"/>
      <c r="D166" s="7">
        <v>10717.14</v>
      </c>
      <c r="E166" s="2"/>
      <c r="F166" s="6">
        <f t="shared" si="22"/>
        <v>9.8588369506184981E-3</v>
      </c>
      <c r="G166" s="2"/>
      <c r="H166" s="7">
        <v>24506.560901846147</v>
      </c>
      <c r="I166" s="2"/>
      <c r="J166" s="6">
        <f t="shared" si="23"/>
        <v>2.1459422880543824E-2</v>
      </c>
      <c r="K166" s="2"/>
      <c r="L166" s="7">
        <f t="shared" si="24"/>
        <v>-13789.420901846148</v>
      </c>
      <c r="M166" s="2"/>
      <c r="N166" s="6">
        <f t="shared" si="25"/>
        <v>-0.5626828242883869</v>
      </c>
      <c r="O166" s="11"/>
      <c r="P166" s="7">
        <v>33758.700000000004</v>
      </c>
      <c r="Q166" s="2"/>
      <c r="R166" s="6">
        <f t="shared" si="26"/>
        <v>8.1503314484298161E-3</v>
      </c>
      <c r="S166" s="2"/>
      <c r="T166" s="7">
        <v>79646.322930999988</v>
      </c>
      <c r="U166" s="2"/>
      <c r="V166" s="6">
        <f t="shared" si="27"/>
        <v>1.8100117468681579E-2</v>
      </c>
      <c r="W166" s="2"/>
      <c r="X166" s="7">
        <f t="shared" si="28"/>
        <v>-45887.622930999984</v>
      </c>
      <c r="Y166" s="2"/>
      <c r="Z166" s="6">
        <f t="shared" si="29"/>
        <v>-0.57614239103987031</v>
      </c>
    </row>
    <row r="167" spans="1:26" s="24" customFormat="1" hidden="1" outlineLevel="2" x14ac:dyDescent="0.25">
      <c r="A167" s="25"/>
      <c r="B167" s="11" t="str">
        <f>CONCATENATE("          ", "6002", " - ", "STAFF SALARIES")</f>
        <v xml:space="preserve">          6002 - STAFF SALARIES</v>
      </c>
      <c r="C167" s="11"/>
      <c r="D167" s="7">
        <v>59285.080000000009</v>
      </c>
      <c r="E167" s="2"/>
      <c r="F167" s="6">
        <f t="shared" si="22"/>
        <v>5.4537118795161196E-2</v>
      </c>
      <c r="G167" s="2"/>
      <c r="H167" s="7">
        <v>39132.03454564618</v>
      </c>
      <c r="I167" s="2"/>
      <c r="J167" s="6">
        <f t="shared" si="23"/>
        <v>3.4266369763364481E-2</v>
      </c>
      <c r="K167" s="2"/>
      <c r="L167" s="7">
        <f t="shared" si="24"/>
        <v>20153.045454353829</v>
      </c>
      <c r="M167" s="2"/>
      <c r="N167" s="6">
        <f t="shared" si="25"/>
        <v>0.51500121801349197</v>
      </c>
      <c r="O167" s="11"/>
      <c r="P167" s="7">
        <v>179921.16</v>
      </c>
      <c r="Q167" s="2"/>
      <c r="R167" s="6">
        <f t="shared" si="26"/>
        <v>4.3438197815258657E-2</v>
      </c>
      <c r="S167" s="2"/>
      <c r="T167" s="7">
        <v>127179.11227335005</v>
      </c>
      <c r="U167" s="2"/>
      <c r="V167" s="6">
        <f t="shared" si="27"/>
        <v>2.8902236625594553E-2</v>
      </c>
      <c r="W167" s="2"/>
      <c r="X167" s="7">
        <f t="shared" si="28"/>
        <v>52742.047726649951</v>
      </c>
      <c r="Y167" s="2"/>
      <c r="Z167" s="6">
        <f t="shared" si="29"/>
        <v>0.41470683969935107</v>
      </c>
    </row>
    <row r="168" spans="1:26" s="24" customFormat="1" hidden="1" outlineLevel="2" x14ac:dyDescent="0.25">
      <c r="A168" s="25"/>
      <c r="B168" s="11" t="str">
        <f>CONCATENATE("          ", "6003", " - ", "STAFF HOURLY-9 MONTH")</f>
        <v xml:space="preserve">          6003 - STAFF HOURLY-9 MONTH</v>
      </c>
      <c r="C168" s="11"/>
      <c r="D168" s="7"/>
      <c r="E168" s="2"/>
      <c r="F168" s="6">
        <f t="shared" si="22"/>
        <v>0</v>
      </c>
      <c r="G168" s="2"/>
      <c r="H168" s="7">
        <v>0</v>
      </c>
      <c r="I168" s="2"/>
      <c r="J168" s="6">
        <f t="shared" si="23"/>
        <v>0</v>
      </c>
      <c r="K168" s="2"/>
      <c r="L168" s="7">
        <f t="shared" si="24"/>
        <v>0</v>
      </c>
      <c r="M168" s="2"/>
      <c r="N168" s="6">
        <f t="shared" si="25"/>
        <v>0</v>
      </c>
      <c r="O168" s="11"/>
      <c r="P168" s="7"/>
      <c r="Q168" s="2"/>
      <c r="R168" s="6">
        <f t="shared" si="26"/>
        <v>0</v>
      </c>
      <c r="S168" s="2"/>
      <c r="T168" s="7">
        <v>0</v>
      </c>
      <c r="U168" s="2"/>
      <c r="V168" s="6">
        <f t="shared" si="27"/>
        <v>0</v>
      </c>
      <c r="W168" s="2"/>
      <c r="X168" s="7">
        <f t="shared" si="28"/>
        <v>0</v>
      </c>
      <c r="Y168" s="2"/>
      <c r="Z168" s="6">
        <f t="shared" si="29"/>
        <v>0</v>
      </c>
    </row>
    <row r="169" spans="1:26" s="24" customFormat="1" hidden="1" outlineLevel="2" x14ac:dyDescent="0.25">
      <c r="A169" s="25"/>
      <c r="B169" s="11" t="str">
        <f>CONCATENATE("          ", "6004", " - ", "STAFF HOURLY")</f>
        <v xml:space="preserve">          6004 - STAFF HOURLY</v>
      </c>
      <c r="C169" s="11"/>
      <c r="D169" s="7">
        <v>1265.96</v>
      </c>
      <c r="E169" s="2"/>
      <c r="F169" s="6">
        <f t="shared" si="22"/>
        <v>1.1645731254798385E-3</v>
      </c>
      <c r="G169" s="2"/>
      <c r="H169" s="7">
        <v>21701.512381999997</v>
      </c>
      <c r="I169" s="2"/>
      <c r="J169" s="6">
        <f t="shared" si="23"/>
        <v>1.9003153205295862E-2</v>
      </c>
      <c r="K169" s="2"/>
      <c r="L169" s="7">
        <f t="shared" si="24"/>
        <v>-20435.552381999998</v>
      </c>
      <c r="M169" s="2"/>
      <c r="N169" s="6">
        <f t="shared" si="25"/>
        <v>-0.94166489515956353</v>
      </c>
      <c r="O169" s="11"/>
      <c r="P169" s="7">
        <v>6102.21</v>
      </c>
      <c r="Q169" s="2"/>
      <c r="R169" s="6">
        <f t="shared" si="26"/>
        <v>1.4732508677147787E-3</v>
      </c>
      <c r="S169" s="2"/>
      <c r="T169" s="7">
        <v>69472.254304000002</v>
      </c>
      <c r="U169" s="2"/>
      <c r="V169" s="6">
        <f t="shared" si="27"/>
        <v>1.5787997705881431E-2</v>
      </c>
      <c r="W169" s="2"/>
      <c r="X169" s="7">
        <f t="shared" si="28"/>
        <v>-63370.044304000003</v>
      </c>
      <c r="Y169" s="2"/>
      <c r="Z169" s="6">
        <f t="shared" si="29"/>
        <v>-0.91216335123806902</v>
      </c>
    </row>
    <row r="170" spans="1:26" s="24" customFormat="1" hidden="1" outlineLevel="2" x14ac:dyDescent="0.25">
      <c r="A170" s="25"/>
      <c r="B170" s="11" t="str">
        <f>CONCATENATE("          ", "6005", " - ", "TEMPORARY WAGES-HOURLY")</f>
        <v xml:space="preserve">          6005 - TEMPORARY WAGES-HOURLY</v>
      </c>
      <c r="C170" s="11"/>
      <c r="D170" s="7">
        <v>15943.06</v>
      </c>
      <c r="E170" s="2"/>
      <c r="F170" s="6">
        <f t="shared" si="22"/>
        <v>1.4666228959771708E-2</v>
      </c>
      <c r="G170" s="2"/>
      <c r="H170" s="7">
        <v>3071.2</v>
      </c>
      <c r="I170" s="2"/>
      <c r="J170" s="6">
        <f t="shared" si="23"/>
        <v>2.6893279646497152E-3</v>
      </c>
      <c r="K170" s="2"/>
      <c r="L170" s="7">
        <f t="shared" si="24"/>
        <v>12871.86</v>
      </c>
      <c r="M170" s="2"/>
      <c r="N170" s="6">
        <f t="shared" si="25"/>
        <v>4.1911500390726752</v>
      </c>
      <c r="O170" s="11"/>
      <c r="P170" s="7">
        <v>50815.77</v>
      </c>
      <c r="Q170" s="2"/>
      <c r="R170" s="6">
        <f t="shared" si="26"/>
        <v>1.2268403946454582E-2</v>
      </c>
      <c r="S170" s="2"/>
      <c r="T170" s="7">
        <v>10023.280000000001</v>
      </c>
      <c r="U170" s="2"/>
      <c r="V170" s="6">
        <f t="shared" si="27"/>
        <v>2.2778521185297974E-3</v>
      </c>
      <c r="W170" s="2"/>
      <c r="X170" s="7">
        <f t="shared" si="28"/>
        <v>40792.49</v>
      </c>
      <c r="Y170" s="2"/>
      <c r="Z170" s="6">
        <f t="shared" si="29"/>
        <v>4.0697745648131143</v>
      </c>
    </row>
    <row r="171" spans="1:26" s="24" customFormat="1" hidden="1" outlineLevel="2" x14ac:dyDescent="0.25">
      <c r="A171" s="25"/>
      <c r="B171" s="11" t="str">
        <f>CONCATENATE("          ", "6006", " - ", "TEMPORARY PART TIME")</f>
        <v xml:space="preserve">          6006 - TEMPORARY PART TIME</v>
      </c>
      <c r="C171" s="11"/>
      <c r="D171" s="7">
        <v>5942.38</v>
      </c>
      <c r="E171" s="2"/>
      <c r="F171" s="6">
        <f t="shared" si="22"/>
        <v>5.4664729133534094E-3</v>
      </c>
      <c r="G171" s="2"/>
      <c r="H171" s="7">
        <v>0</v>
      </c>
      <c r="I171" s="2"/>
      <c r="J171" s="6">
        <f t="shared" si="23"/>
        <v>0</v>
      </c>
      <c r="K171" s="2"/>
      <c r="L171" s="7">
        <f t="shared" si="24"/>
        <v>5942.38</v>
      </c>
      <c r="M171" s="2"/>
      <c r="N171" s="6">
        <f t="shared" si="25"/>
        <v>0</v>
      </c>
      <c r="O171" s="11"/>
      <c r="P171" s="7">
        <v>14216.38</v>
      </c>
      <c r="Q171" s="2"/>
      <c r="R171" s="6">
        <f t="shared" si="26"/>
        <v>3.4322473613269656E-3</v>
      </c>
      <c r="S171" s="2"/>
      <c r="T171" s="7">
        <v>0</v>
      </c>
      <c r="U171" s="2"/>
      <c r="V171" s="6">
        <f t="shared" si="27"/>
        <v>0</v>
      </c>
      <c r="W171" s="2"/>
      <c r="X171" s="7">
        <f t="shared" si="28"/>
        <v>14216.38</v>
      </c>
      <c r="Y171" s="2"/>
      <c r="Z171" s="6">
        <f t="shared" si="29"/>
        <v>0</v>
      </c>
    </row>
    <row r="172" spans="1:26" s="24" customFormat="1" hidden="1" outlineLevel="2" x14ac:dyDescent="0.25">
      <c r="A172" s="25"/>
      <c r="B172" s="11" t="str">
        <f>CONCATENATE("          ", "6007", " - ", "STUDENT HOURLY")</f>
        <v xml:space="preserve">          6007 - STUDENT HOURLY</v>
      </c>
      <c r="C172" s="11"/>
      <c r="D172" s="7">
        <v>77643.5</v>
      </c>
      <c r="E172" s="2"/>
      <c r="F172" s="6">
        <f t="shared" si="22"/>
        <v>7.1425268940719946E-2</v>
      </c>
      <c r="G172" s="2"/>
      <c r="H172" s="7">
        <v>5721.06</v>
      </c>
      <c r="I172" s="2"/>
      <c r="J172" s="6">
        <f t="shared" si="23"/>
        <v>5.0097052114609604E-3</v>
      </c>
      <c r="K172" s="2"/>
      <c r="L172" s="7">
        <f t="shared" si="24"/>
        <v>71922.44</v>
      </c>
      <c r="M172" s="2"/>
      <c r="N172" s="6">
        <f t="shared" si="25"/>
        <v>12.571523458939426</v>
      </c>
      <c r="O172" s="11"/>
      <c r="P172" s="7">
        <v>278153.07999999996</v>
      </c>
      <c r="Q172" s="2"/>
      <c r="R172" s="6">
        <f t="shared" si="26"/>
        <v>6.7154238622980561E-2</v>
      </c>
      <c r="S172" s="2"/>
      <c r="T172" s="7">
        <v>129712.6063632</v>
      </c>
      <c r="U172" s="2"/>
      <c r="V172" s="6">
        <f t="shared" si="27"/>
        <v>2.9477988762604337E-2</v>
      </c>
      <c r="W172" s="2"/>
      <c r="X172" s="7">
        <f t="shared" si="28"/>
        <v>148440.47363679996</v>
      </c>
      <c r="Y172" s="2"/>
      <c r="Z172" s="6">
        <f t="shared" si="29"/>
        <v>1.1443797006218597</v>
      </c>
    </row>
    <row r="173" spans="1:26" s="24" customFormat="1" hidden="1" outlineLevel="2" x14ac:dyDescent="0.25">
      <c r="A173" s="25"/>
      <c r="B173" s="11" t="str">
        <f>CONCATENATE("          ", "6008", " - ", "STUDENT HOURLY-FICA EXEMPT")</f>
        <v xml:space="preserve">          6008 - STUDENT HOURLY-FICA EXEMPT</v>
      </c>
      <c r="C173" s="11"/>
      <c r="D173" s="7">
        <v>1662</v>
      </c>
      <c r="E173" s="2"/>
      <c r="F173" s="6">
        <f t="shared" si="22"/>
        <v>1.5288954900213999E-3</v>
      </c>
      <c r="G173" s="2"/>
      <c r="H173" s="7">
        <v>86677.251196119993</v>
      </c>
      <c r="I173" s="2"/>
      <c r="J173" s="6">
        <f t="shared" si="23"/>
        <v>7.5899829233098945E-2</v>
      </c>
      <c r="K173" s="2"/>
      <c r="L173" s="7">
        <f t="shared" si="24"/>
        <v>-85015.251196119993</v>
      </c>
      <c r="M173" s="2"/>
      <c r="N173" s="6">
        <f t="shared" si="25"/>
        <v>-0.98082541869908313</v>
      </c>
      <c r="O173" s="11"/>
      <c r="P173" s="7">
        <v>3624</v>
      </c>
      <c r="Q173" s="2"/>
      <c r="R173" s="6">
        <f t="shared" si="26"/>
        <v>8.7493893926927425E-4</v>
      </c>
      <c r="S173" s="2"/>
      <c r="T173" s="7">
        <v>157611.83739224001</v>
      </c>
      <c r="U173" s="2"/>
      <c r="V173" s="6">
        <f t="shared" si="27"/>
        <v>3.5818260859647524E-2</v>
      </c>
      <c r="W173" s="2"/>
      <c r="X173" s="7">
        <f t="shared" si="28"/>
        <v>-153987.83739224001</v>
      </c>
      <c r="Y173" s="2"/>
      <c r="Z173" s="6">
        <f t="shared" si="29"/>
        <v>-0.97700680316935107</v>
      </c>
    </row>
    <row r="174" spans="1:26" s="24" customFormat="1" hidden="1" outlineLevel="2" x14ac:dyDescent="0.25">
      <c r="A174" s="25"/>
      <c r="B174" s="11" t="str">
        <f>CONCATENATE("          ", "6009", " - ", "TEMPORARY-SEASONAL")</f>
        <v xml:space="preserve">          6009 - TEMPORARY-SEASONAL</v>
      </c>
      <c r="C174" s="11"/>
      <c r="D174" s="7"/>
      <c r="E174" s="2"/>
      <c r="F174" s="6">
        <f t="shared" si="22"/>
        <v>0</v>
      </c>
      <c r="G174" s="2"/>
      <c r="H174" s="7">
        <v>0</v>
      </c>
      <c r="I174" s="2"/>
      <c r="J174" s="6">
        <f t="shared" si="23"/>
        <v>0</v>
      </c>
      <c r="K174" s="2"/>
      <c r="L174" s="7">
        <f t="shared" si="24"/>
        <v>0</v>
      </c>
      <c r="M174" s="2"/>
      <c r="N174" s="6">
        <f t="shared" si="25"/>
        <v>0</v>
      </c>
      <c r="O174" s="11"/>
      <c r="P174" s="7"/>
      <c r="Q174" s="2"/>
      <c r="R174" s="6">
        <f t="shared" si="26"/>
        <v>0</v>
      </c>
      <c r="S174" s="2"/>
      <c r="T174" s="7">
        <v>0</v>
      </c>
      <c r="U174" s="2"/>
      <c r="V174" s="6">
        <f t="shared" si="27"/>
        <v>0</v>
      </c>
      <c r="W174" s="2"/>
      <c r="X174" s="7">
        <f t="shared" si="28"/>
        <v>0</v>
      </c>
      <c r="Y174" s="2"/>
      <c r="Z174" s="6">
        <f t="shared" si="29"/>
        <v>0</v>
      </c>
    </row>
    <row r="175" spans="1:26" s="24" customFormat="1" hidden="1" outlineLevel="2" x14ac:dyDescent="0.25">
      <c r="A175" s="25"/>
      <c r="B175" s="11" t="str">
        <f>CONCATENATE("          ", "6010", " - ", "GRATUITY")</f>
        <v xml:space="preserve">          6010 - GRATUITY</v>
      </c>
      <c r="C175" s="11"/>
      <c r="D175" s="7"/>
      <c r="E175" s="2"/>
      <c r="F175" s="6">
        <f t="shared" si="22"/>
        <v>0</v>
      </c>
      <c r="G175" s="2"/>
      <c r="H175" s="7">
        <v>0</v>
      </c>
      <c r="I175" s="2"/>
      <c r="J175" s="6">
        <f t="shared" si="23"/>
        <v>0</v>
      </c>
      <c r="K175" s="2"/>
      <c r="L175" s="7">
        <f t="shared" si="24"/>
        <v>0</v>
      </c>
      <c r="M175" s="2"/>
      <c r="N175" s="6">
        <f t="shared" si="25"/>
        <v>0</v>
      </c>
      <c r="O175" s="11"/>
      <c r="P175" s="7"/>
      <c r="Q175" s="2"/>
      <c r="R175" s="6">
        <f t="shared" si="26"/>
        <v>0</v>
      </c>
      <c r="S175" s="2"/>
      <c r="T175" s="7">
        <v>0</v>
      </c>
      <c r="U175" s="2"/>
      <c r="V175" s="6">
        <f t="shared" si="27"/>
        <v>0</v>
      </c>
      <c r="W175" s="2"/>
      <c r="X175" s="7">
        <f t="shared" si="28"/>
        <v>0</v>
      </c>
      <c r="Y175" s="2"/>
      <c r="Z175" s="6">
        <f t="shared" si="29"/>
        <v>0</v>
      </c>
    </row>
    <row r="176" spans="1:26" s="26" customFormat="1" outlineLevel="1" collapsed="1" x14ac:dyDescent="0.25">
      <c r="A176" s="27"/>
      <c r="B176" s="13" t="str">
        <f>CONCATENATE("     ","Advertising/Promo                                 ")</f>
        <v xml:space="preserve">     Advertising/Promo                                 </v>
      </c>
      <c r="C176" s="13"/>
      <c r="D176" s="1">
        <f>SUM(OSRRefD22_2x_0)</f>
        <v>-182.82</v>
      </c>
      <c r="E176" s="1"/>
      <c r="F176" s="5">
        <f t="shared" ref="F176:F180" si="30">IF(D$12=0,0,D176/D$12)</f>
        <v>-1.6817850390235398E-4</v>
      </c>
      <c r="G176" s="1"/>
      <c r="H176" s="1">
        <f>SUM(OSRRefH22_2x_0)</f>
        <v>3770</v>
      </c>
      <c r="I176" s="1"/>
      <c r="J176" s="5">
        <f t="shared" ref="J176:J180" si="31">IF(H$12=0,0,H176/H$12)</f>
        <v>3.3012393939598288E-3</v>
      </c>
      <c r="K176" s="1"/>
      <c r="L176" s="1">
        <f t="shared" ref="L176:L180" si="32">+D176-H176</f>
        <v>-3952.82</v>
      </c>
      <c r="M176" s="1"/>
      <c r="N176" s="5">
        <f t="shared" ref="N176:N180" si="33">IF(H176=0,0,L176/H176)</f>
        <v>-1.0484933687002653</v>
      </c>
      <c r="O176" s="13"/>
      <c r="P176" s="1">
        <f>SUM(OSRRefP22_2x_0)</f>
        <v>7007.68</v>
      </c>
      <c r="Q176" s="1"/>
      <c r="R176" s="5">
        <f t="shared" ref="R176:R180" si="34">IF(P$12=0,0,P176/P$12)</f>
        <v>1.6918576451265199E-3</v>
      </c>
      <c r="S176" s="1"/>
      <c r="T176" s="1">
        <f>SUM(OSRRefT22_2x_0)</f>
        <v>13110</v>
      </c>
      <c r="U176" s="1"/>
      <c r="V176" s="5">
        <f t="shared" ref="V176:V180" si="35">IF(T$12=0,0,T176/T$12)</f>
        <v>2.9793282512237153E-3</v>
      </c>
      <c r="W176" s="1"/>
      <c r="X176" s="1">
        <f t="shared" ref="X176:X180" si="36">+P176-T176</f>
        <v>-6102.32</v>
      </c>
      <c r="Y176" s="1"/>
      <c r="Z176" s="5">
        <f t="shared" ref="Z176:Z180" si="37">IF(T176=0,0,X176/T176)</f>
        <v>-0.46547063310450038</v>
      </c>
    </row>
    <row r="177" spans="1:26" s="24" customFormat="1" hidden="1" outlineLevel="2" x14ac:dyDescent="0.25">
      <c r="A177" s="25"/>
      <c r="B177" s="11" t="str">
        <f>CONCATENATE("          ", "6362", " - ", "ADVERTISING EXPENSE")</f>
        <v xml:space="preserve">          6362 - ADVERTISING EXPENSE</v>
      </c>
      <c r="C177" s="11"/>
      <c r="D177" s="7">
        <v>-182.82</v>
      </c>
      <c r="E177" s="2"/>
      <c r="F177" s="6">
        <f t="shared" si="30"/>
        <v>-1.6817850390235398E-4</v>
      </c>
      <c r="G177" s="2"/>
      <c r="H177" s="7">
        <v>3770</v>
      </c>
      <c r="I177" s="2"/>
      <c r="J177" s="6">
        <f t="shared" si="31"/>
        <v>3.3012393939598288E-3</v>
      </c>
      <c r="K177" s="2"/>
      <c r="L177" s="7">
        <f t="shared" si="32"/>
        <v>-3952.82</v>
      </c>
      <c r="M177" s="2"/>
      <c r="N177" s="6">
        <f t="shared" si="33"/>
        <v>-1.0484933687002653</v>
      </c>
      <c r="O177" s="11"/>
      <c r="P177" s="7">
        <v>7007.68</v>
      </c>
      <c r="Q177" s="2"/>
      <c r="R177" s="6">
        <f t="shared" si="34"/>
        <v>1.6918576451265199E-3</v>
      </c>
      <c r="S177" s="2"/>
      <c r="T177" s="7">
        <v>13110</v>
      </c>
      <c r="U177" s="2"/>
      <c r="V177" s="6">
        <f t="shared" si="35"/>
        <v>2.9793282512237153E-3</v>
      </c>
      <c r="W177" s="2"/>
      <c r="X177" s="7">
        <f t="shared" si="36"/>
        <v>-6102.32</v>
      </c>
      <c r="Y177" s="2"/>
      <c r="Z177" s="6">
        <f t="shared" si="37"/>
        <v>-0.46547063310450038</v>
      </c>
    </row>
    <row r="178" spans="1:26" s="26" customFormat="1" outlineLevel="1" collapsed="1" x14ac:dyDescent="0.25">
      <c r="A178" s="27"/>
      <c r="B178" s="13" t="str">
        <f>CONCATENATE("     ","Bad Debts/Over/Short                              ")</f>
        <v xml:space="preserve">     Bad Debts/Over/Short                              </v>
      </c>
      <c r="C178" s="13"/>
      <c r="D178" s="1">
        <f>SUM(OSRRefD22_3x_0)</f>
        <v>-82.82</v>
      </c>
      <c r="E178" s="1"/>
      <c r="F178" s="5">
        <f t="shared" si="30"/>
        <v>-7.6187198846914758E-5</v>
      </c>
      <c r="G178" s="1"/>
      <c r="H178" s="1">
        <f>SUM(OSRRefH22_3x_0)</f>
        <v>135</v>
      </c>
      <c r="I178" s="1"/>
      <c r="J178" s="5">
        <f t="shared" si="31"/>
        <v>1.1821414275452969E-4</v>
      </c>
      <c r="K178" s="1"/>
      <c r="L178" s="1">
        <f t="shared" si="32"/>
        <v>-217.82</v>
      </c>
      <c r="M178" s="1"/>
      <c r="N178" s="5">
        <f t="shared" si="33"/>
        <v>-1.6134814814814815</v>
      </c>
      <c r="O178" s="13"/>
      <c r="P178" s="1">
        <f>SUM(OSRRefP22_3x_0)</f>
        <v>-165.15</v>
      </c>
      <c r="Q178" s="1"/>
      <c r="R178" s="5">
        <f t="shared" si="34"/>
        <v>-3.9872010436070818E-5</v>
      </c>
      <c r="S178" s="1"/>
      <c r="T178" s="1">
        <f>SUM(OSRRefT22_3x_0)</f>
        <v>405</v>
      </c>
      <c r="U178" s="1"/>
      <c r="V178" s="5">
        <f t="shared" si="35"/>
        <v>9.2038744603020953E-5</v>
      </c>
      <c r="W178" s="1"/>
      <c r="X178" s="1">
        <f t="shared" si="36"/>
        <v>-570.15</v>
      </c>
      <c r="Y178" s="1"/>
      <c r="Z178" s="5">
        <f t="shared" si="37"/>
        <v>-1.4077777777777778</v>
      </c>
    </row>
    <row r="179" spans="1:26" s="24" customFormat="1" hidden="1" outlineLevel="2" x14ac:dyDescent="0.25">
      <c r="A179" s="25"/>
      <c r="B179" s="11" t="str">
        <f>CONCATENATE("          ", "6272", " - ", "CASH (OVER/SHORT)")</f>
        <v xml:space="preserve">          6272 - CASH (OVER/SHORT)</v>
      </c>
      <c r="C179" s="11"/>
      <c r="D179" s="7">
        <v>-82.82</v>
      </c>
      <c r="E179" s="2"/>
      <c r="F179" s="6">
        <f t="shared" si="30"/>
        <v>-7.6187198846914758E-5</v>
      </c>
      <c r="G179" s="2"/>
      <c r="H179" s="7">
        <v>125</v>
      </c>
      <c r="I179" s="2"/>
      <c r="J179" s="6">
        <f t="shared" si="31"/>
        <v>1.0945753958752748E-4</v>
      </c>
      <c r="K179" s="2"/>
      <c r="L179" s="7">
        <f t="shared" si="32"/>
        <v>-207.82</v>
      </c>
      <c r="M179" s="2"/>
      <c r="N179" s="6">
        <f t="shared" si="33"/>
        <v>-1.66256</v>
      </c>
      <c r="O179" s="11"/>
      <c r="P179" s="7">
        <v>-165.15</v>
      </c>
      <c r="Q179" s="2"/>
      <c r="R179" s="6">
        <f t="shared" si="34"/>
        <v>-3.9872010436070818E-5</v>
      </c>
      <c r="S179" s="2"/>
      <c r="T179" s="7">
        <v>375</v>
      </c>
      <c r="U179" s="2"/>
      <c r="V179" s="6">
        <f t="shared" si="35"/>
        <v>8.5221059817611994E-5</v>
      </c>
      <c r="W179" s="2"/>
      <c r="X179" s="7">
        <f t="shared" si="36"/>
        <v>-540.15</v>
      </c>
      <c r="Y179" s="2"/>
      <c r="Z179" s="6">
        <f t="shared" si="37"/>
        <v>-1.4403999999999999</v>
      </c>
    </row>
    <row r="180" spans="1:26" s="24" customFormat="1" hidden="1" outlineLevel="2" x14ac:dyDescent="0.25">
      <c r="A180" s="25"/>
      <c r="B180" s="11" t="str">
        <f>CONCATENATE("          ", "6342", " - ", "BAD DEBT")</f>
        <v xml:space="preserve">          6342 - BAD DEBT</v>
      </c>
      <c r="C180" s="11"/>
      <c r="D180" s="7"/>
      <c r="E180" s="2"/>
      <c r="F180" s="6">
        <f t="shared" si="30"/>
        <v>0</v>
      </c>
      <c r="G180" s="2"/>
      <c r="H180" s="7">
        <v>10</v>
      </c>
      <c r="I180" s="2"/>
      <c r="J180" s="6">
        <f t="shared" si="31"/>
        <v>8.7566031670021984E-6</v>
      </c>
      <c r="K180" s="2"/>
      <c r="L180" s="7">
        <f t="shared" si="32"/>
        <v>-10</v>
      </c>
      <c r="M180" s="2"/>
      <c r="N180" s="6">
        <f t="shared" si="33"/>
        <v>-1</v>
      </c>
      <c r="O180" s="11"/>
      <c r="P180" s="7"/>
      <c r="Q180" s="2"/>
      <c r="R180" s="6">
        <f t="shared" si="34"/>
        <v>0</v>
      </c>
      <c r="S180" s="2"/>
      <c r="T180" s="7">
        <v>30</v>
      </c>
      <c r="U180" s="2"/>
      <c r="V180" s="6">
        <f t="shared" si="35"/>
        <v>6.8176847854089595E-6</v>
      </c>
      <c r="W180" s="2"/>
      <c r="X180" s="7">
        <f t="shared" si="36"/>
        <v>-30</v>
      </c>
      <c r="Y180" s="2"/>
      <c r="Z180" s="6">
        <f t="shared" si="37"/>
        <v>-1</v>
      </c>
    </row>
    <row r="181" spans="1:26" s="26" customFormat="1" outlineLevel="1" collapsed="1" x14ac:dyDescent="0.25">
      <c r="A181" s="27"/>
      <c r="B181" s="13" t="str">
        <f>CONCATENATE("     ","Bank/card Fees                                    ")</f>
        <v xml:space="preserve">     Bank/card Fees                                    </v>
      </c>
      <c r="C181" s="13"/>
      <c r="D181" s="1">
        <f>SUM(OSRRefD22_4x_0)</f>
        <v>20801.550000000003</v>
      </c>
      <c r="E181" s="1"/>
      <c r="F181" s="5">
        <f t="shared" ref="F181:F186" si="38">IF(D$12=0,0,D181/D$12)</f>
        <v>1.913561731675972E-2</v>
      </c>
      <c r="G181" s="1"/>
      <c r="H181" s="1">
        <f>SUM(OSRRefH22_4x_0)</f>
        <v>28470</v>
      </c>
      <c r="I181" s="1"/>
      <c r="J181" s="5">
        <f t="shared" ref="J181:J186" si="39">IF(H$12=0,0,H181/H$12)</f>
        <v>2.4930049216455259E-2</v>
      </c>
      <c r="K181" s="1"/>
      <c r="L181" s="1">
        <f t="shared" ref="L181:L186" si="40">+D181-H181</f>
        <v>-7668.4499999999971</v>
      </c>
      <c r="M181" s="1"/>
      <c r="N181" s="5">
        <f t="shared" ref="N181:N186" si="41">IF(H181=0,0,L181/H181)</f>
        <v>-0.26935194942044249</v>
      </c>
      <c r="O181" s="13"/>
      <c r="P181" s="1">
        <f>SUM(OSRRefP22_4x_0)</f>
        <v>60257.06</v>
      </c>
      <c r="Q181" s="1"/>
      <c r="R181" s="5">
        <f t="shared" ref="R181:R186" si="42">IF(P$12=0,0,P181/P$12)</f>
        <v>1.4547805783632729E-2</v>
      </c>
      <c r="S181" s="1"/>
      <c r="T181" s="1">
        <f>SUM(OSRRefT22_4x_0)</f>
        <v>64095.000000000007</v>
      </c>
      <c r="U181" s="1"/>
      <c r="V181" s="5">
        <f t="shared" ref="V181:V186" si="43">IF(T$12=0,0,T181/T$12)</f>
        <v>1.4565983544026244E-2</v>
      </c>
      <c r="W181" s="1"/>
      <c r="X181" s="1">
        <f t="shared" ref="X181:X186" si="44">+P181-T181</f>
        <v>-3837.9400000000096</v>
      </c>
      <c r="Y181" s="1"/>
      <c r="Z181" s="5">
        <f t="shared" ref="Z181:Z186" si="45">IF(T181=0,0,X181/T181)</f>
        <v>-5.9878929713706362E-2</v>
      </c>
    </row>
    <row r="182" spans="1:26" s="24" customFormat="1" hidden="1" outlineLevel="2" x14ac:dyDescent="0.25">
      <c r="A182" s="25"/>
      <c r="B182" s="11" t="str">
        <f>CONCATENATE("          ", "6381", " - ", "BANK/CREDIT CARD FEES")</f>
        <v xml:space="preserve">          6381 - BANK/CREDIT CARD FEES</v>
      </c>
      <c r="C182" s="11"/>
      <c r="D182" s="7">
        <v>20801.550000000003</v>
      </c>
      <c r="E182" s="2"/>
      <c r="F182" s="6">
        <f t="shared" si="38"/>
        <v>1.913561731675972E-2</v>
      </c>
      <c r="G182" s="2"/>
      <c r="H182" s="7">
        <v>28470</v>
      </c>
      <c r="I182" s="2"/>
      <c r="J182" s="6">
        <f t="shared" si="39"/>
        <v>2.4930049216455259E-2</v>
      </c>
      <c r="K182" s="2"/>
      <c r="L182" s="7">
        <f t="shared" si="40"/>
        <v>-7668.4499999999971</v>
      </c>
      <c r="M182" s="2"/>
      <c r="N182" s="6">
        <f t="shared" si="41"/>
        <v>-0.26935194942044249</v>
      </c>
      <c r="O182" s="11"/>
      <c r="P182" s="7">
        <v>60257.06</v>
      </c>
      <c r="Q182" s="2"/>
      <c r="R182" s="6">
        <f t="shared" si="42"/>
        <v>1.4547805783632729E-2</v>
      </c>
      <c r="S182" s="2"/>
      <c r="T182" s="7">
        <v>64095.000000000007</v>
      </c>
      <c r="U182" s="2"/>
      <c r="V182" s="6">
        <f t="shared" si="43"/>
        <v>1.4565983544026244E-2</v>
      </c>
      <c r="W182" s="2"/>
      <c r="X182" s="7">
        <f t="shared" si="44"/>
        <v>-3837.9400000000096</v>
      </c>
      <c r="Y182" s="2"/>
      <c r="Z182" s="6">
        <f t="shared" si="45"/>
        <v>-5.9878929713706362E-2</v>
      </c>
    </row>
    <row r="183" spans="1:26" s="26" customFormat="1" outlineLevel="1" collapsed="1" x14ac:dyDescent="0.25">
      <c r="A183" s="27"/>
      <c r="B183" s="13" t="str">
        <f>CONCATENATE("     ","Depreciation                                      ")</f>
        <v xml:space="preserve">     Depreciation                                      </v>
      </c>
      <c r="C183" s="13"/>
      <c r="D183" s="1">
        <f>SUM(OSRRefD22_5x_0)</f>
        <v>29607.43</v>
      </c>
      <c r="E183" s="1"/>
      <c r="F183" s="5">
        <f t="shared" si="38"/>
        <v>2.7236261250375628E-2</v>
      </c>
      <c r="G183" s="1"/>
      <c r="H183" s="1">
        <f>SUM(OSRRefH22_5x_0)</f>
        <v>30202</v>
      </c>
      <c r="I183" s="1"/>
      <c r="J183" s="5">
        <f t="shared" si="39"/>
        <v>2.6446692884980041E-2</v>
      </c>
      <c r="K183" s="1"/>
      <c r="L183" s="1">
        <f t="shared" si="40"/>
        <v>-594.56999999999971</v>
      </c>
      <c r="M183" s="1"/>
      <c r="N183" s="5">
        <f t="shared" si="41"/>
        <v>-1.9686444606317452E-2</v>
      </c>
      <c r="O183" s="13"/>
      <c r="P183" s="1">
        <f>SUM(OSRRefP22_5x_0)</f>
        <v>88822.29</v>
      </c>
      <c r="Q183" s="1"/>
      <c r="R183" s="5">
        <f t="shared" si="42"/>
        <v>2.1444282614809011E-2</v>
      </c>
      <c r="S183" s="1"/>
      <c r="T183" s="1">
        <f>SUM(OSRRefT22_5x_0)</f>
        <v>90606</v>
      </c>
      <c r="U183" s="1"/>
      <c r="V183" s="5">
        <f t="shared" si="43"/>
        <v>2.0590771588892141E-2</v>
      </c>
      <c r="W183" s="1"/>
      <c r="X183" s="1">
        <f t="shared" si="44"/>
        <v>-1783.7100000000064</v>
      </c>
      <c r="Y183" s="1"/>
      <c r="Z183" s="5">
        <f t="shared" si="45"/>
        <v>-1.9686444606317532E-2</v>
      </c>
    </row>
    <row r="184" spans="1:26" s="24" customFormat="1" hidden="1" outlineLevel="2" x14ac:dyDescent="0.25">
      <c r="A184" s="25"/>
      <c r="B184" s="11" t="str">
        <f>CONCATENATE("          ", "6321", " - ", "BUILDING DEPRECIATION")</f>
        <v xml:space="preserve">          6321 - BUILDING DEPRECIATION</v>
      </c>
      <c r="C184" s="11"/>
      <c r="D184" s="7">
        <v>16396.52</v>
      </c>
      <c r="E184" s="2"/>
      <c r="F184" s="6">
        <f t="shared" si="38"/>
        <v>1.5083372731676105E-2</v>
      </c>
      <c r="G184" s="2"/>
      <c r="H184" s="7">
        <v>16453</v>
      </c>
      <c r="I184" s="2"/>
      <c r="J184" s="6">
        <f t="shared" si="39"/>
        <v>1.4407239190668717E-2</v>
      </c>
      <c r="K184" s="2"/>
      <c r="L184" s="7">
        <f t="shared" si="40"/>
        <v>-56.479999999999563</v>
      </c>
      <c r="M184" s="2"/>
      <c r="N184" s="6">
        <f t="shared" si="41"/>
        <v>-3.432808606333165E-3</v>
      </c>
      <c r="O184" s="11"/>
      <c r="P184" s="7">
        <v>49189.56</v>
      </c>
      <c r="Q184" s="2"/>
      <c r="R184" s="6">
        <f t="shared" si="42"/>
        <v>1.1875789583201523E-2</v>
      </c>
      <c r="S184" s="2"/>
      <c r="T184" s="7">
        <v>49359</v>
      </c>
      <c r="U184" s="2"/>
      <c r="V184" s="6">
        <f t="shared" si="43"/>
        <v>1.1217136777433362E-2</v>
      </c>
      <c r="W184" s="2"/>
      <c r="X184" s="7">
        <f t="shared" si="44"/>
        <v>-169.44000000000233</v>
      </c>
      <c r="Y184" s="2"/>
      <c r="Z184" s="6">
        <f t="shared" si="45"/>
        <v>-3.4328086063332387E-3</v>
      </c>
    </row>
    <row r="185" spans="1:26" s="24" customFormat="1" hidden="1" outlineLevel="2" x14ac:dyDescent="0.25">
      <c r="A185" s="25"/>
      <c r="B185" s="11" t="str">
        <f>CONCATENATE("          ", "6322", " - ", "EQUIPMENT DEPRECIATION EXPENSE")</f>
        <v xml:space="preserve">          6322 - EQUIPMENT DEPRECIATION EXPENSE</v>
      </c>
      <c r="C185" s="11"/>
      <c r="D185" s="7">
        <v>13210.91</v>
      </c>
      <c r="E185" s="2"/>
      <c r="F185" s="6">
        <f t="shared" si="38"/>
        <v>1.2152888518699525E-2</v>
      </c>
      <c r="G185" s="2"/>
      <c r="H185" s="7">
        <v>13049</v>
      </c>
      <c r="I185" s="2"/>
      <c r="J185" s="6">
        <f t="shared" si="39"/>
        <v>1.142649147262117E-2</v>
      </c>
      <c r="K185" s="2"/>
      <c r="L185" s="7">
        <f t="shared" si="40"/>
        <v>161.90999999999985</v>
      </c>
      <c r="M185" s="2"/>
      <c r="N185" s="6">
        <f t="shared" si="41"/>
        <v>1.2407847344624098E-2</v>
      </c>
      <c r="O185" s="11"/>
      <c r="P185" s="7">
        <v>39632.729999999996</v>
      </c>
      <c r="Q185" s="2"/>
      <c r="R185" s="6">
        <f t="shared" si="42"/>
        <v>9.5684930316074883E-3</v>
      </c>
      <c r="S185" s="2"/>
      <c r="T185" s="7">
        <v>39147</v>
      </c>
      <c r="U185" s="2"/>
      <c r="V185" s="6">
        <f t="shared" si="43"/>
        <v>8.8963968764801515E-3</v>
      </c>
      <c r="W185" s="2"/>
      <c r="X185" s="7">
        <f t="shared" si="44"/>
        <v>485.72999999999593</v>
      </c>
      <c r="Y185" s="2"/>
      <c r="Z185" s="6">
        <f t="shared" si="45"/>
        <v>1.2407847344624004E-2</v>
      </c>
    </row>
    <row r="186" spans="1:26" s="24" customFormat="1" hidden="1" outlineLevel="2" x14ac:dyDescent="0.25">
      <c r="A186" s="25"/>
      <c r="B186" s="11" t="str">
        <f>CONCATENATE("          ", "6324", " - ", "FURNITURE + FIXT DEPRECIATION")</f>
        <v xml:space="preserve">          6324 - FURNITURE + FIXT DEPRECIATION</v>
      </c>
      <c r="C186" s="11"/>
      <c r="D186" s="7"/>
      <c r="E186" s="2"/>
      <c r="F186" s="6">
        <f t="shared" si="38"/>
        <v>0</v>
      </c>
      <c r="G186" s="2"/>
      <c r="H186" s="7">
        <v>700</v>
      </c>
      <c r="I186" s="2"/>
      <c r="J186" s="6">
        <f t="shared" si="39"/>
        <v>6.1296222169015396E-4</v>
      </c>
      <c r="K186" s="2"/>
      <c r="L186" s="7">
        <f t="shared" si="40"/>
        <v>-700</v>
      </c>
      <c r="M186" s="2"/>
      <c r="N186" s="6">
        <f t="shared" si="41"/>
        <v>-1</v>
      </c>
      <c r="O186" s="11"/>
      <c r="P186" s="7"/>
      <c r="Q186" s="2"/>
      <c r="R186" s="6">
        <f t="shared" si="42"/>
        <v>0</v>
      </c>
      <c r="S186" s="2"/>
      <c r="T186" s="7">
        <v>2100</v>
      </c>
      <c r="U186" s="2"/>
      <c r="V186" s="6">
        <f t="shared" si="43"/>
        <v>4.7723793497862717E-4</v>
      </c>
      <c r="W186" s="2"/>
      <c r="X186" s="7">
        <f t="shared" si="44"/>
        <v>-2100</v>
      </c>
      <c r="Y186" s="2"/>
      <c r="Z186" s="6">
        <f t="shared" si="45"/>
        <v>-1</v>
      </c>
    </row>
    <row r="187" spans="1:26" s="26" customFormat="1" outlineLevel="1" collapsed="1" x14ac:dyDescent="0.25">
      <c r="A187" s="27"/>
      <c r="B187" s="13" t="str">
        <f>CONCATENATE("     ","Discounts and Markdowns                           ")</f>
        <v xml:space="preserve">     Discounts and Markdowns                           </v>
      </c>
      <c r="C187" s="13"/>
      <c r="D187" s="1">
        <f>SUM(OSRRefD22_6x_0)</f>
        <v>4945.33</v>
      </c>
      <c r="E187" s="1"/>
      <c r="F187" s="5">
        <f t="shared" ref="F187:F189" si="46">IF(D$12=0,0,D187/D$12)</f>
        <v>4.5492736062981527E-3</v>
      </c>
      <c r="G187" s="1"/>
      <c r="H187" s="1">
        <f>SUM(OSRRefH22_6x_0)</f>
        <v>29225</v>
      </c>
      <c r="I187" s="1"/>
      <c r="J187" s="5">
        <f t="shared" ref="J187:J189" si="47">IF(H$12=0,0,H187/H$12)</f>
        <v>2.5591172755563926E-2</v>
      </c>
      <c r="K187" s="1"/>
      <c r="L187" s="1">
        <f t="shared" ref="L187:L189" si="48">+D187-H187</f>
        <v>-24279.67</v>
      </c>
      <c r="M187" s="1"/>
      <c r="N187" s="5">
        <f t="shared" ref="N187:N189" si="49">IF(H187=0,0,L187/H187)</f>
        <v>-0.83078426005132588</v>
      </c>
      <c r="O187" s="13"/>
      <c r="P187" s="1">
        <f>SUM(OSRRefP22_6x_0)</f>
        <v>64028.740000000005</v>
      </c>
      <c r="Q187" s="1"/>
      <c r="R187" s="5">
        <f t="shared" ref="R187:R189" si="50">IF(P$12=0,0,P187/P$12)</f>
        <v>1.5458398967535363E-2</v>
      </c>
      <c r="S187" s="1"/>
      <c r="T187" s="1">
        <f>SUM(OSRRefT22_6x_0)</f>
        <v>81675</v>
      </c>
      <c r="U187" s="1"/>
      <c r="V187" s="5">
        <f t="shared" ref="V187:V189" si="51">IF(T$12=0,0,T187/T$12)</f>
        <v>1.8561146828275893E-2</v>
      </c>
      <c r="W187" s="1"/>
      <c r="X187" s="1">
        <f t="shared" ref="X187:X189" si="52">+P187-T187</f>
        <v>-17646.259999999995</v>
      </c>
      <c r="Y187" s="1"/>
      <c r="Z187" s="5">
        <f t="shared" ref="Z187:Z189" si="53">IF(T187=0,0,X187/T187)</f>
        <v>-0.21605460667278842</v>
      </c>
    </row>
    <row r="188" spans="1:26" s="24" customFormat="1" hidden="1" outlineLevel="2" x14ac:dyDescent="0.25">
      <c r="A188" s="25"/>
      <c r="B188" s="11" t="str">
        <f>CONCATENATE("          ", "6382", " - ", "DISCOUNTS/MARK DOWNS")</f>
        <v xml:space="preserve">          6382 - DISCOUNTS/MARK DOWNS</v>
      </c>
      <c r="C188" s="11"/>
      <c r="D188" s="7">
        <v>5343.63</v>
      </c>
      <c r="E188" s="2"/>
      <c r="F188" s="6">
        <f t="shared" si="46"/>
        <v>4.9156749743339669E-3</v>
      </c>
      <c r="G188" s="2"/>
      <c r="H188" s="7">
        <v>29225</v>
      </c>
      <c r="I188" s="2"/>
      <c r="J188" s="6">
        <f t="shared" si="47"/>
        <v>2.5591172755563926E-2</v>
      </c>
      <c r="K188" s="2"/>
      <c r="L188" s="7">
        <f t="shared" si="48"/>
        <v>-23881.37</v>
      </c>
      <c r="M188" s="2"/>
      <c r="N188" s="6">
        <f t="shared" si="49"/>
        <v>-0.81715551753635585</v>
      </c>
      <c r="O188" s="11"/>
      <c r="P188" s="7">
        <v>65676.600000000006</v>
      </c>
      <c r="Q188" s="2"/>
      <c r="R188" s="6">
        <f t="shared" si="50"/>
        <v>1.5856240270091727E-2</v>
      </c>
      <c r="S188" s="2"/>
      <c r="T188" s="7">
        <v>81675</v>
      </c>
      <c r="U188" s="2"/>
      <c r="V188" s="6">
        <f t="shared" si="51"/>
        <v>1.8561146828275893E-2</v>
      </c>
      <c r="W188" s="2"/>
      <c r="X188" s="7">
        <f t="shared" si="52"/>
        <v>-15998.399999999994</v>
      </c>
      <c r="Y188" s="2"/>
      <c r="Z188" s="6">
        <f t="shared" si="53"/>
        <v>-0.19587878787878782</v>
      </c>
    </row>
    <row r="189" spans="1:26" s="24" customFormat="1" hidden="1" outlineLevel="2" x14ac:dyDescent="0.25">
      <c r="A189" s="25"/>
      <c r="B189" s="11" t="str">
        <f>CONCATENATE("          ", "9175", " - ", "EARNED DISCOUNTS")</f>
        <v xml:space="preserve">          9175 - EARNED DISCOUNTS</v>
      </c>
      <c r="C189" s="11"/>
      <c r="D189" s="7">
        <v>-398.3</v>
      </c>
      <c r="E189" s="2"/>
      <c r="F189" s="6">
        <f t="shared" si="46"/>
        <v>-3.6640136803581442E-4</v>
      </c>
      <c r="G189" s="2"/>
      <c r="H189" s="7"/>
      <c r="I189" s="2"/>
      <c r="J189" s="6">
        <f t="shared" si="47"/>
        <v>0</v>
      </c>
      <c r="K189" s="2"/>
      <c r="L189" s="7">
        <f t="shared" si="48"/>
        <v>-398.3</v>
      </c>
      <c r="M189" s="2"/>
      <c r="N189" s="6">
        <f t="shared" si="49"/>
        <v>0</v>
      </c>
      <c r="O189" s="11"/>
      <c r="P189" s="7">
        <v>-1647.86</v>
      </c>
      <c r="Q189" s="2"/>
      <c r="R189" s="6">
        <f t="shared" si="50"/>
        <v>-3.978413025563648E-4</v>
      </c>
      <c r="S189" s="2"/>
      <c r="T189" s="7"/>
      <c r="U189" s="2"/>
      <c r="V189" s="6">
        <f t="shared" si="51"/>
        <v>0</v>
      </c>
      <c r="W189" s="2"/>
      <c r="X189" s="7">
        <f t="shared" si="52"/>
        <v>-1647.86</v>
      </c>
      <c r="Y189" s="2"/>
      <c r="Z189" s="6">
        <f t="shared" si="53"/>
        <v>0</v>
      </c>
    </row>
    <row r="190" spans="1:26" s="26" customFormat="1" outlineLevel="1" collapsed="1" x14ac:dyDescent="0.25">
      <c r="A190" s="27"/>
      <c r="B190" s="13" t="str">
        <f>CONCATENATE("     ","Donations                                         ")</f>
        <v xml:space="preserve">     Donations                                         </v>
      </c>
      <c r="C190" s="13"/>
      <c r="D190" s="1">
        <f>SUM(OSRRefD22_7x_0)</f>
        <v>1608.36</v>
      </c>
      <c r="E190" s="1"/>
      <c r="F190" s="5">
        <f t="shared" ref="F190:F192" si="54">IF(D$12=0,0,D190/D$12)</f>
        <v>1.4795513539896622E-3</v>
      </c>
      <c r="G190" s="1"/>
      <c r="H190" s="1">
        <f>SUM(OSRRefH22_7x_0)</f>
        <v>1025</v>
      </c>
      <c r="I190" s="1"/>
      <c r="J190" s="5">
        <f t="shared" ref="J190:J192" si="55">IF(H$12=0,0,H190/H$12)</f>
        <v>8.9755182461772535E-4</v>
      </c>
      <c r="K190" s="1"/>
      <c r="L190" s="1">
        <f t="shared" ref="L190:L192" si="56">+D190-H190</f>
        <v>583.3599999999999</v>
      </c>
      <c r="M190" s="1"/>
      <c r="N190" s="5">
        <f t="shared" ref="N190:N192" si="57">IF(H190=0,0,L190/H190)</f>
        <v>0.56913170731707308</v>
      </c>
      <c r="O190" s="13"/>
      <c r="P190" s="1">
        <f>SUM(OSRRefP22_7x_0)</f>
        <v>5225.34</v>
      </c>
      <c r="Q190" s="1"/>
      <c r="R190" s="5">
        <f t="shared" ref="R190:R192" si="58">IF(P$12=0,0,P190/P$12)</f>
        <v>1.2615489616228778E-3</v>
      </c>
      <c r="S190" s="1"/>
      <c r="T190" s="1">
        <f>SUM(OSRRefT22_7x_0)</f>
        <v>3150</v>
      </c>
      <c r="U190" s="1"/>
      <c r="V190" s="5">
        <f t="shared" ref="V190:V192" si="59">IF(T$12=0,0,T190/T$12)</f>
        <v>7.1585690246794083E-4</v>
      </c>
      <c r="W190" s="1"/>
      <c r="X190" s="1">
        <f t="shared" ref="X190:X192" si="60">+P190-T190</f>
        <v>2075.34</v>
      </c>
      <c r="Y190" s="1"/>
      <c r="Z190" s="5">
        <f t="shared" ref="Z190:Z192" si="61">IF(T190=0,0,X190/T190)</f>
        <v>0.65883809523809533</v>
      </c>
    </row>
    <row r="191" spans="1:26" s="24" customFormat="1" hidden="1" outlineLevel="2" x14ac:dyDescent="0.25">
      <c r="A191" s="25"/>
      <c r="B191" s="11" t="str">
        <f>CONCATENATE("          ", "6395", " - ", "DONATION-OFF CAMPUS")</f>
        <v xml:space="preserve">          6395 - DONATION-OFF CAMPUS</v>
      </c>
      <c r="C191" s="11"/>
      <c r="D191" s="7"/>
      <c r="E191" s="2"/>
      <c r="F191" s="6">
        <f t="shared" si="54"/>
        <v>0</v>
      </c>
      <c r="G191" s="2"/>
      <c r="H191" s="7">
        <v>1025</v>
      </c>
      <c r="I191" s="2"/>
      <c r="J191" s="6">
        <f t="shared" si="55"/>
        <v>8.9755182461772535E-4</v>
      </c>
      <c r="K191" s="2"/>
      <c r="L191" s="7">
        <f t="shared" si="56"/>
        <v>-1025</v>
      </c>
      <c r="M191" s="2"/>
      <c r="N191" s="6">
        <f t="shared" si="57"/>
        <v>-1</v>
      </c>
      <c r="O191" s="11"/>
      <c r="P191" s="7"/>
      <c r="Q191" s="2"/>
      <c r="R191" s="6">
        <f t="shared" si="58"/>
        <v>0</v>
      </c>
      <c r="S191" s="2"/>
      <c r="T191" s="7">
        <v>3150</v>
      </c>
      <c r="U191" s="2"/>
      <c r="V191" s="6">
        <f t="shared" si="59"/>
        <v>7.1585690246794083E-4</v>
      </c>
      <c r="W191" s="2"/>
      <c r="X191" s="7">
        <f t="shared" si="60"/>
        <v>-3150</v>
      </c>
      <c r="Y191" s="2"/>
      <c r="Z191" s="6">
        <f t="shared" si="61"/>
        <v>-1</v>
      </c>
    </row>
    <row r="192" spans="1:26" s="24" customFormat="1" hidden="1" outlineLevel="2" x14ac:dyDescent="0.25">
      <c r="A192" s="25"/>
      <c r="B192" s="11" t="str">
        <f>CONCATENATE("          ", "6399", " - ", "DONATION-ON CAMPUS")</f>
        <v xml:space="preserve">          6399 - DONATION-ON CAMPUS</v>
      </c>
      <c r="C192" s="11"/>
      <c r="D192" s="7">
        <v>1608.36</v>
      </c>
      <c r="E192" s="2"/>
      <c r="F192" s="6">
        <f t="shared" si="54"/>
        <v>1.4795513539896622E-3</v>
      </c>
      <c r="G192" s="2"/>
      <c r="H192" s="7"/>
      <c r="I192" s="2"/>
      <c r="J192" s="6">
        <f t="shared" si="55"/>
        <v>0</v>
      </c>
      <c r="K192" s="2"/>
      <c r="L192" s="7">
        <f t="shared" si="56"/>
        <v>1608.36</v>
      </c>
      <c r="M192" s="2"/>
      <c r="N192" s="6">
        <f t="shared" si="57"/>
        <v>0</v>
      </c>
      <c r="O192" s="11"/>
      <c r="P192" s="7">
        <v>5225.34</v>
      </c>
      <c r="Q192" s="2"/>
      <c r="R192" s="6">
        <f t="shared" si="58"/>
        <v>1.2615489616228778E-3</v>
      </c>
      <c r="S192" s="2"/>
      <c r="T192" s="7"/>
      <c r="U192" s="2"/>
      <c r="V192" s="6">
        <f t="shared" si="59"/>
        <v>0</v>
      </c>
      <c r="W192" s="2"/>
      <c r="X192" s="7">
        <f t="shared" si="60"/>
        <v>5225.34</v>
      </c>
      <c r="Y192" s="2"/>
      <c r="Z192" s="6">
        <f t="shared" si="61"/>
        <v>0</v>
      </c>
    </row>
    <row r="193" spans="1:26" s="26" customFormat="1" outlineLevel="1" collapsed="1" x14ac:dyDescent="0.25">
      <c r="A193" s="27"/>
      <c r="B193" s="13" t="str">
        <f>CONCATENATE("     ","Employees' Appreciation                           ")</f>
        <v xml:space="preserve">     Employees' Appreciation                           </v>
      </c>
      <c r="C193" s="13"/>
      <c r="D193" s="1">
        <f>SUM(OSRRefD22_8x_0)</f>
        <v>134.26</v>
      </c>
      <c r="E193" s="1"/>
      <c r="F193" s="5">
        <f t="shared" ref="F193:F199" si="62">IF(D$12=0,0,D193/D$12)</f>
        <v>1.235075261674327E-4</v>
      </c>
      <c r="G193" s="1"/>
      <c r="H193" s="1">
        <f>SUM(OSRRefH22_8x_0)</f>
        <v>700</v>
      </c>
      <c r="I193" s="1"/>
      <c r="J193" s="5">
        <f t="shared" ref="J193:J199" si="63">IF(H$12=0,0,H193/H$12)</f>
        <v>6.1296222169015396E-4</v>
      </c>
      <c r="K193" s="1"/>
      <c r="L193" s="1">
        <f t="shared" ref="L193:L199" si="64">+D193-H193</f>
        <v>-565.74</v>
      </c>
      <c r="M193" s="1"/>
      <c r="N193" s="5">
        <f t="shared" ref="N193:N199" si="65">IF(H193=0,0,L193/H193)</f>
        <v>-0.80820000000000003</v>
      </c>
      <c r="O193" s="13"/>
      <c r="P193" s="1">
        <f>SUM(OSRRefP22_8x_0)</f>
        <v>585.13</v>
      </c>
      <c r="Q193" s="1"/>
      <c r="R193" s="5">
        <f t="shared" ref="R193:R199" si="66">IF(P$12=0,0,P193/P$12)</f>
        <v>1.412673900481872E-4</v>
      </c>
      <c r="S193" s="1"/>
      <c r="T193" s="1">
        <f>SUM(OSRRefT22_8x_0)</f>
        <v>2100</v>
      </c>
      <c r="U193" s="1"/>
      <c r="V193" s="5">
        <f t="shared" ref="V193:V199" si="67">IF(T$12=0,0,T193/T$12)</f>
        <v>4.7723793497862717E-4</v>
      </c>
      <c r="W193" s="1"/>
      <c r="X193" s="1">
        <f t="shared" ref="X193:X199" si="68">+P193-T193</f>
        <v>-1514.87</v>
      </c>
      <c r="Y193" s="1"/>
      <c r="Z193" s="5">
        <f t="shared" ref="Z193:Z199" si="69">IF(T193=0,0,X193/T193)</f>
        <v>-0.7213666666666666</v>
      </c>
    </row>
    <row r="194" spans="1:26" s="24" customFormat="1" hidden="1" outlineLevel="2" x14ac:dyDescent="0.25">
      <c r="A194" s="25"/>
      <c r="B194" s="11" t="str">
        <f>CONCATENATE("          ", "6277", " - ", "EMPLOYEE APPRECIATION")</f>
        <v xml:space="preserve">          6277 - EMPLOYEE APPRECIATION</v>
      </c>
      <c r="C194" s="11"/>
      <c r="D194" s="7">
        <v>134.26</v>
      </c>
      <c r="E194" s="2"/>
      <c r="F194" s="6">
        <f t="shared" si="62"/>
        <v>1.235075261674327E-4</v>
      </c>
      <c r="G194" s="2"/>
      <c r="H194" s="7">
        <v>700</v>
      </c>
      <c r="I194" s="2"/>
      <c r="J194" s="6">
        <f t="shared" si="63"/>
        <v>6.1296222169015396E-4</v>
      </c>
      <c r="K194" s="2"/>
      <c r="L194" s="7">
        <f t="shared" si="64"/>
        <v>-565.74</v>
      </c>
      <c r="M194" s="2"/>
      <c r="N194" s="6">
        <f t="shared" si="65"/>
        <v>-0.80820000000000003</v>
      </c>
      <c r="O194" s="11"/>
      <c r="P194" s="7">
        <v>585.13</v>
      </c>
      <c r="Q194" s="2"/>
      <c r="R194" s="6">
        <f t="shared" si="66"/>
        <v>1.412673900481872E-4</v>
      </c>
      <c r="S194" s="2"/>
      <c r="T194" s="7">
        <v>2100</v>
      </c>
      <c r="U194" s="2"/>
      <c r="V194" s="6">
        <f t="shared" si="67"/>
        <v>4.7723793497862717E-4</v>
      </c>
      <c r="W194" s="2"/>
      <c r="X194" s="7">
        <f t="shared" si="68"/>
        <v>-1514.87</v>
      </c>
      <c r="Y194" s="2"/>
      <c r="Z194" s="6">
        <f t="shared" si="69"/>
        <v>-0.7213666666666666</v>
      </c>
    </row>
    <row r="195" spans="1:26" s="26" customFormat="1" outlineLevel="1" collapsed="1" x14ac:dyDescent="0.25">
      <c r="A195" s="27"/>
      <c r="B195" s="13" t="str">
        <f>CONCATENATE("     ","Equipment Rental                                  ")</f>
        <v xml:space="preserve">     Equipment Rental                                  </v>
      </c>
      <c r="C195" s="13"/>
      <c r="D195" s="1">
        <f>SUM(OSRRefD22_9x_0)</f>
        <v>1296.9000000000001</v>
      </c>
      <c r="E195" s="1"/>
      <c r="F195" s="5">
        <f t="shared" si="62"/>
        <v>1.1930352352639913E-3</v>
      </c>
      <c r="G195" s="1"/>
      <c r="H195" s="1">
        <f>SUM(OSRRefH22_9x_0)</f>
        <v>3225</v>
      </c>
      <c r="I195" s="1"/>
      <c r="J195" s="5">
        <f t="shared" si="63"/>
        <v>2.824004521358209E-3</v>
      </c>
      <c r="K195" s="1"/>
      <c r="L195" s="1">
        <f t="shared" si="64"/>
        <v>-1928.1</v>
      </c>
      <c r="M195" s="1"/>
      <c r="N195" s="5">
        <f t="shared" si="65"/>
        <v>-0.59786046511627899</v>
      </c>
      <c r="O195" s="13"/>
      <c r="P195" s="1">
        <f>SUM(OSRRefP22_9x_0)</f>
        <v>3890.7</v>
      </c>
      <c r="Q195" s="1"/>
      <c r="R195" s="5">
        <f t="shared" si="66"/>
        <v>9.3932807147212056E-4</v>
      </c>
      <c r="S195" s="1"/>
      <c r="T195" s="1">
        <f>SUM(OSRRefT22_9x_0)</f>
        <v>9675</v>
      </c>
      <c r="U195" s="1"/>
      <c r="V195" s="5">
        <f t="shared" si="67"/>
        <v>2.1987033432943896E-3</v>
      </c>
      <c r="W195" s="1"/>
      <c r="X195" s="1">
        <f t="shared" si="68"/>
        <v>-5784.3</v>
      </c>
      <c r="Y195" s="1"/>
      <c r="Z195" s="5">
        <f t="shared" si="69"/>
        <v>-0.59786046511627911</v>
      </c>
    </row>
    <row r="196" spans="1:26" s="24" customFormat="1" hidden="1" outlineLevel="2" x14ac:dyDescent="0.25">
      <c r="A196" s="25"/>
      <c r="B196" s="11" t="str">
        <f>CONCATENATE("          ", "6351", " - ", "EQUIPMENT RENTAL")</f>
        <v xml:space="preserve">          6351 - EQUIPMENT RENTAL</v>
      </c>
      <c r="C196" s="11"/>
      <c r="D196" s="7">
        <v>1296.9000000000001</v>
      </c>
      <c r="E196" s="2"/>
      <c r="F196" s="6">
        <f t="shared" si="62"/>
        <v>1.1930352352639913E-3</v>
      </c>
      <c r="G196" s="2"/>
      <c r="H196" s="7">
        <v>3225</v>
      </c>
      <c r="I196" s="2"/>
      <c r="J196" s="6">
        <f t="shared" si="63"/>
        <v>2.824004521358209E-3</v>
      </c>
      <c r="K196" s="2"/>
      <c r="L196" s="7">
        <f t="shared" si="64"/>
        <v>-1928.1</v>
      </c>
      <c r="M196" s="2"/>
      <c r="N196" s="6">
        <f t="shared" si="65"/>
        <v>-0.59786046511627899</v>
      </c>
      <c r="O196" s="11"/>
      <c r="P196" s="7">
        <v>3890.7</v>
      </c>
      <c r="Q196" s="2"/>
      <c r="R196" s="6">
        <f t="shared" si="66"/>
        <v>9.3932807147212056E-4</v>
      </c>
      <c r="S196" s="2"/>
      <c r="T196" s="7">
        <v>9675</v>
      </c>
      <c r="U196" s="2"/>
      <c r="V196" s="6">
        <f t="shared" si="67"/>
        <v>2.1987033432943896E-3</v>
      </c>
      <c r="W196" s="2"/>
      <c r="X196" s="7">
        <f t="shared" si="68"/>
        <v>-5784.3</v>
      </c>
      <c r="Y196" s="2"/>
      <c r="Z196" s="6">
        <f t="shared" si="69"/>
        <v>-0.59786046511627911</v>
      </c>
    </row>
    <row r="197" spans="1:26" s="26" customFormat="1" outlineLevel="1" collapsed="1" x14ac:dyDescent="0.25">
      <c r="A197" s="27"/>
      <c r="B197" s="13" t="str">
        <f>CONCATENATE("     ","Freight out/Postage                               ")</f>
        <v xml:space="preserve">     Freight out/Postage                               </v>
      </c>
      <c r="C197" s="13"/>
      <c r="D197" s="1">
        <f>SUM(OSRRefD22_10x_0)</f>
        <v>9425.0299999999988</v>
      </c>
      <c r="E197" s="1"/>
      <c r="F197" s="5">
        <f t="shared" si="62"/>
        <v>8.6702080988666618E-3</v>
      </c>
      <c r="G197" s="1"/>
      <c r="H197" s="1">
        <f>SUM(OSRRefH22_10x_0)</f>
        <v>-21010</v>
      </c>
      <c r="I197" s="1"/>
      <c r="J197" s="5">
        <f t="shared" si="63"/>
        <v>-1.839762325387162E-2</v>
      </c>
      <c r="K197" s="1"/>
      <c r="L197" s="1">
        <f t="shared" si="64"/>
        <v>30435.03</v>
      </c>
      <c r="M197" s="1"/>
      <c r="N197" s="5">
        <f t="shared" si="65"/>
        <v>-1.4485973346025702</v>
      </c>
      <c r="O197" s="13"/>
      <c r="P197" s="1">
        <f>SUM(OSRRefP22_10x_0)</f>
        <v>-5710.8099999999995</v>
      </c>
      <c r="Q197" s="1"/>
      <c r="R197" s="5">
        <f t="shared" si="66"/>
        <v>-1.3787555308411598E-3</v>
      </c>
      <c r="S197" s="1"/>
      <c r="T197" s="1">
        <f>SUM(OSRRefT22_10x_0)</f>
        <v>-23930</v>
      </c>
      <c r="U197" s="1"/>
      <c r="V197" s="5">
        <f t="shared" si="67"/>
        <v>-5.4382398971612135E-3</v>
      </c>
      <c r="W197" s="1"/>
      <c r="X197" s="1">
        <f t="shared" si="68"/>
        <v>18219.190000000002</v>
      </c>
      <c r="Y197" s="1"/>
      <c r="Z197" s="5">
        <f t="shared" si="69"/>
        <v>-0.76135353113246984</v>
      </c>
    </row>
    <row r="198" spans="1:26" s="24" customFormat="1" hidden="1" outlineLevel="2" x14ac:dyDescent="0.25">
      <c r="A198" s="25"/>
      <c r="B198" s="11" t="str">
        <f>CONCATENATE("          ", "6305", " - ", "FREIGHT OUT")</f>
        <v xml:space="preserve">          6305 - FREIGHT OUT</v>
      </c>
      <c r="C198" s="11"/>
      <c r="D198" s="7">
        <v>10653.47</v>
      </c>
      <c r="E198" s="2"/>
      <c r="F198" s="6">
        <f t="shared" si="62"/>
        <v>9.8002660866897007E-3</v>
      </c>
      <c r="G198" s="2"/>
      <c r="H198" s="7">
        <v>-21050</v>
      </c>
      <c r="I198" s="2"/>
      <c r="J198" s="6">
        <f t="shared" si="63"/>
        <v>-1.8432649666539628E-2</v>
      </c>
      <c r="K198" s="2"/>
      <c r="L198" s="7">
        <f t="shared" si="64"/>
        <v>31703.47</v>
      </c>
      <c r="M198" s="2"/>
      <c r="N198" s="6">
        <f t="shared" si="65"/>
        <v>-1.5061030878859858</v>
      </c>
      <c r="O198" s="11"/>
      <c r="P198" s="7">
        <v>14931.230000000001</v>
      </c>
      <c r="Q198" s="2"/>
      <c r="R198" s="6">
        <f t="shared" si="66"/>
        <v>3.6048329299629045E-3</v>
      </c>
      <c r="S198" s="2"/>
      <c r="T198" s="7">
        <v>-24050</v>
      </c>
      <c r="U198" s="2"/>
      <c r="V198" s="6">
        <f t="shared" si="67"/>
        <v>-5.4655106363028496E-3</v>
      </c>
      <c r="W198" s="2"/>
      <c r="X198" s="7">
        <f t="shared" si="68"/>
        <v>38981.230000000003</v>
      </c>
      <c r="Y198" s="2"/>
      <c r="Z198" s="6">
        <f t="shared" si="69"/>
        <v>-1.6208411642411644</v>
      </c>
    </row>
    <row r="199" spans="1:26" s="24" customFormat="1" hidden="1" outlineLevel="2" x14ac:dyDescent="0.25">
      <c r="A199" s="25"/>
      <c r="B199" s="11" t="str">
        <f>CONCATENATE("          ", "6307", " - ", "POSTAGE")</f>
        <v xml:space="preserve">          6307 - POSTAGE</v>
      </c>
      <c r="C199" s="11"/>
      <c r="D199" s="7">
        <v>-1228.44</v>
      </c>
      <c r="E199" s="2"/>
      <c r="F199" s="6">
        <f t="shared" si="62"/>
        <v>-1.1300579878230376E-3</v>
      </c>
      <c r="G199" s="2"/>
      <c r="H199" s="7">
        <v>40</v>
      </c>
      <c r="I199" s="2"/>
      <c r="J199" s="6">
        <f t="shared" si="63"/>
        <v>3.5026412668008793E-5</v>
      </c>
      <c r="K199" s="2"/>
      <c r="L199" s="7">
        <f t="shared" si="64"/>
        <v>-1268.44</v>
      </c>
      <c r="M199" s="2"/>
      <c r="N199" s="6">
        <f t="shared" si="65"/>
        <v>-31.711000000000002</v>
      </c>
      <c r="O199" s="11"/>
      <c r="P199" s="7">
        <v>-20642.04</v>
      </c>
      <c r="Q199" s="2"/>
      <c r="R199" s="6">
        <f t="shared" si="66"/>
        <v>-4.9835884608040648E-3</v>
      </c>
      <c r="S199" s="2"/>
      <c r="T199" s="7">
        <v>120</v>
      </c>
      <c r="U199" s="2"/>
      <c r="V199" s="6">
        <f t="shared" si="67"/>
        <v>2.7270739141635838E-5</v>
      </c>
      <c r="W199" s="2"/>
      <c r="X199" s="7">
        <f t="shared" si="68"/>
        <v>-20762.04</v>
      </c>
      <c r="Y199" s="2"/>
      <c r="Z199" s="6">
        <f t="shared" si="69"/>
        <v>-173.017</v>
      </c>
    </row>
    <row r="200" spans="1:26" s="26" customFormat="1" outlineLevel="1" collapsed="1" x14ac:dyDescent="0.25">
      <c r="A200" s="27"/>
      <c r="B200" s="13" t="str">
        <f>CONCATENATE("     ","General                                           ")</f>
        <v xml:space="preserve">     General                                           </v>
      </c>
      <c r="C200" s="13"/>
      <c r="D200" s="1">
        <f>SUM(OSRRefD22_11x_0)</f>
        <v>-1366.16</v>
      </c>
      <c r="E200" s="1"/>
      <c r="F200" s="5">
        <f t="shared" ref="F200:F213" si="70">IF(D$12=0,0,D200/D$12)</f>
        <v>-1.2567484131453886E-3</v>
      </c>
      <c r="G200" s="1"/>
      <c r="H200" s="1">
        <f>SUM(OSRRefH22_11x_0)</f>
        <v>600</v>
      </c>
      <c r="I200" s="1"/>
      <c r="J200" s="5">
        <f t="shared" ref="J200:J213" si="71">IF(H$12=0,0,H200/H$12)</f>
        <v>5.2539619002013192E-4</v>
      </c>
      <c r="K200" s="1"/>
      <c r="L200" s="1">
        <f t="shared" ref="L200:L213" si="72">+D200-H200</f>
        <v>-1966.16</v>
      </c>
      <c r="M200" s="1"/>
      <c r="N200" s="5">
        <f t="shared" ref="N200:N213" si="73">IF(H200=0,0,L200/H200)</f>
        <v>-3.2769333333333335</v>
      </c>
      <c r="O200" s="13"/>
      <c r="P200" s="1">
        <f>SUM(OSRRefP22_11x_0)</f>
        <v>-15701.74</v>
      </c>
      <c r="Q200" s="1"/>
      <c r="R200" s="5">
        <f t="shared" ref="R200:R213" si="74">IF(P$12=0,0,P200/P$12)</f>
        <v>-3.7908564404751472E-3</v>
      </c>
      <c r="S200" s="1"/>
      <c r="T200" s="1">
        <f>SUM(OSRRefT22_11x_0)</f>
        <v>1580</v>
      </c>
      <c r="U200" s="1"/>
      <c r="V200" s="5">
        <f t="shared" ref="V200:V213" si="75">IF(T$12=0,0,T200/T$12)</f>
        <v>3.5906473203153855E-4</v>
      </c>
      <c r="W200" s="1"/>
      <c r="X200" s="1">
        <f t="shared" ref="X200:X213" si="76">+P200-T200</f>
        <v>-17281.739999999998</v>
      </c>
      <c r="Y200" s="1"/>
      <c r="Z200" s="5">
        <f t="shared" ref="Z200:Z213" si="77">IF(T200=0,0,X200/T200)</f>
        <v>-10.937810126582278</v>
      </c>
    </row>
    <row r="201" spans="1:26" s="24" customFormat="1" hidden="1" outlineLevel="2" x14ac:dyDescent="0.25">
      <c r="A201" s="25"/>
      <c r="B201" s="11" t="str">
        <f>CONCATENATE("          ", "6279", " - ", "GENERAL EXPENSE")</f>
        <v xml:space="preserve">          6279 - GENERAL EXPENSE</v>
      </c>
      <c r="C201" s="11"/>
      <c r="D201" s="7">
        <v>-1366.16</v>
      </c>
      <c r="E201" s="2"/>
      <c r="F201" s="6">
        <f t="shared" si="70"/>
        <v>-1.2567484131453886E-3</v>
      </c>
      <c r="G201" s="2"/>
      <c r="H201" s="7">
        <v>600</v>
      </c>
      <c r="I201" s="2"/>
      <c r="J201" s="6">
        <f t="shared" si="71"/>
        <v>5.2539619002013192E-4</v>
      </c>
      <c r="K201" s="2"/>
      <c r="L201" s="7">
        <f t="shared" si="72"/>
        <v>-1966.16</v>
      </c>
      <c r="M201" s="2"/>
      <c r="N201" s="6">
        <f t="shared" si="73"/>
        <v>-3.2769333333333335</v>
      </c>
      <c r="O201" s="11"/>
      <c r="P201" s="7">
        <v>-15701.74</v>
      </c>
      <c r="Q201" s="2"/>
      <c r="R201" s="6">
        <f t="shared" si="74"/>
        <v>-3.7908564404751472E-3</v>
      </c>
      <c r="S201" s="2"/>
      <c r="T201" s="7">
        <v>1580</v>
      </c>
      <c r="U201" s="2"/>
      <c r="V201" s="6">
        <f t="shared" si="75"/>
        <v>3.5906473203153855E-4</v>
      </c>
      <c r="W201" s="2"/>
      <c r="X201" s="7">
        <f t="shared" si="76"/>
        <v>-17281.739999999998</v>
      </c>
      <c r="Y201" s="2"/>
      <c r="Z201" s="6">
        <f t="shared" si="77"/>
        <v>-10.937810126582278</v>
      </c>
    </row>
    <row r="202" spans="1:26" s="26" customFormat="1" outlineLevel="1" collapsed="1" x14ac:dyDescent="0.25">
      <c r="A202" s="27"/>
      <c r="B202" s="13" t="str">
        <f>CONCATENATE("     ","Insurance                                         ")</f>
        <v xml:space="preserve">     Insurance                                         </v>
      </c>
      <c r="C202" s="13"/>
      <c r="D202" s="1">
        <f>SUM(OSRRefD22_12x_0)</f>
        <v>4044.74</v>
      </c>
      <c r="E202" s="1"/>
      <c r="F202" s="5">
        <f t="shared" si="70"/>
        <v>3.7208091120993722E-3</v>
      </c>
      <c r="G202" s="1"/>
      <c r="H202" s="1">
        <f>SUM(OSRRefH22_12x_0)</f>
        <v>3815</v>
      </c>
      <c r="I202" s="1"/>
      <c r="J202" s="5">
        <f t="shared" si="71"/>
        <v>3.340644108211339E-3</v>
      </c>
      <c r="K202" s="1"/>
      <c r="L202" s="1">
        <f t="shared" si="72"/>
        <v>229.73999999999978</v>
      </c>
      <c r="M202" s="1"/>
      <c r="N202" s="5">
        <f t="shared" si="73"/>
        <v>6.0220183486238477E-2</v>
      </c>
      <c r="O202" s="13"/>
      <c r="P202" s="1">
        <f>SUM(OSRRefP22_12x_0)</f>
        <v>12134.22</v>
      </c>
      <c r="Q202" s="1"/>
      <c r="R202" s="5">
        <f t="shared" si="74"/>
        <v>2.9295534149172218E-3</v>
      </c>
      <c r="S202" s="1"/>
      <c r="T202" s="1">
        <f>SUM(OSRRefT22_12x_0)</f>
        <v>11445</v>
      </c>
      <c r="U202" s="1"/>
      <c r="V202" s="5">
        <f t="shared" si="75"/>
        <v>2.6009467456335183E-3</v>
      </c>
      <c r="W202" s="1"/>
      <c r="X202" s="1">
        <f t="shared" si="76"/>
        <v>689.21999999999935</v>
      </c>
      <c r="Y202" s="1"/>
      <c r="Z202" s="5">
        <f t="shared" si="77"/>
        <v>6.0220183486238477E-2</v>
      </c>
    </row>
    <row r="203" spans="1:26" s="24" customFormat="1" hidden="1" outlineLevel="2" x14ac:dyDescent="0.25">
      <c r="A203" s="25"/>
      <c r="B203" s="11" t="str">
        <f>CONCATENATE("          ", "6314", " - ", "LIABILITY INSURANCE")</f>
        <v xml:space="preserve">          6314 - LIABILITY INSURANCE</v>
      </c>
      <c r="C203" s="11"/>
      <c r="D203" s="7">
        <v>4044.74</v>
      </c>
      <c r="E203" s="2"/>
      <c r="F203" s="6">
        <f t="shared" si="70"/>
        <v>3.7208091120993722E-3</v>
      </c>
      <c r="G203" s="2"/>
      <c r="H203" s="7">
        <v>3815</v>
      </c>
      <c r="I203" s="2"/>
      <c r="J203" s="6">
        <f t="shared" si="71"/>
        <v>3.340644108211339E-3</v>
      </c>
      <c r="K203" s="2"/>
      <c r="L203" s="7">
        <f t="shared" si="72"/>
        <v>229.73999999999978</v>
      </c>
      <c r="M203" s="2"/>
      <c r="N203" s="6">
        <f t="shared" si="73"/>
        <v>6.0220183486238477E-2</v>
      </c>
      <c r="O203" s="11"/>
      <c r="P203" s="7">
        <v>12134.22</v>
      </c>
      <c r="Q203" s="2"/>
      <c r="R203" s="6">
        <f t="shared" si="74"/>
        <v>2.9295534149172218E-3</v>
      </c>
      <c r="S203" s="2"/>
      <c r="T203" s="7">
        <v>11445</v>
      </c>
      <c r="U203" s="2"/>
      <c r="V203" s="6">
        <f t="shared" si="75"/>
        <v>2.6009467456335183E-3</v>
      </c>
      <c r="W203" s="2"/>
      <c r="X203" s="7">
        <f t="shared" si="76"/>
        <v>689.21999999999935</v>
      </c>
      <c r="Y203" s="2"/>
      <c r="Z203" s="6">
        <f t="shared" si="77"/>
        <v>6.0220183486238477E-2</v>
      </c>
    </row>
    <row r="204" spans="1:26" s="26" customFormat="1" outlineLevel="1" collapsed="1" x14ac:dyDescent="0.25">
      <c r="A204" s="27"/>
      <c r="B204" s="13" t="str">
        <f>CONCATENATE("     ","Inventory Adjustment                              ")</f>
        <v xml:space="preserve">     Inventory Adjustment                              </v>
      </c>
      <c r="C204" s="13"/>
      <c r="D204" s="1">
        <f>SUM(OSRRefD22_13x_0)</f>
        <v>4250</v>
      </c>
      <c r="E204" s="1"/>
      <c r="F204" s="5">
        <f t="shared" si="70"/>
        <v>3.9096304648561673E-3</v>
      </c>
      <c r="G204" s="1"/>
      <c r="H204" s="1">
        <f>SUM(OSRRefH22_13x_0)</f>
        <v>4250</v>
      </c>
      <c r="I204" s="1"/>
      <c r="J204" s="5">
        <f t="shared" si="71"/>
        <v>3.7215563459759345E-3</v>
      </c>
      <c r="K204" s="1"/>
      <c r="L204" s="1">
        <f t="shared" si="72"/>
        <v>0</v>
      </c>
      <c r="M204" s="1"/>
      <c r="N204" s="5">
        <f t="shared" si="73"/>
        <v>0</v>
      </c>
      <c r="O204" s="13"/>
      <c r="P204" s="1">
        <f>SUM(OSRRefP22_13x_0)</f>
        <v>12650</v>
      </c>
      <c r="Q204" s="1"/>
      <c r="R204" s="5">
        <f t="shared" si="74"/>
        <v>3.0540776991601322E-3</v>
      </c>
      <c r="S204" s="1"/>
      <c r="T204" s="1">
        <f>SUM(OSRRefT22_13x_0)</f>
        <v>12650</v>
      </c>
      <c r="U204" s="1"/>
      <c r="V204" s="5">
        <f t="shared" si="75"/>
        <v>2.8747904178474449E-3</v>
      </c>
      <c r="W204" s="1"/>
      <c r="X204" s="1">
        <f t="shared" si="76"/>
        <v>0</v>
      </c>
      <c r="Y204" s="1"/>
      <c r="Z204" s="5">
        <f t="shared" si="77"/>
        <v>0</v>
      </c>
    </row>
    <row r="205" spans="1:26" s="24" customFormat="1" hidden="1" outlineLevel="2" x14ac:dyDescent="0.25">
      <c r="A205" s="25"/>
      <c r="B205" s="11" t="str">
        <f>CONCATENATE("          ", "6408", " - ", "INVENTORY ADJUSTMENT")</f>
        <v xml:space="preserve">          6408 - INVENTORY ADJUSTMENT</v>
      </c>
      <c r="C205" s="11"/>
      <c r="D205" s="7">
        <v>4250</v>
      </c>
      <c r="E205" s="2"/>
      <c r="F205" s="6">
        <f t="shared" si="70"/>
        <v>3.9096304648561673E-3</v>
      </c>
      <c r="G205" s="2"/>
      <c r="H205" s="7">
        <v>4250</v>
      </c>
      <c r="I205" s="2"/>
      <c r="J205" s="6">
        <f t="shared" si="71"/>
        <v>3.7215563459759345E-3</v>
      </c>
      <c r="K205" s="2"/>
      <c r="L205" s="7">
        <f t="shared" si="72"/>
        <v>0</v>
      </c>
      <c r="M205" s="2"/>
      <c r="N205" s="6">
        <f t="shared" si="73"/>
        <v>0</v>
      </c>
      <c r="O205" s="11"/>
      <c r="P205" s="7">
        <v>12650</v>
      </c>
      <c r="Q205" s="2"/>
      <c r="R205" s="6">
        <f t="shared" si="74"/>
        <v>3.0540776991601322E-3</v>
      </c>
      <c r="S205" s="2"/>
      <c r="T205" s="7">
        <v>12650</v>
      </c>
      <c r="U205" s="2"/>
      <c r="V205" s="6">
        <f t="shared" si="75"/>
        <v>2.8747904178474449E-3</v>
      </c>
      <c r="W205" s="2"/>
      <c r="X205" s="7">
        <f t="shared" si="76"/>
        <v>0</v>
      </c>
      <c r="Y205" s="2"/>
      <c r="Z205" s="6">
        <f t="shared" si="77"/>
        <v>0</v>
      </c>
    </row>
    <row r="206" spans="1:26" s="26" customFormat="1" outlineLevel="1" collapsed="1" x14ac:dyDescent="0.25">
      <c r="A206" s="27"/>
      <c r="B206" s="13" t="str">
        <f>CONCATENATE("     ","Professional Services                             ")</f>
        <v xml:space="preserve">     Professional Services                             </v>
      </c>
      <c r="C206" s="13"/>
      <c r="D206" s="1">
        <f>SUM(OSRRefD22_14x_0)</f>
        <v>0</v>
      </c>
      <c r="E206" s="1"/>
      <c r="F206" s="5">
        <f t="shared" si="70"/>
        <v>0</v>
      </c>
      <c r="G206" s="1"/>
      <c r="H206" s="1">
        <f>SUM(OSRRefH22_14x_0)</f>
        <v>1015</v>
      </c>
      <c r="I206" s="1"/>
      <c r="J206" s="5">
        <f t="shared" si="71"/>
        <v>8.8879522145072316E-4</v>
      </c>
      <c r="K206" s="1"/>
      <c r="L206" s="1">
        <f t="shared" si="72"/>
        <v>-1015</v>
      </c>
      <c r="M206" s="1"/>
      <c r="N206" s="5">
        <f t="shared" si="73"/>
        <v>-1</v>
      </c>
      <c r="O206" s="13"/>
      <c r="P206" s="1">
        <f>SUM(OSRRefP22_14x_0)</f>
        <v>6158.41</v>
      </c>
      <c r="Q206" s="1"/>
      <c r="R206" s="5">
        <f t="shared" si="74"/>
        <v>1.4868191812873318E-3</v>
      </c>
      <c r="S206" s="1"/>
      <c r="T206" s="1">
        <f>SUM(OSRRefT22_14x_0)</f>
        <v>5445</v>
      </c>
      <c r="U206" s="1"/>
      <c r="V206" s="5">
        <f t="shared" si="75"/>
        <v>1.2374097885517262E-3</v>
      </c>
      <c r="W206" s="1"/>
      <c r="X206" s="1">
        <f t="shared" si="76"/>
        <v>713.40999999999985</v>
      </c>
      <c r="Y206" s="1"/>
      <c r="Z206" s="5">
        <f t="shared" si="77"/>
        <v>0.13102112029384755</v>
      </c>
    </row>
    <row r="207" spans="1:26" s="24" customFormat="1" hidden="1" outlineLevel="2" x14ac:dyDescent="0.25">
      <c r="A207" s="25"/>
      <c r="B207" s="11" t="str">
        <f>CONCATENATE("          ", "6336", " - ", "PROFESSIONAL SERVICES")</f>
        <v xml:space="preserve">          6336 - PROFESSIONAL SERVICES</v>
      </c>
      <c r="C207" s="11"/>
      <c r="D207" s="7"/>
      <c r="E207" s="2"/>
      <c r="F207" s="6">
        <f t="shared" si="70"/>
        <v>0</v>
      </c>
      <c r="G207" s="2"/>
      <c r="H207" s="7">
        <v>1015</v>
      </c>
      <c r="I207" s="2"/>
      <c r="J207" s="6">
        <f t="shared" si="71"/>
        <v>8.8879522145072316E-4</v>
      </c>
      <c r="K207" s="2"/>
      <c r="L207" s="7">
        <f t="shared" si="72"/>
        <v>-1015</v>
      </c>
      <c r="M207" s="2"/>
      <c r="N207" s="6">
        <f t="shared" si="73"/>
        <v>-1</v>
      </c>
      <c r="O207" s="11"/>
      <c r="P207" s="7">
        <v>6158.41</v>
      </c>
      <c r="Q207" s="2"/>
      <c r="R207" s="6">
        <f t="shared" si="74"/>
        <v>1.4868191812873318E-3</v>
      </c>
      <c r="S207" s="2"/>
      <c r="T207" s="7">
        <v>5445</v>
      </c>
      <c r="U207" s="2"/>
      <c r="V207" s="6">
        <f t="shared" si="75"/>
        <v>1.2374097885517262E-3</v>
      </c>
      <c r="W207" s="2"/>
      <c r="X207" s="7">
        <f t="shared" si="76"/>
        <v>713.40999999999985</v>
      </c>
      <c r="Y207" s="2"/>
      <c r="Z207" s="6">
        <f t="shared" si="77"/>
        <v>0.13102112029384755</v>
      </c>
    </row>
    <row r="208" spans="1:26" s="26" customFormat="1" outlineLevel="1" collapsed="1" x14ac:dyDescent="0.25">
      <c r="A208" s="27"/>
      <c r="B208" s="13" t="str">
        <f>CONCATENATE("     ","Rent                                              ")</f>
        <v xml:space="preserve">     Rent                                              </v>
      </c>
      <c r="C208" s="13"/>
      <c r="D208" s="1">
        <f>SUM(OSRRefD22_15x_0)</f>
        <v>6100</v>
      </c>
      <c r="E208" s="1"/>
      <c r="F208" s="5">
        <f t="shared" si="70"/>
        <v>5.6114696083817929E-3</v>
      </c>
      <c r="G208" s="1"/>
      <c r="H208" s="1">
        <f>SUM(OSRRefH22_15x_0)</f>
        <v>6400</v>
      </c>
      <c r="I208" s="1"/>
      <c r="J208" s="5">
        <f t="shared" si="71"/>
        <v>5.6042260268814072E-3</v>
      </c>
      <c r="K208" s="1"/>
      <c r="L208" s="1">
        <f t="shared" si="72"/>
        <v>-300</v>
      </c>
      <c r="M208" s="1"/>
      <c r="N208" s="5">
        <f t="shared" si="73"/>
        <v>-4.6875E-2</v>
      </c>
      <c r="O208" s="13"/>
      <c r="P208" s="1">
        <f>SUM(OSRRefP22_15x_0)</f>
        <v>18300</v>
      </c>
      <c r="Q208" s="1"/>
      <c r="R208" s="5">
        <f t="shared" si="74"/>
        <v>4.4181519284292817E-3</v>
      </c>
      <c r="S208" s="1"/>
      <c r="T208" s="1">
        <f>SUM(OSRRefT22_15x_0)</f>
        <v>19200</v>
      </c>
      <c r="U208" s="1"/>
      <c r="V208" s="5">
        <f t="shared" si="75"/>
        <v>4.3633182626617341E-3</v>
      </c>
      <c r="W208" s="1"/>
      <c r="X208" s="1">
        <f t="shared" si="76"/>
        <v>-900</v>
      </c>
      <c r="Y208" s="1"/>
      <c r="Z208" s="5">
        <f t="shared" si="77"/>
        <v>-4.6875E-2</v>
      </c>
    </row>
    <row r="209" spans="1:26" s="24" customFormat="1" hidden="1" outlineLevel="2" x14ac:dyDescent="0.25">
      <c r="A209" s="25"/>
      <c r="B209" s="11" t="str">
        <f>CONCATENATE("          ", "6273", " - ", "RENT")</f>
        <v xml:space="preserve">          6273 - RENT</v>
      </c>
      <c r="C209" s="11"/>
      <c r="D209" s="7">
        <v>6100</v>
      </c>
      <c r="E209" s="2"/>
      <c r="F209" s="6">
        <f t="shared" si="70"/>
        <v>5.6114696083817929E-3</v>
      </c>
      <c r="G209" s="2"/>
      <c r="H209" s="7">
        <v>6400</v>
      </c>
      <c r="I209" s="2"/>
      <c r="J209" s="6">
        <f t="shared" si="71"/>
        <v>5.6042260268814072E-3</v>
      </c>
      <c r="K209" s="2"/>
      <c r="L209" s="7">
        <f t="shared" si="72"/>
        <v>-300</v>
      </c>
      <c r="M209" s="2"/>
      <c r="N209" s="6">
        <f t="shared" si="73"/>
        <v>-4.6875E-2</v>
      </c>
      <c r="O209" s="11"/>
      <c r="P209" s="7">
        <v>18300</v>
      </c>
      <c r="Q209" s="2"/>
      <c r="R209" s="6">
        <f t="shared" si="74"/>
        <v>4.4181519284292817E-3</v>
      </c>
      <c r="S209" s="2"/>
      <c r="T209" s="7">
        <v>19200</v>
      </c>
      <c r="U209" s="2"/>
      <c r="V209" s="6">
        <f t="shared" si="75"/>
        <v>4.3633182626617341E-3</v>
      </c>
      <c r="W209" s="2"/>
      <c r="X209" s="7">
        <f t="shared" si="76"/>
        <v>-900</v>
      </c>
      <c r="Y209" s="2"/>
      <c r="Z209" s="6">
        <f t="shared" si="77"/>
        <v>-4.6875E-2</v>
      </c>
    </row>
    <row r="210" spans="1:26" s="26" customFormat="1" outlineLevel="1" collapsed="1" x14ac:dyDescent="0.25">
      <c r="A210" s="27"/>
      <c r="B210" s="13" t="str">
        <f>CONCATENATE("     ","Repair and Maintenance                            ")</f>
        <v xml:space="preserve">     Repair and Maintenance                            </v>
      </c>
      <c r="C210" s="13"/>
      <c r="D210" s="1">
        <f>SUM(OSRRefD22_16x_0)</f>
        <v>10676.609999999999</v>
      </c>
      <c r="E210" s="1"/>
      <c r="F210" s="5">
        <f t="shared" si="70"/>
        <v>9.8215528746795292E-3</v>
      </c>
      <c r="G210" s="1"/>
      <c r="H210" s="1">
        <f>SUM(OSRRefH22_16x_0)</f>
        <v>14740</v>
      </c>
      <c r="I210" s="1"/>
      <c r="J210" s="5">
        <f t="shared" si="71"/>
        <v>1.2907233068161241E-2</v>
      </c>
      <c r="K210" s="1"/>
      <c r="L210" s="1">
        <f t="shared" si="72"/>
        <v>-4063.3900000000012</v>
      </c>
      <c r="M210" s="1"/>
      <c r="N210" s="5">
        <f t="shared" si="73"/>
        <v>-0.2756709633649933</v>
      </c>
      <c r="O210" s="13"/>
      <c r="P210" s="1">
        <f>SUM(OSRRefP22_16x_0)</f>
        <v>48354.41</v>
      </c>
      <c r="Q210" s="1"/>
      <c r="R210" s="5">
        <f t="shared" si="74"/>
        <v>1.1674160097790173E-2</v>
      </c>
      <c r="S210" s="1"/>
      <c r="T210" s="1">
        <f>SUM(OSRRefT22_16x_0)</f>
        <v>86255</v>
      </c>
      <c r="U210" s="1"/>
      <c r="V210" s="5">
        <f t="shared" si="75"/>
        <v>1.9601980038848329E-2</v>
      </c>
      <c r="W210" s="1"/>
      <c r="X210" s="1">
        <f t="shared" si="76"/>
        <v>-37900.589999999997</v>
      </c>
      <c r="Y210" s="1"/>
      <c r="Z210" s="5">
        <f t="shared" si="77"/>
        <v>-0.43940165787490576</v>
      </c>
    </row>
    <row r="211" spans="1:26" s="24" customFormat="1" hidden="1" outlineLevel="2" x14ac:dyDescent="0.25">
      <c r="A211" s="25"/>
      <c r="B211" s="11" t="str">
        <f>CONCATENATE("          ", "6371", " - ", "COMPUTER SOFTWARE MAINTENANCE")</f>
        <v xml:space="preserve">          6371 - COMPUTER SOFTWARE MAINTENANCE</v>
      </c>
      <c r="C211" s="11"/>
      <c r="D211" s="7">
        <v>3662.15</v>
      </c>
      <c r="E211" s="2"/>
      <c r="F211" s="6">
        <f t="shared" si="70"/>
        <v>3.3688595780877674E-3</v>
      </c>
      <c r="G211" s="2"/>
      <c r="H211" s="7"/>
      <c r="I211" s="2"/>
      <c r="J211" s="6">
        <f t="shared" si="71"/>
        <v>0</v>
      </c>
      <c r="K211" s="2"/>
      <c r="L211" s="7">
        <f t="shared" si="72"/>
        <v>3662.15</v>
      </c>
      <c r="M211" s="2"/>
      <c r="N211" s="6">
        <f t="shared" si="73"/>
        <v>0</v>
      </c>
      <c r="O211" s="11"/>
      <c r="P211" s="7">
        <v>12150.4</v>
      </c>
      <c r="Q211" s="2"/>
      <c r="R211" s="6">
        <f t="shared" si="74"/>
        <v>2.9334597372233412E-3</v>
      </c>
      <c r="S211" s="2"/>
      <c r="T211" s="7">
        <v>48535</v>
      </c>
      <c r="U211" s="2"/>
      <c r="V211" s="6">
        <f t="shared" si="75"/>
        <v>1.1029877701994128E-2</v>
      </c>
      <c r="W211" s="2"/>
      <c r="X211" s="7">
        <f t="shared" si="76"/>
        <v>-36384.6</v>
      </c>
      <c r="Y211" s="2"/>
      <c r="Z211" s="6">
        <f t="shared" si="77"/>
        <v>-0.74965694859379828</v>
      </c>
    </row>
    <row r="212" spans="1:26" s="24" customFormat="1" hidden="1" outlineLevel="2" x14ac:dyDescent="0.25">
      <c r="A212" s="25"/>
      <c r="B212" s="11" t="str">
        <f>CONCATENATE("          ", "6373", " - ", "MAINTENANCE CONTRACTS")</f>
        <v xml:space="preserve">          6373 - MAINTENANCE CONTRACTS</v>
      </c>
      <c r="C212" s="11"/>
      <c r="D212" s="7">
        <v>6672.75</v>
      </c>
      <c r="E212" s="2"/>
      <c r="F212" s="6">
        <f t="shared" si="70"/>
        <v>6.138349808086821E-3</v>
      </c>
      <c r="G212" s="2"/>
      <c r="H212" s="7">
        <v>7040</v>
      </c>
      <c r="I212" s="2"/>
      <c r="J212" s="6">
        <f t="shared" si="71"/>
        <v>6.1646486295695484E-3</v>
      </c>
      <c r="K212" s="2"/>
      <c r="L212" s="7">
        <f t="shared" si="72"/>
        <v>-367.25</v>
      </c>
      <c r="M212" s="2"/>
      <c r="N212" s="6">
        <f t="shared" si="73"/>
        <v>-5.2166193181818185E-2</v>
      </c>
      <c r="O212" s="11"/>
      <c r="P212" s="7">
        <v>19048.190000000002</v>
      </c>
      <c r="Q212" s="2"/>
      <c r="R212" s="6">
        <f t="shared" si="74"/>
        <v>4.5987867421632446E-3</v>
      </c>
      <c r="S212" s="2"/>
      <c r="T212" s="7">
        <v>21195</v>
      </c>
      <c r="U212" s="2"/>
      <c r="V212" s="6">
        <f t="shared" si="75"/>
        <v>4.8166943008914305E-3</v>
      </c>
      <c r="W212" s="2"/>
      <c r="X212" s="7">
        <f t="shared" si="76"/>
        <v>-2146.8099999999977</v>
      </c>
      <c r="Y212" s="2"/>
      <c r="Z212" s="6">
        <f t="shared" si="77"/>
        <v>-0.10128851144137757</v>
      </c>
    </row>
    <row r="213" spans="1:26" s="24" customFormat="1" hidden="1" outlineLevel="2" x14ac:dyDescent="0.25">
      <c r="A213" s="25"/>
      <c r="B213" s="11" t="str">
        <f>CONCATENATE("          ", "6375", " - ", "OUTSIDE REPAIRS &amp; MAINTENANCE")</f>
        <v xml:space="preserve">          6375 - OUTSIDE REPAIRS &amp; MAINTENANCE</v>
      </c>
      <c r="C213" s="11"/>
      <c r="D213" s="7">
        <v>341.71</v>
      </c>
      <c r="E213" s="2"/>
      <c r="F213" s="6">
        <f t="shared" si="70"/>
        <v>3.1434348850494133E-4</v>
      </c>
      <c r="G213" s="2"/>
      <c r="H213" s="7">
        <v>7700</v>
      </c>
      <c r="I213" s="2"/>
      <c r="J213" s="6">
        <f t="shared" si="71"/>
        <v>6.7425844385916936E-3</v>
      </c>
      <c r="K213" s="2"/>
      <c r="L213" s="7">
        <f t="shared" si="72"/>
        <v>-7358.29</v>
      </c>
      <c r="M213" s="2"/>
      <c r="N213" s="6">
        <f t="shared" si="73"/>
        <v>-0.95562207792207787</v>
      </c>
      <c r="O213" s="11"/>
      <c r="P213" s="7">
        <v>17155.82</v>
      </c>
      <c r="Q213" s="2"/>
      <c r="R213" s="6">
        <f t="shared" si="74"/>
        <v>4.1419136184035867E-3</v>
      </c>
      <c r="S213" s="2"/>
      <c r="T213" s="7">
        <v>16525</v>
      </c>
      <c r="U213" s="2"/>
      <c r="V213" s="6">
        <f t="shared" si="75"/>
        <v>3.7554080359627688E-3</v>
      </c>
      <c r="W213" s="2"/>
      <c r="X213" s="7">
        <f t="shared" si="76"/>
        <v>630.81999999999971</v>
      </c>
      <c r="Y213" s="2"/>
      <c r="Z213" s="6">
        <f t="shared" si="77"/>
        <v>3.8173676248108905E-2</v>
      </c>
    </row>
    <row r="214" spans="1:26" s="26" customFormat="1" outlineLevel="1" collapsed="1" x14ac:dyDescent="0.25">
      <c r="A214" s="27"/>
      <c r="B214" s="13" t="str">
        <f>CONCATENATE("     ","Royalty &amp; Commissions                             ")</f>
        <v xml:space="preserve">     Royalty &amp; Commissions                             </v>
      </c>
      <c r="C214" s="13"/>
      <c r="D214" s="1">
        <f>SUM(OSRRefD22_17x_0)</f>
        <v>10580.82</v>
      </c>
      <c r="E214" s="1"/>
      <c r="F214" s="5">
        <f t="shared" ref="F214:F218" si="78">IF(D$12=0,0,D214/D$12)</f>
        <v>9.7334344035669238E-3</v>
      </c>
      <c r="G214" s="1"/>
      <c r="H214" s="1">
        <f>SUM(OSRRefH22_17x_0)</f>
        <v>16485</v>
      </c>
      <c r="I214" s="1"/>
      <c r="J214" s="5">
        <f t="shared" ref="J214:J218" si="79">IF(H$12=0,0,H214/H$12)</f>
        <v>1.4435260320803125E-2</v>
      </c>
      <c r="K214" s="1"/>
      <c r="L214" s="1">
        <f t="shared" ref="L214:L218" si="80">+D214-H214</f>
        <v>-5904.18</v>
      </c>
      <c r="M214" s="1"/>
      <c r="N214" s="5">
        <f t="shared" ref="N214:N218" si="81">IF(H214=0,0,L214/H214)</f>
        <v>-0.35815468607825296</v>
      </c>
      <c r="O214" s="13"/>
      <c r="P214" s="1">
        <f>SUM(OSRRefP22_17x_0)</f>
        <v>19452.440000000002</v>
      </c>
      <c r="Q214" s="1"/>
      <c r="R214" s="5">
        <f t="shared" ref="R214:R218" si="82">IF(P$12=0,0,P214/P$12)</f>
        <v>4.696384442549449E-3</v>
      </c>
      <c r="S214" s="1"/>
      <c r="T214" s="1">
        <f>SUM(OSRRefT22_17x_0)</f>
        <v>49455</v>
      </c>
      <c r="U214" s="1"/>
      <c r="V214" s="5">
        <f t="shared" ref="V214:V218" si="83">IF(T$12=0,0,T214/T$12)</f>
        <v>1.123895336874667E-2</v>
      </c>
      <c r="W214" s="1"/>
      <c r="X214" s="1">
        <f t="shared" ref="X214:X218" si="84">+P214-T214</f>
        <v>-30002.559999999998</v>
      </c>
      <c r="Y214" s="1"/>
      <c r="Z214" s="5">
        <f t="shared" ref="Z214:Z218" si="85">IF(T214=0,0,X214/T214)</f>
        <v>-0.60666383581033256</v>
      </c>
    </row>
    <row r="215" spans="1:26" s="24" customFormat="1" hidden="1" outlineLevel="2" x14ac:dyDescent="0.25">
      <c r="A215" s="25"/>
      <c r="B215" s="11" t="str">
        <f>CONCATENATE("          ", "6252", " - ", "ROYALTY DUE CSTV")</f>
        <v xml:space="preserve">          6252 - ROYALTY DUE CSTV</v>
      </c>
      <c r="C215" s="11"/>
      <c r="D215" s="7"/>
      <c r="E215" s="2"/>
      <c r="F215" s="6">
        <f t="shared" si="78"/>
        <v>0</v>
      </c>
      <c r="G215" s="2"/>
      <c r="H215" s="7">
        <v>1085</v>
      </c>
      <c r="I215" s="2"/>
      <c r="J215" s="6">
        <f t="shared" si="79"/>
        <v>9.5009144361973862E-4</v>
      </c>
      <c r="K215" s="2"/>
      <c r="L215" s="7">
        <f t="shared" si="80"/>
        <v>-1085</v>
      </c>
      <c r="M215" s="2"/>
      <c r="N215" s="6">
        <f t="shared" si="81"/>
        <v>-1</v>
      </c>
      <c r="O215" s="11"/>
      <c r="P215" s="7"/>
      <c r="Q215" s="2"/>
      <c r="R215" s="6">
        <f t="shared" si="82"/>
        <v>0</v>
      </c>
      <c r="S215" s="2"/>
      <c r="T215" s="7">
        <v>3255</v>
      </c>
      <c r="U215" s="2"/>
      <c r="V215" s="6">
        <f t="shared" si="83"/>
        <v>7.3971879921687215E-4</v>
      </c>
      <c r="W215" s="2"/>
      <c r="X215" s="7">
        <f t="shared" si="84"/>
        <v>-3255</v>
      </c>
      <c r="Y215" s="2"/>
      <c r="Z215" s="6">
        <f t="shared" si="85"/>
        <v>-1</v>
      </c>
    </row>
    <row r="216" spans="1:26" s="24" customFormat="1" hidden="1" outlineLevel="2" x14ac:dyDescent="0.25">
      <c r="A216" s="25"/>
      <c r="B216" s="11" t="str">
        <f>CONCATENATE("          ", "6253", " - ", "ROYALTY DUE ATHLETICS-LRG")</f>
        <v xml:space="preserve">          6253 - ROYALTY DUE ATHLETICS-LRG</v>
      </c>
      <c r="C216" s="11"/>
      <c r="D216" s="7"/>
      <c r="E216" s="2"/>
      <c r="F216" s="6">
        <f t="shared" si="78"/>
        <v>0</v>
      </c>
      <c r="G216" s="2"/>
      <c r="H216" s="7">
        <v>3700</v>
      </c>
      <c r="I216" s="2"/>
      <c r="J216" s="6">
        <f t="shared" si="79"/>
        <v>3.2399431717908137E-3</v>
      </c>
      <c r="K216" s="2"/>
      <c r="L216" s="7">
        <f t="shared" si="80"/>
        <v>-3700</v>
      </c>
      <c r="M216" s="2"/>
      <c r="N216" s="6">
        <f t="shared" si="81"/>
        <v>-1</v>
      </c>
      <c r="O216" s="11"/>
      <c r="P216" s="7">
        <v>4366.95</v>
      </c>
      <c r="Q216" s="2"/>
      <c r="R216" s="6">
        <f t="shared" si="82"/>
        <v>1.0543086646914892E-3</v>
      </c>
      <c r="S216" s="2"/>
      <c r="T216" s="7">
        <v>11100</v>
      </c>
      <c r="U216" s="2"/>
      <c r="V216" s="6">
        <f t="shared" si="83"/>
        <v>2.5225433706013152E-3</v>
      </c>
      <c r="W216" s="2"/>
      <c r="X216" s="7">
        <f t="shared" si="84"/>
        <v>-6733.05</v>
      </c>
      <c r="Y216" s="2"/>
      <c r="Z216" s="6">
        <f t="shared" si="85"/>
        <v>-0.60658108108108111</v>
      </c>
    </row>
    <row r="217" spans="1:26" s="24" customFormat="1" hidden="1" outlineLevel="2" x14ac:dyDescent="0.25">
      <c r="A217" s="25"/>
      <c r="B217" s="11" t="str">
        <f>CONCATENATE("          ", "6254", " - ", "ROYALTY &amp; COMMISSIONS")</f>
        <v xml:space="preserve">          6254 - ROYALTY &amp; COMMISSIONS</v>
      </c>
      <c r="C217" s="11"/>
      <c r="D217" s="7">
        <v>365.38</v>
      </c>
      <c r="E217" s="2"/>
      <c r="F217" s="6">
        <f t="shared" si="78"/>
        <v>3.3611783041156382E-4</v>
      </c>
      <c r="G217" s="2"/>
      <c r="H217" s="7">
        <v>11700</v>
      </c>
      <c r="I217" s="2"/>
      <c r="J217" s="6">
        <f t="shared" si="79"/>
        <v>1.0245225705392573E-2</v>
      </c>
      <c r="K217" s="2"/>
      <c r="L217" s="7">
        <f t="shared" si="80"/>
        <v>-11334.62</v>
      </c>
      <c r="M217" s="2"/>
      <c r="N217" s="6">
        <f t="shared" si="81"/>
        <v>-0.96877094017094023</v>
      </c>
      <c r="O217" s="11"/>
      <c r="P217" s="7">
        <v>615.87</v>
      </c>
      <c r="Q217" s="2"/>
      <c r="R217" s="6">
        <f t="shared" si="82"/>
        <v>1.4868891957167988E-4</v>
      </c>
      <c r="S217" s="2"/>
      <c r="T217" s="7">
        <v>35100</v>
      </c>
      <c r="U217" s="2"/>
      <c r="V217" s="6">
        <f t="shared" si="83"/>
        <v>7.9766911989284824E-3</v>
      </c>
      <c r="W217" s="2"/>
      <c r="X217" s="7">
        <f t="shared" si="84"/>
        <v>-34484.129999999997</v>
      </c>
      <c r="Y217" s="2"/>
      <c r="Z217" s="6">
        <f t="shared" si="85"/>
        <v>-0.98245384615384612</v>
      </c>
    </row>
    <row r="218" spans="1:26" s="24" customFormat="1" hidden="1" outlineLevel="2" x14ac:dyDescent="0.25">
      <c r="A218" s="25"/>
      <c r="B218" s="11" t="str">
        <f>CONCATENATE("          ", "6259", " - ", "ROYALTY &amp; COMMISSIONS")</f>
        <v xml:space="preserve">          6259 - ROYALTY &amp; COMMISSIONS</v>
      </c>
      <c r="C218" s="11"/>
      <c r="D218" s="7">
        <v>10215.44</v>
      </c>
      <c r="E218" s="2"/>
      <c r="F218" s="6">
        <f t="shared" si="78"/>
        <v>9.397316573155361E-3</v>
      </c>
      <c r="G218" s="2"/>
      <c r="H218" s="7"/>
      <c r="I218" s="2"/>
      <c r="J218" s="6">
        <f t="shared" si="79"/>
        <v>0</v>
      </c>
      <c r="K218" s="2"/>
      <c r="L218" s="7">
        <f t="shared" si="80"/>
        <v>10215.44</v>
      </c>
      <c r="M218" s="2"/>
      <c r="N218" s="6">
        <f t="shared" si="81"/>
        <v>0</v>
      </c>
      <c r="O218" s="11"/>
      <c r="P218" s="7">
        <v>14469.62</v>
      </c>
      <c r="Q218" s="2"/>
      <c r="R218" s="6">
        <f t="shared" si="82"/>
        <v>3.4933868582862795E-3</v>
      </c>
      <c r="S218" s="2"/>
      <c r="T218" s="7"/>
      <c r="U218" s="2"/>
      <c r="V218" s="6">
        <f t="shared" si="83"/>
        <v>0</v>
      </c>
      <c r="W218" s="2"/>
      <c r="X218" s="7">
        <f t="shared" si="84"/>
        <v>14469.62</v>
      </c>
      <c r="Y218" s="2"/>
      <c r="Z218" s="6">
        <f t="shared" si="85"/>
        <v>0</v>
      </c>
    </row>
    <row r="219" spans="1:26" s="26" customFormat="1" outlineLevel="1" collapsed="1" x14ac:dyDescent="0.25">
      <c r="A219" s="27"/>
      <c r="B219" s="13" t="str">
        <f>CONCATENATE("     ","Services                                          ")</f>
        <v xml:space="preserve">     Services                                          </v>
      </c>
      <c r="C219" s="13"/>
      <c r="D219" s="1">
        <f>SUM(OSRRefD22_18x_0)</f>
        <v>3921.52</v>
      </c>
      <c r="E219" s="1"/>
      <c r="F219" s="5">
        <f t="shared" ref="F219:F223" si="86">IF(D$12=0,0,D219/D$12)</f>
        <v>3.6074574260100602E-3</v>
      </c>
      <c r="G219" s="1"/>
      <c r="H219" s="1">
        <f>SUM(OSRRefH22_18x_0)</f>
        <v>4432.5</v>
      </c>
      <c r="I219" s="1"/>
      <c r="J219" s="5">
        <f t="shared" ref="J219:J223" si="87">IF(H$12=0,0,H219/H$12)</f>
        <v>3.8813643537737247E-3</v>
      </c>
      <c r="K219" s="1"/>
      <c r="L219" s="1">
        <f t="shared" ref="L219:L223" si="88">+D219-H219</f>
        <v>-510.98</v>
      </c>
      <c r="M219" s="1"/>
      <c r="N219" s="5">
        <f t="shared" ref="N219:N223" si="89">IF(H219=0,0,L219/H219)</f>
        <v>-0.11528031584884377</v>
      </c>
      <c r="O219" s="13"/>
      <c r="P219" s="1">
        <f>SUM(OSRRefP22_18x_0)</f>
        <v>13227.19</v>
      </c>
      <c r="Q219" s="1"/>
      <c r="R219" s="5">
        <f t="shared" ref="R219:R223" si="90">IF(P$12=0,0,P219/P$12)</f>
        <v>3.193428142415329E-3</v>
      </c>
      <c r="S219" s="1"/>
      <c r="T219" s="1">
        <f>SUM(OSRRefT22_18x_0)</f>
        <v>13297.5</v>
      </c>
      <c r="U219" s="1"/>
      <c r="V219" s="5">
        <f t="shared" ref="V219:V223" si="91">IF(T$12=0,0,T219/T$12)</f>
        <v>3.0219387811325216E-3</v>
      </c>
      <c r="W219" s="1"/>
      <c r="X219" s="1">
        <f t="shared" ref="X219:X223" si="92">+P219-T219</f>
        <v>-70.309999999999491</v>
      </c>
      <c r="Y219" s="1"/>
      <c r="Z219" s="5">
        <f t="shared" ref="Z219:Z223" si="93">IF(T219=0,0,X219/T219)</f>
        <v>-5.2874600488813303E-3</v>
      </c>
    </row>
    <row r="220" spans="1:26" s="24" customFormat="1" hidden="1" outlineLevel="2" x14ac:dyDescent="0.25">
      <c r="A220" s="25"/>
      <c r="B220" s="11" t="str">
        <f>CONCATENATE("          ", "6282", " - ", "JANITORIAL/EXTERMINATOR EXPENS")</f>
        <v xml:space="preserve">          6282 - JANITORIAL/EXTERMINATOR EXPENS</v>
      </c>
      <c r="C220" s="11"/>
      <c r="D220" s="7">
        <v>266.5</v>
      </c>
      <c r="E220" s="2"/>
      <c r="F220" s="6">
        <f t="shared" si="86"/>
        <v>2.4515682797274555E-4</v>
      </c>
      <c r="G220" s="2"/>
      <c r="H220" s="7">
        <v>50</v>
      </c>
      <c r="I220" s="2"/>
      <c r="J220" s="6">
        <f t="shared" si="87"/>
        <v>4.3783015835010994E-5</v>
      </c>
      <c r="K220" s="2"/>
      <c r="L220" s="7">
        <f t="shared" si="88"/>
        <v>216.5</v>
      </c>
      <c r="M220" s="2"/>
      <c r="N220" s="6">
        <f t="shared" si="89"/>
        <v>4.33</v>
      </c>
      <c r="O220" s="11"/>
      <c r="P220" s="7">
        <v>799.5</v>
      </c>
      <c r="Q220" s="2"/>
      <c r="R220" s="6">
        <f t="shared" si="90"/>
        <v>1.930225391682629E-4</v>
      </c>
      <c r="S220" s="2"/>
      <c r="T220" s="7">
        <v>150</v>
      </c>
      <c r="U220" s="2"/>
      <c r="V220" s="6">
        <f t="shared" si="91"/>
        <v>3.4088423927044798E-5</v>
      </c>
      <c r="W220" s="2"/>
      <c r="X220" s="7">
        <f t="shared" si="92"/>
        <v>649.5</v>
      </c>
      <c r="Y220" s="2"/>
      <c r="Z220" s="6">
        <f t="shared" si="93"/>
        <v>4.33</v>
      </c>
    </row>
    <row r="221" spans="1:26" s="24" customFormat="1" hidden="1" outlineLevel="2" x14ac:dyDescent="0.25">
      <c r="A221" s="25"/>
      <c r="B221" s="11" t="str">
        <f>CONCATENATE("          ", "6283", " - ", "PLANT SERVICE")</f>
        <v xml:space="preserve">          6283 - PLANT SERVICE</v>
      </c>
      <c r="C221" s="11"/>
      <c r="D221" s="7">
        <v>180.66</v>
      </c>
      <c r="E221" s="2"/>
      <c r="F221" s="6">
        <f t="shared" si="86"/>
        <v>1.6619149171315649E-4</v>
      </c>
      <c r="G221" s="2"/>
      <c r="H221" s="7">
        <v>60</v>
      </c>
      <c r="I221" s="2"/>
      <c r="J221" s="6">
        <f t="shared" si="87"/>
        <v>5.2539619002013194E-5</v>
      </c>
      <c r="K221" s="2"/>
      <c r="L221" s="7">
        <f t="shared" si="88"/>
        <v>120.66</v>
      </c>
      <c r="M221" s="2"/>
      <c r="N221" s="6">
        <f t="shared" si="89"/>
        <v>2.0110000000000001</v>
      </c>
      <c r="O221" s="11"/>
      <c r="P221" s="7">
        <v>541.98</v>
      </c>
      <c r="Q221" s="2"/>
      <c r="R221" s="6">
        <f t="shared" si="90"/>
        <v>1.3084972580164493E-4</v>
      </c>
      <c r="S221" s="2"/>
      <c r="T221" s="7">
        <v>180</v>
      </c>
      <c r="U221" s="2"/>
      <c r="V221" s="6">
        <f t="shared" si="91"/>
        <v>4.0906108712453757E-5</v>
      </c>
      <c r="W221" s="2"/>
      <c r="X221" s="7">
        <f t="shared" si="92"/>
        <v>361.98</v>
      </c>
      <c r="Y221" s="2"/>
      <c r="Z221" s="6">
        <f t="shared" si="93"/>
        <v>2.0110000000000001</v>
      </c>
    </row>
    <row r="222" spans="1:26" s="24" customFormat="1" hidden="1" outlineLevel="2" x14ac:dyDescent="0.25">
      <c r="A222" s="25"/>
      <c r="B222" s="11" t="str">
        <f>CONCATENATE("          ", "6284", " - ", "TRASH REMOVAL EXPENSE")</f>
        <v xml:space="preserve">          6284 - TRASH REMOVAL EXPENSE</v>
      </c>
      <c r="C222" s="11"/>
      <c r="D222" s="7">
        <v>134.82</v>
      </c>
      <c r="E222" s="2"/>
      <c r="F222" s="6">
        <f t="shared" si="86"/>
        <v>1.2402267747574315E-4</v>
      </c>
      <c r="G222" s="2"/>
      <c r="H222" s="7">
        <v>62.5</v>
      </c>
      <c r="I222" s="2"/>
      <c r="J222" s="6">
        <f t="shared" si="87"/>
        <v>5.4728769793763742E-5</v>
      </c>
      <c r="K222" s="2"/>
      <c r="L222" s="7">
        <f t="shared" si="88"/>
        <v>72.319999999999993</v>
      </c>
      <c r="M222" s="2"/>
      <c r="N222" s="6">
        <f t="shared" si="89"/>
        <v>1.1571199999999999</v>
      </c>
      <c r="O222" s="11"/>
      <c r="P222" s="7">
        <v>404.46</v>
      </c>
      <c r="Q222" s="2"/>
      <c r="R222" s="6">
        <f t="shared" si="90"/>
        <v>9.7648400490300941E-5</v>
      </c>
      <c r="S222" s="2"/>
      <c r="T222" s="7">
        <v>187.5</v>
      </c>
      <c r="U222" s="2"/>
      <c r="V222" s="6">
        <f t="shared" si="91"/>
        <v>4.2610529908805997E-5</v>
      </c>
      <c r="W222" s="2"/>
      <c r="X222" s="7">
        <f t="shared" si="92"/>
        <v>216.95999999999998</v>
      </c>
      <c r="Y222" s="2"/>
      <c r="Z222" s="6">
        <f t="shared" si="93"/>
        <v>1.1571199999999999</v>
      </c>
    </row>
    <row r="223" spans="1:26" s="24" customFormat="1" hidden="1" outlineLevel="2" x14ac:dyDescent="0.25">
      <c r="A223" s="25"/>
      <c r="B223" s="11" t="str">
        <f>CONCATENATE("          ", "6285", " - ", "JANITORIAL SERVICES")</f>
        <v xml:space="preserve">          6285 - JANITORIAL SERVICES</v>
      </c>
      <c r="C223" s="11"/>
      <c r="D223" s="7">
        <v>3339.54</v>
      </c>
      <c r="E223" s="2"/>
      <c r="F223" s="6">
        <f t="shared" si="86"/>
        <v>3.072086428848415E-3</v>
      </c>
      <c r="G223" s="2"/>
      <c r="H223" s="7">
        <v>4260</v>
      </c>
      <c r="I223" s="2"/>
      <c r="J223" s="6">
        <f t="shared" si="87"/>
        <v>3.7303129491429369E-3</v>
      </c>
      <c r="K223" s="2"/>
      <c r="L223" s="7">
        <f t="shared" si="88"/>
        <v>-920.46</v>
      </c>
      <c r="M223" s="2"/>
      <c r="N223" s="6">
        <f t="shared" si="89"/>
        <v>-0.21607042253521128</v>
      </c>
      <c r="O223" s="11"/>
      <c r="P223" s="7">
        <v>11481.25</v>
      </c>
      <c r="Q223" s="2"/>
      <c r="R223" s="6">
        <f t="shared" si="90"/>
        <v>2.77190747695512E-3</v>
      </c>
      <c r="S223" s="2"/>
      <c r="T223" s="7">
        <v>12780</v>
      </c>
      <c r="U223" s="2"/>
      <c r="V223" s="6">
        <f t="shared" si="91"/>
        <v>2.9043337185842167E-3</v>
      </c>
      <c r="W223" s="2"/>
      <c r="X223" s="7">
        <f t="shared" si="92"/>
        <v>-1298.75</v>
      </c>
      <c r="Y223" s="2"/>
      <c r="Z223" s="6">
        <f t="shared" si="93"/>
        <v>-0.10162363067292644</v>
      </c>
    </row>
    <row r="224" spans="1:26" s="26" customFormat="1" outlineLevel="1" collapsed="1" x14ac:dyDescent="0.25">
      <c r="A224" s="27"/>
      <c r="B224" s="13" t="str">
        <f>CONCATENATE("     ","Subscriptions &amp; Dues                              ")</f>
        <v xml:space="preserve">     Subscriptions &amp; Dues                              </v>
      </c>
      <c r="C224" s="13"/>
      <c r="D224" s="1">
        <f>SUM(OSRRefD22_19x_0)</f>
        <v>706.62</v>
      </c>
      <c r="E224" s="1"/>
      <c r="F224" s="5">
        <f t="shared" ref="F224:F226" si="94">IF(D$12=0,0,D224/D$12)</f>
        <v>6.5002895978274469E-4</v>
      </c>
      <c r="G224" s="1"/>
      <c r="H224" s="1">
        <f>SUM(OSRRefH22_19x_0)</f>
        <v>1515</v>
      </c>
      <c r="I224" s="1"/>
      <c r="J224" s="5">
        <f t="shared" ref="J224:J226" si="95">IF(H$12=0,0,H224/H$12)</f>
        <v>1.326625379800833E-3</v>
      </c>
      <c r="K224" s="1"/>
      <c r="L224" s="1">
        <f t="shared" ref="L224:L226" si="96">+D224-H224</f>
        <v>-808.38</v>
      </c>
      <c r="M224" s="1"/>
      <c r="N224" s="5">
        <f t="shared" ref="N224:N226" si="97">IF(H224=0,0,L224/H224)</f>
        <v>-0.53358415841584161</v>
      </c>
      <c r="O224" s="13"/>
      <c r="P224" s="1">
        <f>SUM(OSRRefP22_19x_0)</f>
        <v>1698.85</v>
      </c>
      <c r="Q224" s="1"/>
      <c r="R224" s="5">
        <f t="shared" ref="R224:R226" si="98">IF(P$12=0,0,P224/P$12)</f>
        <v>4.1015177068918498E-4</v>
      </c>
      <c r="S224" s="1"/>
      <c r="T224" s="1">
        <f>SUM(OSRRefT22_19x_0)</f>
        <v>5215</v>
      </c>
      <c r="U224" s="1"/>
      <c r="V224" s="5">
        <f t="shared" ref="V224:V226" si="99">IF(T$12=0,0,T224/T$12)</f>
        <v>1.1851408718635908E-3</v>
      </c>
      <c r="W224" s="1"/>
      <c r="X224" s="1">
        <f t="shared" ref="X224:X226" si="100">+P224-T224</f>
        <v>-3516.15</v>
      </c>
      <c r="Y224" s="1"/>
      <c r="Z224" s="5">
        <f t="shared" ref="Z224:Z226" si="101">IF(T224=0,0,X224/T224)</f>
        <v>-0.67423777564717169</v>
      </c>
    </row>
    <row r="225" spans="1:26" s="24" customFormat="1" hidden="1" outlineLevel="2" x14ac:dyDescent="0.25">
      <c r="A225" s="25"/>
      <c r="B225" s="11" t="str">
        <f>CONCATENATE("          ", "6258", " - ", "MEMBERSHIP DUES")</f>
        <v xml:space="preserve">          6258 - MEMBERSHIP DUES</v>
      </c>
      <c r="C225" s="11"/>
      <c r="D225" s="7">
        <v>250</v>
      </c>
      <c r="E225" s="2"/>
      <c r="F225" s="6">
        <f t="shared" si="94"/>
        <v>2.2997826263859806E-4</v>
      </c>
      <c r="G225" s="2"/>
      <c r="H225" s="7">
        <v>1300</v>
      </c>
      <c r="I225" s="2"/>
      <c r="J225" s="6">
        <f t="shared" si="95"/>
        <v>1.1383584117102858E-3</v>
      </c>
      <c r="K225" s="2"/>
      <c r="L225" s="7">
        <f t="shared" si="96"/>
        <v>-1050</v>
      </c>
      <c r="M225" s="2"/>
      <c r="N225" s="6">
        <f t="shared" si="97"/>
        <v>-0.80769230769230771</v>
      </c>
      <c r="O225" s="11"/>
      <c r="P225" s="7">
        <v>908.85</v>
      </c>
      <c r="Q225" s="2"/>
      <c r="R225" s="6">
        <f t="shared" si="98"/>
        <v>2.1942280765863131E-4</v>
      </c>
      <c r="S225" s="2"/>
      <c r="T225" s="7">
        <v>3695</v>
      </c>
      <c r="U225" s="2"/>
      <c r="V225" s="6">
        <f t="shared" si="99"/>
        <v>8.3971150940287018E-4</v>
      </c>
      <c r="W225" s="2"/>
      <c r="X225" s="7">
        <f t="shared" si="100"/>
        <v>-2786.15</v>
      </c>
      <c r="Y225" s="2"/>
      <c r="Z225" s="6">
        <f t="shared" si="101"/>
        <v>-0.75403247631935055</v>
      </c>
    </row>
    <row r="226" spans="1:26" s="24" customFormat="1" hidden="1" outlineLevel="2" x14ac:dyDescent="0.25">
      <c r="A226" s="25"/>
      <c r="B226" s="11" t="str">
        <f>CONCATENATE("          ", "6275", " - ", "SUBSCRIPTIONS")</f>
        <v xml:space="preserve">          6275 - SUBSCRIPTIONS</v>
      </c>
      <c r="C226" s="11"/>
      <c r="D226" s="7">
        <v>456.62</v>
      </c>
      <c r="E226" s="2"/>
      <c r="F226" s="6">
        <f t="shared" si="94"/>
        <v>4.200506971441466E-4</v>
      </c>
      <c r="G226" s="2"/>
      <c r="H226" s="7">
        <v>215</v>
      </c>
      <c r="I226" s="2"/>
      <c r="J226" s="6">
        <f t="shared" si="95"/>
        <v>1.8826696809054729E-4</v>
      </c>
      <c r="K226" s="2"/>
      <c r="L226" s="7">
        <f t="shared" si="96"/>
        <v>241.62</v>
      </c>
      <c r="M226" s="2"/>
      <c r="N226" s="6">
        <f t="shared" si="97"/>
        <v>1.1238139534883722</v>
      </c>
      <c r="O226" s="11"/>
      <c r="P226" s="7">
        <v>790</v>
      </c>
      <c r="Q226" s="2"/>
      <c r="R226" s="6">
        <f t="shared" si="98"/>
        <v>1.9072896303055369E-4</v>
      </c>
      <c r="S226" s="2"/>
      <c r="T226" s="7">
        <v>1520</v>
      </c>
      <c r="U226" s="2"/>
      <c r="V226" s="6">
        <f t="shared" si="99"/>
        <v>3.4542936246072063E-4</v>
      </c>
      <c r="W226" s="2"/>
      <c r="X226" s="7">
        <f t="shared" si="100"/>
        <v>-730</v>
      </c>
      <c r="Y226" s="2"/>
      <c r="Z226" s="6">
        <f t="shared" si="101"/>
        <v>-0.48026315789473684</v>
      </c>
    </row>
    <row r="227" spans="1:26" s="26" customFormat="1" outlineLevel="1" collapsed="1" x14ac:dyDescent="0.25">
      <c r="A227" s="27"/>
      <c r="B227" s="13" t="str">
        <f>CONCATENATE("     ","Supplies                                          ")</f>
        <v xml:space="preserve">     Supplies                                          </v>
      </c>
      <c r="C227" s="13"/>
      <c r="D227" s="1">
        <f>SUM(OSRRefD22_20x_0)</f>
        <v>19613.150000000001</v>
      </c>
      <c r="E227" s="1"/>
      <c r="F227" s="5">
        <f t="shared" ref="F227:F234" si="102">IF(D$12=0,0,D227/D$12)</f>
        <v>1.8042392647480879E-2</v>
      </c>
      <c r="G227" s="1"/>
      <c r="H227" s="1">
        <f>SUM(OSRRefH22_20x_0)</f>
        <v>21600</v>
      </c>
      <c r="I227" s="1"/>
      <c r="J227" s="5">
        <f t="shared" ref="J227:J234" si="103">IF(H$12=0,0,H227/H$12)</f>
        <v>1.8914262840724751E-2</v>
      </c>
      <c r="K227" s="1"/>
      <c r="L227" s="1">
        <f t="shared" ref="L227:L234" si="104">+D227-H227</f>
        <v>-1986.8499999999985</v>
      </c>
      <c r="M227" s="1"/>
      <c r="N227" s="5">
        <f t="shared" ref="N227:N234" si="105">IF(H227=0,0,L227/H227)</f>
        <v>-9.198379629629623E-2</v>
      </c>
      <c r="O227" s="13"/>
      <c r="P227" s="1">
        <f>SUM(OSRRefP22_20x_0)</f>
        <v>32061.97</v>
      </c>
      <c r="Q227" s="1"/>
      <c r="R227" s="5">
        <f t="shared" ref="R227:R234" si="106">IF(P$12=0,0,P227/P$12)</f>
        <v>7.7406915073629399E-3</v>
      </c>
      <c r="S227" s="1"/>
      <c r="T227" s="1">
        <f>SUM(OSRRefT22_20x_0)</f>
        <v>49645</v>
      </c>
      <c r="U227" s="1"/>
      <c r="V227" s="5">
        <f t="shared" ref="V227:V234" si="107">IF(T$12=0,0,T227/T$12)</f>
        <v>1.128213203905426E-2</v>
      </c>
      <c r="W227" s="1"/>
      <c r="X227" s="1">
        <f t="shared" ref="X227:X234" si="108">+P227-T227</f>
        <v>-17583.03</v>
      </c>
      <c r="Y227" s="1"/>
      <c r="Z227" s="5">
        <f t="shared" ref="Z227:Z234" si="109">IF(T227=0,0,X227/T227)</f>
        <v>-0.35417524423406183</v>
      </c>
    </row>
    <row r="228" spans="1:26" s="24" customFormat="1" hidden="1" outlineLevel="2" x14ac:dyDescent="0.25">
      <c r="A228" s="25"/>
      <c r="B228" s="11" t="str">
        <f>CONCATENATE("          ", "6234", " - ", "EXPENDABLE SUPPLIES &amp; EQUIPMEN")</f>
        <v xml:space="preserve">          6234 - EXPENDABLE SUPPLIES &amp; EQUIPMEN</v>
      </c>
      <c r="C228" s="11"/>
      <c r="D228" s="7"/>
      <c r="E228" s="2"/>
      <c r="F228" s="6">
        <f t="shared" si="102"/>
        <v>0</v>
      </c>
      <c r="G228" s="2"/>
      <c r="H228" s="7">
        <v>450</v>
      </c>
      <c r="I228" s="2"/>
      <c r="J228" s="6">
        <f t="shared" si="103"/>
        <v>3.9404714251509897E-4</v>
      </c>
      <c r="K228" s="2"/>
      <c r="L228" s="7">
        <f t="shared" si="104"/>
        <v>-450</v>
      </c>
      <c r="M228" s="2"/>
      <c r="N228" s="6">
        <f t="shared" si="105"/>
        <v>-1</v>
      </c>
      <c r="O228" s="11"/>
      <c r="P228" s="7">
        <v>1716.1</v>
      </c>
      <c r="Q228" s="2"/>
      <c r="R228" s="6">
        <f t="shared" si="106"/>
        <v>4.1431642209713065E-4</v>
      </c>
      <c r="S228" s="2"/>
      <c r="T228" s="7">
        <v>2050</v>
      </c>
      <c r="U228" s="2"/>
      <c r="V228" s="6">
        <f t="shared" si="107"/>
        <v>4.6587512700294558E-4</v>
      </c>
      <c r="W228" s="2"/>
      <c r="X228" s="7">
        <f t="shared" si="108"/>
        <v>-333.90000000000009</v>
      </c>
      <c r="Y228" s="2"/>
      <c r="Z228" s="6">
        <f t="shared" si="109"/>
        <v>-0.16287804878048784</v>
      </c>
    </row>
    <row r="229" spans="1:26" s="24" customFormat="1" hidden="1" outlineLevel="2" x14ac:dyDescent="0.25">
      <c r="A229" s="25"/>
      <c r="B229" s="11" t="str">
        <f>CONCATENATE("          ", "6237", " - ", "JANITORIAL SUPPLIES")</f>
        <v xml:space="preserve">          6237 - JANITORIAL SUPPLIES</v>
      </c>
      <c r="C229" s="11"/>
      <c r="D229" s="7">
        <v>1088.21</v>
      </c>
      <c r="E229" s="2"/>
      <c r="F229" s="6">
        <f t="shared" si="102"/>
        <v>1.0010585807437953E-3</v>
      </c>
      <c r="G229" s="2"/>
      <c r="H229" s="7">
        <v>75</v>
      </c>
      <c r="I229" s="2"/>
      <c r="J229" s="6">
        <f t="shared" si="103"/>
        <v>6.567452375251649E-5</v>
      </c>
      <c r="K229" s="2"/>
      <c r="L229" s="7">
        <f t="shared" si="104"/>
        <v>1013.21</v>
      </c>
      <c r="M229" s="2"/>
      <c r="N229" s="6">
        <f t="shared" si="105"/>
        <v>13.509466666666667</v>
      </c>
      <c r="O229" s="11"/>
      <c r="P229" s="7">
        <v>1863.61</v>
      </c>
      <c r="Q229" s="2"/>
      <c r="R229" s="6">
        <f t="shared" si="106"/>
        <v>4.4992962378907617E-4</v>
      </c>
      <c r="S229" s="2"/>
      <c r="T229" s="7">
        <v>145</v>
      </c>
      <c r="U229" s="2"/>
      <c r="V229" s="6">
        <f t="shared" si="107"/>
        <v>3.295214312947664E-5</v>
      </c>
      <c r="W229" s="2"/>
      <c r="X229" s="7">
        <f t="shared" si="108"/>
        <v>1718.61</v>
      </c>
      <c r="Y229" s="2"/>
      <c r="Z229" s="6">
        <f t="shared" si="109"/>
        <v>11.852482758620688</v>
      </c>
    </row>
    <row r="230" spans="1:26" s="24" customFormat="1" hidden="1" outlineLevel="2" x14ac:dyDescent="0.25">
      <c r="A230" s="25"/>
      <c r="B230" s="11" t="str">
        <f>CONCATENATE("          ", "6241", " - ", "OFFICE EXPENSE")</f>
        <v xml:space="preserve">          6241 - OFFICE EXPENSE</v>
      </c>
      <c r="C230" s="11"/>
      <c r="D230" s="7">
        <v>2754.87</v>
      </c>
      <c r="E230" s="2"/>
      <c r="F230" s="6">
        <f t="shared" si="102"/>
        <v>2.5342408655807786E-3</v>
      </c>
      <c r="G230" s="2"/>
      <c r="H230" s="7">
        <v>1200</v>
      </c>
      <c r="I230" s="2"/>
      <c r="J230" s="6">
        <f t="shared" si="103"/>
        <v>1.0507923800402638E-3</v>
      </c>
      <c r="K230" s="2"/>
      <c r="L230" s="7">
        <f t="shared" si="104"/>
        <v>1554.87</v>
      </c>
      <c r="M230" s="2"/>
      <c r="N230" s="6">
        <f t="shared" si="105"/>
        <v>1.295725</v>
      </c>
      <c r="O230" s="11"/>
      <c r="P230" s="7">
        <v>9772.3799999999992</v>
      </c>
      <c r="Q230" s="2"/>
      <c r="R230" s="6">
        <f t="shared" si="106"/>
        <v>2.3593365870133195E-3</v>
      </c>
      <c r="S230" s="2"/>
      <c r="T230" s="7">
        <v>3225</v>
      </c>
      <c r="U230" s="2"/>
      <c r="V230" s="6">
        <f t="shared" si="107"/>
        <v>7.3290111443146322E-4</v>
      </c>
      <c r="W230" s="2"/>
      <c r="X230" s="7">
        <f t="shared" si="108"/>
        <v>6547.3799999999992</v>
      </c>
      <c r="Y230" s="2"/>
      <c r="Z230" s="6">
        <f t="shared" si="109"/>
        <v>2.0301953488372089</v>
      </c>
    </row>
    <row r="231" spans="1:26" s="24" customFormat="1" hidden="1" outlineLevel="2" x14ac:dyDescent="0.25">
      <c r="A231" s="25"/>
      <c r="B231" s="11" t="str">
        <f>CONCATENATE("          ", "6243", " - ", "PAPER SUPPLIES")</f>
        <v xml:space="preserve">          6243 - PAPER SUPPLIES</v>
      </c>
      <c r="C231" s="11"/>
      <c r="D231" s="7">
        <v>318.66000000000003</v>
      </c>
      <c r="E231" s="2"/>
      <c r="F231" s="6">
        <f t="shared" si="102"/>
        <v>2.9313949268966265E-4</v>
      </c>
      <c r="G231" s="2"/>
      <c r="H231" s="7">
        <v>250</v>
      </c>
      <c r="I231" s="2"/>
      <c r="J231" s="6">
        <f t="shared" si="103"/>
        <v>2.1891507917505497E-4</v>
      </c>
      <c r="K231" s="2"/>
      <c r="L231" s="7">
        <f t="shared" si="104"/>
        <v>68.660000000000025</v>
      </c>
      <c r="M231" s="2"/>
      <c r="N231" s="6">
        <f t="shared" si="105"/>
        <v>0.27464000000000011</v>
      </c>
      <c r="O231" s="11"/>
      <c r="P231" s="7">
        <v>2976.95</v>
      </c>
      <c r="Q231" s="2"/>
      <c r="R231" s="6">
        <f t="shared" si="106"/>
        <v>7.1872226138456556E-4</v>
      </c>
      <c r="S231" s="2"/>
      <c r="T231" s="7">
        <v>1250</v>
      </c>
      <c r="U231" s="2"/>
      <c r="V231" s="6">
        <f t="shared" si="107"/>
        <v>2.8407019939203997E-4</v>
      </c>
      <c r="W231" s="2"/>
      <c r="X231" s="7">
        <f t="shared" si="108"/>
        <v>1726.9499999999998</v>
      </c>
      <c r="Y231" s="2"/>
      <c r="Z231" s="6">
        <f t="shared" si="109"/>
        <v>1.3815599999999999</v>
      </c>
    </row>
    <row r="232" spans="1:26" s="24" customFormat="1" hidden="1" outlineLevel="2" x14ac:dyDescent="0.25">
      <c r="A232" s="25"/>
      <c r="B232" s="11" t="str">
        <f>CONCATENATE("          ", "6245", " - ", "PRINTING")</f>
        <v xml:space="preserve">          6245 - PRINTING</v>
      </c>
      <c r="C232" s="11"/>
      <c r="D232" s="7">
        <v>254.9</v>
      </c>
      <c r="E232" s="2"/>
      <c r="F232" s="6">
        <f t="shared" si="102"/>
        <v>2.3448583658631459E-4</v>
      </c>
      <c r="G232" s="2"/>
      <c r="H232" s="7">
        <v>100</v>
      </c>
      <c r="I232" s="2"/>
      <c r="J232" s="6">
        <f t="shared" si="103"/>
        <v>8.7566031670021987E-5</v>
      </c>
      <c r="K232" s="2"/>
      <c r="L232" s="7">
        <f t="shared" si="104"/>
        <v>154.9</v>
      </c>
      <c r="M232" s="2"/>
      <c r="N232" s="6">
        <f t="shared" si="105"/>
        <v>1.5490000000000002</v>
      </c>
      <c r="O232" s="11"/>
      <c r="P232" s="7">
        <v>5240.01</v>
      </c>
      <c r="Q232" s="2"/>
      <c r="R232" s="6">
        <f t="shared" si="106"/>
        <v>1.2650907260376351E-3</v>
      </c>
      <c r="S232" s="2"/>
      <c r="T232" s="7">
        <v>700</v>
      </c>
      <c r="U232" s="2"/>
      <c r="V232" s="6">
        <f t="shared" si="107"/>
        <v>1.590793116595424E-4</v>
      </c>
      <c r="W232" s="2"/>
      <c r="X232" s="7">
        <f t="shared" si="108"/>
        <v>4540.01</v>
      </c>
      <c r="Y232" s="2"/>
      <c r="Z232" s="6">
        <f t="shared" si="109"/>
        <v>6.485728571428572</v>
      </c>
    </row>
    <row r="233" spans="1:26" s="24" customFormat="1" hidden="1" outlineLevel="2" x14ac:dyDescent="0.25">
      <c r="A233" s="25"/>
      <c r="B233" s="11" t="str">
        <f>CONCATENATE("          ", "6247", " - ", "STORE SUPPLIES")</f>
        <v xml:space="preserve">          6247 - STORE SUPPLIES</v>
      </c>
      <c r="C233" s="11"/>
      <c r="D233" s="7">
        <v>15196.510000000002</v>
      </c>
      <c r="E233" s="2"/>
      <c r="F233" s="6">
        <f t="shared" si="102"/>
        <v>1.3979467871880329E-2</v>
      </c>
      <c r="G233" s="2"/>
      <c r="H233" s="7">
        <v>18525</v>
      </c>
      <c r="I233" s="2"/>
      <c r="J233" s="6">
        <f t="shared" si="103"/>
        <v>1.6221607366871574E-2</v>
      </c>
      <c r="K233" s="2"/>
      <c r="L233" s="7">
        <f t="shared" si="104"/>
        <v>-3328.489999999998</v>
      </c>
      <c r="M233" s="2"/>
      <c r="N233" s="6">
        <f t="shared" si="105"/>
        <v>-0.17967557354925764</v>
      </c>
      <c r="O233" s="11"/>
      <c r="P233" s="7">
        <v>10492.92</v>
      </c>
      <c r="Q233" s="2"/>
      <c r="R233" s="6">
        <f t="shared" si="106"/>
        <v>2.5332958870412123E-3</v>
      </c>
      <c r="S233" s="2"/>
      <c r="T233" s="7">
        <v>39275</v>
      </c>
      <c r="U233" s="2"/>
      <c r="V233" s="6">
        <f t="shared" si="107"/>
        <v>8.9254856648978958E-3</v>
      </c>
      <c r="W233" s="2"/>
      <c r="X233" s="7">
        <f t="shared" si="108"/>
        <v>-28782.080000000002</v>
      </c>
      <c r="Y233" s="2"/>
      <c r="Z233" s="6">
        <f t="shared" si="109"/>
        <v>-0.73283462762571616</v>
      </c>
    </row>
    <row r="234" spans="1:26" s="24" customFormat="1" hidden="1" outlineLevel="2" x14ac:dyDescent="0.25">
      <c r="A234" s="25"/>
      <c r="B234" s="11" t="str">
        <f>CONCATENATE("          ", "6248", " - ", "UNIFORMS")</f>
        <v xml:space="preserve">          6248 - UNIFORMS</v>
      </c>
      <c r="C234" s="11"/>
      <c r="D234" s="7"/>
      <c r="E234" s="2"/>
      <c r="F234" s="6">
        <f t="shared" si="102"/>
        <v>0</v>
      </c>
      <c r="G234" s="2"/>
      <c r="H234" s="7">
        <v>1000</v>
      </c>
      <c r="I234" s="2"/>
      <c r="J234" s="6">
        <f t="shared" si="103"/>
        <v>8.7566031670021987E-4</v>
      </c>
      <c r="K234" s="2"/>
      <c r="L234" s="7">
        <f t="shared" si="104"/>
        <v>-1000</v>
      </c>
      <c r="M234" s="2"/>
      <c r="N234" s="6">
        <f t="shared" si="105"/>
        <v>-1</v>
      </c>
      <c r="O234" s="11"/>
      <c r="P234" s="7"/>
      <c r="Q234" s="2"/>
      <c r="R234" s="6">
        <f t="shared" si="106"/>
        <v>0</v>
      </c>
      <c r="S234" s="2"/>
      <c r="T234" s="7">
        <v>3000</v>
      </c>
      <c r="U234" s="2"/>
      <c r="V234" s="6">
        <f t="shared" si="107"/>
        <v>6.8176847854089595E-4</v>
      </c>
      <c r="W234" s="2"/>
      <c r="X234" s="7">
        <f t="shared" si="108"/>
        <v>-3000</v>
      </c>
      <c r="Y234" s="2"/>
      <c r="Z234" s="6">
        <f t="shared" si="109"/>
        <v>-1</v>
      </c>
    </row>
    <row r="235" spans="1:26" s="26" customFormat="1" outlineLevel="1" collapsed="1" x14ac:dyDescent="0.25">
      <c r="A235" s="27"/>
      <c r="B235" s="13" t="str">
        <f>CONCATENATE("     ","Telephone/Data Lines                              ")</f>
        <v xml:space="preserve">     Telephone/Data Lines                              </v>
      </c>
      <c r="C235" s="13"/>
      <c r="D235" s="1">
        <f>SUM(OSRRefD22_21x_0)</f>
        <v>5999.03</v>
      </c>
      <c r="E235" s="1"/>
      <c r="F235" s="5">
        <f t="shared" ref="F235:F237" si="110">IF(D$12=0,0,D235/D$12)</f>
        <v>5.5185859876673155E-3</v>
      </c>
      <c r="G235" s="1"/>
      <c r="H235" s="1">
        <f>SUM(OSRRefH22_21x_0)</f>
        <v>4765</v>
      </c>
      <c r="I235" s="1"/>
      <c r="J235" s="5">
        <f t="shared" ref="J235:J237" si="111">IF(H$12=0,0,H235/H$12)</f>
        <v>4.172521409076548E-3</v>
      </c>
      <c r="K235" s="1"/>
      <c r="L235" s="1">
        <f t="shared" ref="L235:L237" si="112">+D235-H235</f>
        <v>1234.0299999999997</v>
      </c>
      <c r="M235" s="1"/>
      <c r="N235" s="5">
        <f t="shared" ref="N235:N237" si="113">IF(H235=0,0,L235/H235)</f>
        <v>0.25897796432318987</v>
      </c>
      <c r="O235" s="13"/>
      <c r="P235" s="1">
        <f>SUM(OSRRefP22_21x_0)</f>
        <v>10416.4</v>
      </c>
      <c r="Q235" s="1"/>
      <c r="R235" s="5">
        <f t="shared" ref="R235:R237" si="114">IF(P$12=0,0,P235/P$12)</f>
        <v>2.5148217348246325E-3</v>
      </c>
      <c r="S235" s="1"/>
      <c r="T235" s="1">
        <f>SUM(OSRRefT22_21x_0)</f>
        <v>9995</v>
      </c>
      <c r="U235" s="1"/>
      <c r="V235" s="5">
        <f t="shared" ref="V235:V237" si="115">IF(T$12=0,0,T235/T$12)</f>
        <v>2.2714253143387517E-3</v>
      </c>
      <c r="W235" s="1"/>
      <c r="X235" s="1">
        <f t="shared" ref="X235:X237" si="116">+P235-T235</f>
        <v>421.39999999999964</v>
      </c>
      <c r="Y235" s="1"/>
      <c r="Z235" s="5">
        <f t="shared" ref="Z235:Z237" si="117">IF(T235=0,0,X235/T235)</f>
        <v>4.2161080540270096E-2</v>
      </c>
    </row>
    <row r="236" spans="1:26" s="24" customFormat="1" hidden="1" outlineLevel="2" x14ac:dyDescent="0.25">
      <c r="A236" s="25"/>
      <c r="B236" s="11" t="str">
        <f>CONCATENATE("          ", "6303", " - ", "DATA PHONE LINES")</f>
        <v xml:space="preserve">          6303 - DATA PHONE LINES</v>
      </c>
      <c r="C236" s="11"/>
      <c r="D236" s="7">
        <v>295</v>
      </c>
      <c r="E236" s="2"/>
      <c r="F236" s="6">
        <f t="shared" si="110"/>
        <v>2.7137434991354568E-4</v>
      </c>
      <c r="G236" s="2"/>
      <c r="H236" s="7">
        <v>2000</v>
      </c>
      <c r="I236" s="2"/>
      <c r="J236" s="6">
        <f t="shared" si="111"/>
        <v>1.7513206334004397E-3</v>
      </c>
      <c r="K236" s="2"/>
      <c r="L236" s="7">
        <f t="shared" si="112"/>
        <v>-1705</v>
      </c>
      <c r="M236" s="2"/>
      <c r="N236" s="6">
        <f t="shared" si="113"/>
        <v>-0.85250000000000004</v>
      </c>
      <c r="O236" s="11"/>
      <c r="P236" s="7">
        <v>885</v>
      </c>
      <c r="Q236" s="2"/>
      <c r="R236" s="6">
        <f t="shared" si="114"/>
        <v>2.136647244076456E-4</v>
      </c>
      <c r="S236" s="2"/>
      <c r="T236" s="7">
        <v>3725</v>
      </c>
      <c r="U236" s="2"/>
      <c r="V236" s="6">
        <f t="shared" si="115"/>
        <v>8.4652919418827923E-4</v>
      </c>
      <c r="W236" s="2"/>
      <c r="X236" s="7">
        <f t="shared" si="116"/>
        <v>-2840</v>
      </c>
      <c r="Y236" s="2"/>
      <c r="Z236" s="6">
        <f t="shared" si="117"/>
        <v>-0.76241610738255039</v>
      </c>
    </row>
    <row r="237" spans="1:26" s="24" customFormat="1" hidden="1" outlineLevel="2" x14ac:dyDescent="0.25">
      <c r="A237" s="25"/>
      <c r="B237" s="11" t="str">
        <f>CONCATENATE("          ", "6309", " - ", "TELEPHONE")</f>
        <v xml:space="preserve">          6309 - TELEPHONE</v>
      </c>
      <c r="C237" s="11"/>
      <c r="D237" s="7">
        <v>5704.03</v>
      </c>
      <c r="E237" s="2"/>
      <c r="F237" s="6">
        <f t="shared" si="110"/>
        <v>5.2472116377537698E-3</v>
      </c>
      <c r="G237" s="2"/>
      <c r="H237" s="7">
        <v>2765</v>
      </c>
      <c r="I237" s="2"/>
      <c r="J237" s="6">
        <f t="shared" si="111"/>
        <v>2.4212007756761081E-3</v>
      </c>
      <c r="K237" s="2"/>
      <c r="L237" s="7">
        <f t="shared" si="112"/>
        <v>2939.0299999999997</v>
      </c>
      <c r="M237" s="2"/>
      <c r="N237" s="6">
        <f t="shared" si="113"/>
        <v>1.0629403254972873</v>
      </c>
      <c r="O237" s="11"/>
      <c r="P237" s="7">
        <v>9531.4</v>
      </c>
      <c r="Q237" s="2"/>
      <c r="R237" s="6">
        <f t="shared" si="114"/>
        <v>2.3011570104169866E-3</v>
      </c>
      <c r="S237" s="2"/>
      <c r="T237" s="7">
        <v>6270</v>
      </c>
      <c r="U237" s="2"/>
      <c r="V237" s="6">
        <f t="shared" si="115"/>
        <v>1.4248961201504726E-3</v>
      </c>
      <c r="W237" s="2"/>
      <c r="X237" s="7">
        <f t="shared" si="116"/>
        <v>3261.3999999999996</v>
      </c>
      <c r="Y237" s="2"/>
      <c r="Z237" s="6">
        <f t="shared" si="117"/>
        <v>0.52015948963317382</v>
      </c>
    </row>
    <row r="238" spans="1:26" s="26" customFormat="1" outlineLevel="1" collapsed="1" x14ac:dyDescent="0.25">
      <c r="A238" s="27"/>
      <c r="B238" s="13" t="str">
        <f>CONCATENATE("     ","Training                                          ")</f>
        <v xml:space="preserve">     Training                                          </v>
      </c>
      <c r="C238" s="13"/>
      <c r="D238" s="1">
        <f>SUM(OSRRefD22_22x_0)</f>
        <v>-4902.29</v>
      </c>
      <c r="E238" s="1"/>
      <c r="F238" s="5">
        <f t="shared" ref="F238:F243" si="118">IF(D$12=0,0,D238/D$12)</f>
        <v>-4.5096805486022915E-3</v>
      </c>
      <c r="G238" s="1"/>
      <c r="H238" s="1">
        <f>SUM(OSRRefH22_22x_0)</f>
        <v>1300</v>
      </c>
      <c r="I238" s="1"/>
      <c r="J238" s="5">
        <f t="shared" ref="J238:J243" si="119">IF(H$12=0,0,H238/H$12)</f>
        <v>1.1383584117102858E-3</v>
      </c>
      <c r="K238" s="1"/>
      <c r="L238" s="1">
        <f t="shared" ref="L238:L243" si="120">+D238-H238</f>
        <v>-6202.29</v>
      </c>
      <c r="M238" s="1"/>
      <c r="N238" s="5">
        <f t="shared" ref="N238:N243" si="121">IF(H238=0,0,L238/H238)</f>
        <v>-4.7709923076923078</v>
      </c>
      <c r="O238" s="13"/>
      <c r="P238" s="1">
        <f>SUM(OSRRefP22_22x_0)</f>
        <v>2420.2399999999998</v>
      </c>
      <c r="Q238" s="1"/>
      <c r="R238" s="5">
        <f t="shared" ref="R238:R243" si="122">IF(P$12=0,0,P238/P$12)</f>
        <v>5.843162854241358E-4</v>
      </c>
      <c r="S238" s="1"/>
      <c r="T238" s="1">
        <f>SUM(OSRRefT22_22x_0)</f>
        <v>4900</v>
      </c>
      <c r="U238" s="1"/>
      <c r="V238" s="5">
        <f t="shared" ref="V238:V243" si="123">IF(T$12=0,0,T238/T$12)</f>
        <v>1.1135551816167967E-3</v>
      </c>
      <c r="W238" s="1"/>
      <c r="X238" s="1">
        <f t="shared" ref="X238:X243" si="124">+P238-T238</f>
        <v>-2479.7600000000002</v>
      </c>
      <c r="Y238" s="1"/>
      <c r="Z238" s="5">
        <f t="shared" ref="Z238:Z243" si="125">IF(T238=0,0,X238/T238)</f>
        <v>-0.5060734693877551</v>
      </c>
    </row>
    <row r="239" spans="1:26" s="24" customFormat="1" hidden="1" outlineLevel="2" x14ac:dyDescent="0.25">
      <c r="A239" s="25"/>
      <c r="B239" s="11" t="str">
        <f>CONCATENATE("          ", "6376", " - ", "TRAINING")</f>
        <v xml:space="preserve">          6376 - TRAINING</v>
      </c>
      <c r="C239" s="11"/>
      <c r="D239" s="7">
        <v>-4902.29</v>
      </c>
      <c r="E239" s="2"/>
      <c r="F239" s="6">
        <f t="shared" si="118"/>
        <v>-4.5096805486022915E-3</v>
      </c>
      <c r="G239" s="2"/>
      <c r="H239" s="7">
        <v>1300</v>
      </c>
      <c r="I239" s="2"/>
      <c r="J239" s="6">
        <f t="shared" si="119"/>
        <v>1.1383584117102858E-3</v>
      </c>
      <c r="K239" s="2"/>
      <c r="L239" s="7">
        <f t="shared" si="120"/>
        <v>-6202.29</v>
      </c>
      <c r="M239" s="2"/>
      <c r="N239" s="6">
        <f t="shared" si="121"/>
        <v>-4.7709923076923078</v>
      </c>
      <c r="O239" s="11"/>
      <c r="P239" s="7">
        <v>2420.2399999999998</v>
      </c>
      <c r="Q239" s="2"/>
      <c r="R239" s="6">
        <f t="shared" si="122"/>
        <v>5.843162854241358E-4</v>
      </c>
      <c r="S239" s="2"/>
      <c r="T239" s="7">
        <v>4900</v>
      </c>
      <c r="U239" s="2"/>
      <c r="V239" s="6">
        <f t="shared" si="123"/>
        <v>1.1135551816167967E-3</v>
      </c>
      <c r="W239" s="2"/>
      <c r="X239" s="7">
        <f t="shared" si="124"/>
        <v>-2479.7600000000002</v>
      </c>
      <c r="Y239" s="2"/>
      <c r="Z239" s="6">
        <f t="shared" si="125"/>
        <v>-0.5060734693877551</v>
      </c>
    </row>
    <row r="240" spans="1:26" s="26" customFormat="1" outlineLevel="1" collapsed="1" x14ac:dyDescent="0.25">
      <c r="A240" s="27"/>
      <c r="B240" s="13" t="str">
        <f>CONCATENATE("     ","Travel                                            ")</f>
        <v xml:space="preserve">     Travel                                            </v>
      </c>
      <c r="C240" s="13"/>
      <c r="D240" s="1">
        <f>SUM(OSRRefD22_23x_0)</f>
        <v>207.82999999999998</v>
      </c>
      <c r="E240" s="1"/>
      <c r="F240" s="5">
        <f t="shared" si="118"/>
        <v>1.9118552929671932E-4</v>
      </c>
      <c r="G240" s="1"/>
      <c r="H240" s="1">
        <f>SUM(OSRRefH22_23x_0)</f>
        <v>100</v>
      </c>
      <c r="I240" s="1"/>
      <c r="J240" s="5">
        <f t="shared" si="119"/>
        <v>8.7566031670021987E-5</v>
      </c>
      <c r="K240" s="1"/>
      <c r="L240" s="1">
        <f t="shared" si="120"/>
        <v>107.82999999999998</v>
      </c>
      <c r="M240" s="1"/>
      <c r="N240" s="5">
        <f t="shared" si="121"/>
        <v>1.0782999999999998</v>
      </c>
      <c r="O240" s="13"/>
      <c r="P240" s="1">
        <f>SUM(OSRRefP22_23x_0)</f>
        <v>613.86</v>
      </c>
      <c r="Q240" s="1"/>
      <c r="R240" s="5">
        <f t="shared" si="122"/>
        <v>1.4820364714675406E-4</v>
      </c>
      <c r="S240" s="1"/>
      <c r="T240" s="1">
        <f>SUM(OSRRefT22_23x_0)</f>
        <v>810</v>
      </c>
      <c r="U240" s="1"/>
      <c r="V240" s="5">
        <f t="shared" si="123"/>
        <v>1.8407748920604191E-4</v>
      </c>
      <c r="W240" s="1"/>
      <c r="X240" s="1">
        <f t="shared" si="124"/>
        <v>-196.14</v>
      </c>
      <c r="Y240" s="1"/>
      <c r="Z240" s="5">
        <f t="shared" si="125"/>
        <v>-0.24214814814814814</v>
      </c>
    </row>
    <row r="241" spans="1:26" s="24" customFormat="1" hidden="1" outlineLevel="2" x14ac:dyDescent="0.25">
      <c r="A241" s="25"/>
      <c r="B241" s="11" t="str">
        <f>CONCATENATE("          ", "6292", " - ", "TRAVEL/CONFERENCE")</f>
        <v xml:space="preserve">          6292 - TRAVEL/CONFERENCE</v>
      </c>
      <c r="C241" s="11"/>
      <c r="D241" s="7">
        <v>91.13</v>
      </c>
      <c r="E241" s="2"/>
      <c r="F241" s="6">
        <f t="shared" si="118"/>
        <v>8.3831676297021766E-5</v>
      </c>
      <c r="G241" s="2"/>
      <c r="H241" s="7"/>
      <c r="I241" s="2"/>
      <c r="J241" s="6">
        <f t="shared" si="119"/>
        <v>0</v>
      </c>
      <c r="K241" s="2"/>
      <c r="L241" s="7">
        <f t="shared" si="120"/>
        <v>91.13</v>
      </c>
      <c r="M241" s="2"/>
      <c r="N241" s="6">
        <f t="shared" si="121"/>
        <v>0</v>
      </c>
      <c r="O241" s="11"/>
      <c r="P241" s="7">
        <v>341.77</v>
      </c>
      <c r="Q241" s="2"/>
      <c r="R241" s="6">
        <f t="shared" si="122"/>
        <v>8.2513212272091561E-5</v>
      </c>
      <c r="S241" s="2"/>
      <c r="T241" s="7"/>
      <c r="U241" s="2"/>
      <c r="V241" s="6">
        <f t="shared" si="123"/>
        <v>0</v>
      </c>
      <c r="W241" s="2"/>
      <c r="X241" s="7">
        <f t="shared" si="124"/>
        <v>341.77</v>
      </c>
      <c r="Y241" s="2"/>
      <c r="Z241" s="6">
        <f t="shared" si="125"/>
        <v>0</v>
      </c>
    </row>
    <row r="242" spans="1:26" s="24" customFormat="1" hidden="1" outlineLevel="2" x14ac:dyDescent="0.25">
      <c r="A242" s="25"/>
      <c r="B242" s="11" t="str">
        <f>CONCATENATE("          ", "6294", " - ", "TRAVEL OPERATIONAL")</f>
        <v xml:space="preserve">          6294 - TRAVEL OPERATIONAL</v>
      </c>
      <c r="C242" s="11"/>
      <c r="D242" s="7">
        <v>33.43</v>
      </c>
      <c r="E242" s="2"/>
      <c r="F242" s="6">
        <f t="shared" si="118"/>
        <v>3.075269328003333E-5</v>
      </c>
      <c r="G242" s="2"/>
      <c r="H242" s="7">
        <v>100</v>
      </c>
      <c r="I242" s="2"/>
      <c r="J242" s="6">
        <f t="shared" si="119"/>
        <v>8.7566031670021987E-5</v>
      </c>
      <c r="K242" s="2"/>
      <c r="L242" s="7">
        <f t="shared" si="120"/>
        <v>-66.569999999999993</v>
      </c>
      <c r="M242" s="2"/>
      <c r="N242" s="6">
        <f t="shared" si="121"/>
        <v>-0.66569999999999996</v>
      </c>
      <c r="O242" s="11"/>
      <c r="P242" s="7">
        <v>102.1</v>
      </c>
      <c r="Q242" s="2"/>
      <c r="R242" s="6">
        <f t="shared" si="122"/>
        <v>2.464990775369561E-5</v>
      </c>
      <c r="S242" s="2"/>
      <c r="T242" s="7">
        <v>360</v>
      </c>
      <c r="U242" s="2"/>
      <c r="V242" s="6">
        <f t="shared" si="123"/>
        <v>8.1812217424907514E-5</v>
      </c>
      <c r="W242" s="2"/>
      <c r="X242" s="7">
        <f t="shared" si="124"/>
        <v>-257.89999999999998</v>
      </c>
      <c r="Y242" s="2"/>
      <c r="Z242" s="6">
        <f t="shared" si="125"/>
        <v>-0.71638888888888885</v>
      </c>
    </row>
    <row r="243" spans="1:26" s="24" customFormat="1" hidden="1" outlineLevel="2" x14ac:dyDescent="0.25">
      <c r="A243" s="25"/>
      <c r="B243" s="11" t="str">
        <f>CONCATENATE("          ", "6298", " - ", "VEHICLE MILEAGE")</f>
        <v xml:space="preserve">          6298 - VEHICLE MILEAGE</v>
      </c>
      <c r="C243" s="11"/>
      <c r="D243" s="7">
        <v>83.27</v>
      </c>
      <c r="E243" s="2"/>
      <c r="F243" s="6">
        <f t="shared" si="118"/>
        <v>7.6601159719664233E-5</v>
      </c>
      <c r="G243" s="2"/>
      <c r="H243" s="7"/>
      <c r="I243" s="2"/>
      <c r="J243" s="6">
        <f t="shared" si="119"/>
        <v>0</v>
      </c>
      <c r="K243" s="2"/>
      <c r="L243" s="7">
        <f t="shared" si="120"/>
        <v>83.27</v>
      </c>
      <c r="M243" s="2"/>
      <c r="N243" s="6">
        <f t="shared" si="121"/>
        <v>0</v>
      </c>
      <c r="O243" s="11"/>
      <c r="P243" s="7">
        <v>169.99</v>
      </c>
      <c r="Q243" s="2"/>
      <c r="R243" s="6">
        <f t="shared" si="122"/>
        <v>4.1040527120966871E-5</v>
      </c>
      <c r="S243" s="2"/>
      <c r="T243" s="7">
        <v>450</v>
      </c>
      <c r="U243" s="2"/>
      <c r="V243" s="6">
        <f t="shared" si="123"/>
        <v>1.0226527178113439E-4</v>
      </c>
      <c r="W243" s="2"/>
      <c r="X243" s="7">
        <f t="shared" si="124"/>
        <v>-280.01</v>
      </c>
      <c r="Y243" s="2"/>
      <c r="Z243" s="6">
        <f t="shared" si="125"/>
        <v>-0.62224444444444438</v>
      </c>
    </row>
    <row r="244" spans="1:26" s="26" customFormat="1" outlineLevel="1" collapsed="1" x14ac:dyDescent="0.25">
      <c r="A244" s="27"/>
      <c r="B244" s="13" t="str">
        <f>CONCATENATE("     ","Utilities                                         ")</f>
        <v xml:space="preserve">     Utilities                                         </v>
      </c>
      <c r="C244" s="13"/>
      <c r="D244" s="1">
        <f>SUM(OSRRefD22_24x_0)</f>
        <v>5648.02</v>
      </c>
      <c r="E244" s="1"/>
      <c r="F244" s="5">
        <f t="shared" ref="F244:F245" si="126">IF(D$12=0,0,D244/D$12)</f>
        <v>5.1956873077922188E-3</v>
      </c>
      <c r="G244" s="1"/>
      <c r="H244" s="1">
        <f>SUM(OSRRefH22_24x_0)</f>
        <v>5075</v>
      </c>
      <c r="I244" s="1"/>
      <c r="J244" s="5">
        <f t="shared" ref="J244:J245" si="127">IF(H$12=0,0,H244/H$12)</f>
        <v>4.4439761072536162E-3</v>
      </c>
      <c r="K244" s="1"/>
      <c r="L244" s="1">
        <f t="shared" ref="L244:L245" si="128">+D244-H244</f>
        <v>573.02000000000044</v>
      </c>
      <c r="M244" s="1"/>
      <c r="N244" s="5">
        <f t="shared" ref="N244:N245" si="129">IF(H244=0,0,L244/H244)</f>
        <v>0.11291034482758629</v>
      </c>
      <c r="O244" s="13"/>
      <c r="P244" s="1">
        <f>SUM(OSRRefP22_24x_0)</f>
        <v>11337.8</v>
      </c>
      <c r="Q244" s="1"/>
      <c r="R244" s="5">
        <f t="shared" ref="R244:R245" si="130">IF(P$12=0,0,P244/P$12)</f>
        <v>2.7372744772757112E-3</v>
      </c>
      <c r="S244" s="1"/>
      <c r="T244" s="1">
        <f>SUM(OSRRefT22_24x_0)</f>
        <v>15250</v>
      </c>
      <c r="U244" s="1"/>
      <c r="V244" s="5">
        <f t="shared" ref="V244:V245" si="131">IF(T$12=0,0,T244/T$12)</f>
        <v>3.465656432582888E-3</v>
      </c>
      <c r="W244" s="1"/>
      <c r="X244" s="1">
        <f t="shared" ref="X244:X245" si="132">+P244-T244</f>
        <v>-3912.2000000000007</v>
      </c>
      <c r="Y244" s="1"/>
      <c r="Z244" s="5">
        <f t="shared" ref="Z244:Z245" si="133">IF(T244=0,0,X244/T244)</f>
        <v>-0.25653770491803285</v>
      </c>
    </row>
    <row r="245" spans="1:26" s="24" customFormat="1" hidden="1" outlineLevel="2" x14ac:dyDescent="0.25">
      <c r="A245" s="25"/>
      <c r="B245" s="11" t="str">
        <f>CONCATENATE("          ", "6274", " - ", "UTILITIES")</f>
        <v xml:space="preserve">          6274 - UTILITIES</v>
      </c>
      <c r="C245" s="11"/>
      <c r="D245" s="7">
        <v>5648.02</v>
      </c>
      <c r="E245" s="2"/>
      <c r="F245" s="6">
        <f t="shared" si="126"/>
        <v>5.1956873077922188E-3</v>
      </c>
      <c r="G245" s="2"/>
      <c r="H245" s="7">
        <v>5075</v>
      </c>
      <c r="I245" s="2"/>
      <c r="J245" s="6">
        <f t="shared" si="127"/>
        <v>4.4439761072536162E-3</v>
      </c>
      <c r="K245" s="2"/>
      <c r="L245" s="7">
        <f t="shared" si="128"/>
        <v>573.02000000000044</v>
      </c>
      <c r="M245" s="2"/>
      <c r="N245" s="6">
        <f t="shared" si="129"/>
        <v>0.11291034482758629</v>
      </c>
      <c r="O245" s="11"/>
      <c r="P245" s="7">
        <v>11337.8</v>
      </c>
      <c r="Q245" s="2"/>
      <c r="R245" s="6">
        <f t="shared" si="130"/>
        <v>2.7372744772757112E-3</v>
      </c>
      <c r="S245" s="2"/>
      <c r="T245" s="7">
        <v>15250</v>
      </c>
      <c r="U245" s="2"/>
      <c r="V245" s="6">
        <f t="shared" si="131"/>
        <v>3.465656432582888E-3</v>
      </c>
      <c r="W245" s="2"/>
      <c r="X245" s="7">
        <f t="shared" si="132"/>
        <v>-3912.2000000000007</v>
      </c>
      <c r="Y245" s="2"/>
      <c r="Z245" s="6">
        <f t="shared" si="133"/>
        <v>-0.25653770491803285</v>
      </c>
    </row>
    <row r="246" spans="1:26" s="63" customFormat="1" x14ac:dyDescent="0.25">
      <c r="A246" s="36"/>
      <c r="B246" s="36"/>
      <c r="C246" s="36"/>
      <c r="D246" s="1"/>
      <c r="E246" s="1"/>
      <c r="F246" s="5"/>
      <c r="G246" s="1"/>
      <c r="H246" s="1"/>
      <c r="I246" s="1"/>
      <c r="J246" s="5"/>
      <c r="K246" s="1"/>
      <c r="L246" s="1"/>
      <c r="M246" s="1"/>
      <c r="N246" s="5"/>
      <c r="O246" s="36"/>
      <c r="P246" s="1"/>
      <c r="Q246" s="1"/>
      <c r="R246" s="5"/>
      <c r="S246" s="1"/>
      <c r="T246" s="1"/>
      <c r="U246" s="1"/>
      <c r="V246" s="5"/>
      <c r="W246" s="1"/>
      <c r="X246" s="1"/>
      <c r="Y246" s="1"/>
      <c r="Z246" s="5"/>
    </row>
    <row r="247" spans="1:26" s="23" customFormat="1" collapsed="1" x14ac:dyDescent="0.25">
      <c r="A247" s="10"/>
      <c r="B247" s="28" t="s">
        <v>0</v>
      </c>
      <c r="C247" s="10"/>
      <c r="D247" s="4">
        <f>SUM(OSRRefD25x_0)</f>
        <v>123340.45</v>
      </c>
      <c r="E247" s="4"/>
      <c r="F247" s="12">
        <f t="shared" ref="F247:F254" si="134">IF(D$12=0,0,D247/D$12)</f>
        <v>0.11346248961625148</v>
      </c>
      <c r="G247" s="4"/>
      <c r="H247" s="4">
        <f>SUM(OSRRefH25x_0)</f>
        <v>133375</v>
      </c>
      <c r="I247" s="4"/>
      <c r="J247" s="12">
        <f t="shared" ref="J247:J254" si="135">IF(H$12=0,0,H247/H$12)</f>
        <v>0.11679119473989183</v>
      </c>
      <c r="K247" s="4"/>
      <c r="L247" s="4">
        <f t="shared" ref="L247:L254" si="136">+D247-H247</f>
        <v>-10034.550000000003</v>
      </c>
      <c r="M247" s="4"/>
      <c r="N247" s="12">
        <f t="shared" ref="N247:N254" si="137">IF(H247=0,0,L247/H247)</f>
        <v>-7.5235613870665435E-2</v>
      </c>
      <c r="O247" s="10"/>
      <c r="P247" s="4">
        <f>SUM(OSRRefP25x_0)</f>
        <v>244543.30000000002</v>
      </c>
      <c r="Q247" s="4"/>
      <c r="R247" s="12">
        <f t="shared" ref="R247:R254" si="138">IF(P$12=0,0,P247/P$12)</f>
        <v>5.9039860791227354E-2</v>
      </c>
      <c r="S247" s="4"/>
      <c r="T247" s="4">
        <f>SUM(OSRRefT25x_0)</f>
        <v>257925</v>
      </c>
      <c r="U247" s="4"/>
      <c r="V247" s="12">
        <f t="shared" ref="V247:V254" si="139">IF(T$12=0,0,T247/T$12)</f>
        <v>5.8615044942553533E-2</v>
      </c>
      <c r="W247" s="4"/>
      <c r="X247" s="4">
        <f t="shared" ref="X247:X254" si="140">+P247-T247</f>
        <v>-13381.699999999983</v>
      </c>
      <c r="Y247" s="4"/>
      <c r="Z247" s="12">
        <f t="shared" ref="Z247:Z254" si="141">IF(T247=0,0,X247/T247)</f>
        <v>-5.1882136279926265E-2</v>
      </c>
    </row>
    <row r="248" spans="1:26" s="24" customFormat="1" hidden="1" outlineLevel="1" x14ac:dyDescent="0.25">
      <c r="A248" s="46"/>
      <c r="B248" s="11" t="str">
        <f>CONCATENATE("          ", "4098", " - ", "TAXABLE SALES-GRAD RENTALS")</f>
        <v xml:space="preserve">          4098 - TAXABLE SALES-GRAD RENTALS</v>
      </c>
      <c r="C248" s="11"/>
      <c r="D248" s="2">
        <f t="shared" ref="D248:D249" si="142">0</f>
        <v>0</v>
      </c>
      <c r="E248" s="2"/>
      <c r="F248" s="19">
        <f t="shared" si="134"/>
        <v>0</v>
      </c>
      <c r="G248" s="2"/>
      <c r="H248" s="2"/>
      <c r="I248" s="2"/>
      <c r="J248" s="19">
        <f t="shared" si="135"/>
        <v>0</v>
      </c>
      <c r="K248" s="2"/>
      <c r="L248" s="2">
        <f t="shared" si="136"/>
        <v>0</v>
      </c>
      <c r="M248" s="2"/>
      <c r="N248" s="19">
        <f t="shared" si="137"/>
        <v>0</v>
      </c>
      <c r="O248" s="11"/>
      <c r="P248" s="2">
        <f>--1626.85</f>
        <v>1626.85</v>
      </c>
      <c r="Q248" s="2"/>
      <c r="R248" s="19">
        <f t="shared" si="138"/>
        <v>3.9276887785602061E-4</v>
      </c>
      <c r="S248" s="2"/>
      <c r="T248" s="2"/>
      <c r="U248" s="2"/>
      <c r="V248" s="19">
        <f t="shared" si="139"/>
        <v>0</v>
      </c>
      <c r="W248" s="2"/>
      <c r="X248" s="2">
        <f t="shared" si="140"/>
        <v>1626.85</v>
      </c>
      <c r="Y248" s="2"/>
      <c r="Z248" s="19">
        <f t="shared" si="141"/>
        <v>0</v>
      </c>
    </row>
    <row r="249" spans="1:26" s="24" customFormat="1" hidden="1" outlineLevel="1" x14ac:dyDescent="0.25">
      <c r="A249" s="46"/>
      <c r="B249" s="11" t="str">
        <f>CONCATENATE("          ", "4197", " - ", "NON-TAXABLE SALES-RETURNED CHE")</f>
        <v xml:space="preserve">          4197 - NON-TAXABLE SALES-RETURNED CHE</v>
      </c>
      <c r="C249" s="11"/>
      <c r="D249" s="2">
        <f t="shared" si="142"/>
        <v>0</v>
      </c>
      <c r="E249" s="2"/>
      <c r="F249" s="19">
        <f t="shared" si="134"/>
        <v>0</v>
      </c>
      <c r="G249" s="2"/>
      <c r="H249" s="2"/>
      <c r="I249" s="2"/>
      <c r="J249" s="19">
        <f t="shared" si="135"/>
        <v>0</v>
      </c>
      <c r="K249" s="2"/>
      <c r="L249" s="2">
        <f t="shared" si="136"/>
        <v>0</v>
      </c>
      <c r="M249" s="2"/>
      <c r="N249" s="19">
        <f t="shared" si="137"/>
        <v>0</v>
      </c>
      <c r="O249" s="11"/>
      <c r="P249" s="2">
        <f>--30</f>
        <v>30</v>
      </c>
      <c r="Q249" s="2"/>
      <c r="R249" s="19">
        <f t="shared" si="138"/>
        <v>7.2428720138184953E-6</v>
      </c>
      <c r="S249" s="2"/>
      <c r="T249" s="2"/>
      <c r="U249" s="2"/>
      <c r="V249" s="19">
        <f t="shared" si="139"/>
        <v>0</v>
      </c>
      <c r="W249" s="2"/>
      <c r="X249" s="2">
        <f t="shared" si="140"/>
        <v>30</v>
      </c>
      <c r="Y249" s="2"/>
      <c r="Z249" s="19">
        <f t="shared" si="141"/>
        <v>0</v>
      </c>
    </row>
    <row r="250" spans="1:26" s="24" customFormat="1" hidden="1" outlineLevel="1" x14ac:dyDescent="0.25">
      <c r="A250" s="46"/>
      <c r="B250" s="11" t="str">
        <f>CONCATENATE("          ", "4198", " - ", "NON-TAXABLE SALES-GRAD RENTALS")</f>
        <v xml:space="preserve">          4198 - NON-TAXABLE SALES-GRAD RENTALS</v>
      </c>
      <c r="C250" s="11"/>
      <c r="D250" s="2">
        <f>--30</f>
        <v>30</v>
      </c>
      <c r="E250" s="2"/>
      <c r="F250" s="19">
        <f t="shared" si="134"/>
        <v>2.7597391516631768E-5</v>
      </c>
      <c r="G250" s="2"/>
      <c r="H250" s="2"/>
      <c r="I250" s="2"/>
      <c r="J250" s="19">
        <f t="shared" si="135"/>
        <v>0</v>
      </c>
      <c r="K250" s="2"/>
      <c r="L250" s="2">
        <f t="shared" si="136"/>
        <v>30</v>
      </c>
      <c r="M250" s="2"/>
      <c r="N250" s="19">
        <f t="shared" si="137"/>
        <v>0</v>
      </c>
      <c r="O250" s="11"/>
      <c r="P250" s="2">
        <f>--495</f>
        <v>495</v>
      </c>
      <c r="Q250" s="2"/>
      <c r="R250" s="19">
        <f t="shared" si="138"/>
        <v>1.1950738822800517E-4</v>
      </c>
      <c r="S250" s="2"/>
      <c r="T250" s="2"/>
      <c r="U250" s="2"/>
      <c r="V250" s="19">
        <f t="shared" si="139"/>
        <v>0</v>
      </c>
      <c r="W250" s="2"/>
      <c r="X250" s="2">
        <f t="shared" si="140"/>
        <v>495</v>
      </c>
      <c r="Y250" s="2"/>
      <c r="Z250" s="19">
        <f t="shared" si="141"/>
        <v>0</v>
      </c>
    </row>
    <row r="251" spans="1:26" s="24" customFormat="1" hidden="1" outlineLevel="1" x14ac:dyDescent="0.25">
      <c r="A251" s="46"/>
      <c r="B251" s="11" t="str">
        <f>CONCATENATE("          ", "9150", " - ", "MISC. INCOME")</f>
        <v xml:space="preserve">          9150 - MISC. INCOME</v>
      </c>
      <c r="C251" s="11"/>
      <c r="D251" s="2">
        <f>--39218.84</f>
        <v>39218.839999999997</v>
      </c>
      <c r="E251" s="2"/>
      <c r="F251" s="19">
        <f t="shared" si="134"/>
        <v>3.6077922743604614E-2</v>
      </c>
      <c r="G251" s="2"/>
      <c r="H251" s="2">
        <v>29225</v>
      </c>
      <c r="I251" s="2"/>
      <c r="J251" s="19">
        <f t="shared" si="135"/>
        <v>2.5591172755563926E-2</v>
      </c>
      <c r="K251" s="2"/>
      <c r="L251" s="2">
        <f t="shared" si="136"/>
        <v>9993.8399999999965</v>
      </c>
      <c r="M251" s="2"/>
      <c r="N251" s="19">
        <f t="shared" si="137"/>
        <v>0.34196201881950372</v>
      </c>
      <c r="O251" s="11"/>
      <c r="P251" s="2">
        <f>--137386.92</f>
        <v>137386.92000000001</v>
      </c>
      <c r="Q251" s="2"/>
      <c r="R251" s="19">
        <f t="shared" si="138"/>
        <v>3.3169195931090689E-2</v>
      </c>
      <c r="S251" s="2"/>
      <c r="T251" s="2">
        <v>99925</v>
      </c>
      <c r="U251" s="2"/>
      <c r="V251" s="19">
        <f t="shared" si="139"/>
        <v>2.2708571739399677E-2</v>
      </c>
      <c r="W251" s="2"/>
      <c r="X251" s="2">
        <f t="shared" si="140"/>
        <v>37461.920000000013</v>
      </c>
      <c r="Y251" s="2"/>
      <c r="Z251" s="19">
        <f t="shared" si="141"/>
        <v>0.37490037528146125</v>
      </c>
    </row>
    <row r="252" spans="1:26" s="24" customFormat="1" hidden="1" outlineLevel="1" x14ac:dyDescent="0.25">
      <c r="A252" s="46"/>
      <c r="B252" s="11" t="str">
        <f>CONCATENATE("          ", "9151", " - ", "MISC. INCOME")</f>
        <v xml:space="preserve">          9151 - MISC. INCOME</v>
      </c>
      <c r="C252" s="11"/>
      <c r="D252" s="2">
        <f>--83458.02</f>
        <v>83458.02</v>
      </c>
      <c r="E252" s="2"/>
      <c r="F252" s="19">
        <f t="shared" si="134"/>
        <v>7.6774121771429477E-2</v>
      </c>
      <c r="G252" s="2"/>
      <c r="H252" s="2">
        <v>12850</v>
      </c>
      <c r="I252" s="2"/>
      <c r="J252" s="19">
        <f t="shared" si="135"/>
        <v>1.1252235069597825E-2</v>
      </c>
      <c r="K252" s="2"/>
      <c r="L252" s="2">
        <f t="shared" si="136"/>
        <v>70608.02</v>
      </c>
      <c r="M252" s="2"/>
      <c r="N252" s="19">
        <f t="shared" si="137"/>
        <v>5.4947875486381328</v>
      </c>
      <c r="O252" s="11"/>
      <c r="P252" s="2">
        <f>--83193.51</f>
        <v>83193.509999999995</v>
      </c>
      <c r="Q252" s="2"/>
      <c r="R252" s="19">
        <f t="shared" si="138"/>
        <v>2.0085331510344303E-2</v>
      </c>
      <c r="S252" s="2"/>
      <c r="T252" s="2">
        <v>26300</v>
      </c>
      <c r="U252" s="2"/>
      <c r="V252" s="19">
        <f t="shared" si="139"/>
        <v>5.9768369952085216E-3</v>
      </c>
      <c r="W252" s="2"/>
      <c r="X252" s="2">
        <f t="shared" si="140"/>
        <v>56893.509999999995</v>
      </c>
      <c r="Y252" s="2"/>
      <c r="Z252" s="19">
        <f t="shared" si="141"/>
        <v>2.1632513307984791</v>
      </c>
    </row>
    <row r="253" spans="1:26" s="24" customFormat="1" hidden="1" outlineLevel="1" x14ac:dyDescent="0.25">
      <c r="A253" s="46"/>
      <c r="B253" s="11" t="str">
        <f>CONCATENATE("          ", "9152", " - ", "MISC. INCOME")</f>
        <v xml:space="preserve">          9152 - MISC. INCOME</v>
      </c>
      <c r="C253" s="11"/>
      <c r="D253" s="2">
        <f>--633.59</f>
        <v>633.59</v>
      </c>
      <c r="E253" s="2"/>
      <c r="F253" s="19">
        <f t="shared" si="134"/>
        <v>5.8284770970075742E-4</v>
      </c>
      <c r="G253" s="2"/>
      <c r="H253" s="2"/>
      <c r="I253" s="2"/>
      <c r="J253" s="19">
        <f t="shared" si="135"/>
        <v>0</v>
      </c>
      <c r="K253" s="2"/>
      <c r="L253" s="2">
        <f t="shared" si="136"/>
        <v>633.59</v>
      </c>
      <c r="M253" s="2"/>
      <c r="N253" s="19">
        <f t="shared" si="137"/>
        <v>0</v>
      </c>
      <c r="O253" s="11"/>
      <c r="P253" s="2">
        <f>--641.02</f>
        <v>641.02</v>
      </c>
      <c r="Q253" s="2"/>
      <c r="R253" s="19">
        <f t="shared" si="138"/>
        <v>1.5476086060993105E-4</v>
      </c>
      <c r="S253" s="2"/>
      <c r="T253" s="2"/>
      <c r="U253" s="2"/>
      <c r="V253" s="19">
        <f t="shared" si="139"/>
        <v>0</v>
      </c>
      <c r="W253" s="2"/>
      <c r="X253" s="2">
        <f t="shared" si="140"/>
        <v>641.02</v>
      </c>
      <c r="Y253" s="2"/>
      <c r="Z253" s="19">
        <f t="shared" si="141"/>
        <v>0</v>
      </c>
    </row>
    <row r="254" spans="1:26" s="24" customFormat="1" hidden="1" outlineLevel="1" x14ac:dyDescent="0.25">
      <c r="A254" s="46"/>
      <c r="B254" s="11" t="str">
        <f>CONCATENATE("          ", "9160", " - ", "MISC. INCOME")</f>
        <v xml:space="preserve">          9160 - MISC. INCOME</v>
      </c>
      <c r="C254" s="11"/>
      <c r="D254" s="2">
        <f>0</f>
        <v>0</v>
      </c>
      <c r="E254" s="2"/>
      <c r="F254" s="19">
        <f t="shared" si="134"/>
        <v>0</v>
      </c>
      <c r="G254" s="2"/>
      <c r="H254" s="2">
        <v>91300</v>
      </c>
      <c r="I254" s="2"/>
      <c r="J254" s="19">
        <f t="shared" si="135"/>
        <v>7.9947786914730076E-2</v>
      </c>
      <c r="K254" s="2"/>
      <c r="L254" s="2">
        <f t="shared" si="136"/>
        <v>-91300</v>
      </c>
      <c r="M254" s="2"/>
      <c r="N254" s="19">
        <f t="shared" si="137"/>
        <v>-1</v>
      </c>
      <c r="O254" s="11"/>
      <c r="P254" s="2">
        <f>--21170</f>
        <v>21170</v>
      </c>
      <c r="Q254" s="2"/>
      <c r="R254" s="19">
        <f t="shared" si="138"/>
        <v>5.111053351084585E-3</v>
      </c>
      <c r="S254" s="2"/>
      <c r="T254" s="2">
        <v>131700</v>
      </c>
      <c r="U254" s="2"/>
      <c r="V254" s="19">
        <f t="shared" si="139"/>
        <v>2.9929636207945334E-2</v>
      </c>
      <c r="W254" s="2"/>
      <c r="X254" s="2">
        <f t="shared" si="140"/>
        <v>-110530</v>
      </c>
      <c r="Y254" s="2"/>
      <c r="Z254" s="19">
        <f t="shared" si="141"/>
        <v>-0.83925588458618072</v>
      </c>
    </row>
    <row r="255" spans="1:26" x14ac:dyDescent="0.25">
      <c r="A255" s="9"/>
      <c r="B255" s="10"/>
      <c r="C255" s="10"/>
      <c r="D255" s="3"/>
      <c r="E255" s="3"/>
      <c r="F255" s="8"/>
      <c r="G255" s="3"/>
      <c r="H255" s="3"/>
      <c r="I255" s="3"/>
      <c r="J255" s="8"/>
      <c r="K255" s="3"/>
      <c r="L255" s="3"/>
      <c r="M255" s="3"/>
      <c r="N255" s="8"/>
      <c r="O255" s="10"/>
      <c r="P255" s="3"/>
      <c r="Q255" s="3"/>
      <c r="R255" s="8"/>
      <c r="S255" s="3"/>
      <c r="T255" s="3"/>
      <c r="U255" s="3"/>
      <c r="V255" s="8"/>
      <c r="W255" s="3"/>
      <c r="X255" s="3"/>
      <c r="Y255" s="3"/>
      <c r="Z255" s="8"/>
    </row>
    <row r="256" spans="1:26" s="23" customFormat="1" x14ac:dyDescent="0.25">
      <c r="A256" s="10"/>
      <c r="B256" s="29" t="s">
        <v>3</v>
      </c>
      <c r="C256" s="29"/>
      <c r="D256" s="22">
        <f>+D151-D153+D247</f>
        <v>218513.46999999927</v>
      </c>
      <c r="E256" s="14"/>
      <c r="F256" s="20">
        <f>IF(D$12=0,0,D256/D$12)</f>
        <v>0.201013392774925</v>
      </c>
      <c r="G256" s="14"/>
      <c r="H256" s="22">
        <f>+H151-H153+H247</f>
        <v>236227.64648006932</v>
      </c>
      <c r="I256" s="14"/>
      <c r="J256" s="20">
        <f>IF(H$12=0,0,H256/H$12)</f>
        <v>0.20685517573008508</v>
      </c>
      <c r="K256" s="15"/>
      <c r="L256" s="22">
        <f>+D256-H256</f>
        <v>-17714.176480070048</v>
      </c>
      <c r="M256" s="15"/>
      <c r="N256" s="20">
        <f>IF(H256=0,0,L256/H256)</f>
        <v>-7.4987736380655187E-2</v>
      </c>
      <c r="O256" s="28"/>
      <c r="P256" s="22">
        <f>+P151-P153+P247</f>
        <v>664350.38999999897</v>
      </c>
      <c r="Q256" s="14"/>
      <c r="R256" s="20">
        <f>IF(P$12=0,0,P256/P$12)</f>
        <v>0.16039349490334651</v>
      </c>
      <c r="S256" s="14"/>
      <c r="T256" s="22">
        <f>+T151-T153+T247</f>
        <v>672552.26628239942</v>
      </c>
      <c r="U256" s="14"/>
      <c r="V256" s="20">
        <f>IF(T$12=0,0,T256/T$12)</f>
        <v>0.15284164510752765</v>
      </c>
      <c r="W256" s="15"/>
      <c r="X256" s="22">
        <f>+P256-T256</f>
        <v>-8201.8762824004516</v>
      </c>
      <c r="Y256" s="15"/>
      <c r="Z256" s="20">
        <f>IF(T256=0,0,X256/T256)</f>
        <v>-1.2195150761645859E-2</v>
      </c>
    </row>
    <row r="257" spans="1:26" x14ac:dyDescent="0.25">
      <c r="A257" s="9"/>
      <c r="B257" s="10"/>
      <c r="C257" s="9"/>
      <c r="D257" s="3"/>
      <c r="E257" s="3"/>
      <c r="F257" s="8"/>
      <c r="G257" s="3"/>
      <c r="H257" s="3"/>
      <c r="I257" s="3"/>
      <c r="J257" s="8"/>
      <c r="K257" s="3"/>
      <c r="L257" s="3"/>
      <c r="M257" s="3"/>
      <c r="N257" s="8"/>
      <c r="P257" s="3"/>
      <c r="Q257" s="3"/>
      <c r="R257" s="8"/>
      <c r="S257" s="3"/>
      <c r="T257" s="3"/>
      <c r="U257" s="3"/>
      <c r="V257" s="8"/>
      <c r="W257" s="3"/>
      <c r="X257" s="3"/>
      <c r="Y257" s="3"/>
      <c r="Z257" s="8"/>
    </row>
    <row r="258" spans="1:26" s="23" customFormat="1" x14ac:dyDescent="0.25">
      <c r="A258" s="52"/>
      <c r="B258" s="10" t="s">
        <v>14</v>
      </c>
      <c r="C258" s="10"/>
      <c r="D258" s="4">
        <v>64010.22</v>
      </c>
      <c r="E258" s="4"/>
      <c r="F258" s="12">
        <f>IF(D$12=0,0,D258/D$12)</f>
        <v>5.8883836746857772E-2</v>
      </c>
      <c r="G258" s="4"/>
      <c r="H258" s="4">
        <v>27412</v>
      </c>
      <c r="I258" s="4"/>
      <c r="J258" s="12">
        <f>IF(H$12=0,0,H258/H$12)</f>
        <v>2.4003600601386427E-2</v>
      </c>
      <c r="K258" s="4"/>
      <c r="L258" s="4">
        <f>+D258-H258</f>
        <v>36598.22</v>
      </c>
      <c r="M258" s="4"/>
      <c r="N258" s="12">
        <f>IF(H258=0,0,L258/H258)</f>
        <v>1.3351167371953889</v>
      </c>
      <c r="O258" s="10"/>
      <c r="P258" s="4">
        <v>444906.02999999997</v>
      </c>
      <c r="Q258" s="4"/>
      <c r="R258" s="12">
        <f>IF(P$12=0,0,P258/P$12)</f>
        <v>0.10741324778220306</v>
      </c>
      <c r="S258" s="4"/>
      <c r="T258" s="4">
        <v>556573</v>
      </c>
      <c r="U258" s="4"/>
      <c r="V258" s="12">
        <f>IF(T$12=0,0,T258/T$12)</f>
        <v>0.1264846424689807</v>
      </c>
      <c r="W258" s="4"/>
      <c r="X258" s="4">
        <f>+P258-T258</f>
        <v>-111666.97000000003</v>
      </c>
      <c r="Y258" s="4"/>
      <c r="Z258" s="12">
        <f>IF(T258=0,0,X258/T258)</f>
        <v>-0.20063310652870339</v>
      </c>
    </row>
    <row r="259" spans="1:26" x14ac:dyDescent="0.25">
      <c r="A259" s="9"/>
      <c r="B259" s="10"/>
      <c r="C259" s="10"/>
      <c r="D259" s="3"/>
      <c r="E259" s="3"/>
      <c r="F259" s="8"/>
      <c r="G259" s="3"/>
      <c r="H259" s="3"/>
      <c r="I259" s="3"/>
      <c r="J259" s="8"/>
      <c r="K259" s="3"/>
      <c r="L259" s="3"/>
      <c r="M259" s="3"/>
      <c r="N259" s="8"/>
      <c r="O259" s="10"/>
      <c r="P259" s="3"/>
      <c r="Q259" s="3"/>
      <c r="R259" s="8"/>
      <c r="S259" s="3"/>
      <c r="T259" s="3"/>
      <c r="U259" s="3"/>
      <c r="V259" s="8"/>
      <c r="W259" s="3"/>
      <c r="X259" s="3"/>
      <c r="Y259" s="3"/>
      <c r="Z259" s="8"/>
    </row>
    <row r="260" spans="1:26" s="23" customFormat="1" ht="15.75" thickBot="1" x14ac:dyDescent="0.3">
      <c r="A260" s="10"/>
      <c r="B260" s="29" t="s">
        <v>4</v>
      </c>
      <c r="C260" s="29"/>
      <c r="D260" s="35">
        <f>+D256-D258</f>
        <v>154503.24999999927</v>
      </c>
      <c r="E260" s="14"/>
      <c r="F260" s="32">
        <f>IF(D$12=0,0,D260/D$12)</f>
        <v>0.14212955602806723</v>
      </c>
      <c r="G260" s="14"/>
      <c r="H260" s="35">
        <f>+H256-H258</f>
        <v>208815.64648006932</v>
      </c>
      <c r="I260" s="14"/>
      <c r="J260" s="32">
        <f>IF(H$12=0,0,H260/H$12)</f>
        <v>0.18285157512869865</v>
      </c>
      <c r="K260" s="15"/>
      <c r="L260" s="35">
        <f>D260-H260</f>
        <v>-54312.396480070049</v>
      </c>
      <c r="M260" s="15"/>
      <c r="N260" s="32">
        <f>IF(H260=0,0,L260/H260)</f>
        <v>-0.26009735091979308</v>
      </c>
      <c r="O260" s="28"/>
      <c r="P260" s="35">
        <f>+P256-P258</f>
        <v>219444.359999999</v>
      </c>
      <c r="Q260" s="14"/>
      <c r="R260" s="32">
        <f>IF(P$12=0,0,P260/P$12)</f>
        <v>5.2980247121143451E-2</v>
      </c>
      <c r="S260" s="14"/>
      <c r="T260" s="35">
        <f>+T256-T258</f>
        <v>115979.26628239942</v>
      </c>
      <c r="U260" s="14"/>
      <c r="V260" s="32">
        <f>IF(T$12=0,0,T260/T$12)</f>
        <v>2.6357002638546963E-2</v>
      </c>
      <c r="W260" s="15"/>
      <c r="X260" s="35">
        <f>P260-T260</f>
        <v>103465.09371759958</v>
      </c>
      <c r="Y260" s="15"/>
      <c r="Z260" s="32">
        <f>IF(T260=0,0,X260/T260)</f>
        <v>0.89209991608044048</v>
      </c>
    </row>
    <row r="261" spans="1:26" ht="15.75" thickTop="1" x14ac:dyDescent="0.25">
      <c r="A261" s="9"/>
      <c r="B261" s="9"/>
      <c r="C261" s="9"/>
      <c r="D261" s="3"/>
      <c r="E261" s="3"/>
      <c r="F261" s="8"/>
      <c r="G261" s="3"/>
      <c r="H261" s="3"/>
      <c r="I261" s="3"/>
      <c r="J261" s="8"/>
      <c r="K261" s="3"/>
      <c r="L261" s="3"/>
      <c r="M261" s="3"/>
      <c r="N261" s="8"/>
      <c r="P261" s="3"/>
      <c r="Q261" s="3"/>
      <c r="R261" s="8"/>
      <c r="S261" s="3"/>
      <c r="T261" s="3"/>
      <c r="U261" s="3"/>
      <c r="V261" s="8"/>
      <c r="W261" s="3"/>
      <c r="X261" s="3"/>
      <c r="Y261" s="3"/>
      <c r="Z261" s="8"/>
    </row>
    <row r="262" spans="1:26" x14ac:dyDescent="0.25">
      <c r="A262" s="9"/>
      <c r="B262" s="9"/>
      <c r="C262" s="9"/>
      <c r="D262" s="3"/>
      <c r="E262" s="3"/>
      <c r="F262" s="8"/>
      <c r="G262" s="3"/>
      <c r="H262" s="3"/>
      <c r="I262" s="3"/>
      <c r="J262" s="8"/>
      <c r="K262" s="3"/>
      <c r="L262" s="3"/>
      <c r="M262" s="3"/>
      <c r="N262" s="8"/>
      <c r="P262" s="3"/>
      <c r="Q262" s="3"/>
      <c r="R262" s="8"/>
      <c r="S262" s="3"/>
      <c r="T262" s="3"/>
      <c r="U262" s="3"/>
      <c r="V262" s="8"/>
      <c r="W262" s="3"/>
      <c r="X262" s="3"/>
      <c r="Y262" s="3"/>
      <c r="Z262" s="8"/>
    </row>
    <row r="263" spans="1:26" s="23" customFormat="1" ht="15.75" thickBot="1" x14ac:dyDescent="0.3">
      <c r="A263" s="10"/>
      <c r="B263" s="29" t="s">
        <v>5</v>
      </c>
      <c r="C263" s="29"/>
      <c r="D263" s="30">
        <f>SUM(D260:D262)</f>
        <v>154503.24999999927</v>
      </c>
      <c r="E263" s="14"/>
      <c r="F263" s="31">
        <f>IF(D$12=0,0,D263/D$12)</f>
        <v>0.14212955602806723</v>
      </c>
      <c r="G263" s="14"/>
      <c r="H263" s="30">
        <f>SUM(H260:H262)</f>
        <v>208815.64648006932</v>
      </c>
      <c r="I263" s="14"/>
      <c r="J263" s="31">
        <f>IF(H$12=0,0,H263/H$12)</f>
        <v>0.18285157512869865</v>
      </c>
      <c r="K263" s="15"/>
      <c r="L263" s="30">
        <f>+D263-H263</f>
        <v>-54312.396480070049</v>
      </c>
      <c r="M263" s="15"/>
      <c r="N263" s="31">
        <f>IF(H263=0,0,L263/H263)</f>
        <v>-0.26009735091979308</v>
      </c>
      <c r="O263" s="28"/>
      <c r="P263" s="30">
        <f>SUM(P260:P262)</f>
        <v>219444.359999999</v>
      </c>
      <c r="Q263" s="14"/>
      <c r="R263" s="31">
        <f>IF(P$12=0,0,P263/P$12)</f>
        <v>5.2980247121143451E-2</v>
      </c>
      <c r="S263" s="14"/>
      <c r="T263" s="30">
        <f>SUM(T260:T262)</f>
        <v>115979.26628239942</v>
      </c>
      <c r="U263" s="14"/>
      <c r="V263" s="31">
        <f>IF(T$12=0,0,T263/T$12)</f>
        <v>2.6357002638546963E-2</v>
      </c>
      <c r="W263" s="15"/>
      <c r="X263" s="30">
        <f>+P263-T263</f>
        <v>103465.09371759958</v>
      </c>
      <c r="Y263" s="15"/>
      <c r="Z263" s="31">
        <f>IF(T263=0,0,X263/T263)</f>
        <v>0.89209991608044048</v>
      </c>
    </row>
    <row r="264" spans="1:26" ht="15.75" thickTop="1" x14ac:dyDescent="0.25">
      <c r="A264" s="9"/>
      <c r="C264" s="9"/>
      <c r="D264" s="18"/>
      <c r="E264" s="18"/>
      <c r="G264" s="18"/>
      <c r="H264" s="18"/>
      <c r="I264" s="18"/>
      <c r="J264" s="43"/>
      <c r="K264" s="18"/>
      <c r="L264" s="18"/>
      <c r="M264" s="18"/>
      <c r="P264" s="18"/>
      <c r="Q264" s="18"/>
      <c r="R264" s="43"/>
      <c r="S264" s="18"/>
      <c r="T264" s="18"/>
      <c r="U264" s="18"/>
      <c r="V264" s="43"/>
      <c r="W264" s="18"/>
      <c r="X264" s="18"/>
    </row>
    <row r="265" spans="1:26" x14ac:dyDescent="0.25">
      <c r="A265" s="9"/>
      <c r="B265" s="53">
        <v>43756.451775347225</v>
      </c>
      <c r="D265" s="18"/>
      <c r="E265" s="18"/>
      <c r="G265" s="18"/>
      <c r="H265" s="18"/>
      <c r="I265" s="18"/>
      <c r="J265" s="43"/>
      <c r="K265" s="18"/>
      <c r="L265" s="18"/>
      <c r="M265" s="18"/>
      <c r="P265" s="18"/>
      <c r="Q265" s="18"/>
      <c r="R265" s="43"/>
      <c r="S265" s="18"/>
      <c r="T265" s="18"/>
      <c r="U265" s="18"/>
      <c r="V265" s="43"/>
      <c r="W265" s="18"/>
      <c r="X265" s="18"/>
    </row>
    <row r="266" spans="1:26" x14ac:dyDescent="0.25">
      <c r="A266" s="9"/>
      <c r="B266" s="55" t="s">
        <v>314</v>
      </c>
      <c r="D266" s="18"/>
      <c r="E266" s="18"/>
      <c r="G266" s="18"/>
      <c r="H266" s="18"/>
      <c r="I266" s="18"/>
      <c r="J266" s="43"/>
      <c r="K266" s="18"/>
      <c r="L266" s="18"/>
      <c r="M266" s="18"/>
      <c r="P266" s="18"/>
      <c r="Q266" s="18"/>
      <c r="R266" s="43"/>
      <c r="S266" s="18"/>
      <c r="T266" s="18"/>
      <c r="U266" s="18"/>
      <c r="V266" s="43"/>
      <c r="W266" s="18"/>
      <c r="X266" s="18"/>
    </row>
    <row r="267" spans="1:26" x14ac:dyDescent="0.25">
      <c r="A267" s="9"/>
      <c r="B267" s="56"/>
      <c r="D267" s="18"/>
      <c r="E267" s="18"/>
      <c r="G267" s="18"/>
      <c r="H267" s="18"/>
      <c r="I267" s="18"/>
      <c r="J267" s="43"/>
      <c r="K267" s="18"/>
      <c r="L267" s="18"/>
      <c r="M267" s="18"/>
      <c r="P267" s="18"/>
      <c r="Q267" s="18"/>
      <c r="R267" s="43"/>
      <c r="S267" s="18"/>
      <c r="T267" s="18"/>
      <c r="U267" s="18"/>
      <c r="V267" s="43"/>
      <c r="W267" s="18"/>
      <c r="X267" s="18"/>
    </row>
    <row r="268" spans="1:26" x14ac:dyDescent="0.25">
      <c r="D268" s="18"/>
      <c r="E268" s="18"/>
      <c r="G268" s="18"/>
      <c r="H268" s="18"/>
      <c r="I268" s="18"/>
      <c r="J268" s="43"/>
      <c r="K268" s="18"/>
      <c r="L268" s="18"/>
      <c r="M268" s="18"/>
      <c r="P268" s="18"/>
      <c r="Q268" s="18"/>
      <c r="R268" s="43"/>
      <c r="S268" s="18"/>
      <c r="T268" s="18"/>
      <c r="U268" s="18"/>
      <c r="V268" s="43"/>
      <c r="W268" s="18"/>
      <c r="X268" s="18"/>
    </row>
  </sheetData>
  <pageMargins left="0.25" right="0.25" top="0.75" bottom="0.75" header="0.3" footer="0.3"/>
  <pageSetup scale="55" fitToWidth="2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">
        <v>297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5"/>
      <c r="L31" s="35" t="e">
        <f ca="1">D31-H31</f>
        <v>#NAME?</v>
      </c>
      <c r="M31" s="15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5"/>
      <c r="X31" s="35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8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29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str">
        <f>CONCATENATE("Period ",RIGHT(202003,2),", ",2020)</f>
        <v>Period 03, 2020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43736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">
        <v>312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1407384.8699999994</v>
      </c>
      <c r="E12" s="4"/>
      <c r="F12" s="12"/>
      <c r="G12" s="4"/>
      <c r="H12" s="4">
        <f>SUM(OSRRefH13x_0)</f>
        <v>1394929.3387500001</v>
      </c>
      <c r="I12" s="4"/>
      <c r="J12" s="12"/>
      <c r="K12" s="4"/>
      <c r="L12" s="4">
        <f t="shared" ref="L12:L116" si="0">+D12-H12</f>
        <v>12455.531249999302</v>
      </c>
      <c r="M12" s="4"/>
      <c r="N12" s="12">
        <f t="shared" ref="N12:N116" si="1">IF(H12=0,0,L12/H12)</f>
        <v>8.9291485267352227E-3</v>
      </c>
      <c r="O12" s="10"/>
      <c r="P12" s="4">
        <f>SUM(OSRRefP13x_0)</f>
        <v>5334181.4099999992</v>
      </c>
      <c r="Q12" s="4"/>
      <c r="R12" s="12"/>
      <c r="S12" s="4"/>
      <c r="T12" s="4">
        <f>SUM(OSRRefT13x_0)</f>
        <v>5400872.7752</v>
      </c>
      <c r="U12" s="4"/>
      <c r="V12" s="12"/>
      <c r="W12" s="4"/>
      <c r="X12" s="4">
        <f t="shared" ref="X12:X116" si="2">+P12-T12</f>
        <v>-66691.365200000815</v>
      </c>
      <c r="Y12" s="4"/>
      <c r="Z12" s="12">
        <f t="shared" ref="Z12:Z116" si="3">IF(T12=0,0,X12/T12)</f>
        <v>-1.2348257027315583E-2</v>
      </c>
    </row>
    <row r="13" spans="1:26" s="24" customFormat="1" hidden="1" outlineLevel="1" x14ac:dyDescent="0.25">
      <c r="A13" s="46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724066.33875</v>
      </c>
      <c r="I13" s="2"/>
      <c r="J13" s="19"/>
      <c r="K13" s="2"/>
      <c r="L13" s="2">
        <f t="shared" si="0"/>
        <v>-724066.33875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2155080.7752</v>
      </c>
      <c r="U13" s="2"/>
      <c r="V13" s="19"/>
      <c r="W13" s="2"/>
      <c r="X13" s="2">
        <f t="shared" si="2"/>
        <v>-2155080.7752</v>
      </c>
      <c r="Y13" s="2"/>
      <c r="Z13" s="19">
        <f t="shared" si="3"/>
        <v>-1</v>
      </c>
    </row>
    <row r="14" spans="1:26" s="24" customFormat="1" hidden="1" outlineLevel="1" x14ac:dyDescent="0.25">
      <c r="A14" s="46"/>
      <c r="B14" s="11" t="str">
        <f>CONCATENATE("          ", "4001", " - ", "TAXABLE SALES-NEW TEXT")</f>
        <v xml:space="preserve">          4001 - TAXABLE SALES-NEW TEXT</v>
      </c>
      <c r="C14" s="11"/>
      <c r="D14" s="2">
        <f>--336733.45</f>
        <v>336733.45</v>
      </c>
      <c r="E14" s="2"/>
      <c r="F14" s="19"/>
      <c r="G14" s="2"/>
      <c r="H14" s="2"/>
      <c r="I14" s="2"/>
      <c r="J14" s="19"/>
      <c r="K14" s="2"/>
      <c r="L14" s="2">
        <f t="shared" si="0"/>
        <v>336733.45</v>
      </c>
      <c r="M14" s="2"/>
      <c r="N14" s="19">
        <f t="shared" si="1"/>
        <v>0</v>
      </c>
      <c r="O14" s="11"/>
      <c r="P14" s="2">
        <f>--1463955.42</f>
        <v>1463955.42</v>
      </c>
      <c r="Q14" s="2"/>
      <c r="R14" s="19"/>
      <c r="S14" s="2"/>
      <c r="T14" s="2"/>
      <c r="U14" s="2"/>
      <c r="V14" s="19"/>
      <c r="W14" s="2"/>
      <c r="X14" s="2">
        <f t="shared" si="2"/>
        <v>1463955.42</v>
      </c>
      <c r="Y14" s="2"/>
      <c r="Z14" s="19">
        <f t="shared" si="3"/>
        <v>0</v>
      </c>
    </row>
    <row r="15" spans="1:26" s="24" customFormat="1" hidden="1" outlineLevel="1" x14ac:dyDescent="0.25">
      <c r="A15" s="46"/>
      <c r="B15" s="11" t="str">
        <f>CONCATENATE("          ", "4002", " - ", "TAXABLE SALES-USED TEXT")</f>
        <v xml:space="preserve">          4002 - TAXABLE SALES-USED TEXT</v>
      </c>
      <c r="C15" s="11"/>
      <c r="D15" s="2">
        <f>--101849.66</f>
        <v>101849.66</v>
      </c>
      <c r="E15" s="2"/>
      <c r="F15" s="19"/>
      <c r="G15" s="2"/>
      <c r="H15" s="2"/>
      <c r="I15" s="2"/>
      <c r="J15" s="19"/>
      <c r="K15" s="2"/>
      <c r="L15" s="2">
        <f t="shared" si="0"/>
        <v>101849.66</v>
      </c>
      <c r="M15" s="2"/>
      <c r="N15" s="19">
        <f t="shared" si="1"/>
        <v>0</v>
      </c>
      <c r="O15" s="11"/>
      <c r="P15" s="2">
        <f>--657310.58</f>
        <v>657310.57999999996</v>
      </c>
      <c r="Q15" s="2"/>
      <c r="R15" s="19"/>
      <c r="S15" s="2"/>
      <c r="T15" s="2"/>
      <c r="U15" s="2"/>
      <c r="V15" s="19"/>
      <c r="W15" s="2"/>
      <c r="X15" s="2">
        <f t="shared" si="2"/>
        <v>657310.57999999996</v>
      </c>
      <c r="Y15" s="2"/>
      <c r="Z15" s="19">
        <f t="shared" si="3"/>
        <v>0</v>
      </c>
    </row>
    <row r="16" spans="1:26" s="24" customFormat="1" hidden="1" outlineLevel="1" x14ac:dyDescent="0.25">
      <c r="A16" s="46"/>
      <c r="B16" s="11" t="str">
        <f>CONCATENATE("          ", "4003", " - ", "TAXABLE SALES-RENTAL TEXT")</f>
        <v xml:space="preserve">          4003 - TAXABLE SALES-RENTAL TEXT</v>
      </c>
      <c r="C16" s="11"/>
      <c r="D16" s="2">
        <f>--2800.64</f>
        <v>2800.64</v>
      </c>
      <c r="E16" s="2"/>
      <c r="F16" s="19"/>
      <c r="G16" s="2"/>
      <c r="H16" s="2"/>
      <c r="I16" s="2"/>
      <c r="J16" s="19"/>
      <c r="K16" s="2"/>
      <c r="L16" s="2">
        <f t="shared" si="0"/>
        <v>2800.64</v>
      </c>
      <c r="M16" s="2"/>
      <c r="N16" s="19">
        <f t="shared" si="1"/>
        <v>0</v>
      </c>
      <c r="O16" s="11"/>
      <c r="P16" s="2">
        <f>--15536.69</f>
        <v>15536.69</v>
      </c>
      <c r="Q16" s="2"/>
      <c r="R16" s="19"/>
      <c r="S16" s="2"/>
      <c r="T16" s="2"/>
      <c r="U16" s="2"/>
      <c r="V16" s="19"/>
      <c r="W16" s="2"/>
      <c r="X16" s="2">
        <f t="shared" si="2"/>
        <v>15536.69</v>
      </c>
      <c r="Y16" s="2"/>
      <c r="Z16" s="19">
        <f t="shared" si="3"/>
        <v>0</v>
      </c>
    </row>
    <row r="17" spans="1:26" s="24" customFormat="1" hidden="1" outlineLevel="1" x14ac:dyDescent="0.25">
      <c r="A17" s="46"/>
      <c r="B17" s="11" t="str">
        <f>CONCATENATE("          ", "4004", " - ", "TAXABLE SALES-DIGITAL TEXT")</f>
        <v xml:space="preserve">          4004 - TAXABLE SALES-DIGITAL TEXT</v>
      </c>
      <c r="C17" s="11"/>
      <c r="D17" s="2">
        <f>--7290.37</f>
        <v>7290.37</v>
      </c>
      <c r="E17" s="2"/>
      <c r="F17" s="19"/>
      <c r="G17" s="2"/>
      <c r="H17" s="2"/>
      <c r="I17" s="2"/>
      <c r="J17" s="19"/>
      <c r="K17" s="2"/>
      <c r="L17" s="2">
        <f t="shared" si="0"/>
        <v>7290.37</v>
      </c>
      <c r="M17" s="2"/>
      <c r="N17" s="19">
        <f t="shared" si="1"/>
        <v>0</v>
      </c>
      <c r="O17" s="11"/>
      <c r="P17" s="2">
        <f>--29700.44</f>
        <v>29700.44</v>
      </c>
      <c r="Q17" s="2"/>
      <c r="R17" s="19"/>
      <c r="S17" s="2"/>
      <c r="T17" s="2"/>
      <c r="U17" s="2"/>
      <c r="V17" s="19"/>
      <c r="W17" s="2"/>
      <c r="X17" s="2">
        <f t="shared" si="2"/>
        <v>29700.44</v>
      </c>
      <c r="Y17" s="2"/>
      <c r="Z17" s="19">
        <f t="shared" si="3"/>
        <v>0</v>
      </c>
    </row>
    <row r="18" spans="1:26" s="24" customFormat="1" hidden="1" outlineLevel="1" x14ac:dyDescent="0.25">
      <c r="A18" s="46"/>
      <c r="B18" s="11" t="str">
        <f>CONCATENATE("          ", "4011", " - ", "TAXABLE SALES-NO VALUE TEXT")</f>
        <v xml:space="preserve">          4011 - TAXABLE SALES-NO VALUE TEXT</v>
      </c>
      <c r="C18" s="11"/>
      <c r="D18" s="2">
        <f>--9.6</f>
        <v>9.6</v>
      </c>
      <c r="E18" s="2"/>
      <c r="F18" s="19"/>
      <c r="G18" s="2"/>
      <c r="H18" s="2"/>
      <c r="I18" s="2"/>
      <c r="J18" s="19"/>
      <c r="K18" s="2"/>
      <c r="L18" s="2">
        <f t="shared" si="0"/>
        <v>9.6</v>
      </c>
      <c r="M18" s="2"/>
      <c r="N18" s="19">
        <f t="shared" si="1"/>
        <v>0</v>
      </c>
      <c r="O18" s="11"/>
      <c r="P18" s="2">
        <f>--9.6</f>
        <v>9.6</v>
      </c>
      <c r="Q18" s="2"/>
      <c r="R18" s="19"/>
      <c r="S18" s="2"/>
      <c r="T18" s="2"/>
      <c r="U18" s="2"/>
      <c r="V18" s="19"/>
      <c r="W18" s="2"/>
      <c r="X18" s="2">
        <f t="shared" si="2"/>
        <v>9.6</v>
      </c>
      <c r="Y18" s="2"/>
      <c r="Z18" s="19">
        <f t="shared" si="3"/>
        <v>0</v>
      </c>
    </row>
    <row r="19" spans="1:26" s="24" customFormat="1" hidden="1" outlineLevel="1" x14ac:dyDescent="0.25">
      <c r="A19" s="46"/>
      <c r="B19" s="11" t="str">
        <f>CONCATENATE("          ", "4013", " - ", "TAXABLE SALES-TRADE BOOKS")</f>
        <v xml:space="preserve">          4013 - TAXABLE SALES-TRADE BOOKS</v>
      </c>
      <c r="C19" s="11"/>
      <c r="D19" s="2">
        <f>--29.95</f>
        <v>29.95</v>
      </c>
      <c r="E19" s="2"/>
      <c r="F19" s="19"/>
      <c r="G19" s="2"/>
      <c r="H19" s="2"/>
      <c r="I19" s="2"/>
      <c r="J19" s="19"/>
      <c r="K19" s="2"/>
      <c r="L19" s="2">
        <f t="shared" si="0"/>
        <v>29.95</v>
      </c>
      <c r="M19" s="2"/>
      <c r="N19" s="19">
        <f t="shared" si="1"/>
        <v>0</v>
      </c>
      <c r="O19" s="11"/>
      <c r="P19" s="2">
        <f>--140.76</f>
        <v>140.76</v>
      </c>
      <c r="Q19" s="2"/>
      <c r="R19" s="19"/>
      <c r="S19" s="2"/>
      <c r="T19" s="2"/>
      <c r="U19" s="2"/>
      <c r="V19" s="19"/>
      <c r="W19" s="2"/>
      <c r="X19" s="2">
        <f t="shared" si="2"/>
        <v>140.76</v>
      </c>
      <c r="Y19" s="2"/>
      <c r="Z19" s="19">
        <f t="shared" si="3"/>
        <v>0</v>
      </c>
    </row>
    <row r="20" spans="1:26" s="24" customFormat="1" hidden="1" outlineLevel="1" x14ac:dyDescent="0.25">
      <c r="A20" s="46"/>
      <c r="B20" s="11" t="str">
        <f>CONCATENATE("          ", "4014", " - ", "TAXABLE SALES-REMAINDERS")</f>
        <v xml:space="preserve">          4014 - TAXABLE SALES-REMAINDERS</v>
      </c>
      <c r="C20" s="11"/>
      <c r="D20" s="2">
        <f>--97.44</f>
        <v>97.44</v>
      </c>
      <c r="E20" s="2"/>
      <c r="F20" s="19"/>
      <c r="G20" s="2"/>
      <c r="H20" s="2"/>
      <c r="I20" s="2"/>
      <c r="J20" s="19"/>
      <c r="K20" s="2"/>
      <c r="L20" s="2">
        <f t="shared" si="0"/>
        <v>97.44</v>
      </c>
      <c r="M20" s="2"/>
      <c r="N20" s="19">
        <f t="shared" si="1"/>
        <v>0</v>
      </c>
      <c r="O20" s="11"/>
      <c r="P20" s="2">
        <f>--523.09</f>
        <v>523.09</v>
      </c>
      <c r="Q20" s="2"/>
      <c r="R20" s="19"/>
      <c r="S20" s="2"/>
      <c r="T20" s="2"/>
      <c r="U20" s="2"/>
      <c r="V20" s="19"/>
      <c r="W20" s="2"/>
      <c r="X20" s="2">
        <f t="shared" si="2"/>
        <v>523.09</v>
      </c>
      <c r="Y20" s="2"/>
      <c r="Z20" s="19">
        <f t="shared" si="3"/>
        <v>0</v>
      </c>
    </row>
    <row r="21" spans="1:26" s="24" customFormat="1" hidden="1" outlineLevel="1" x14ac:dyDescent="0.25">
      <c r="A21" s="46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--65.39</f>
        <v>65.39</v>
      </c>
      <c r="E21" s="2"/>
      <c r="F21" s="19"/>
      <c r="G21" s="2"/>
      <c r="H21" s="2"/>
      <c r="I21" s="2"/>
      <c r="J21" s="19"/>
      <c r="K21" s="2"/>
      <c r="L21" s="2">
        <f t="shared" si="0"/>
        <v>65.39</v>
      </c>
      <c r="M21" s="2"/>
      <c r="N21" s="19">
        <f t="shared" si="1"/>
        <v>0</v>
      </c>
      <c r="O21" s="11"/>
      <c r="P21" s="2">
        <f>--222.69</f>
        <v>222.69</v>
      </c>
      <c r="Q21" s="2"/>
      <c r="R21" s="19"/>
      <c r="S21" s="2"/>
      <c r="T21" s="2"/>
      <c r="U21" s="2"/>
      <c r="V21" s="19"/>
      <c r="W21" s="2"/>
      <c r="X21" s="2">
        <f t="shared" si="2"/>
        <v>222.69</v>
      </c>
      <c r="Y21" s="2"/>
      <c r="Z21" s="19">
        <f t="shared" si="3"/>
        <v>0</v>
      </c>
    </row>
    <row r="22" spans="1:26" s="24" customFormat="1" hidden="1" outlineLevel="1" x14ac:dyDescent="0.25">
      <c r="A22" s="46"/>
      <c r="B22" s="11" t="str">
        <f>CONCATENATE("          ", "4018", " - ", "TAXABLE SALES-STUDY GUIDES")</f>
        <v xml:space="preserve">          4018 - TAXABLE SALES-STUDY GUIDES</v>
      </c>
      <c r="C22" s="11"/>
      <c r="D22" s="2">
        <f>--696.02</f>
        <v>696.02</v>
      </c>
      <c r="E22" s="2"/>
      <c r="F22" s="19"/>
      <c r="G22" s="2"/>
      <c r="H22" s="2"/>
      <c r="I22" s="2"/>
      <c r="J22" s="19"/>
      <c r="K22" s="2"/>
      <c r="L22" s="2">
        <f t="shared" si="0"/>
        <v>696.02</v>
      </c>
      <c r="M22" s="2"/>
      <c r="N22" s="19">
        <f t="shared" si="1"/>
        <v>0</v>
      </c>
      <c r="O22" s="11"/>
      <c r="P22" s="2">
        <f>--2060.15</f>
        <v>2060.15</v>
      </c>
      <c r="Q22" s="2"/>
      <c r="R22" s="19"/>
      <c r="S22" s="2"/>
      <c r="T22" s="2"/>
      <c r="U22" s="2"/>
      <c r="V22" s="19"/>
      <c r="W22" s="2"/>
      <c r="X22" s="2">
        <f t="shared" si="2"/>
        <v>2060.15</v>
      </c>
      <c r="Y22" s="2"/>
      <c r="Z22" s="19">
        <f t="shared" si="3"/>
        <v>0</v>
      </c>
    </row>
    <row r="23" spans="1:26" s="24" customFormat="1" hidden="1" outlineLevel="1" x14ac:dyDescent="0.25">
      <c r="A23" s="46"/>
      <c r="B23" s="11" t="str">
        <f>CONCATENATE("          ", "4019", " - ", "TAXABLE SALES-BOOK RELATED")</f>
        <v xml:space="preserve">          4019 - TAXABLE SALES-BOOK RELATED</v>
      </c>
      <c r="C23" s="11"/>
      <c r="D23" s="2">
        <f>0</f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--14.95</f>
        <v>14.95</v>
      </c>
      <c r="Q23" s="2"/>
      <c r="R23" s="19"/>
      <c r="S23" s="2"/>
      <c r="T23" s="2"/>
      <c r="U23" s="2"/>
      <c r="V23" s="19"/>
      <c r="W23" s="2"/>
      <c r="X23" s="2">
        <f t="shared" si="2"/>
        <v>14.95</v>
      </c>
      <c r="Y23" s="2"/>
      <c r="Z23" s="19">
        <f t="shared" si="3"/>
        <v>0</v>
      </c>
    </row>
    <row r="24" spans="1:26" s="24" customFormat="1" hidden="1" outlineLevel="1" x14ac:dyDescent="0.25">
      <c r="A24" s="46"/>
      <c r="B24" s="11" t="str">
        <f>CONCATENATE("          ", "4025", " - ", "TAXABLE SALES-TEST FORMS")</f>
        <v xml:space="preserve">          4025 - TAXABLE SALES-TEST FORMS</v>
      </c>
      <c r="C24" s="11"/>
      <c r="D24" s="2">
        <f>--11837.54</f>
        <v>11837.54</v>
      </c>
      <c r="E24" s="2"/>
      <c r="F24" s="19"/>
      <c r="G24" s="2"/>
      <c r="H24" s="2"/>
      <c r="I24" s="2"/>
      <c r="J24" s="19"/>
      <c r="K24" s="2"/>
      <c r="L24" s="2">
        <f t="shared" si="0"/>
        <v>11837.54</v>
      </c>
      <c r="M24" s="2"/>
      <c r="N24" s="19">
        <f t="shared" si="1"/>
        <v>0</v>
      </c>
      <c r="O24" s="11"/>
      <c r="P24" s="2">
        <f>--16296.07</f>
        <v>16296.07</v>
      </c>
      <c r="Q24" s="2"/>
      <c r="R24" s="19"/>
      <c r="S24" s="2"/>
      <c r="T24" s="2"/>
      <c r="U24" s="2"/>
      <c r="V24" s="19"/>
      <c r="W24" s="2"/>
      <c r="X24" s="2">
        <f t="shared" si="2"/>
        <v>16296.07</v>
      </c>
      <c r="Y24" s="2"/>
      <c r="Z24" s="19">
        <f t="shared" si="3"/>
        <v>0</v>
      </c>
    </row>
    <row r="25" spans="1:26" s="24" customFormat="1" hidden="1" outlineLevel="1" x14ac:dyDescent="0.25">
      <c r="A25" s="46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--11722.76</f>
        <v>11722.76</v>
      </c>
      <c r="E25" s="2"/>
      <c r="F25" s="19"/>
      <c r="G25" s="2"/>
      <c r="H25" s="2"/>
      <c r="I25" s="2"/>
      <c r="J25" s="19"/>
      <c r="K25" s="2"/>
      <c r="L25" s="2">
        <f t="shared" si="0"/>
        <v>11722.76</v>
      </c>
      <c r="M25" s="2"/>
      <c r="N25" s="19">
        <f t="shared" si="1"/>
        <v>0</v>
      </c>
      <c r="O25" s="11"/>
      <c r="P25" s="2">
        <f>--24499.3</f>
        <v>24499.3</v>
      </c>
      <c r="Q25" s="2"/>
      <c r="R25" s="19"/>
      <c r="S25" s="2"/>
      <c r="T25" s="2"/>
      <c r="U25" s="2"/>
      <c r="V25" s="19"/>
      <c r="W25" s="2"/>
      <c r="X25" s="2">
        <f t="shared" si="2"/>
        <v>24499.3</v>
      </c>
      <c r="Y25" s="2"/>
      <c r="Z25" s="19">
        <f t="shared" si="3"/>
        <v>0</v>
      </c>
    </row>
    <row r="26" spans="1:26" s="24" customFormat="1" hidden="1" outlineLevel="1" x14ac:dyDescent="0.25">
      <c r="A26" s="46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--44221.34</f>
        <v>44221.34</v>
      </c>
      <c r="E26" s="2"/>
      <c r="F26" s="19"/>
      <c r="G26" s="2"/>
      <c r="H26" s="2"/>
      <c r="I26" s="2"/>
      <c r="J26" s="19"/>
      <c r="K26" s="2"/>
      <c r="L26" s="2">
        <f t="shared" si="0"/>
        <v>44221.34</v>
      </c>
      <c r="M26" s="2"/>
      <c r="N26" s="19">
        <f t="shared" si="1"/>
        <v>0</v>
      </c>
      <c r="O26" s="11"/>
      <c r="P26" s="2">
        <f>--123320.59</f>
        <v>123320.59</v>
      </c>
      <c r="Q26" s="2"/>
      <c r="R26" s="19"/>
      <c r="S26" s="2"/>
      <c r="T26" s="2"/>
      <c r="U26" s="2"/>
      <c r="V26" s="19"/>
      <c r="W26" s="2"/>
      <c r="X26" s="2">
        <f t="shared" si="2"/>
        <v>123320.59</v>
      </c>
      <c r="Y26" s="2"/>
      <c r="Z26" s="19">
        <f t="shared" si="3"/>
        <v>0</v>
      </c>
    </row>
    <row r="27" spans="1:26" s="24" customFormat="1" hidden="1" outlineLevel="1" x14ac:dyDescent="0.25">
      <c r="A27" s="46"/>
      <c r="B27" s="11" t="str">
        <f>CONCATENATE("          ", "4028", " - ", "TAXABLE SALES-ART/TECH")</f>
        <v xml:space="preserve">          4028 - TAXABLE SALES-ART/TECH</v>
      </c>
      <c r="C27" s="11"/>
      <c r="D27" s="2">
        <f>--51812.13</f>
        <v>51812.13</v>
      </c>
      <c r="E27" s="2"/>
      <c r="F27" s="19"/>
      <c r="G27" s="2"/>
      <c r="H27" s="2"/>
      <c r="I27" s="2"/>
      <c r="J27" s="19"/>
      <c r="K27" s="2"/>
      <c r="L27" s="2">
        <f t="shared" si="0"/>
        <v>51812.13</v>
      </c>
      <c r="M27" s="2"/>
      <c r="N27" s="19">
        <f t="shared" si="1"/>
        <v>0</v>
      </c>
      <c r="O27" s="11"/>
      <c r="P27" s="2">
        <f>--100727.68</f>
        <v>100727.67999999999</v>
      </c>
      <c r="Q27" s="2"/>
      <c r="R27" s="19"/>
      <c r="S27" s="2"/>
      <c r="T27" s="2"/>
      <c r="U27" s="2"/>
      <c r="V27" s="19"/>
      <c r="W27" s="2"/>
      <c r="X27" s="2">
        <f t="shared" si="2"/>
        <v>100727.67999999999</v>
      </c>
      <c r="Y27" s="2"/>
      <c r="Z27" s="19">
        <f t="shared" si="3"/>
        <v>0</v>
      </c>
    </row>
    <row r="28" spans="1:26" s="24" customFormat="1" hidden="1" outlineLevel="1" x14ac:dyDescent="0.25">
      <c r="A28" s="46"/>
      <c r="B28" s="11" t="str">
        <f>CONCATENATE("          ", "4031", " - ", "TAXABLE SALES-FOOD")</f>
        <v xml:space="preserve">          4031 - TAXABLE SALES-FOOD</v>
      </c>
      <c r="C28" s="11"/>
      <c r="D28" s="2">
        <f>--88.48</f>
        <v>88.48</v>
      </c>
      <c r="E28" s="2"/>
      <c r="F28" s="19"/>
      <c r="G28" s="2"/>
      <c r="H28" s="2"/>
      <c r="I28" s="2"/>
      <c r="J28" s="19"/>
      <c r="K28" s="2"/>
      <c r="L28" s="2">
        <f t="shared" si="0"/>
        <v>88.48</v>
      </c>
      <c r="M28" s="2"/>
      <c r="N28" s="19">
        <f t="shared" si="1"/>
        <v>0</v>
      </c>
      <c r="O28" s="11"/>
      <c r="P28" s="2">
        <f>--120.82</f>
        <v>120.82</v>
      </c>
      <c r="Q28" s="2"/>
      <c r="R28" s="19"/>
      <c r="S28" s="2"/>
      <c r="T28" s="2"/>
      <c r="U28" s="2"/>
      <c r="V28" s="19"/>
      <c r="W28" s="2"/>
      <c r="X28" s="2">
        <f t="shared" si="2"/>
        <v>120.82</v>
      </c>
      <c r="Y28" s="2"/>
      <c r="Z28" s="19">
        <f t="shared" si="3"/>
        <v>0</v>
      </c>
    </row>
    <row r="29" spans="1:26" s="24" customFormat="1" hidden="1" outlineLevel="1" x14ac:dyDescent="0.25">
      <c r="A29" s="46"/>
      <c r="B29" s="11" t="str">
        <f>CONCATENATE("          ", "4032", " - ", "TAXABLE SALES-JUICE")</f>
        <v xml:space="preserve">          4032 - TAXABLE SALES-JUICE</v>
      </c>
      <c r="C29" s="11"/>
      <c r="D29" s="2">
        <f>--17.54</f>
        <v>17.54</v>
      </c>
      <c r="E29" s="2"/>
      <c r="F29" s="19"/>
      <c r="G29" s="2"/>
      <c r="H29" s="2"/>
      <c r="I29" s="2"/>
      <c r="J29" s="19"/>
      <c r="K29" s="2"/>
      <c r="L29" s="2">
        <f t="shared" si="0"/>
        <v>17.54</v>
      </c>
      <c r="M29" s="2"/>
      <c r="N29" s="19">
        <f t="shared" si="1"/>
        <v>0</v>
      </c>
      <c r="O29" s="11"/>
      <c r="P29" s="2">
        <f>--21.35</f>
        <v>21.35</v>
      </c>
      <c r="Q29" s="2"/>
      <c r="R29" s="19"/>
      <c r="S29" s="2"/>
      <c r="T29" s="2"/>
      <c r="U29" s="2"/>
      <c r="V29" s="19"/>
      <c r="W29" s="2"/>
      <c r="X29" s="2">
        <f t="shared" si="2"/>
        <v>21.35</v>
      </c>
      <c r="Y29" s="2"/>
      <c r="Z29" s="19">
        <f t="shared" si="3"/>
        <v>0</v>
      </c>
    </row>
    <row r="30" spans="1:26" s="24" customFormat="1" hidden="1" outlineLevel="1" x14ac:dyDescent="0.25">
      <c r="A30" s="46"/>
      <c r="B30" s="11" t="str">
        <f>CONCATENATE("          ", "4033", " - ", "TAXABLE SALES-CANDY")</f>
        <v xml:space="preserve">          4033 - TAXABLE SALES-CANDY</v>
      </c>
      <c r="C30" s="11"/>
      <c r="D30" s="2">
        <f>--27.97</f>
        <v>27.97</v>
      </c>
      <c r="E30" s="2"/>
      <c r="F30" s="19"/>
      <c r="G30" s="2"/>
      <c r="H30" s="2"/>
      <c r="I30" s="2"/>
      <c r="J30" s="19"/>
      <c r="K30" s="2"/>
      <c r="L30" s="2">
        <f t="shared" si="0"/>
        <v>27.97</v>
      </c>
      <c r="M30" s="2"/>
      <c r="N30" s="19">
        <f t="shared" si="1"/>
        <v>0</v>
      </c>
      <c r="O30" s="11"/>
      <c r="P30" s="2">
        <f>--40.97</f>
        <v>40.97</v>
      </c>
      <c r="Q30" s="2"/>
      <c r="R30" s="19"/>
      <c r="S30" s="2"/>
      <c r="T30" s="2"/>
      <c r="U30" s="2"/>
      <c r="V30" s="19"/>
      <c r="W30" s="2"/>
      <c r="X30" s="2">
        <f t="shared" si="2"/>
        <v>40.97</v>
      </c>
      <c r="Y30" s="2"/>
      <c r="Z30" s="19">
        <f t="shared" si="3"/>
        <v>0</v>
      </c>
    </row>
    <row r="31" spans="1:26" s="24" customFormat="1" hidden="1" outlineLevel="1" x14ac:dyDescent="0.25">
      <c r="A31" s="46"/>
      <c r="B31" s="11" t="str">
        <f>CONCATENATE("          ", "4034", " - ", "TAXABLE SALES-SODA")</f>
        <v xml:space="preserve">          4034 - TAXABLE SALES-SODA</v>
      </c>
      <c r="C31" s="11"/>
      <c r="D31" s="2">
        <f>--1544.01</f>
        <v>1544.01</v>
      </c>
      <c r="E31" s="2"/>
      <c r="F31" s="19"/>
      <c r="G31" s="2"/>
      <c r="H31" s="2"/>
      <c r="I31" s="2"/>
      <c r="J31" s="19"/>
      <c r="K31" s="2"/>
      <c r="L31" s="2">
        <f t="shared" si="0"/>
        <v>1544.01</v>
      </c>
      <c r="M31" s="2"/>
      <c r="N31" s="19">
        <f t="shared" si="1"/>
        <v>0</v>
      </c>
      <c r="O31" s="11"/>
      <c r="P31" s="2">
        <f>--1859.55</f>
        <v>1859.55</v>
      </c>
      <c r="Q31" s="2"/>
      <c r="R31" s="19"/>
      <c r="S31" s="2"/>
      <c r="T31" s="2"/>
      <c r="U31" s="2"/>
      <c r="V31" s="19"/>
      <c r="W31" s="2"/>
      <c r="X31" s="2">
        <f t="shared" si="2"/>
        <v>1859.55</v>
      </c>
      <c r="Y31" s="2"/>
      <c r="Z31" s="19">
        <f t="shared" si="3"/>
        <v>0</v>
      </c>
    </row>
    <row r="32" spans="1:26" s="24" customFormat="1" hidden="1" outlineLevel="1" x14ac:dyDescent="0.25">
      <c r="A32" s="46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>--339.98</f>
        <v>339.98</v>
      </c>
      <c r="E32" s="2"/>
      <c r="F32" s="19"/>
      <c r="G32" s="2"/>
      <c r="H32" s="2"/>
      <c r="I32" s="2"/>
      <c r="J32" s="19"/>
      <c r="K32" s="2"/>
      <c r="L32" s="2">
        <f t="shared" si="0"/>
        <v>339.98</v>
      </c>
      <c r="M32" s="2"/>
      <c r="N32" s="19">
        <f t="shared" si="1"/>
        <v>0</v>
      </c>
      <c r="O32" s="11"/>
      <c r="P32" s="2">
        <f>--438.43</f>
        <v>438.43</v>
      </c>
      <c r="Q32" s="2"/>
      <c r="R32" s="19"/>
      <c r="S32" s="2"/>
      <c r="T32" s="2"/>
      <c r="U32" s="2"/>
      <c r="V32" s="19"/>
      <c r="W32" s="2"/>
      <c r="X32" s="2">
        <f t="shared" si="2"/>
        <v>438.43</v>
      </c>
      <c r="Y32" s="2"/>
      <c r="Z32" s="19">
        <f t="shared" si="3"/>
        <v>0</v>
      </c>
    </row>
    <row r="33" spans="1:26" s="24" customFormat="1" hidden="1" outlineLevel="1" x14ac:dyDescent="0.25">
      <c r="A33" s="46"/>
      <c r="B33" s="11" t="str">
        <f>CONCATENATE("          ", "4037", " - ", "TAXABLE SALES-WATER")</f>
        <v xml:space="preserve">          4037 - TAXABLE SALES-WATER</v>
      </c>
      <c r="C33" s="11"/>
      <c r="D33" s="2">
        <f>--131.98</f>
        <v>131.97999999999999</v>
      </c>
      <c r="E33" s="2"/>
      <c r="F33" s="19"/>
      <c r="G33" s="2"/>
      <c r="H33" s="2"/>
      <c r="I33" s="2"/>
      <c r="J33" s="19"/>
      <c r="K33" s="2"/>
      <c r="L33" s="2">
        <f t="shared" si="0"/>
        <v>131.97999999999999</v>
      </c>
      <c r="M33" s="2"/>
      <c r="N33" s="19">
        <f t="shared" si="1"/>
        <v>0</v>
      </c>
      <c r="O33" s="11"/>
      <c r="P33" s="2">
        <f>--174.15</f>
        <v>174.15</v>
      </c>
      <c r="Q33" s="2"/>
      <c r="R33" s="19"/>
      <c r="S33" s="2"/>
      <c r="T33" s="2"/>
      <c r="U33" s="2"/>
      <c r="V33" s="19"/>
      <c r="W33" s="2"/>
      <c r="X33" s="2">
        <f t="shared" si="2"/>
        <v>174.15</v>
      </c>
      <c r="Y33" s="2"/>
      <c r="Z33" s="19">
        <f t="shared" si="3"/>
        <v>0</v>
      </c>
    </row>
    <row r="34" spans="1:26" s="24" customFormat="1" hidden="1" outlineLevel="1" x14ac:dyDescent="0.25">
      <c r="A34" s="46"/>
      <c r="B34" s="11" t="str">
        <f>CONCATENATE("          ", "4040", " - ", "TAXABLE SALES-LOGO CLOTHING")</f>
        <v xml:space="preserve">          4040 - TAXABLE SALES-LOGO CLOTHING</v>
      </c>
      <c r="C34" s="11"/>
      <c r="D34" s="2">
        <f>--243145.84</f>
        <v>243145.84</v>
      </c>
      <c r="E34" s="2"/>
      <c r="F34" s="19"/>
      <c r="G34" s="2"/>
      <c r="H34" s="2"/>
      <c r="I34" s="2"/>
      <c r="J34" s="19"/>
      <c r="K34" s="2"/>
      <c r="L34" s="2">
        <f t="shared" si="0"/>
        <v>243145.84</v>
      </c>
      <c r="M34" s="2"/>
      <c r="N34" s="19">
        <f t="shared" si="1"/>
        <v>0</v>
      </c>
      <c r="O34" s="11"/>
      <c r="P34" s="2">
        <f>--632899.52</f>
        <v>632899.52</v>
      </c>
      <c r="Q34" s="2"/>
      <c r="R34" s="19"/>
      <c r="S34" s="2"/>
      <c r="T34" s="2"/>
      <c r="U34" s="2"/>
      <c r="V34" s="19"/>
      <c r="W34" s="2"/>
      <c r="X34" s="2">
        <f t="shared" si="2"/>
        <v>632899.52</v>
      </c>
      <c r="Y34" s="2"/>
      <c r="Z34" s="19">
        <f t="shared" si="3"/>
        <v>0</v>
      </c>
    </row>
    <row r="35" spans="1:26" s="24" customFormat="1" hidden="1" outlineLevel="1" x14ac:dyDescent="0.25">
      <c r="A35" s="46"/>
      <c r="B35" s="11" t="str">
        <f>CONCATENATE("          ", "4041", " - ", "TAXABLE SALES-LOGO GIFTS")</f>
        <v xml:space="preserve">          4041 - TAXABLE SALES-LOGO GIFTS</v>
      </c>
      <c r="C35" s="11"/>
      <c r="D35" s="2">
        <f>--49940.2</f>
        <v>49940.2</v>
      </c>
      <c r="E35" s="2"/>
      <c r="F35" s="19"/>
      <c r="G35" s="2"/>
      <c r="H35" s="2"/>
      <c r="I35" s="2"/>
      <c r="J35" s="19"/>
      <c r="K35" s="2"/>
      <c r="L35" s="2">
        <f t="shared" si="0"/>
        <v>49940.2</v>
      </c>
      <c r="M35" s="2"/>
      <c r="N35" s="19">
        <f t="shared" si="1"/>
        <v>0</v>
      </c>
      <c r="O35" s="11"/>
      <c r="P35" s="2">
        <f>--201632.61</f>
        <v>201632.61</v>
      </c>
      <c r="Q35" s="2"/>
      <c r="R35" s="19"/>
      <c r="S35" s="2"/>
      <c r="T35" s="2"/>
      <c r="U35" s="2"/>
      <c r="V35" s="19"/>
      <c r="W35" s="2"/>
      <c r="X35" s="2">
        <f t="shared" si="2"/>
        <v>201632.61</v>
      </c>
      <c r="Y35" s="2"/>
      <c r="Z35" s="19">
        <f t="shared" si="3"/>
        <v>0</v>
      </c>
    </row>
    <row r="36" spans="1:26" s="24" customFormat="1" hidden="1" outlineLevel="1" x14ac:dyDescent="0.25">
      <c r="A36" s="46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--35079.3</f>
        <v>35079.300000000003</v>
      </c>
      <c r="E36" s="2"/>
      <c r="F36" s="19"/>
      <c r="G36" s="2"/>
      <c r="H36" s="2"/>
      <c r="I36" s="2"/>
      <c r="J36" s="19"/>
      <c r="K36" s="2"/>
      <c r="L36" s="2">
        <f t="shared" si="0"/>
        <v>35079.300000000003</v>
      </c>
      <c r="M36" s="2"/>
      <c r="N36" s="19">
        <f t="shared" si="1"/>
        <v>0</v>
      </c>
      <c r="O36" s="11"/>
      <c r="P36" s="2">
        <f>--95118.27</f>
        <v>95118.27</v>
      </c>
      <c r="Q36" s="2"/>
      <c r="R36" s="19"/>
      <c r="S36" s="2"/>
      <c r="T36" s="2"/>
      <c r="U36" s="2"/>
      <c r="V36" s="19"/>
      <c r="W36" s="2"/>
      <c r="X36" s="2">
        <f t="shared" si="2"/>
        <v>95118.27</v>
      </c>
      <c r="Y36" s="2"/>
      <c r="Z36" s="19">
        <f t="shared" si="3"/>
        <v>0</v>
      </c>
    </row>
    <row r="37" spans="1:26" s="24" customFormat="1" hidden="1" outlineLevel="1" x14ac:dyDescent="0.25">
      <c r="A37" s="46"/>
      <c r="B37" s="11" t="str">
        <f>CONCATENATE("          ", "4043", " - ", "TAXABLE SALES-CARDS")</f>
        <v xml:space="preserve">          4043 - TAXABLE SALES-CARDS</v>
      </c>
      <c r="C37" s="11"/>
      <c r="D37" s="2">
        <f>--272.36</f>
        <v>272.36</v>
      </c>
      <c r="E37" s="2"/>
      <c r="F37" s="19"/>
      <c r="G37" s="2"/>
      <c r="H37" s="2"/>
      <c r="I37" s="2"/>
      <c r="J37" s="19"/>
      <c r="K37" s="2"/>
      <c r="L37" s="2">
        <f t="shared" si="0"/>
        <v>272.36</v>
      </c>
      <c r="M37" s="2"/>
      <c r="N37" s="19">
        <f t="shared" si="1"/>
        <v>0</v>
      </c>
      <c r="O37" s="11"/>
      <c r="P37" s="2">
        <f>--457.81</f>
        <v>457.81</v>
      </c>
      <c r="Q37" s="2"/>
      <c r="R37" s="19"/>
      <c r="S37" s="2"/>
      <c r="T37" s="2"/>
      <c r="U37" s="2"/>
      <c r="V37" s="19"/>
      <c r="W37" s="2"/>
      <c r="X37" s="2">
        <f t="shared" si="2"/>
        <v>457.81</v>
      </c>
      <c r="Y37" s="2"/>
      <c r="Z37" s="19">
        <f t="shared" si="3"/>
        <v>0</v>
      </c>
    </row>
    <row r="38" spans="1:26" s="24" customFormat="1" hidden="1" outlineLevel="1" x14ac:dyDescent="0.25">
      <c r="A38" s="46"/>
      <c r="B38" s="11" t="str">
        <f>CONCATENATE("          ", "4044", " - ", "TAXABLE SALES-ACCESSORIES")</f>
        <v xml:space="preserve">          4044 - TAXABLE SALES-ACCESSORIES</v>
      </c>
      <c r="C38" s="11"/>
      <c r="D38" s="2">
        <f>--6451.34</f>
        <v>6451.34</v>
      </c>
      <c r="E38" s="2"/>
      <c r="F38" s="19"/>
      <c r="G38" s="2"/>
      <c r="H38" s="2"/>
      <c r="I38" s="2"/>
      <c r="J38" s="19"/>
      <c r="K38" s="2"/>
      <c r="L38" s="2">
        <f t="shared" si="0"/>
        <v>6451.34</v>
      </c>
      <c r="M38" s="2"/>
      <c r="N38" s="19">
        <f t="shared" si="1"/>
        <v>0</v>
      </c>
      <c r="O38" s="11"/>
      <c r="P38" s="2">
        <f>--28228.41</f>
        <v>28228.41</v>
      </c>
      <c r="Q38" s="2"/>
      <c r="R38" s="19"/>
      <c r="S38" s="2"/>
      <c r="T38" s="2"/>
      <c r="U38" s="2"/>
      <c r="V38" s="19"/>
      <c r="W38" s="2"/>
      <c r="X38" s="2">
        <f t="shared" si="2"/>
        <v>28228.41</v>
      </c>
      <c r="Y38" s="2"/>
      <c r="Z38" s="19">
        <f t="shared" si="3"/>
        <v>0</v>
      </c>
    </row>
    <row r="39" spans="1:26" s="24" customFormat="1" hidden="1" outlineLevel="1" x14ac:dyDescent="0.25">
      <c r="A39" s="46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--5803.07</f>
        <v>5803.07</v>
      </c>
      <c r="E39" s="2"/>
      <c r="F39" s="19"/>
      <c r="G39" s="2"/>
      <c r="H39" s="2"/>
      <c r="I39" s="2"/>
      <c r="J39" s="19"/>
      <c r="K39" s="2"/>
      <c r="L39" s="2">
        <f t="shared" si="0"/>
        <v>5803.07</v>
      </c>
      <c r="M39" s="2"/>
      <c r="N39" s="19">
        <f t="shared" si="1"/>
        <v>0</v>
      </c>
      <c r="O39" s="11"/>
      <c r="P39" s="2">
        <f>--31327.11</f>
        <v>31327.11</v>
      </c>
      <c r="Q39" s="2"/>
      <c r="R39" s="19"/>
      <c r="S39" s="2"/>
      <c r="T39" s="2"/>
      <c r="U39" s="2"/>
      <c r="V39" s="19"/>
      <c r="W39" s="2"/>
      <c r="X39" s="2">
        <f t="shared" si="2"/>
        <v>31327.11</v>
      </c>
      <c r="Y39" s="2"/>
      <c r="Z39" s="19">
        <f t="shared" si="3"/>
        <v>0</v>
      </c>
    </row>
    <row r="40" spans="1:26" s="24" customFormat="1" hidden="1" outlineLevel="1" x14ac:dyDescent="0.25">
      <c r="A40" s="46"/>
      <c r="B40" s="11" t="str">
        <f>CONCATENATE("          ", "4047", " - ", "TAXABLE SALES-MISC")</f>
        <v xml:space="preserve">          4047 - TAXABLE SALES-MISC</v>
      </c>
      <c r="C40" s="11"/>
      <c r="D40" s="2">
        <f>--488.97</f>
        <v>488.97</v>
      </c>
      <c r="E40" s="2"/>
      <c r="F40" s="19"/>
      <c r="G40" s="2"/>
      <c r="H40" s="2"/>
      <c r="I40" s="2"/>
      <c r="J40" s="19"/>
      <c r="K40" s="2"/>
      <c r="L40" s="2">
        <f t="shared" si="0"/>
        <v>488.97</v>
      </c>
      <c r="M40" s="2"/>
      <c r="N40" s="19">
        <f t="shared" si="1"/>
        <v>0</v>
      </c>
      <c r="O40" s="11"/>
      <c r="P40" s="2">
        <f>--971.35</f>
        <v>971.35</v>
      </c>
      <c r="Q40" s="2"/>
      <c r="R40" s="19"/>
      <c r="S40" s="2"/>
      <c r="T40" s="2"/>
      <c r="U40" s="2"/>
      <c r="V40" s="19"/>
      <c r="W40" s="2"/>
      <c r="X40" s="2">
        <f t="shared" si="2"/>
        <v>971.35</v>
      </c>
      <c r="Y40" s="2"/>
      <c r="Z40" s="19">
        <f t="shared" si="3"/>
        <v>0</v>
      </c>
    </row>
    <row r="41" spans="1:26" s="24" customFormat="1" hidden="1" outlineLevel="1" x14ac:dyDescent="0.25">
      <c r="A41" s="46"/>
      <c r="B41" s="11" t="str">
        <f>CONCATENATE("          ", "4081", " - ", "TAXABLE SALES-ELECTRONICS")</f>
        <v xml:space="preserve">          4081 - TAXABLE SALES-ELECTRONICS</v>
      </c>
      <c r="C41" s="11"/>
      <c r="D41" s="2">
        <f>--79907.95</f>
        <v>79907.95</v>
      </c>
      <c r="E41" s="2"/>
      <c r="F41" s="19"/>
      <c r="G41" s="2"/>
      <c r="H41" s="2"/>
      <c r="I41" s="2"/>
      <c r="J41" s="19"/>
      <c r="K41" s="2"/>
      <c r="L41" s="2">
        <f t="shared" si="0"/>
        <v>79907.95</v>
      </c>
      <c r="M41" s="2"/>
      <c r="N41" s="19">
        <f t="shared" si="1"/>
        <v>0</v>
      </c>
      <c r="O41" s="11"/>
      <c r="P41" s="2">
        <f>--189596.74</f>
        <v>189596.74</v>
      </c>
      <c r="Q41" s="2"/>
      <c r="R41" s="19"/>
      <c r="S41" s="2"/>
      <c r="T41" s="2"/>
      <c r="U41" s="2"/>
      <c r="V41" s="19"/>
      <c r="W41" s="2"/>
      <c r="X41" s="2">
        <f t="shared" si="2"/>
        <v>189596.74</v>
      </c>
      <c r="Y41" s="2"/>
      <c r="Z41" s="19">
        <f t="shared" si="3"/>
        <v>0</v>
      </c>
    </row>
    <row r="42" spans="1:26" s="24" customFormat="1" hidden="1" outlineLevel="1" x14ac:dyDescent="0.25">
      <c r="A42" s="46"/>
      <c r="B42" s="11" t="str">
        <f>CONCATENATE("          ", "4082", " - ", "TAXABLE SALES-COMPUTER HARDWAR")</f>
        <v xml:space="preserve">          4082 - TAXABLE SALES-COMPUTER HARDWAR</v>
      </c>
      <c r="C42" s="11"/>
      <c r="D42" s="2">
        <f>--225343.71</f>
        <v>225343.71</v>
      </c>
      <c r="E42" s="2"/>
      <c r="F42" s="19"/>
      <c r="G42" s="2"/>
      <c r="H42" s="2"/>
      <c r="I42" s="2"/>
      <c r="J42" s="19"/>
      <c r="K42" s="2"/>
      <c r="L42" s="2">
        <f t="shared" si="0"/>
        <v>225343.71</v>
      </c>
      <c r="M42" s="2"/>
      <c r="N42" s="19">
        <f t="shared" si="1"/>
        <v>0</v>
      </c>
      <c r="O42" s="11"/>
      <c r="P42" s="2">
        <f>--1038916.49</f>
        <v>1038916.49</v>
      </c>
      <c r="Q42" s="2"/>
      <c r="R42" s="19"/>
      <c r="S42" s="2"/>
      <c r="T42" s="2"/>
      <c r="U42" s="2"/>
      <c r="V42" s="19"/>
      <c r="W42" s="2"/>
      <c r="X42" s="2">
        <f t="shared" si="2"/>
        <v>1038916.49</v>
      </c>
      <c r="Y42" s="2"/>
      <c r="Z42" s="19">
        <f t="shared" si="3"/>
        <v>0</v>
      </c>
    </row>
    <row r="43" spans="1:26" s="24" customFormat="1" hidden="1" outlineLevel="1" x14ac:dyDescent="0.25">
      <c r="A43" s="46"/>
      <c r="B43" s="11" t="str">
        <f>CONCATENATE("          ", "4083", " - ", "TAXABLE SALES-COMPUTER EQUIPME")</f>
        <v xml:space="preserve">          4083 - TAXABLE SALES-COMPUTER EQUIPME</v>
      </c>
      <c r="C43" s="11"/>
      <c r="D43" s="2">
        <f>--17648.24</f>
        <v>17648.240000000002</v>
      </c>
      <c r="E43" s="2"/>
      <c r="F43" s="19"/>
      <c r="G43" s="2"/>
      <c r="H43" s="2"/>
      <c r="I43" s="2"/>
      <c r="J43" s="19"/>
      <c r="K43" s="2"/>
      <c r="L43" s="2">
        <f t="shared" si="0"/>
        <v>17648.240000000002</v>
      </c>
      <c r="M43" s="2"/>
      <c r="N43" s="19">
        <f t="shared" si="1"/>
        <v>0</v>
      </c>
      <c r="O43" s="11"/>
      <c r="P43" s="2">
        <f>--41256.01</f>
        <v>41256.01</v>
      </c>
      <c r="Q43" s="2"/>
      <c r="R43" s="19"/>
      <c r="S43" s="2"/>
      <c r="T43" s="2"/>
      <c r="U43" s="2"/>
      <c r="V43" s="19"/>
      <c r="W43" s="2"/>
      <c r="X43" s="2">
        <f t="shared" si="2"/>
        <v>41256.01</v>
      </c>
      <c r="Y43" s="2"/>
      <c r="Z43" s="19">
        <f t="shared" si="3"/>
        <v>0</v>
      </c>
    </row>
    <row r="44" spans="1:26" s="24" customFormat="1" hidden="1" outlineLevel="1" x14ac:dyDescent="0.25">
      <c r="A44" s="46"/>
      <c r="B44" s="11" t="str">
        <f>CONCATENATE("          ", "4084", " - ", "TAXABLE SALES-SOFTWARE LICENSE")</f>
        <v xml:space="preserve">          4084 - TAXABLE SALES-SOFTWARE LICENSE</v>
      </c>
      <c r="C44" s="11"/>
      <c r="D44" s="2">
        <f t="shared" ref="D44:D45" si="4">0</f>
        <v>0</v>
      </c>
      <c r="E44" s="2"/>
      <c r="F44" s="19"/>
      <c r="G44" s="2"/>
      <c r="H44" s="2"/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>--129</f>
        <v>129</v>
      </c>
      <c r="Q44" s="2"/>
      <c r="R44" s="19"/>
      <c r="S44" s="2"/>
      <c r="T44" s="2"/>
      <c r="U44" s="2"/>
      <c r="V44" s="19"/>
      <c r="W44" s="2"/>
      <c r="X44" s="2">
        <f t="shared" si="2"/>
        <v>129</v>
      </c>
      <c r="Y44" s="2"/>
      <c r="Z44" s="19">
        <f t="shared" si="3"/>
        <v>0</v>
      </c>
    </row>
    <row r="45" spans="1:26" s="24" customFormat="1" hidden="1" outlineLevel="1" x14ac:dyDescent="0.25">
      <c r="A45" s="46"/>
      <c r="B45" s="11" t="str">
        <f>CONCATENATE("          ", "4085", " - ", "TAXABLE SALES-SOFTWARE")</f>
        <v xml:space="preserve">          4085 - TAXABLE SALES-SOFTWARE</v>
      </c>
      <c r="C45" s="11"/>
      <c r="D45" s="2">
        <f t="shared" si="4"/>
        <v>0</v>
      </c>
      <c r="E45" s="2"/>
      <c r="F45" s="19"/>
      <c r="G45" s="2"/>
      <c r="H45" s="2"/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1"/>
      <c r="P45" s="2">
        <f>--493.95</f>
        <v>493.95</v>
      </c>
      <c r="Q45" s="2"/>
      <c r="R45" s="19"/>
      <c r="S45" s="2"/>
      <c r="T45" s="2"/>
      <c r="U45" s="2"/>
      <c r="V45" s="19"/>
      <c r="W45" s="2"/>
      <c r="X45" s="2">
        <f t="shared" si="2"/>
        <v>493.95</v>
      </c>
      <c r="Y45" s="2"/>
      <c r="Z45" s="19">
        <f t="shared" si="3"/>
        <v>0</v>
      </c>
    </row>
    <row r="46" spans="1:26" s="24" customFormat="1" hidden="1" outlineLevel="1" x14ac:dyDescent="0.25">
      <c r="A46" s="46"/>
      <c r="B46" s="11" t="str">
        <f>CONCATENATE("          ", "4086", " - ", "TAXABLE SALES-COMPUTER SUPPLIE")</f>
        <v xml:space="preserve">          4086 - TAXABLE SALES-COMPUTER SUPPLIE</v>
      </c>
      <c r="C46" s="11"/>
      <c r="D46" s="2">
        <f>--10769.48</f>
        <v>10769.48</v>
      </c>
      <c r="E46" s="2"/>
      <c r="F46" s="19"/>
      <c r="G46" s="2"/>
      <c r="H46" s="2"/>
      <c r="I46" s="2"/>
      <c r="J46" s="19"/>
      <c r="K46" s="2"/>
      <c r="L46" s="2">
        <f t="shared" si="0"/>
        <v>10769.48</v>
      </c>
      <c r="M46" s="2"/>
      <c r="N46" s="19">
        <f t="shared" si="1"/>
        <v>0</v>
      </c>
      <c r="O46" s="11"/>
      <c r="P46" s="2">
        <f>--20437.03</f>
        <v>20437.03</v>
      </c>
      <c r="Q46" s="2"/>
      <c r="R46" s="19"/>
      <c r="S46" s="2"/>
      <c r="T46" s="2"/>
      <c r="U46" s="2"/>
      <c r="V46" s="19"/>
      <c r="W46" s="2"/>
      <c r="X46" s="2">
        <f t="shared" si="2"/>
        <v>20437.03</v>
      </c>
      <c r="Y46" s="2"/>
      <c r="Z46" s="19">
        <f t="shared" si="3"/>
        <v>0</v>
      </c>
    </row>
    <row r="47" spans="1:26" s="24" customFormat="1" hidden="1" outlineLevel="1" x14ac:dyDescent="0.25">
      <c r="A47" s="46"/>
      <c r="B47" s="11" t="str">
        <f>CONCATENATE("          ", "4088", " - ", "TAXABLE SALES-MUSIC")</f>
        <v xml:space="preserve">          4088 - TAXABLE SALES-MUSIC</v>
      </c>
      <c r="C47" s="11"/>
      <c r="D47" s="2">
        <f>--16.99</f>
        <v>16.989999999999998</v>
      </c>
      <c r="E47" s="2"/>
      <c r="F47" s="19"/>
      <c r="G47" s="2"/>
      <c r="H47" s="2"/>
      <c r="I47" s="2"/>
      <c r="J47" s="19"/>
      <c r="K47" s="2"/>
      <c r="L47" s="2">
        <f t="shared" si="0"/>
        <v>16.989999999999998</v>
      </c>
      <c r="M47" s="2"/>
      <c r="N47" s="19">
        <f t="shared" si="1"/>
        <v>0</v>
      </c>
      <c r="O47" s="11"/>
      <c r="P47" s="2">
        <f>--535.96</f>
        <v>535.96</v>
      </c>
      <c r="Q47" s="2"/>
      <c r="R47" s="19"/>
      <c r="S47" s="2"/>
      <c r="T47" s="2"/>
      <c r="U47" s="2"/>
      <c r="V47" s="19"/>
      <c r="W47" s="2"/>
      <c r="X47" s="2">
        <f t="shared" si="2"/>
        <v>535.96</v>
      </c>
      <c r="Y47" s="2"/>
      <c r="Z47" s="19">
        <f t="shared" si="3"/>
        <v>0</v>
      </c>
    </row>
    <row r="48" spans="1:26" s="24" customFormat="1" hidden="1" outlineLevel="1" x14ac:dyDescent="0.25">
      <c r="A48" s="46"/>
      <c r="B48" s="11" t="str">
        <f>CONCATENATE("          ", "4092", " - ", "TAXABLE SALES-GRAD MERCH")</f>
        <v xml:space="preserve">          4092 - TAXABLE SALES-GRAD MERCH</v>
      </c>
      <c r="C48" s="11"/>
      <c r="D48" s="2">
        <f>--49.9</f>
        <v>49.9</v>
      </c>
      <c r="E48" s="2"/>
      <c r="F48" s="19"/>
      <c r="G48" s="2"/>
      <c r="H48" s="2"/>
      <c r="I48" s="2"/>
      <c r="J48" s="19"/>
      <c r="K48" s="2"/>
      <c r="L48" s="2">
        <f t="shared" si="0"/>
        <v>49.9</v>
      </c>
      <c r="M48" s="2"/>
      <c r="N48" s="19">
        <f t="shared" si="1"/>
        <v>0</v>
      </c>
      <c r="O48" s="11"/>
      <c r="P48" s="2">
        <f>--3872.63</f>
        <v>3872.63</v>
      </c>
      <c r="Q48" s="2"/>
      <c r="R48" s="19"/>
      <c r="S48" s="2"/>
      <c r="T48" s="2"/>
      <c r="U48" s="2"/>
      <c r="V48" s="19"/>
      <c r="W48" s="2"/>
      <c r="X48" s="2">
        <f t="shared" si="2"/>
        <v>3872.63</v>
      </c>
      <c r="Y48" s="2"/>
      <c r="Z48" s="19">
        <f t="shared" si="3"/>
        <v>0</v>
      </c>
    </row>
    <row r="49" spans="1:26" s="24" customFormat="1" hidden="1" outlineLevel="1" x14ac:dyDescent="0.25">
      <c r="A49" s="46"/>
      <c r="B49" s="11" t="str">
        <f>CONCATENATE("          ", "4095", " - ", "TAXABLE SALES-CUSTOMER SERVICE")</f>
        <v xml:space="preserve">          4095 - TAXABLE SALES-CUSTOMER SERVICE</v>
      </c>
      <c r="C49" s="11"/>
      <c r="D49" s="2">
        <f>--26.83</f>
        <v>26.83</v>
      </c>
      <c r="E49" s="2"/>
      <c r="F49" s="19"/>
      <c r="G49" s="2"/>
      <c r="H49" s="2"/>
      <c r="I49" s="2"/>
      <c r="J49" s="19"/>
      <c r="K49" s="2"/>
      <c r="L49" s="2">
        <f t="shared" si="0"/>
        <v>26.83</v>
      </c>
      <c r="M49" s="2"/>
      <c r="N49" s="19">
        <f t="shared" si="1"/>
        <v>0</v>
      </c>
      <c r="O49" s="11"/>
      <c r="P49" s="2">
        <f>--200.85</f>
        <v>200.85</v>
      </c>
      <c r="Q49" s="2"/>
      <c r="R49" s="19"/>
      <c r="S49" s="2"/>
      <c r="T49" s="2"/>
      <c r="U49" s="2"/>
      <c r="V49" s="19"/>
      <c r="W49" s="2"/>
      <c r="X49" s="2">
        <f t="shared" si="2"/>
        <v>200.85</v>
      </c>
      <c r="Y49" s="2"/>
      <c r="Z49" s="19">
        <f t="shared" si="3"/>
        <v>0</v>
      </c>
    </row>
    <row r="50" spans="1:26" s="24" customFormat="1" hidden="1" outlineLevel="1" x14ac:dyDescent="0.25">
      <c r="A50" s="46"/>
      <c r="B50" s="11" t="str">
        <f>CONCATENATE("          ", "4100", " - ", "NON-TAXABLE SALES")</f>
        <v xml:space="preserve">          4100 - NON-TAXABLE SALES</v>
      </c>
      <c r="C50" s="11"/>
      <c r="D50" s="2">
        <f>--66153.34</f>
        <v>66153.34</v>
      </c>
      <c r="E50" s="2"/>
      <c r="F50" s="19"/>
      <c r="G50" s="2"/>
      <c r="H50" s="2">
        <v>670863</v>
      </c>
      <c r="I50" s="2"/>
      <c r="J50" s="19"/>
      <c r="K50" s="2"/>
      <c r="L50" s="2">
        <f t="shared" si="0"/>
        <v>-604709.66</v>
      </c>
      <c r="M50" s="2"/>
      <c r="N50" s="19">
        <f t="shared" si="1"/>
        <v>-0.9013906863249278</v>
      </c>
      <c r="O50" s="11"/>
      <c r="P50" s="2">
        <f>--331667.77</f>
        <v>331667.77</v>
      </c>
      <c r="Q50" s="2"/>
      <c r="R50" s="19"/>
      <c r="S50" s="2"/>
      <c r="T50" s="2">
        <v>3245792</v>
      </c>
      <c r="U50" s="2"/>
      <c r="V50" s="19"/>
      <c r="W50" s="2"/>
      <c r="X50" s="2">
        <f t="shared" si="2"/>
        <v>-2914124.23</v>
      </c>
      <c r="Y50" s="2"/>
      <c r="Z50" s="19">
        <f t="shared" si="3"/>
        <v>-0.8978160738580907</v>
      </c>
    </row>
    <row r="51" spans="1:26" s="24" customFormat="1" hidden="1" outlineLevel="1" x14ac:dyDescent="0.25">
      <c r="A51" s="46"/>
      <c r="B51" s="11" t="str">
        <f>CONCATENATE("          ", "4101", " - ", "NON-TAXABLE SALES-NEW TEXT")</f>
        <v xml:space="preserve">          4101 - NON-TAXABLE SALES-NEW TEXT</v>
      </c>
      <c r="C51" s="11"/>
      <c r="D51" s="2">
        <f>--27999.53</f>
        <v>27999.53</v>
      </c>
      <c r="E51" s="2"/>
      <c r="F51" s="19"/>
      <c r="G51" s="2"/>
      <c r="H51" s="2"/>
      <c r="I51" s="2"/>
      <c r="J51" s="19"/>
      <c r="K51" s="2"/>
      <c r="L51" s="2">
        <f t="shared" si="0"/>
        <v>27999.53</v>
      </c>
      <c r="M51" s="2"/>
      <c r="N51" s="19">
        <f t="shared" si="1"/>
        <v>0</v>
      </c>
      <c r="O51" s="11"/>
      <c r="P51" s="2">
        <f>--83892.55</f>
        <v>83892.55</v>
      </c>
      <c r="Q51" s="2"/>
      <c r="R51" s="19"/>
      <c r="S51" s="2"/>
      <c r="T51" s="2"/>
      <c r="U51" s="2"/>
      <c r="V51" s="19"/>
      <c r="W51" s="2"/>
      <c r="X51" s="2">
        <f t="shared" si="2"/>
        <v>83892.55</v>
      </c>
      <c r="Y51" s="2"/>
      <c r="Z51" s="19">
        <f t="shared" si="3"/>
        <v>0</v>
      </c>
    </row>
    <row r="52" spans="1:26" s="24" customFormat="1" hidden="1" outlineLevel="1" x14ac:dyDescent="0.25">
      <c r="A52" s="46"/>
      <c r="B52" s="11" t="str">
        <f>CONCATENATE("          ", "4102", " - ", "NON-TAXABLE SALES-USED TEXT")</f>
        <v xml:space="preserve">          4102 - NON-TAXABLE SALES-USED TEXT</v>
      </c>
      <c r="C52" s="11"/>
      <c r="D52" s="2">
        <f>--3969.18</f>
        <v>3969.18</v>
      </c>
      <c r="E52" s="2"/>
      <c r="F52" s="19"/>
      <c r="G52" s="2"/>
      <c r="H52" s="2"/>
      <c r="I52" s="2"/>
      <c r="J52" s="19"/>
      <c r="K52" s="2"/>
      <c r="L52" s="2">
        <f t="shared" si="0"/>
        <v>3969.18</v>
      </c>
      <c r="M52" s="2"/>
      <c r="N52" s="19">
        <f t="shared" si="1"/>
        <v>0</v>
      </c>
      <c r="O52" s="11"/>
      <c r="P52" s="2">
        <f>--36443.51</f>
        <v>36443.51</v>
      </c>
      <c r="Q52" s="2"/>
      <c r="R52" s="19"/>
      <c r="S52" s="2"/>
      <c r="T52" s="2"/>
      <c r="U52" s="2"/>
      <c r="V52" s="19"/>
      <c r="W52" s="2"/>
      <c r="X52" s="2">
        <f t="shared" si="2"/>
        <v>36443.51</v>
      </c>
      <c r="Y52" s="2"/>
      <c r="Z52" s="19">
        <f t="shared" si="3"/>
        <v>0</v>
      </c>
    </row>
    <row r="53" spans="1:26" s="24" customFormat="1" hidden="1" outlineLevel="1" x14ac:dyDescent="0.25">
      <c r="A53" s="46"/>
      <c r="B53" s="11" t="str">
        <f>CONCATENATE("          ", "4103", " - ", "NON-TAXABLE SALES-RENTAL TEXT")</f>
        <v xml:space="preserve">          4103 - NON-TAXABLE SALES-RENTAL TEXT</v>
      </c>
      <c r="C53" s="11"/>
      <c r="D53" s="2">
        <f>-144.99</f>
        <v>-144.99</v>
      </c>
      <c r="E53" s="2"/>
      <c r="F53" s="19"/>
      <c r="G53" s="2"/>
      <c r="H53" s="2"/>
      <c r="I53" s="2"/>
      <c r="J53" s="19"/>
      <c r="K53" s="2"/>
      <c r="L53" s="2">
        <f t="shared" si="0"/>
        <v>-144.99</v>
      </c>
      <c r="M53" s="2"/>
      <c r="N53" s="19">
        <f t="shared" si="1"/>
        <v>0</v>
      </c>
      <c r="O53" s="11"/>
      <c r="P53" s="2">
        <f>--329.98</f>
        <v>329.98</v>
      </c>
      <c r="Q53" s="2"/>
      <c r="R53" s="19"/>
      <c r="S53" s="2"/>
      <c r="T53" s="2"/>
      <c r="U53" s="2"/>
      <c r="V53" s="19"/>
      <c r="W53" s="2"/>
      <c r="X53" s="2">
        <f t="shared" si="2"/>
        <v>329.98</v>
      </c>
      <c r="Y53" s="2"/>
      <c r="Z53" s="19">
        <f t="shared" si="3"/>
        <v>0</v>
      </c>
    </row>
    <row r="54" spans="1:26" s="24" customFormat="1" hidden="1" outlineLevel="1" x14ac:dyDescent="0.25">
      <c r="A54" s="46"/>
      <c r="B54" s="11" t="str">
        <f>CONCATENATE("          ", "4104", " - ", "NON-TAXABLE SALES-DIGITAL TEXT")</f>
        <v xml:space="preserve">          4104 - NON-TAXABLE SALES-DIGITAL TEXT</v>
      </c>
      <c r="C54" s="11"/>
      <c r="D54" s="2">
        <f>--59065.75</f>
        <v>59065.75</v>
      </c>
      <c r="E54" s="2"/>
      <c r="F54" s="19"/>
      <c r="G54" s="2"/>
      <c r="H54" s="2"/>
      <c r="I54" s="2"/>
      <c r="J54" s="19"/>
      <c r="K54" s="2"/>
      <c r="L54" s="2">
        <f t="shared" si="0"/>
        <v>59065.75</v>
      </c>
      <c r="M54" s="2"/>
      <c r="N54" s="19">
        <f t="shared" si="1"/>
        <v>0</v>
      </c>
      <c r="O54" s="11"/>
      <c r="P54" s="2">
        <f>--318933.82</f>
        <v>318933.82</v>
      </c>
      <c r="Q54" s="2"/>
      <c r="R54" s="19"/>
      <c r="S54" s="2"/>
      <c r="T54" s="2"/>
      <c r="U54" s="2"/>
      <c r="V54" s="19"/>
      <c r="W54" s="2"/>
      <c r="X54" s="2">
        <f t="shared" si="2"/>
        <v>318933.82</v>
      </c>
      <c r="Y54" s="2"/>
      <c r="Z54" s="19">
        <f t="shared" si="3"/>
        <v>0</v>
      </c>
    </row>
    <row r="55" spans="1:26" s="24" customFormat="1" hidden="1" outlineLevel="1" x14ac:dyDescent="0.25">
      <c r="A55" s="46"/>
      <c r="B55" s="11" t="str">
        <f>CONCATENATE("          ", "4111", " - ", "NON-TAXABLE SALES-NO VALUE TEX")</f>
        <v xml:space="preserve">          4111 - NON-TAXABLE SALES-NO VALUE TEX</v>
      </c>
      <c r="C55" s="11"/>
      <c r="D55" s="2">
        <f>--594.06</f>
        <v>594.05999999999995</v>
      </c>
      <c r="E55" s="2"/>
      <c r="F55" s="19"/>
      <c r="G55" s="2"/>
      <c r="H55" s="2"/>
      <c r="I55" s="2"/>
      <c r="J55" s="19"/>
      <c r="K55" s="2"/>
      <c r="L55" s="2">
        <f t="shared" si="0"/>
        <v>594.05999999999995</v>
      </c>
      <c r="M55" s="2"/>
      <c r="N55" s="19">
        <f t="shared" si="1"/>
        <v>0</v>
      </c>
      <c r="O55" s="11"/>
      <c r="P55" s="2">
        <f>--6342.17</f>
        <v>6342.17</v>
      </c>
      <c r="Q55" s="2"/>
      <c r="R55" s="19"/>
      <c r="S55" s="2"/>
      <c r="T55" s="2"/>
      <c r="U55" s="2"/>
      <c r="V55" s="19"/>
      <c r="W55" s="2"/>
      <c r="X55" s="2">
        <f t="shared" si="2"/>
        <v>6342.17</v>
      </c>
      <c r="Y55" s="2"/>
      <c r="Z55" s="19">
        <f t="shared" si="3"/>
        <v>0</v>
      </c>
    </row>
    <row r="56" spans="1:26" s="24" customFormat="1" hidden="1" outlineLevel="1" x14ac:dyDescent="0.25">
      <c r="A56" s="46"/>
      <c r="B56" s="11" t="str">
        <f>CONCATENATE("          ", "4113", " - ", "NON-TAXABLE SALES-TRADE BOOKS")</f>
        <v xml:space="preserve">          4113 - NON-TAXABLE SALES-TRADE BOOKS</v>
      </c>
      <c r="C56" s="11"/>
      <c r="D56" s="2">
        <f>0</f>
        <v>0</v>
      </c>
      <c r="E56" s="2"/>
      <c r="F56" s="19"/>
      <c r="G56" s="2"/>
      <c r="H56" s="2"/>
      <c r="I56" s="2"/>
      <c r="J56" s="19"/>
      <c r="K56" s="2"/>
      <c r="L56" s="2">
        <f t="shared" si="0"/>
        <v>0</v>
      </c>
      <c r="M56" s="2"/>
      <c r="N56" s="19">
        <f t="shared" si="1"/>
        <v>0</v>
      </c>
      <c r="O56" s="11"/>
      <c r="P56" s="2">
        <f>--1146.72</f>
        <v>1146.72</v>
      </c>
      <c r="Q56" s="2"/>
      <c r="R56" s="19"/>
      <c r="S56" s="2"/>
      <c r="T56" s="2"/>
      <c r="U56" s="2"/>
      <c r="V56" s="19"/>
      <c r="W56" s="2"/>
      <c r="X56" s="2">
        <f t="shared" si="2"/>
        <v>1146.72</v>
      </c>
      <c r="Y56" s="2"/>
      <c r="Z56" s="19">
        <f t="shared" si="3"/>
        <v>0</v>
      </c>
    </row>
    <row r="57" spans="1:26" s="24" customFormat="1" hidden="1" outlineLevel="1" x14ac:dyDescent="0.25">
      <c r="A57" s="46"/>
      <c r="B57" s="11" t="str">
        <f>CONCATENATE("          ", "4118", " - ", "NON-TAXABLE SALES-STUDY GUIDES")</f>
        <v xml:space="preserve">          4118 - NON-TAXABLE SALES-STUDY GUIDES</v>
      </c>
      <c r="C57" s="11"/>
      <c r="D57" s="2">
        <f>--6.95</f>
        <v>6.95</v>
      </c>
      <c r="E57" s="2"/>
      <c r="F57" s="19"/>
      <c r="G57" s="2"/>
      <c r="H57" s="2"/>
      <c r="I57" s="2"/>
      <c r="J57" s="19"/>
      <c r="K57" s="2"/>
      <c r="L57" s="2">
        <f t="shared" si="0"/>
        <v>6.95</v>
      </c>
      <c r="M57" s="2"/>
      <c r="N57" s="19">
        <f t="shared" si="1"/>
        <v>0</v>
      </c>
      <c r="O57" s="11"/>
      <c r="P57" s="2">
        <f>--20.92</f>
        <v>20.92</v>
      </c>
      <c r="Q57" s="2"/>
      <c r="R57" s="19"/>
      <c r="S57" s="2"/>
      <c r="T57" s="2"/>
      <c r="U57" s="2"/>
      <c r="V57" s="19"/>
      <c r="W57" s="2"/>
      <c r="X57" s="2">
        <f t="shared" si="2"/>
        <v>20.92</v>
      </c>
      <c r="Y57" s="2"/>
      <c r="Z57" s="19">
        <f t="shared" si="3"/>
        <v>0</v>
      </c>
    </row>
    <row r="58" spans="1:26" s="24" customFormat="1" hidden="1" outlineLevel="1" x14ac:dyDescent="0.25">
      <c r="A58" s="46"/>
      <c r="B58" s="11" t="str">
        <f>CONCATENATE("          ", "4125", " - ", "NON-TAXABLE SALES-TEST FORMS")</f>
        <v xml:space="preserve">          4125 - NON-TAXABLE SALES-TEST FORMS</v>
      </c>
      <c r="C58" s="11"/>
      <c r="D58" s="2">
        <f>--42.03</f>
        <v>42.03</v>
      </c>
      <c r="E58" s="2"/>
      <c r="F58" s="19"/>
      <c r="G58" s="2"/>
      <c r="H58" s="2"/>
      <c r="I58" s="2"/>
      <c r="J58" s="19"/>
      <c r="K58" s="2"/>
      <c r="L58" s="2">
        <f t="shared" si="0"/>
        <v>42.03</v>
      </c>
      <c r="M58" s="2"/>
      <c r="N58" s="19">
        <f t="shared" si="1"/>
        <v>0</v>
      </c>
      <c r="O58" s="11"/>
      <c r="P58" s="2">
        <f>--124.18</f>
        <v>124.18</v>
      </c>
      <c r="Q58" s="2"/>
      <c r="R58" s="19"/>
      <c r="S58" s="2"/>
      <c r="T58" s="2"/>
      <c r="U58" s="2"/>
      <c r="V58" s="19"/>
      <c r="W58" s="2"/>
      <c r="X58" s="2">
        <f t="shared" si="2"/>
        <v>124.18</v>
      </c>
      <c r="Y58" s="2"/>
      <c r="Z58" s="19">
        <f t="shared" si="3"/>
        <v>0</v>
      </c>
    </row>
    <row r="59" spans="1:26" s="24" customFormat="1" hidden="1" outlineLevel="1" x14ac:dyDescent="0.25">
      <c r="A59" s="46"/>
      <c r="B59" s="11" t="str">
        <f>CONCATENATE("          ", "4126", " - ", "NON-TAXABLE SALES-WRITING INST")</f>
        <v xml:space="preserve">          4126 - NON-TAXABLE SALES-WRITING INST</v>
      </c>
      <c r="C59" s="11"/>
      <c r="D59" s="2">
        <f>--332.14</f>
        <v>332.14</v>
      </c>
      <c r="E59" s="2"/>
      <c r="F59" s="19"/>
      <c r="G59" s="2"/>
      <c r="H59" s="2"/>
      <c r="I59" s="2"/>
      <c r="J59" s="19"/>
      <c r="K59" s="2"/>
      <c r="L59" s="2">
        <f t="shared" si="0"/>
        <v>332.14</v>
      </c>
      <c r="M59" s="2"/>
      <c r="N59" s="19">
        <f t="shared" si="1"/>
        <v>0</v>
      </c>
      <c r="O59" s="11"/>
      <c r="P59" s="2">
        <f>--1343.26</f>
        <v>1343.26</v>
      </c>
      <c r="Q59" s="2"/>
      <c r="R59" s="19"/>
      <c r="S59" s="2"/>
      <c r="T59" s="2"/>
      <c r="U59" s="2"/>
      <c r="V59" s="19"/>
      <c r="W59" s="2"/>
      <c r="X59" s="2">
        <f t="shared" si="2"/>
        <v>1343.26</v>
      </c>
      <c r="Y59" s="2"/>
      <c r="Z59" s="19">
        <f t="shared" si="3"/>
        <v>0</v>
      </c>
    </row>
    <row r="60" spans="1:26" s="24" customFormat="1" hidden="1" outlineLevel="1" x14ac:dyDescent="0.25">
      <c r="A60" s="46"/>
      <c r="B60" s="11" t="str">
        <f>CONCATENATE("          ", "4127", " - ", "NON-TAXABLE SALES-SCHOOL SUPPL")</f>
        <v xml:space="preserve">          4127 - NON-TAXABLE SALES-SCHOOL SUPPL</v>
      </c>
      <c r="C60" s="11"/>
      <c r="D60" s="2">
        <f>--547.21</f>
        <v>547.21</v>
      </c>
      <c r="E60" s="2"/>
      <c r="F60" s="19"/>
      <c r="G60" s="2"/>
      <c r="H60" s="2"/>
      <c r="I60" s="2"/>
      <c r="J60" s="19"/>
      <c r="K60" s="2"/>
      <c r="L60" s="2">
        <f t="shared" si="0"/>
        <v>547.21</v>
      </c>
      <c r="M60" s="2"/>
      <c r="N60" s="19">
        <f t="shared" si="1"/>
        <v>0</v>
      </c>
      <c r="O60" s="11"/>
      <c r="P60" s="2">
        <f>--2417.49</f>
        <v>2417.4899999999998</v>
      </c>
      <c r="Q60" s="2"/>
      <c r="R60" s="19"/>
      <c r="S60" s="2"/>
      <c r="T60" s="2"/>
      <c r="U60" s="2"/>
      <c r="V60" s="19"/>
      <c r="W60" s="2"/>
      <c r="X60" s="2">
        <f t="shared" si="2"/>
        <v>2417.4899999999998</v>
      </c>
      <c r="Y60" s="2"/>
      <c r="Z60" s="19">
        <f t="shared" si="3"/>
        <v>0</v>
      </c>
    </row>
    <row r="61" spans="1:26" s="24" customFormat="1" hidden="1" outlineLevel="1" x14ac:dyDescent="0.25">
      <c r="A61" s="46"/>
      <c r="B61" s="11" t="str">
        <f>CONCATENATE("          ", "4128", " - ", "NON-TAXABLE SALES-ART/TECH")</f>
        <v xml:space="preserve">          4128 - NON-TAXABLE SALES-ART/TECH</v>
      </c>
      <c r="C61" s="11"/>
      <c r="D61" s="2">
        <f>--132.8</f>
        <v>132.80000000000001</v>
      </c>
      <c r="E61" s="2"/>
      <c r="F61" s="19"/>
      <c r="G61" s="2"/>
      <c r="H61" s="2"/>
      <c r="I61" s="2"/>
      <c r="J61" s="19"/>
      <c r="K61" s="2"/>
      <c r="L61" s="2">
        <f t="shared" si="0"/>
        <v>132.80000000000001</v>
      </c>
      <c r="M61" s="2"/>
      <c r="N61" s="19">
        <f t="shared" si="1"/>
        <v>0</v>
      </c>
      <c r="O61" s="11"/>
      <c r="P61" s="2">
        <f>--262.9</f>
        <v>262.89999999999998</v>
      </c>
      <c r="Q61" s="2"/>
      <c r="R61" s="19"/>
      <c r="S61" s="2"/>
      <c r="T61" s="2"/>
      <c r="U61" s="2"/>
      <c r="V61" s="19"/>
      <c r="W61" s="2"/>
      <c r="X61" s="2">
        <f t="shared" si="2"/>
        <v>262.89999999999998</v>
      </c>
      <c r="Y61" s="2"/>
      <c r="Z61" s="19">
        <f t="shared" si="3"/>
        <v>0</v>
      </c>
    </row>
    <row r="62" spans="1:26" s="24" customFormat="1" hidden="1" outlineLevel="1" x14ac:dyDescent="0.25">
      <c r="A62" s="46"/>
      <c r="B62" s="11" t="str">
        <f>CONCATENATE("          ", "4131", " - ", "NON-TAXABLE SALES-FOOD")</f>
        <v xml:space="preserve">          4131 - NON-TAXABLE SALES-FOOD</v>
      </c>
      <c r="C62" s="11"/>
      <c r="D62" s="2">
        <f>--10548.09</f>
        <v>10548.09</v>
      </c>
      <c r="E62" s="2"/>
      <c r="F62" s="19"/>
      <c r="G62" s="2"/>
      <c r="H62" s="2"/>
      <c r="I62" s="2"/>
      <c r="J62" s="19"/>
      <c r="K62" s="2"/>
      <c r="L62" s="2">
        <f t="shared" si="0"/>
        <v>10548.09</v>
      </c>
      <c r="M62" s="2"/>
      <c r="N62" s="19">
        <f t="shared" si="1"/>
        <v>0</v>
      </c>
      <c r="O62" s="11"/>
      <c r="P62" s="2">
        <f>--13265.29</f>
        <v>13265.29</v>
      </c>
      <c r="Q62" s="2"/>
      <c r="R62" s="19"/>
      <c r="S62" s="2"/>
      <c r="T62" s="2"/>
      <c r="U62" s="2"/>
      <c r="V62" s="19"/>
      <c r="W62" s="2"/>
      <c r="X62" s="2">
        <f t="shared" si="2"/>
        <v>13265.29</v>
      </c>
      <c r="Y62" s="2"/>
      <c r="Z62" s="19">
        <f t="shared" si="3"/>
        <v>0</v>
      </c>
    </row>
    <row r="63" spans="1:26" s="24" customFormat="1" hidden="1" outlineLevel="1" x14ac:dyDescent="0.25">
      <c r="A63" s="46"/>
      <c r="B63" s="11" t="str">
        <f>CONCATENATE("          ", "4132", " - ", "NON-TAXABLE SALES-JUICE")</f>
        <v xml:space="preserve">          4132 - NON-TAXABLE SALES-JUICE</v>
      </c>
      <c r="C63" s="11"/>
      <c r="D63" s="2">
        <f>--3051.46</f>
        <v>3051.46</v>
      </c>
      <c r="E63" s="2"/>
      <c r="F63" s="19"/>
      <c r="G63" s="2"/>
      <c r="H63" s="2"/>
      <c r="I63" s="2"/>
      <c r="J63" s="19"/>
      <c r="K63" s="2"/>
      <c r="L63" s="2">
        <f t="shared" si="0"/>
        <v>3051.46</v>
      </c>
      <c r="M63" s="2"/>
      <c r="N63" s="19">
        <f t="shared" si="1"/>
        <v>0</v>
      </c>
      <c r="O63" s="11"/>
      <c r="P63" s="2">
        <f>--3810.37</f>
        <v>3810.37</v>
      </c>
      <c r="Q63" s="2"/>
      <c r="R63" s="19"/>
      <c r="S63" s="2"/>
      <c r="T63" s="2"/>
      <c r="U63" s="2"/>
      <c r="V63" s="19"/>
      <c r="W63" s="2"/>
      <c r="X63" s="2">
        <f t="shared" si="2"/>
        <v>3810.37</v>
      </c>
      <c r="Y63" s="2"/>
      <c r="Z63" s="19">
        <f t="shared" si="3"/>
        <v>0</v>
      </c>
    </row>
    <row r="64" spans="1:26" s="24" customFormat="1" hidden="1" outlineLevel="1" x14ac:dyDescent="0.25">
      <c r="A64" s="46"/>
      <c r="B64" s="11" t="str">
        <f>CONCATENATE("          ", "4133", " - ", "NON-TAXABLE SALES-CANDY")</f>
        <v xml:space="preserve">          4133 - NON-TAXABLE SALES-CANDY</v>
      </c>
      <c r="C64" s="11"/>
      <c r="D64" s="2">
        <f>--3292.63</f>
        <v>3292.63</v>
      </c>
      <c r="E64" s="2"/>
      <c r="F64" s="19"/>
      <c r="G64" s="2"/>
      <c r="H64" s="2"/>
      <c r="I64" s="2"/>
      <c r="J64" s="19"/>
      <c r="K64" s="2"/>
      <c r="L64" s="2">
        <f t="shared" si="0"/>
        <v>3292.63</v>
      </c>
      <c r="M64" s="2"/>
      <c r="N64" s="19">
        <f t="shared" si="1"/>
        <v>0</v>
      </c>
      <c r="O64" s="11"/>
      <c r="P64" s="2">
        <f>--4664.98</f>
        <v>4664.9799999999996</v>
      </c>
      <c r="Q64" s="2"/>
      <c r="R64" s="19"/>
      <c r="S64" s="2"/>
      <c r="T64" s="2"/>
      <c r="U64" s="2"/>
      <c r="V64" s="19"/>
      <c r="W64" s="2"/>
      <c r="X64" s="2">
        <f t="shared" si="2"/>
        <v>4664.9799999999996</v>
      </c>
      <c r="Y64" s="2"/>
      <c r="Z64" s="19">
        <f t="shared" si="3"/>
        <v>0</v>
      </c>
    </row>
    <row r="65" spans="1:26" s="24" customFormat="1" hidden="1" outlineLevel="1" x14ac:dyDescent="0.25">
      <c r="A65" s="46"/>
      <c r="B65" s="11" t="str">
        <f>CONCATENATE("          ", "4135", " - ", "NON-TAXABLE SALES")</f>
        <v xml:space="preserve">          4135 - NON-TAXABLE SALES</v>
      </c>
      <c r="C65" s="11"/>
      <c r="D65" s="2">
        <f>--32.31</f>
        <v>32.31</v>
      </c>
      <c r="E65" s="2"/>
      <c r="F65" s="19"/>
      <c r="G65" s="2"/>
      <c r="H65" s="2"/>
      <c r="I65" s="2"/>
      <c r="J65" s="19"/>
      <c r="K65" s="2"/>
      <c r="L65" s="2">
        <f t="shared" si="0"/>
        <v>32.31</v>
      </c>
      <c r="M65" s="2"/>
      <c r="N65" s="19">
        <f t="shared" si="1"/>
        <v>0</v>
      </c>
      <c r="O65" s="11"/>
      <c r="P65" s="2">
        <f>--86.06</f>
        <v>86.06</v>
      </c>
      <c r="Q65" s="2"/>
      <c r="R65" s="19"/>
      <c r="S65" s="2"/>
      <c r="T65" s="2"/>
      <c r="U65" s="2"/>
      <c r="V65" s="19"/>
      <c r="W65" s="2"/>
      <c r="X65" s="2">
        <f t="shared" si="2"/>
        <v>86.06</v>
      </c>
      <c r="Y65" s="2"/>
      <c r="Z65" s="19">
        <f t="shared" si="3"/>
        <v>0</v>
      </c>
    </row>
    <row r="66" spans="1:26" s="24" customFormat="1" hidden="1" outlineLevel="1" x14ac:dyDescent="0.25">
      <c r="A66" s="46"/>
      <c r="B66" s="11" t="str">
        <f>CONCATENATE("          ", "4137", " - ", "NON-TAXABLE SALES-WATER")</f>
        <v xml:space="preserve">          4137 - NON-TAXABLE SALES-WATER</v>
      </c>
      <c r="C66" s="11"/>
      <c r="D66" s="2">
        <f>--1634.15</f>
        <v>1634.15</v>
      </c>
      <c r="E66" s="2"/>
      <c r="F66" s="19"/>
      <c r="G66" s="2"/>
      <c r="H66" s="2"/>
      <c r="I66" s="2"/>
      <c r="J66" s="19"/>
      <c r="K66" s="2"/>
      <c r="L66" s="2">
        <f t="shared" si="0"/>
        <v>1634.15</v>
      </c>
      <c r="M66" s="2"/>
      <c r="N66" s="19">
        <f t="shared" si="1"/>
        <v>0</v>
      </c>
      <c r="O66" s="11"/>
      <c r="P66" s="2">
        <f>--2240.87</f>
        <v>2240.87</v>
      </c>
      <c r="Q66" s="2"/>
      <c r="R66" s="19"/>
      <c r="S66" s="2"/>
      <c r="T66" s="2"/>
      <c r="U66" s="2"/>
      <c r="V66" s="19"/>
      <c r="W66" s="2"/>
      <c r="X66" s="2">
        <f t="shared" si="2"/>
        <v>2240.87</v>
      </c>
      <c r="Y66" s="2"/>
      <c r="Z66" s="19">
        <f t="shared" si="3"/>
        <v>0</v>
      </c>
    </row>
    <row r="67" spans="1:26" s="24" customFormat="1" hidden="1" outlineLevel="1" x14ac:dyDescent="0.25">
      <c r="A67" s="46"/>
      <c r="B67" s="11" t="str">
        <f>CONCATENATE("          ", "4140", " - ", "NON-TAXABLE SALES-LOGO CLOTHIN")</f>
        <v xml:space="preserve">          4140 - NON-TAXABLE SALES-LOGO CLOTHIN</v>
      </c>
      <c r="C67" s="11"/>
      <c r="D67" s="2">
        <f>--3114.74</f>
        <v>3114.74</v>
      </c>
      <c r="E67" s="2"/>
      <c r="F67" s="19"/>
      <c r="G67" s="2"/>
      <c r="H67" s="2"/>
      <c r="I67" s="2"/>
      <c r="J67" s="19"/>
      <c r="K67" s="2"/>
      <c r="L67" s="2">
        <f t="shared" si="0"/>
        <v>3114.74</v>
      </c>
      <c r="M67" s="2"/>
      <c r="N67" s="19">
        <f t="shared" si="1"/>
        <v>0</v>
      </c>
      <c r="O67" s="11"/>
      <c r="P67" s="2">
        <f>--8257.7</f>
        <v>8257.7000000000007</v>
      </c>
      <c r="Q67" s="2"/>
      <c r="R67" s="19"/>
      <c r="S67" s="2"/>
      <c r="T67" s="2"/>
      <c r="U67" s="2"/>
      <c r="V67" s="19"/>
      <c r="W67" s="2"/>
      <c r="X67" s="2">
        <f t="shared" si="2"/>
        <v>8257.7000000000007</v>
      </c>
      <c r="Y67" s="2"/>
      <c r="Z67" s="19">
        <f t="shared" si="3"/>
        <v>0</v>
      </c>
    </row>
    <row r="68" spans="1:26" s="24" customFormat="1" hidden="1" outlineLevel="1" x14ac:dyDescent="0.25">
      <c r="A68" s="46"/>
      <c r="B68" s="11" t="str">
        <f>CONCATENATE("          ", "4141", " - ", "NON-TAXABLE SALES-LOGO GIFTS")</f>
        <v xml:space="preserve">          4141 - NON-TAXABLE SALES-LOGO GIFTS</v>
      </c>
      <c r="C68" s="11"/>
      <c r="D68" s="2">
        <f>--120.34</f>
        <v>120.34</v>
      </c>
      <c r="E68" s="2"/>
      <c r="F68" s="19"/>
      <c r="G68" s="2"/>
      <c r="H68" s="2"/>
      <c r="I68" s="2"/>
      <c r="J68" s="19"/>
      <c r="K68" s="2"/>
      <c r="L68" s="2">
        <f t="shared" si="0"/>
        <v>120.34</v>
      </c>
      <c r="M68" s="2"/>
      <c r="N68" s="19">
        <f t="shared" si="1"/>
        <v>0</v>
      </c>
      <c r="O68" s="11"/>
      <c r="P68" s="2">
        <f>--814.64</f>
        <v>814.64</v>
      </c>
      <c r="Q68" s="2"/>
      <c r="R68" s="19"/>
      <c r="S68" s="2"/>
      <c r="T68" s="2"/>
      <c r="U68" s="2"/>
      <c r="V68" s="19"/>
      <c r="W68" s="2"/>
      <c r="X68" s="2">
        <f t="shared" si="2"/>
        <v>814.64</v>
      </c>
      <c r="Y68" s="2"/>
      <c r="Z68" s="19">
        <f t="shared" si="3"/>
        <v>0</v>
      </c>
    </row>
    <row r="69" spans="1:26" s="24" customFormat="1" hidden="1" outlineLevel="1" x14ac:dyDescent="0.25">
      <c r="A69" s="46"/>
      <c r="B69" s="11" t="str">
        <f>CONCATENATE("          ", "4142", " - ", "NON-TAXABLE SALES-EVERYDAY GIF")</f>
        <v xml:space="preserve">          4142 - NON-TAXABLE SALES-EVERYDAY GIF</v>
      </c>
      <c r="C69" s="11"/>
      <c r="D69" s="2">
        <f>--2116.4</f>
        <v>2116.4</v>
      </c>
      <c r="E69" s="2"/>
      <c r="F69" s="19"/>
      <c r="G69" s="2"/>
      <c r="H69" s="2"/>
      <c r="I69" s="2"/>
      <c r="J69" s="19"/>
      <c r="K69" s="2"/>
      <c r="L69" s="2">
        <f t="shared" si="0"/>
        <v>2116.4</v>
      </c>
      <c r="M69" s="2"/>
      <c r="N69" s="19">
        <f t="shared" si="1"/>
        <v>0</v>
      </c>
      <c r="O69" s="11"/>
      <c r="P69" s="2">
        <f>--3036.5</f>
        <v>3036.5</v>
      </c>
      <c r="Q69" s="2"/>
      <c r="R69" s="19"/>
      <c r="S69" s="2"/>
      <c r="T69" s="2"/>
      <c r="U69" s="2"/>
      <c r="V69" s="19"/>
      <c r="W69" s="2"/>
      <c r="X69" s="2">
        <f t="shared" si="2"/>
        <v>3036.5</v>
      </c>
      <c r="Y69" s="2"/>
      <c r="Z69" s="19">
        <f t="shared" si="3"/>
        <v>0</v>
      </c>
    </row>
    <row r="70" spans="1:26" s="24" customFormat="1" hidden="1" outlineLevel="1" x14ac:dyDescent="0.25">
      <c r="A70" s="46"/>
      <c r="B70" s="11" t="str">
        <f>CONCATENATE("          ", "4144", " - ", "NON-TAXABLE SALES-ACCESSORIES")</f>
        <v xml:space="preserve">          4144 - NON-TAXABLE SALES-ACCESSORIES</v>
      </c>
      <c r="C70" s="11"/>
      <c r="D70" s="2">
        <f t="shared" ref="D70:D71" si="5">0</f>
        <v>0</v>
      </c>
      <c r="E70" s="2"/>
      <c r="F70" s="19"/>
      <c r="G70" s="2"/>
      <c r="H70" s="2"/>
      <c r="I70" s="2"/>
      <c r="J70" s="19"/>
      <c r="K70" s="2"/>
      <c r="L70" s="2">
        <f t="shared" si="0"/>
        <v>0</v>
      </c>
      <c r="M70" s="2"/>
      <c r="N70" s="19">
        <f t="shared" si="1"/>
        <v>0</v>
      </c>
      <c r="O70" s="11"/>
      <c r="P70" s="2">
        <f>--139.76</f>
        <v>139.76</v>
      </c>
      <c r="Q70" s="2"/>
      <c r="R70" s="19"/>
      <c r="S70" s="2"/>
      <c r="T70" s="2"/>
      <c r="U70" s="2"/>
      <c r="V70" s="19"/>
      <c r="W70" s="2"/>
      <c r="X70" s="2">
        <f t="shared" si="2"/>
        <v>139.76</v>
      </c>
      <c r="Y70" s="2"/>
      <c r="Z70" s="19">
        <f t="shared" si="3"/>
        <v>0</v>
      </c>
    </row>
    <row r="71" spans="1:26" s="24" customFormat="1" hidden="1" outlineLevel="1" x14ac:dyDescent="0.25">
      <c r="A71" s="46"/>
      <c r="B71" s="11" t="str">
        <f>CONCATENATE("          ", "4145", " - ", "NON-TAXABLE SALES-SPECIAL ORDE")</f>
        <v xml:space="preserve">          4145 - NON-TAXABLE SALES-SPECIAL ORDE</v>
      </c>
      <c r="C71" s="11"/>
      <c r="D71" s="2">
        <f t="shared" si="5"/>
        <v>0</v>
      </c>
      <c r="E71" s="2"/>
      <c r="F71" s="19"/>
      <c r="G71" s="2"/>
      <c r="H71" s="2"/>
      <c r="I71" s="2"/>
      <c r="J71" s="19"/>
      <c r="K71" s="2"/>
      <c r="L71" s="2">
        <f t="shared" si="0"/>
        <v>0</v>
      </c>
      <c r="M71" s="2"/>
      <c r="N71" s="19">
        <f t="shared" si="1"/>
        <v>0</v>
      </c>
      <c r="O71" s="11"/>
      <c r="P71" s="2">
        <f>--90</f>
        <v>90</v>
      </c>
      <c r="Q71" s="2"/>
      <c r="R71" s="19"/>
      <c r="S71" s="2"/>
      <c r="T71" s="2"/>
      <c r="U71" s="2"/>
      <c r="V71" s="19"/>
      <c r="W71" s="2"/>
      <c r="X71" s="2">
        <f t="shared" si="2"/>
        <v>90</v>
      </c>
      <c r="Y71" s="2"/>
      <c r="Z71" s="19">
        <f t="shared" si="3"/>
        <v>0</v>
      </c>
    </row>
    <row r="72" spans="1:26" s="24" customFormat="1" hidden="1" outlineLevel="1" x14ac:dyDescent="0.25">
      <c r="A72" s="46"/>
      <c r="B72" s="11" t="str">
        <f>CONCATENATE("          ", "4146", " - ", "NON-TAXABLE SALES-COIN OP MACH")</f>
        <v xml:space="preserve">          4146 - NON-TAXABLE SALES-COIN OP MACH</v>
      </c>
      <c r="C72" s="11"/>
      <c r="D72" s="2">
        <f>--34744.75</f>
        <v>34744.75</v>
      </c>
      <c r="E72" s="2"/>
      <c r="F72" s="19"/>
      <c r="G72" s="2"/>
      <c r="H72" s="2"/>
      <c r="I72" s="2"/>
      <c r="J72" s="19"/>
      <c r="K72" s="2"/>
      <c r="L72" s="2">
        <f t="shared" si="0"/>
        <v>34744.75</v>
      </c>
      <c r="M72" s="2"/>
      <c r="N72" s="19">
        <f t="shared" si="1"/>
        <v>0</v>
      </c>
      <c r="O72" s="11"/>
      <c r="P72" s="2">
        <f>--50093.5</f>
        <v>50093.5</v>
      </c>
      <c r="Q72" s="2"/>
      <c r="R72" s="19"/>
      <c r="S72" s="2"/>
      <c r="T72" s="2"/>
      <c r="U72" s="2"/>
      <c r="V72" s="19"/>
      <c r="W72" s="2"/>
      <c r="X72" s="2">
        <f t="shared" si="2"/>
        <v>50093.5</v>
      </c>
      <c r="Y72" s="2"/>
      <c r="Z72" s="19">
        <f t="shared" si="3"/>
        <v>0</v>
      </c>
    </row>
    <row r="73" spans="1:26" s="24" customFormat="1" hidden="1" outlineLevel="1" x14ac:dyDescent="0.25">
      <c r="A73" s="46"/>
      <c r="B73" s="11" t="str">
        <f>CONCATENATE("          ", "4147", " - ", "NON-TAXABLE SALES-MISC")</f>
        <v xml:space="preserve">          4147 - NON-TAXABLE SALES-MISC</v>
      </c>
      <c r="C73" s="11"/>
      <c r="D73" s="2">
        <f>--344.5</f>
        <v>344.5</v>
      </c>
      <c r="E73" s="2"/>
      <c r="F73" s="19"/>
      <c r="G73" s="2"/>
      <c r="H73" s="2"/>
      <c r="I73" s="2"/>
      <c r="J73" s="19"/>
      <c r="K73" s="2"/>
      <c r="L73" s="2">
        <f t="shared" si="0"/>
        <v>344.5</v>
      </c>
      <c r="M73" s="2"/>
      <c r="N73" s="19">
        <f t="shared" si="1"/>
        <v>0</v>
      </c>
      <c r="O73" s="11"/>
      <c r="P73" s="2">
        <f>--414.9</f>
        <v>414.9</v>
      </c>
      <c r="Q73" s="2"/>
      <c r="R73" s="19"/>
      <c r="S73" s="2"/>
      <c r="T73" s="2"/>
      <c r="U73" s="2"/>
      <c r="V73" s="19"/>
      <c r="W73" s="2"/>
      <c r="X73" s="2">
        <f t="shared" si="2"/>
        <v>414.9</v>
      </c>
      <c r="Y73" s="2"/>
      <c r="Z73" s="19">
        <f t="shared" si="3"/>
        <v>0</v>
      </c>
    </row>
    <row r="74" spans="1:26" s="24" customFormat="1" hidden="1" outlineLevel="1" x14ac:dyDescent="0.25">
      <c r="A74" s="46"/>
      <c r="B74" s="11" t="str">
        <f>CONCATENATE("          ", "4181", " - ", "NON-TAXABLE SALES-ELECTRONICS")</f>
        <v xml:space="preserve">          4181 - NON-TAXABLE SALES-ELECTRONICS</v>
      </c>
      <c r="C74" s="11"/>
      <c r="D74" s="2">
        <f>--63.96</f>
        <v>63.96</v>
      </c>
      <c r="E74" s="2"/>
      <c r="F74" s="19"/>
      <c r="G74" s="2"/>
      <c r="H74" s="2"/>
      <c r="I74" s="2"/>
      <c r="J74" s="19"/>
      <c r="K74" s="2"/>
      <c r="L74" s="2">
        <f t="shared" si="0"/>
        <v>63.96</v>
      </c>
      <c r="M74" s="2"/>
      <c r="N74" s="19">
        <f t="shared" si="1"/>
        <v>0</v>
      </c>
      <c r="O74" s="11"/>
      <c r="P74" s="2">
        <f>--1454.52</f>
        <v>1454.52</v>
      </c>
      <c r="Q74" s="2"/>
      <c r="R74" s="19"/>
      <c r="S74" s="2"/>
      <c r="T74" s="2"/>
      <c r="U74" s="2"/>
      <c r="V74" s="19"/>
      <c r="W74" s="2"/>
      <c r="X74" s="2">
        <f t="shared" si="2"/>
        <v>1454.52</v>
      </c>
      <c r="Y74" s="2"/>
      <c r="Z74" s="19">
        <f t="shared" si="3"/>
        <v>0</v>
      </c>
    </row>
    <row r="75" spans="1:26" s="24" customFormat="1" hidden="1" outlineLevel="1" x14ac:dyDescent="0.25">
      <c r="A75" s="46"/>
      <c r="B75" s="11" t="str">
        <f>CONCATENATE("          ", "4182", " - ", "NON-TAXABLE SALES-COMPUTER HAR")</f>
        <v xml:space="preserve">          4182 - NON-TAXABLE SALES-COMPUTER HAR</v>
      </c>
      <c r="C75" s="11"/>
      <c r="D75" s="2">
        <f>--15231</f>
        <v>15231</v>
      </c>
      <c r="E75" s="2"/>
      <c r="F75" s="19"/>
      <c r="G75" s="2"/>
      <c r="H75" s="2"/>
      <c r="I75" s="2"/>
      <c r="J75" s="19"/>
      <c r="K75" s="2"/>
      <c r="L75" s="2">
        <f t="shared" si="0"/>
        <v>15231</v>
      </c>
      <c r="M75" s="2"/>
      <c r="N75" s="19">
        <f t="shared" si="1"/>
        <v>0</v>
      </c>
      <c r="O75" s="11"/>
      <c r="P75" s="2">
        <f>--45802</f>
        <v>45802</v>
      </c>
      <c r="Q75" s="2"/>
      <c r="R75" s="19"/>
      <c r="S75" s="2"/>
      <c r="T75" s="2"/>
      <c r="U75" s="2"/>
      <c r="V75" s="19"/>
      <c r="W75" s="2"/>
      <c r="X75" s="2">
        <f t="shared" si="2"/>
        <v>45802</v>
      </c>
      <c r="Y75" s="2"/>
      <c r="Z75" s="19">
        <f t="shared" si="3"/>
        <v>0</v>
      </c>
    </row>
    <row r="76" spans="1:26" s="24" customFormat="1" hidden="1" outlineLevel="1" x14ac:dyDescent="0.25">
      <c r="A76" s="46"/>
      <c r="B76" s="11" t="str">
        <f>CONCATENATE("          ", "4183", " - ", "NON-TAXABLE SALES-COMPUTER EQU")</f>
        <v xml:space="preserve">          4183 - NON-TAXABLE SALES-COMPUTER EQU</v>
      </c>
      <c r="C76" s="11"/>
      <c r="D76" s="2">
        <f>--864.82</f>
        <v>864.82</v>
      </c>
      <c r="E76" s="2"/>
      <c r="F76" s="19"/>
      <c r="G76" s="2"/>
      <c r="H76" s="2"/>
      <c r="I76" s="2"/>
      <c r="J76" s="19"/>
      <c r="K76" s="2"/>
      <c r="L76" s="2">
        <f t="shared" si="0"/>
        <v>864.82</v>
      </c>
      <c r="M76" s="2"/>
      <c r="N76" s="19">
        <f t="shared" si="1"/>
        <v>0</v>
      </c>
      <c r="O76" s="11"/>
      <c r="P76" s="2">
        <f>--2021.11</f>
        <v>2021.11</v>
      </c>
      <c r="Q76" s="2"/>
      <c r="R76" s="19"/>
      <c r="S76" s="2"/>
      <c r="T76" s="2"/>
      <c r="U76" s="2"/>
      <c r="V76" s="19"/>
      <c r="W76" s="2"/>
      <c r="X76" s="2">
        <f t="shared" si="2"/>
        <v>2021.11</v>
      </c>
      <c r="Y76" s="2"/>
      <c r="Z76" s="19">
        <f t="shared" si="3"/>
        <v>0</v>
      </c>
    </row>
    <row r="77" spans="1:26" s="24" customFormat="1" hidden="1" outlineLevel="1" x14ac:dyDescent="0.25">
      <c r="A77" s="46"/>
      <c r="B77" s="11" t="str">
        <f>CONCATENATE("          ", "4184", " - ", "NON-TAXABLE SALES-SOFTWARE LIC")</f>
        <v xml:space="preserve">          4184 - NON-TAXABLE SALES-SOFTWARE LIC</v>
      </c>
      <c r="C77" s="11"/>
      <c r="D77" s="2">
        <f>0</f>
        <v>0</v>
      </c>
      <c r="E77" s="2"/>
      <c r="F77" s="19"/>
      <c r="G77" s="2"/>
      <c r="H77" s="2"/>
      <c r="I77" s="2"/>
      <c r="J77" s="19"/>
      <c r="K77" s="2"/>
      <c r="L77" s="2">
        <f t="shared" si="0"/>
        <v>0</v>
      </c>
      <c r="M77" s="2"/>
      <c r="N77" s="19">
        <f t="shared" si="1"/>
        <v>0</v>
      </c>
      <c r="O77" s="11"/>
      <c r="P77" s="2">
        <f>--1522</f>
        <v>1522</v>
      </c>
      <c r="Q77" s="2"/>
      <c r="R77" s="19"/>
      <c r="S77" s="2"/>
      <c r="T77" s="2"/>
      <c r="U77" s="2"/>
      <c r="V77" s="19"/>
      <c r="W77" s="2"/>
      <c r="X77" s="2">
        <f t="shared" si="2"/>
        <v>1522</v>
      </c>
      <c r="Y77" s="2"/>
      <c r="Z77" s="19">
        <f t="shared" si="3"/>
        <v>0</v>
      </c>
    </row>
    <row r="78" spans="1:26" s="24" customFormat="1" hidden="1" outlineLevel="1" x14ac:dyDescent="0.25">
      <c r="A78" s="46"/>
      <c r="B78" s="11" t="str">
        <f>CONCATENATE("          ", "4185", " - ", "NON-TAXABLE SALES-SOFTWARE")</f>
        <v xml:space="preserve">          4185 - NON-TAXABLE SALES-SOFTWARE</v>
      </c>
      <c r="C78" s="11"/>
      <c r="D78" s="2">
        <f>--2555.94</f>
        <v>2555.94</v>
      </c>
      <c r="E78" s="2"/>
      <c r="F78" s="19"/>
      <c r="G78" s="2"/>
      <c r="H78" s="2"/>
      <c r="I78" s="2"/>
      <c r="J78" s="19"/>
      <c r="K78" s="2"/>
      <c r="L78" s="2">
        <f t="shared" si="0"/>
        <v>2555.94</v>
      </c>
      <c r="M78" s="2"/>
      <c r="N78" s="19">
        <f t="shared" si="1"/>
        <v>0</v>
      </c>
      <c r="O78" s="11"/>
      <c r="P78" s="2">
        <f>--7077.94</f>
        <v>7077.94</v>
      </c>
      <c r="Q78" s="2"/>
      <c r="R78" s="19"/>
      <c r="S78" s="2"/>
      <c r="T78" s="2"/>
      <c r="U78" s="2"/>
      <c r="V78" s="19"/>
      <c r="W78" s="2"/>
      <c r="X78" s="2">
        <f t="shared" si="2"/>
        <v>7077.94</v>
      </c>
      <c r="Y78" s="2"/>
      <c r="Z78" s="19">
        <f t="shared" si="3"/>
        <v>0</v>
      </c>
    </row>
    <row r="79" spans="1:26" s="24" customFormat="1" hidden="1" outlineLevel="1" x14ac:dyDescent="0.25">
      <c r="A79" s="46"/>
      <c r="B79" s="11" t="str">
        <f>CONCATENATE("          ", "4186", " - ", "NON-TAXABLE SALES-COMPUTER SUP")</f>
        <v xml:space="preserve">          4186 - NON-TAXABLE SALES-COMPUTER SUP</v>
      </c>
      <c r="C79" s="11"/>
      <c r="D79" s="2">
        <f>--450.88</f>
        <v>450.88</v>
      </c>
      <c r="E79" s="2"/>
      <c r="F79" s="19"/>
      <c r="G79" s="2"/>
      <c r="H79" s="2"/>
      <c r="I79" s="2"/>
      <c r="J79" s="19"/>
      <c r="K79" s="2"/>
      <c r="L79" s="2">
        <f t="shared" si="0"/>
        <v>450.88</v>
      </c>
      <c r="M79" s="2"/>
      <c r="N79" s="19">
        <f t="shared" si="1"/>
        <v>0</v>
      </c>
      <c r="O79" s="11"/>
      <c r="P79" s="2">
        <f>--725.78</f>
        <v>725.78</v>
      </c>
      <c r="Q79" s="2"/>
      <c r="R79" s="19"/>
      <c r="S79" s="2"/>
      <c r="T79" s="2"/>
      <c r="U79" s="2"/>
      <c r="V79" s="19"/>
      <c r="W79" s="2"/>
      <c r="X79" s="2">
        <f t="shared" si="2"/>
        <v>725.78</v>
      </c>
      <c r="Y79" s="2"/>
      <c r="Z79" s="19">
        <f t="shared" si="3"/>
        <v>0</v>
      </c>
    </row>
    <row r="80" spans="1:26" s="24" customFormat="1" hidden="1" outlineLevel="1" x14ac:dyDescent="0.25">
      <c r="A80" s="46"/>
      <c r="B80" s="11" t="str">
        <f>CONCATENATE("          ", "4188", " - ", "NON-TAXABLE SALES-MUSIC")</f>
        <v xml:space="preserve">          4188 - NON-TAXABLE SALES-MUSIC</v>
      </c>
      <c r="C80" s="11"/>
      <c r="D80" s="2">
        <f>--119.98</f>
        <v>119.98</v>
      </c>
      <c r="E80" s="2"/>
      <c r="F80" s="19"/>
      <c r="G80" s="2"/>
      <c r="H80" s="2"/>
      <c r="I80" s="2"/>
      <c r="J80" s="19"/>
      <c r="K80" s="2"/>
      <c r="L80" s="2">
        <f t="shared" si="0"/>
        <v>119.98</v>
      </c>
      <c r="M80" s="2"/>
      <c r="N80" s="19">
        <f t="shared" si="1"/>
        <v>0</v>
      </c>
      <c r="O80" s="11"/>
      <c r="P80" s="2">
        <f>--219.96</f>
        <v>219.96</v>
      </c>
      <c r="Q80" s="2"/>
      <c r="R80" s="19"/>
      <c r="S80" s="2"/>
      <c r="T80" s="2"/>
      <c r="U80" s="2"/>
      <c r="V80" s="19"/>
      <c r="W80" s="2"/>
      <c r="X80" s="2">
        <f t="shared" si="2"/>
        <v>219.96</v>
      </c>
      <c r="Y80" s="2"/>
      <c r="Z80" s="19">
        <f t="shared" si="3"/>
        <v>0</v>
      </c>
    </row>
    <row r="81" spans="1:26" s="24" customFormat="1" hidden="1" outlineLevel="1" x14ac:dyDescent="0.25">
      <c r="A81" s="46"/>
      <c r="B81" s="11" t="str">
        <f>CONCATENATE("          ", "4201", " - ", "SALES RETURN TAXABLE-NEW TEXT")</f>
        <v xml:space="preserve">          4201 - SALES RETURN TAXABLE-NEW TEXT</v>
      </c>
      <c r="C81" s="11"/>
      <c r="D81" s="2">
        <f>-14069.34</f>
        <v>-14069.34</v>
      </c>
      <c r="E81" s="2"/>
      <c r="F81" s="19"/>
      <c r="G81" s="2"/>
      <c r="H81" s="2"/>
      <c r="I81" s="2"/>
      <c r="J81" s="19"/>
      <c r="K81" s="2"/>
      <c r="L81" s="2">
        <f t="shared" si="0"/>
        <v>-14069.34</v>
      </c>
      <c r="M81" s="2"/>
      <c r="N81" s="19">
        <f t="shared" si="1"/>
        <v>0</v>
      </c>
      <c r="O81" s="11"/>
      <c r="P81" s="2">
        <f>-73239.75</f>
        <v>-73239.75</v>
      </c>
      <c r="Q81" s="2"/>
      <c r="R81" s="19"/>
      <c r="S81" s="2"/>
      <c r="T81" s="2"/>
      <c r="U81" s="2"/>
      <c r="V81" s="19"/>
      <c r="W81" s="2"/>
      <c r="X81" s="2">
        <f t="shared" si="2"/>
        <v>-73239.75</v>
      </c>
      <c r="Y81" s="2"/>
      <c r="Z81" s="19">
        <f t="shared" si="3"/>
        <v>0</v>
      </c>
    </row>
    <row r="82" spans="1:26" s="24" customFormat="1" hidden="1" outlineLevel="1" x14ac:dyDescent="0.25">
      <c r="A82" s="46"/>
      <c r="B82" s="11" t="str">
        <f>CONCATENATE("          ", "4202", " - ", "SALES RETURN TAXABLE-USED TEXT")</f>
        <v xml:space="preserve">          4202 - SALES RETURN TAXABLE-USED TEXT</v>
      </c>
      <c r="C82" s="11"/>
      <c r="D82" s="2">
        <f>-2096.65</f>
        <v>-2096.65</v>
      </c>
      <c r="E82" s="2"/>
      <c r="F82" s="19"/>
      <c r="G82" s="2"/>
      <c r="H82" s="2"/>
      <c r="I82" s="2"/>
      <c r="J82" s="19"/>
      <c r="K82" s="2"/>
      <c r="L82" s="2">
        <f t="shared" si="0"/>
        <v>-2096.65</v>
      </c>
      <c r="M82" s="2"/>
      <c r="N82" s="19">
        <f t="shared" si="1"/>
        <v>0</v>
      </c>
      <c r="O82" s="11"/>
      <c r="P82" s="2">
        <f>-23351.1</f>
        <v>-23351.1</v>
      </c>
      <c r="Q82" s="2"/>
      <c r="R82" s="19"/>
      <c r="S82" s="2"/>
      <c r="T82" s="2"/>
      <c r="U82" s="2"/>
      <c r="V82" s="19"/>
      <c r="W82" s="2"/>
      <c r="X82" s="2">
        <f t="shared" si="2"/>
        <v>-23351.1</v>
      </c>
      <c r="Y82" s="2"/>
      <c r="Z82" s="19">
        <f t="shared" si="3"/>
        <v>0</v>
      </c>
    </row>
    <row r="83" spans="1:26" s="24" customFormat="1" hidden="1" outlineLevel="1" x14ac:dyDescent="0.25">
      <c r="A83" s="46"/>
      <c r="B83" s="11" t="str">
        <f>CONCATENATE("          ", "4203", " - ", "SALES RETURN TAXABLE-RENTAL TE")</f>
        <v xml:space="preserve">          4203 - SALES RETURN TAXABLE-RENTAL TE</v>
      </c>
      <c r="C83" s="11"/>
      <c r="D83" s="2">
        <f>-144.99</f>
        <v>-144.99</v>
      </c>
      <c r="E83" s="2"/>
      <c r="F83" s="19"/>
      <c r="G83" s="2"/>
      <c r="H83" s="2"/>
      <c r="I83" s="2"/>
      <c r="J83" s="19"/>
      <c r="K83" s="2"/>
      <c r="L83" s="2">
        <f t="shared" si="0"/>
        <v>-144.99</v>
      </c>
      <c r="M83" s="2"/>
      <c r="N83" s="19">
        <f t="shared" si="1"/>
        <v>0</v>
      </c>
      <c r="O83" s="11"/>
      <c r="P83" s="2">
        <f>-144.99</f>
        <v>-144.99</v>
      </c>
      <c r="Q83" s="2"/>
      <c r="R83" s="19"/>
      <c r="S83" s="2"/>
      <c r="T83" s="2"/>
      <c r="U83" s="2"/>
      <c r="V83" s="19"/>
      <c r="W83" s="2"/>
      <c r="X83" s="2">
        <f t="shared" si="2"/>
        <v>-144.99</v>
      </c>
      <c r="Y83" s="2"/>
      <c r="Z83" s="19">
        <f t="shared" si="3"/>
        <v>0</v>
      </c>
    </row>
    <row r="84" spans="1:26" s="24" customFormat="1" hidden="1" outlineLevel="1" x14ac:dyDescent="0.25">
      <c r="A84" s="46"/>
      <c r="B84" s="11" t="str">
        <f>CONCATENATE("          ", "4204", " - ", "SALES RETURN TAXABLE-DIGITAL T")</f>
        <v xml:space="preserve">          4204 - SALES RETURN TAXABLE-DIGITAL T</v>
      </c>
      <c r="C84" s="11"/>
      <c r="D84" s="2">
        <f>-4208.35</f>
        <v>-4208.3500000000004</v>
      </c>
      <c r="E84" s="2"/>
      <c r="F84" s="19"/>
      <c r="G84" s="2"/>
      <c r="H84" s="2"/>
      <c r="I84" s="2"/>
      <c r="J84" s="19"/>
      <c r="K84" s="2"/>
      <c r="L84" s="2">
        <f t="shared" si="0"/>
        <v>-4208.3500000000004</v>
      </c>
      <c r="M84" s="2"/>
      <c r="N84" s="19">
        <f t="shared" si="1"/>
        <v>0</v>
      </c>
      <c r="O84" s="11"/>
      <c r="P84" s="2">
        <f>-11056.72</f>
        <v>-11056.72</v>
      </c>
      <c r="Q84" s="2"/>
      <c r="R84" s="19"/>
      <c r="S84" s="2"/>
      <c r="T84" s="2"/>
      <c r="U84" s="2"/>
      <c r="V84" s="19"/>
      <c r="W84" s="2"/>
      <c r="X84" s="2">
        <f t="shared" si="2"/>
        <v>-11056.72</v>
      </c>
      <c r="Y84" s="2"/>
      <c r="Z84" s="19">
        <f t="shared" si="3"/>
        <v>0</v>
      </c>
    </row>
    <row r="85" spans="1:26" s="24" customFormat="1" hidden="1" outlineLevel="1" x14ac:dyDescent="0.25">
      <c r="A85" s="46"/>
      <c r="B85" s="11" t="str">
        <f>CONCATENATE("          ", "4218", " - ", "SALES RETURN TAXABLE-STUDY GUI")</f>
        <v xml:space="preserve">          4218 - SALES RETURN TAXABLE-STUDY GUI</v>
      </c>
      <c r="C85" s="11"/>
      <c r="D85" s="2">
        <f>-5.95</f>
        <v>-5.95</v>
      </c>
      <c r="E85" s="2"/>
      <c r="F85" s="19"/>
      <c r="G85" s="2"/>
      <c r="H85" s="2"/>
      <c r="I85" s="2"/>
      <c r="J85" s="19"/>
      <c r="K85" s="2"/>
      <c r="L85" s="2">
        <f t="shared" si="0"/>
        <v>-5.95</v>
      </c>
      <c r="M85" s="2"/>
      <c r="N85" s="19">
        <f t="shared" si="1"/>
        <v>0</v>
      </c>
      <c r="O85" s="11"/>
      <c r="P85" s="2">
        <f>-32.75</f>
        <v>-32.75</v>
      </c>
      <c r="Q85" s="2"/>
      <c r="R85" s="19"/>
      <c r="S85" s="2"/>
      <c r="T85" s="2"/>
      <c r="U85" s="2"/>
      <c r="V85" s="19"/>
      <c r="W85" s="2"/>
      <c r="X85" s="2">
        <f t="shared" si="2"/>
        <v>-32.75</v>
      </c>
      <c r="Y85" s="2"/>
      <c r="Z85" s="19">
        <f t="shared" si="3"/>
        <v>0</v>
      </c>
    </row>
    <row r="86" spans="1:26" s="24" customFormat="1" hidden="1" outlineLevel="1" x14ac:dyDescent="0.25">
      <c r="A86" s="46"/>
      <c r="B86" s="11" t="str">
        <f>CONCATENATE("          ", "4225", " - ", "SALES RETURN TAXABLE-TEST FORM")</f>
        <v xml:space="preserve">          4225 - SALES RETURN TAXABLE-TEST FORM</v>
      </c>
      <c r="C86" s="11"/>
      <c r="D86" s="2">
        <f>-20.41</f>
        <v>-20.41</v>
      </c>
      <c r="E86" s="2"/>
      <c r="F86" s="19"/>
      <c r="G86" s="2"/>
      <c r="H86" s="2"/>
      <c r="I86" s="2"/>
      <c r="J86" s="19"/>
      <c r="K86" s="2"/>
      <c r="L86" s="2">
        <f t="shared" si="0"/>
        <v>-20.41</v>
      </c>
      <c r="M86" s="2"/>
      <c r="N86" s="19">
        <f t="shared" si="1"/>
        <v>0</v>
      </c>
      <c r="O86" s="11"/>
      <c r="P86" s="2">
        <f>-33.1</f>
        <v>-33.1</v>
      </c>
      <c r="Q86" s="2"/>
      <c r="R86" s="19"/>
      <c r="S86" s="2"/>
      <c r="T86" s="2"/>
      <c r="U86" s="2"/>
      <c r="V86" s="19"/>
      <c r="W86" s="2"/>
      <c r="X86" s="2">
        <f t="shared" si="2"/>
        <v>-33.1</v>
      </c>
      <c r="Y86" s="2"/>
      <c r="Z86" s="19">
        <f t="shared" si="3"/>
        <v>0</v>
      </c>
    </row>
    <row r="87" spans="1:26" s="24" customFormat="1" hidden="1" outlineLevel="1" x14ac:dyDescent="0.25">
      <c r="A87" s="46"/>
      <c r="B87" s="11" t="str">
        <f>CONCATENATE("          ", "4226", " - ", "SALES RETURN TAXABLE-WRITING I")</f>
        <v xml:space="preserve">          4226 - SALES RETURN TAXABLE-WRITING I</v>
      </c>
      <c r="C87" s="11"/>
      <c r="D87" s="2">
        <f>-184.86</f>
        <v>-184.86</v>
      </c>
      <c r="E87" s="2"/>
      <c r="F87" s="19"/>
      <c r="G87" s="2"/>
      <c r="H87" s="2"/>
      <c r="I87" s="2"/>
      <c r="J87" s="19"/>
      <c r="K87" s="2"/>
      <c r="L87" s="2">
        <f t="shared" si="0"/>
        <v>-184.86</v>
      </c>
      <c r="M87" s="2"/>
      <c r="N87" s="19">
        <f t="shared" si="1"/>
        <v>0</v>
      </c>
      <c r="O87" s="11"/>
      <c r="P87" s="2">
        <f>-309.07</f>
        <v>-309.07</v>
      </c>
      <c r="Q87" s="2"/>
      <c r="R87" s="19"/>
      <c r="S87" s="2"/>
      <c r="T87" s="2"/>
      <c r="U87" s="2"/>
      <c r="V87" s="19"/>
      <c r="W87" s="2"/>
      <c r="X87" s="2">
        <f t="shared" si="2"/>
        <v>-309.07</v>
      </c>
      <c r="Y87" s="2"/>
      <c r="Z87" s="19">
        <f t="shared" si="3"/>
        <v>0</v>
      </c>
    </row>
    <row r="88" spans="1:26" s="24" customFormat="1" hidden="1" outlineLevel="1" x14ac:dyDescent="0.25">
      <c r="A88" s="46"/>
      <c r="B88" s="11" t="str">
        <f>CONCATENATE("          ", "4227", " - ", "SALES RETURN TAXABLE-SCHOOL SU")</f>
        <v xml:space="preserve">          4227 - SALES RETURN TAXABLE-SCHOOL SU</v>
      </c>
      <c r="C88" s="11"/>
      <c r="D88" s="2">
        <f>-2805.04</f>
        <v>-2805.04</v>
      </c>
      <c r="E88" s="2"/>
      <c r="F88" s="19"/>
      <c r="G88" s="2"/>
      <c r="H88" s="2"/>
      <c r="I88" s="2"/>
      <c r="J88" s="19"/>
      <c r="K88" s="2"/>
      <c r="L88" s="2">
        <f t="shared" si="0"/>
        <v>-2805.04</v>
      </c>
      <c r="M88" s="2"/>
      <c r="N88" s="19">
        <f t="shared" si="1"/>
        <v>0</v>
      </c>
      <c r="O88" s="11"/>
      <c r="P88" s="2">
        <f>-4501.63</f>
        <v>-4501.63</v>
      </c>
      <c r="Q88" s="2"/>
      <c r="R88" s="19"/>
      <c r="S88" s="2"/>
      <c r="T88" s="2"/>
      <c r="U88" s="2"/>
      <c r="V88" s="19"/>
      <c r="W88" s="2"/>
      <c r="X88" s="2">
        <f t="shared" si="2"/>
        <v>-4501.63</v>
      </c>
      <c r="Y88" s="2"/>
      <c r="Z88" s="19">
        <f t="shared" si="3"/>
        <v>0</v>
      </c>
    </row>
    <row r="89" spans="1:26" s="24" customFormat="1" hidden="1" outlineLevel="1" x14ac:dyDescent="0.25">
      <c r="A89" s="46"/>
      <c r="B89" s="11" t="str">
        <f>CONCATENATE("          ", "4228", " - ", "SALES RETURN TAXABLE-ART/TECH")</f>
        <v xml:space="preserve">          4228 - SALES RETURN TAXABLE-ART/TECH</v>
      </c>
      <c r="C89" s="11"/>
      <c r="D89" s="2">
        <f>-1058.54</f>
        <v>-1058.54</v>
      </c>
      <c r="E89" s="2"/>
      <c r="F89" s="19"/>
      <c r="G89" s="2"/>
      <c r="H89" s="2"/>
      <c r="I89" s="2"/>
      <c r="J89" s="19"/>
      <c r="K89" s="2"/>
      <c r="L89" s="2">
        <f t="shared" si="0"/>
        <v>-1058.54</v>
      </c>
      <c r="M89" s="2"/>
      <c r="N89" s="19">
        <f t="shared" si="1"/>
        <v>0</v>
      </c>
      <c r="O89" s="11"/>
      <c r="P89" s="2">
        <f>-1927.27</f>
        <v>-1927.27</v>
      </c>
      <c r="Q89" s="2"/>
      <c r="R89" s="19"/>
      <c r="S89" s="2"/>
      <c r="T89" s="2"/>
      <c r="U89" s="2"/>
      <c r="V89" s="19"/>
      <c r="W89" s="2"/>
      <c r="X89" s="2">
        <f t="shared" si="2"/>
        <v>-1927.27</v>
      </c>
      <c r="Y89" s="2"/>
      <c r="Z89" s="19">
        <f t="shared" si="3"/>
        <v>0</v>
      </c>
    </row>
    <row r="90" spans="1:26" s="24" customFormat="1" hidden="1" outlineLevel="1" x14ac:dyDescent="0.25">
      <c r="A90" s="46"/>
      <c r="B90" s="11" t="str">
        <f>CONCATENATE("          ", "4240", " - ", "SALES RETURN TAXABLE-LOGO CLOT")</f>
        <v xml:space="preserve">          4240 - SALES RETURN TAXABLE-LOGO CLOT</v>
      </c>
      <c r="C90" s="11"/>
      <c r="D90" s="2">
        <f>-9538.49</f>
        <v>-9538.49</v>
      </c>
      <c r="E90" s="2"/>
      <c r="F90" s="19"/>
      <c r="G90" s="2"/>
      <c r="H90" s="2"/>
      <c r="I90" s="2"/>
      <c r="J90" s="19"/>
      <c r="K90" s="2"/>
      <c r="L90" s="2">
        <f t="shared" si="0"/>
        <v>-9538.49</v>
      </c>
      <c r="M90" s="2"/>
      <c r="N90" s="19">
        <f t="shared" si="1"/>
        <v>0</v>
      </c>
      <c r="O90" s="11"/>
      <c r="P90" s="2">
        <f>-20792.98</f>
        <v>-20792.98</v>
      </c>
      <c r="Q90" s="2"/>
      <c r="R90" s="19"/>
      <c r="S90" s="2"/>
      <c r="T90" s="2"/>
      <c r="U90" s="2"/>
      <c r="V90" s="19"/>
      <c r="W90" s="2"/>
      <c r="X90" s="2">
        <f t="shared" si="2"/>
        <v>-20792.98</v>
      </c>
      <c r="Y90" s="2"/>
      <c r="Z90" s="19">
        <f t="shared" si="3"/>
        <v>0</v>
      </c>
    </row>
    <row r="91" spans="1:26" s="24" customFormat="1" hidden="1" outlineLevel="1" x14ac:dyDescent="0.25">
      <c r="A91" s="46"/>
      <c r="B91" s="11" t="str">
        <f>CONCATENATE("          ", "4241", " - ", "SALES RETURN TAXABLE-LOGO GIFT")</f>
        <v xml:space="preserve">          4241 - SALES RETURN TAXABLE-LOGO GIFT</v>
      </c>
      <c r="C91" s="11"/>
      <c r="D91" s="2">
        <f>-700.87</f>
        <v>-700.87</v>
      </c>
      <c r="E91" s="2"/>
      <c r="F91" s="19"/>
      <c r="G91" s="2"/>
      <c r="H91" s="2"/>
      <c r="I91" s="2"/>
      <c r="J91" s="19"/>
      <c r="K91" s="2"/>
      <c r="L91" s="2">
        <f t="shared" si="0"/>
        <v>-700.87</v>
      </c>
      <c r="M91" s="2"/>
      <c r="N91" s="19">
        <f t="shared" si="1"/>
        <v>0</v>
      </c>
      <c r="O91" s="11"/>
      <c r="P91" s="2">
        <f>-2390.88</f>
        <v>-2390.88</v>
      </c>
      <c r="Q91" s="2"/>
      <c r="R91" s="19"/>
      <c r="S91" s="2"/>
      <c r="T91" s="2"/>
      <c r="U91" s="2"/>
      <c r="V91" s="19"/>
      <c r="W91" s="2"/>
      <c r="X91" s="2">
        <f t="shared" si="2"/>
        <v>-2390.88</v>
      </c>
      <c r="Y91" s="2"/>
      <c r="Z91" s="19">
        <f t="shared" si="3"/>
        <v>0</v>
      </c>
    </row>
    <row r="92" spans="1:26" s="24" customFormat="1" hidden="1" outlineLevel="1" x14ac:dyDescent="0.25">
      <c r="A92" s="46"/>
      <c r="B92" s="11" t="str">
        <f>CONCATENATE("          ", "4242", " - ", "SALES RETURN TAXABLE-EVERYDAY")</f>
        <v xml:space="preserve">          4242 - SALES RETURN TAXABLE-EVERYDAY</v>
      </c>
      <c r="C92" s="11"/>
      <c r="D92" s="2">
        <f>-169.66</f>
        <v>-169.66</v>
      </c>
      <c r="E92" s="2"/>
      <c r="F92" s="19"/>
      <c r="G92" s="2"/>
      <c r="H92" s="2"/>
      <c r="I92" s="2"/>
      <c r="J92" s="19"/>
      <c r="K92" s="2"/>
      <c r="L92" s="2">
        <f t="shared" si="0"/>
        <v>-169.66</v>
      </c>
      <c r="M92" s="2"/>
      <c r="N92" s="19">
        <f t="shared" si="1"/>
        <v>0</v>
      </c>
      <c r="O92" s="11"/>
      <c r="P92" s="2">
        <f>-994.47</f>
        <v>-994.47</v>
      </c>
      <c r="Q92" s="2"/>
      <c r="R92" s="19"/>
      <c r="S92" s="2"/>
      <c r="T92" s="2"/>
      <c r="U92" s="2"/>
      <c r="V92" s="19"/>
      <c r="W92" s="2"/>
      <c r="X92" s="2">
        <f t="shared" si="2"/>
        <v>-994.47</v>
      </c>
      <c r="Y92" s="2"/>
      <c r="Z92" s="19">
        <f t="shared" si="3"/>
        <v>0</v>
      </c>
    </row>
    <row r="93" spans="1:26" s="24" customFormat="1" hidden="1" outlineLevel="1" x14ac:dyDescent="0.25">
      <c r="A93" s="46"/>
      <c r="B93" s="11" t="str">
        <f>CONCATENATE("          ", "4243", " - ", "SALES RETURN TAXABLE-CARDS")</f>
        <v xml:space="preserve">          4243 - SALES RETURN TAXABLE-CARDS</v>
      </c>
      <c r="C93" s="11"/>
      <c r="D93" s="2">
        <f>-4.5</f>
        <v>-4.5</v>
      </c>
      <c r="E93" s="2"/>
      <c r="F93" s="19"/>
      <c r="G93" s="2"/>
      <c r="H93" s="2"/>
      <c r="I93" s="2"/>
      <c r="J93" s="19"/>
      <c r="K93" s="2"/>
      <c r="L93" s="2">
        <f t="shared" si="0"/>
        <v>-4.5</v>
      </c>
      <c r="M93" s="2"/>
      <c r="N93" s="19">
        <f t="shared" si="1"/>
        <v>0</v>
      </c>
      <c r="O93" s="11"/>
      <c r="P93" s="2">
        <f>-4.5</f>
        <v>-4.5</v>
      </c>
      <c r="Q93" s="2"/>
      <c r="R93" s="19"/>
      <c r="S93" s="2"/>
      <c r="T93" s="2"/>
      <c r="U93" s="2"/>
      <c r="V93" s="19"/>
      <c r="W93" s="2"/>
      <c r="X93" s="2">
        <f t="shared" si="2"/>
        <v>-4.5</v>
      </c>
      <c r="Y93" s="2"/>
      <c r="Z93" s="19">
        <f t="shared" si="3"/>
        <v>0</v>
      </c>
    </row>
    <row r="94" spans="1:26" s="24" customFormat="1" hidden="1" outlineLevel="1" x14ac:dyDescent="0.25">
      <c r="A94" s="46"/>
      <c r="B94" s="11" t="str">
        <f>CONCATENATE("          ", "4244", " - ", "SALES RETURN TAXABLE-ACCESSORI")</f>
        <v xml:space="preserve">          4244 - SALES RETURN TAXABLE-ACCESSORI</v>
      </c>
      <c r="C94" s="11"/>
      <c r="D94" s="2">
        <f>-704.04</f>
        <v>-704.04</v>
      </c>
      <c r="E94" s="2"/>
      <c r="F94" s="19"/>
      <c r="G94" s="2"/>
      <c r="H94" s="2"/>
      <c r="I94" s="2"/>
      <c r="J94" s="19"/>
      <c r="K94" s="2"/>
      <c r="L94" s="2">
        <f t="shared" si="0"/>
        <v>-704.04</v>
      </c>
      <c r="M94" s="2"/>
      <c r="N94" s="19">
        <f t="shared" si="1"/>
        <v>0</v>
      </c>
      <c r="O94" s="11"/>
      <c r="P94" s="2">
        <f>-1254.51</f>
        <v>-1254.51</v>
      </c>
      <c r="Q94" s="2"/>
      <c r="R94" s="19"/>
      <c r="S94" s="2"/>
      <c r="T94" s="2"/>
      <c r="U94" s="2"/>
      <c r="V94" s="19"/>
      <c r="W94" s="2"/>
      <c r="X94" s="2">
        <f t="shared" si="2"/>
        <v>-1254.51</v>
      </c>
      <c r="Y94" s="2"/>
      <c r="Z94" s="19">
        <f t="shared" si="3"/>
        <v>0</v>
      </c>
    </row>
    <row r="95" spans="1:26" s="24" customFormat="1" hidden="1" outlineLevel="1" x14ac:dyDescent="0.25">
      <c r="A95" s="46"/>
      <c r="B95" s="11" t="str">
        <f>CONCATENATE("          ", "4245", " - ", "SALES RETURN TAXABLE-SPECIAL O")</f>
        <v xml:space="preserve">          4245 - SALES RETURN TAXABLE-SPECIAL O</v>
      </c>
      <c r="C95" s="11"/>
      <c r="D95" s="2">
        <f>-71.98</f>
        <v>-71.98</v>
      </c>
      <c r="E95" s="2"/>
      <c r="F95" s="19"/>
      <c r="G95" s="2"/>
      <c r="H95" s="2"/>
      <c r="I95" s="2"/>
      <c r="J95" s="19"/>
      <c r="K95" s="2"/>
      <c r="L95" s="2">
        <f t="shared" si="0"/>
        <v>-71.98</v>
      </c>
      <c r="M95" s="2"/>
      <c r="N95" s="19">
        <f t="shared" si="1"/>
        <v>0</v>
      </c>
      <c r="O95" s="11"/>
      <c r="P95" s="2">
        <f>-91.96</f>
        <v>-91.96</v>
      </c>
      <c r="Q95" s="2"/>
      <c r="R95" s="19"/>
      <c r="S95" s="2"/>
      <c r="T95" s="2"/>
      <c r="U95" s="2"/>
      <c r="V95" s="19"/>
      <c r="W95" s="2"/>
      <c r="X95" s="2">
        <f t="shared" si="2"/>
        <v>-91.96</v>
      </c>
      <c r="Y95" s="2"/>
      <c r="Z95" s="19">
        <f t="shared" si="3"/>
        <v>0</v>
      </c>
    </row>
    <row r="96" spans="1:26" s="24" customFormat="1" hidden="1" outlineLevel="1" x14ac:dyDescent="0.25">
      <c r="A96" s="46"/>
      <c r="B96" s="11" t="str">
        <f>CONCATENATE("          ", "4281", " - ", "SALES RETURN TAXABLE-ELECTRONI")</f>
        <v xml:space="preserve">          4281 - SALES RETURN TAXABLE-ELECTRONI</v>
      </c>
      <c r="C96" s="11"/>
      <c r="D96" s="2">
        <f>-1064.71</f>
        <v>-1064.71</v>
      </c>
      <c r="E96" s="2"/>
      <c r="F96" s="19"/>
      <c r="G96" s="2"/>
      <c r="H96" s="2"/>
      <c r="I96" s="2"/>
      <c r="J96" s="19"/>
      <c r="K96" s="2"/>
      <c r="L96" s="2">
        <f t="shared" si="0"/>
        <v>-1064.71</v>
      </c>
      <c r="M96" s="2"/>
      <c r="N96" s="19">
        <f t="shared" si="1"/>
        <v>0</v>
      </c>
      <c r="O96" s="11"/>
      <c r="P96" s="2">
        <f>-3299.46</f>
        <v>-3299.46</v>
      </c>
      <c r="Q96" s="2"/>
      <c r="R96" s="19"/>
      <c r="S96" s="2"/>
      <c r="T96" s="2"/>
      <c r="U96" s="2"/>
      <c r="V96" s="19"/>
      <c r="W96" s="2"/>
      <c r="X96" s="2">
        <f t="shared" si="2"/>
        <v>-3299.46</v>
      </c>
      <c r="Y96" s="2"/>
      <c r="Z96" s="19">
        <f t="shared" si="3"/>
        <v>0</v>
      </c>
    </row>
    <row r="97" spans="1:26" s="24" customFormat="1" hidden="1" outlineLevel="1" x14ac:dyDescent="0.25">
      <c r="A97" s="46"/>
      <c r="B97" s="11" t="str">
        <f>CONCATENATE("          ", "4282", " - ", "SALES RETURN TAXABLE-COMPUTER")</f>
        <v xml:space="preserve">          4282 - SALES RETURN TAXABLE-COMPUTER</v>
      </c>
      <c r="C97" s="11"/>
      <c r="D97" s="2">
        <f>-27457.13</f>
        <v>-27457.13</v>
      </c>
      <c r="E97" s="2"/>
      <c r="F97" s="19"/>
      <c r="G97" s="2"/>
      <c r="H97" s="2"/>
      <c r="I97" s="2"/>
      <c r="J97" s="19"/>
      <c r="K97" s="2"/>
      <c r="L97" s="2">
        <f t="shared" si="0"/>
        <v>-27457.13</v>
      </c>
      <c r="M97" s="2"/>
      <c r="N97" s="19">
        <f t="shared" si="1"/>
        <v>0</v>
      </c>
      <c r="O97" s="11"/>
      <c r="P97" s="2">
        <f>-147646.85</f>
        <v>-147646.85</v>
      </c>
      <c r="Q97" s="2"/>
      <c r="R97" s="19"/>
      <c r="S97" s="2"/>
      <c r="T97" s="2"/>
      <c r="U97" s="2"/>
      <c r="V97" s="19"/>
      <c r="W97" s="2"/>
      <c r="X97" s="2">
        <f t="shared" si="2"/>
        <v>-147646.85</v>
      </c>
      <c r="Y97" s="2"/>
      <c r="Z97" s="19">
        <f t="shared" si="3"/>
        <v>0</v>
      </c>
    </row>
    <row r="98" spans="1:26" s="24" customFormat="1" hidden="1" outlineLevel="1" x14ac:dyDescent="0.25">
      <c r="A98" s="46"/>
      <c r="B98" s="11" t="str">
        <f>CONCATENATE("          ", "4283", " - ", "SALES RETURN TAXABLE-COMPUTER")</f>
        <v xml:space="preserve">          4283 - SALES RETURN TAXABLE-COMPUTER</v>
      </c>
      <c r="C98" s="11"/>
      <c r="D98" s="2">
        <f>-553.79</f>
        <v>-553.79</v>
      </c>
      <c r="E98" s="2"/>
      <c r="F98" s="19"/>
      <c r="G98" s="2"/>
      <c r="H98" s="2"/>
      <c r="I98" s="2"/>
      <c r="J98" s="19"/>
      <c r="K98" s="2"/>
      <c r="L98" s="2">
        <f t="shared" si="0"/>
        <v>-553.79</v>
      </c>
      <c r="M98" s="2"/>
      <c r="N98" s="19">
        <f t="shared" si="1"/>
        <v>0</v>
      </c>
      <c r="O98" s="11"/>
      <c r="P98" s="2">
        <f>-1284.48</f>
        <v>-1284.48</v>
      </c>
      <c r="Q98" s="2"/>
      <c r="R98" s="19"/>
      <c r="S98" s="2"/>
      <c r="T98" s="2"/>
      <c r="U98" s="2"/>
      <c r="V98" s="19"/>
      <c r="W98" s="2"/>
      <c r="X98" s="2">
        <f t="shared" si="2"/>
        <v>-1284.48</v>
      </c>
      <c r="Y98" s="2"/>
      <c r="Z98" s="19">
        <f t="shared" si="3"/>
        <v>0</v>
      </c>
    </row>
    <row r="99" spans="1:26" s="24" customFormat="1" hidden="1" outlineLevel="1" x14ac:dyDescent="0.25">
      <c r="A99" s="46"/>
      <c r="B99" s="11" t="str">
        <f>CONCATENATE("          ", "4284", " - ", "SALES RETURN TAXABLE-SOFTWARE")</f>
        <v xml:space="preserve">          4284 - SALES RETURN TAXABLE-SOFTWARE</v>
      </c>
      <c r="C99" s="11"/>
      <c r="D99" s="2">
        <f t="shared" ref="D99:D100" si="6">0</f>
        <v>0</v>
      </c>
      <c r="E99" s="2"/>
      <c r="F99" s="19"/>
      <c r="G99" s="2"/>
      <c r="H99" s="2"/>
      <c r="I99" s="2"/>
      <c r="J99" s="19"/>
      <c r="K99" s="2"/>
      <c r="L99" s="2">
        <f t="shared" si="0"/>
        <v>0</v>
      </c>
      <c r="M99" s="2"/>
      <c r="N99" s="19">
        <f t="shared" si="1"/>
        <v>0</v>
      </c>
      <c r="O99" s="11"/>
      <c r="P99" s="2">
        <f>-129</f>
        <v>-129</v>
      </c>
      <c r="Q99" s="2"/>
      <c r="R99" s="19"/>
      <c r="S99" s="2"/>
      <c r="T99" s="2"/>
      <c r="U99" s="2"/>
      <c r="V99" s="19"/>
      <c r="W99" s="2"/>
      <c r="X99" s="2">
        <f t="shared" si="2"/>
        <v>-129</v>
      </c>
      <c r="Y99" s="2"/>
      <c r="Z99" s="19">
        <f t="shared" si="3"/>
        <v>0</v>
      </c>
    </row>
    <row r="100" spans="1:26" s="24" customFormat="1" hidden="1" outlineLevel="1" x14ac:dyDescent="0.25">
      <c r="A100" s="46"/>
      <c r="B100" s="11" t="str">
        <f>CONCATENATE("          ", "4285", " - ", "SALES RETURN TAXABLE-SOFTWARE")</f>
        <v xml:space="preserve">          4285 - SALES RETURN TAXABLE-SOFTWARE</v>
      </c>
      <c r="C100" s="11"/>
      <c r="D100" s="2">
        <f t="shared" si="6"/>
        <v>0</v>
      </c>
      <c r="E100" s="2"/>
      <c r="F100" s="19"/>
      <c r="G100" s="2"/>
      <c r="H100" s="2"/>
      <c r="I100" s="2"/>
      <c r="J100" s="19"/>
      <c r="K100" s="2"/>
      <c r="L100" s="2">
        <f t="shared" si="0"/>
        <v>0</v>
      </c>
      <c r="M100" s="2"/>
      <c r="N100" s="19">
        <f t="shared" si="1"/>
        <v>0</v>
      </c>
      <c r="O100" s="11"/>
      <c r="P100" s="2">
        <f>-406.99</f>
        <v>-406.99</v>
      </c>
      <c r="Q100" s="2"/>
      <c r="R100" s="19"/>
      <c r="S100" s="2"/>
      <c r="T100" s="2"/>
      <c r="U100" s="2"/>
      <c r="V100" s="19"/>
      <c r="W100" s="2"/>
      <c r="X100" s="2">
        <f t="shared" si="2"/>
        <v>-406.99</v>
      </c>
      <c r="Y100" s="2"/>
      <c r="Z100" s="19">
        <f t="shared" si="3"/>
        <v>0</v>
      </c>
    </row>
    <row r="101" spans="1:26" s="24" customFormat="1" hidden="1" outlineLevel="1" x14ac:dyDescent="0.25">
      <c r="A101" s="46"/>
      <c r="B101" s="11" t="str">
        <f>CONCATENATE("          ", "4286", " - ", "SALES RETURN TAXABLE-COMPUTER")</f>
        <v xml:space="preserve">          4286 - SALES RETURN TAXABLE-COMPUTER</v>
      </c>
      <c r="C101" s="11"/>
      <c r="D101" s="2">
        <f>-962.59</f>
        <v>-962.59</v>
      </c>
      <c r="E101" s="2"/>
      <c r="F101" s="19"/>
      <c r="G101" s="2"/>
      <c r="H101" s="2"/>
      <c r="I101" s="2"/>
      <c r="J101" s="19"/>
      <c r="K101" s="2"/>
      <c r="L101" s="2">
        <f t="shared" si="0"/>
        <v>-962.59</v>
      </c>
      <c r="M101" s="2"/>
      <c r="N101" s="19">
        <f t="shared" si="1"/>
        <v>0</v>
      </c>
      <c r="O101" s="11"/>
      <c r="P101" s="2">
        <f>-2143.74</f>
        <v>-2143.7399999999998</v>
      </c>
      <c r="Q101" s="2"/>
      <c r="R101" s="19"/>
      <c r="S101" s="2"/>
      <c r="T101" s="2"/>
      <c r="U101" s="2"/>
      <c r="V101" s="19"/>
      <c r="W101" s="2"/>
      <c r="X101" s="2">
        <f t="shared" si="2"/>
        <v>-2143.7399999999998</v>
      </c>
      <c r="Y101" s="2"/>
      <c r="Z101" s="19">
        <f t="shared" si="3"/>
        <v>0</v>
      </c>
    </row>
    <row r="102" spans="1:26" s="24" customFormat="1" hidden="1" outlineLevel="1" x14ac:dyDescent="0.25">
      <c r="A102" s="46"/>
      <c r="B102" s="11" t="str">
        <f>CONCATENATE("          ", "4292", " - ", "SALES RETURN TAXABLE-GRAD MERC")</f>
        <v xml:space="preserve">          4292 - SALES RETURN TAXABLE-GRAD MERC</v>
      </c>
      <c r="C102" s="11"/>
      <c r="D102" s="2">
        <f t="shared" ref="D102:D103" si="7">0</f>
        <v>0</v>
      </c>
      <c r="E102" s="2"/>
      <c r="F102" s="19"/>
      <c r="G102" s="2"/>
      <c r="H102" s="2"/>
      <c r="I102" s="2"/>
      <c r="J102" s="19"/>
      <c r="K102" s="2"/>
      <c r="L102" s="2">
        <f t="shared" si="0"/>
        <v>0</v>
      </c>
      <c r="M102" s="2"/>
      <c r="N102" s="19">
        <f t="shared" si="1"/>
        <v>0</v>
      </c>
      <c r="O102" s="11"/>
      <c r="P102" s="2">
        <f>-369.15</f>
        <v>-369.15</v>
      </c>
      <c r="Q102" s="2"/>
      <c r="R102" s="19"/>
      <c r="S102" s="2"/>
      <c r="T102" s="2"/>
      <c r="U102" s="2"/>
      <c r="V102" s="19"/>
      <c r="W102" s="2"/>
      <c r="X102" s="2">
        <f t="shared" si="2"/>
        <v>-369.15</v>
      </c>
      <c r="Y102" s="2"/>
      <c r="Z102" s="19">
        <f t="shared" si="3"/>
        <v>0</v>
      </c>
    </row>
    <row r="103" spans="1:26" s="24" customFormat="1" hidden="1" outlineLevel="1" x14ac:dyDescent="0.25">
      <c r="A103" s="46"/>
      <c r="B103" s="11" t="str">
        <f>CONCATENATE("          ", "4295", " - ", "SALES RETURN TAXABLE-CUSTOMER")</f>
        <v xml:space="preserve">          4295 - SALES RETURN TAXABLE-CUSTOMER</v>
      </c>
      <c r="C103" s="11"/>
      <c r="D103" s="2">
        <f t="shared" si="7"/>
        <v>0</v>
      </c>
      <c r="E103" s="2"/>
      <c r="F103" s="19"/>
      <c r="G103" s="2"/>
      <c r="H103" s="2"/>
      <c r="I103" s="2"/>
      <c r="J103" s="19"/>
      <c r="K103" s="2"/>
      <c r="L103" s="2">
        <f t="shared" si="0"/>
        <v>0</v>
      </c>
      <c r="M103" s="2"/>
      <c r="N103" s="19">
        <f t="shared" si="1"/>
        <v>0</v>
      </c>
      <c r="O103" s="11"/>
      <c r="P103" s="2">
        <f>--0.99</f>
        <v>0.99</v>
      </c>
      <c r="Q103" s="2"/>
      <c r="R103" s="19"/>
      <c r="S103" s="2"/>
      <c r="T103" s="2"/>
      <c r="U103" s="2"/>
      <c r="V103" s="19"/>
      <c r="W103" s="2"/>
      <c r="X103" s="2">
        <f t="shared" si="2"/>
        <v>0.99</v>
      </c>
      <c r="Y103" s="2"/>
      <c r="Z103" s="19">
        <f t="shared" si="3"/>
        <v>0</v>
      </c>
    </row>
    <row r="104" spans="1:26" s="24" customFormat="1" hidden="1" outlineLevel="1" x14ac:dyDescent="0.25">
      <c r="A104" s="46"/>
      <c r="B104" s="11" t="str">
        <f>CONCATENATE("          ", "4301", " - ", "SALES RETURN NON TAXABLE-NEW T")</f>
        <v xml:space="preserve">          4301 - SALES RETURN NON TAXABLE-NEW T</v>
      </c>
      <c r="C104" s="11"/>
      <c r="D104" s="2">
        <f>-3805.44</f>
        <v>-3805.44</v>
      </c>
      <c r="E104" s="2"/>
      <c r="F104" s="19"/>
      <c r="G104" s="2"/>
      <c r="H104" s="2"/>
      <c r="I104" s="2"/>
      <c r="J104" s="19"/>
      <c r="K104" s="2"/>
      <c r="L104" s="2">
        <f t="shared" si="0"/>
        <v>-3805.44</v>
      </c>
      <c r="M104" s="2"/>
      <c r="N104" s="19">
        <f t="shared" si="1"/>
        <v>0</v>
      </c>
      <c r="O104" s="11"/>
      <c r="P104" s="2">
        <f>-6725.22</f>
        <v>-6725.22</v>
      </c>
      <c r="Q104" s="2"/>
      <c r="R104" s="19"/>
      <c r="S104" s="2"/>
      <c r="T104" s="2"/>
      <c r="U104" s="2"/>
      <c r="V104" s="19"/>
      <c r="W104" s="2"/>
      <c r="X104" s="2">
        <f t="shared" si="2"/>
        <v>-6725.22</v>
      </c>
      <c r="Y104" s="2"/>
      <c r="Z104" s="19">
        <f t="shared" si="3"/>
        <v>0</v>
      </c>
    </row>
    <row r="105" spans="1:26" s="24" customFormat="1" hidden="1" outlineLevel="1" x14ac:dyDescent="0.25">
      <c r="A105" s="46"/>
      <c r="B105" s="11" t="str">
        <f>CONCATENATE("          ", "4302", " - ", "SALES RETURN NON TAXABLE-TEXT")</f>
        <v xml:space="preserve">          4302 - SALES RETURN NON TAXABLE-TEXT</v>
      </c>
      <c r="C105" s="11"/>
      <c r="D105" s="2">
        <f>-398.45</f>
        <v>-398.45</v>
      </c>
      <c r="E105" s="2"/>
      <c r="F105" s="19"/>
      <c r="G105" s="2"/>
      <c r="H105" s="2"/>
      <c r="I105" s="2"/>
      <c r="J105" s="19"/>
      <c r="K105" s="2"/>
      <c r="L105" s="2">
        <f t="shared" si="0"/>
        <v>-398.45</v>
      </c>
      <c r="M105" s="2"/>
      <c r="N105" s="19">
        <f t="shared" si="1"/>
        <v>0</v>
      </c>
      <c r="O105" s="11"/>
      <c r="P105" s="2">
        <f>-648.7</f>
        <v>-648.70000000000005</v>
      </c>
      <c r="Q105" s="2"/>
      <c r="R105" s="19"/>
      <c r="S105" s="2"/>
      <c r="T105" s="2"/>
      <c r="U105" s="2"/>
      <c r="V105" s="19"/>
      <c r="W105" s="2"/>
      <c r="X105" s="2">
        <f t="shared" si="2"/>
        <v>-648.70000000000005</v>
      </c>
      <c r="Y105" s="2"/>
      <c r="Z105" s="19">
        <f t="shared" si="3"/>
        <v>0</v>
      </c>
    </row>
    <row r="106" spans="1:26" s="24" customFormat="1" hidden="1" outlineLevel="1" x14ac:dyDescent="0.25">
      <c r="A106" s="46"/>
      <c r="B106" s="11" t="str">
        <f>CONCATENATE("          ", "4303", " - ", "SALES RETURN NON-TAXABLE-RENTA")</f>
        <v xml:space="preserve">          4303 - SALES RETURN NON-TAXABLE-RENTA</v>
      </c>
      <c r="C106" s="11"/>
      <c r="D106" s="2">
        <f>-184.99</f>
        <v>-184.99</v>
      </c>
      <c r="E106" s="2"/>
      <c r="F106" s="19"/>
      <c r="G106" s="2"/>
      <c r="H106" s="2"/>
      <c r="I106" s="2"/>
      <c r="J106" s="19"/>
      <c r="K106" s="2"/>
      <c r="L106" s="2">
        <f t="shared" si="0"/>
        <v>-184.99</v>
      </c>
      <c r="M106" s="2"/>
      <c r="N106" s="19">
        <f t="shared" si="1"/>
        <v>0</v>
      </c>
      <c r="O106" s="11"/>
      <c r="P106" s="2">
        <f>-184.99</f>
        <v>-184.99</v>
      </c>
      <c r="Q106" s="2"/>
      <c r="R106" s="19"/>
      <c r="S106" s="2"/>
      <c r="T106" s="2"/>
      <c r="U106" s="2"/>
      <c r="V106" s="19"/>
      <c r="W106" s="2"/>
      <c r="X106" s="2">
        <f t="shared" si="2"/>
        <v>-184.99</v>
      </c>
      <c r="Y106" s="2"/>
      <c r="Z106" s="19">
        <f t="shared" si="3"/>
        <v>0</v>
      </c>
    </row>
    <row r="107" spans="1:26" s="24" customFormat="1" hidden="1" outlineLevel="1" x14ac:dyDescent="0.25">
      <c r="A107" s="46"/>
      <c r="B107" s="11" t="str">
        <f>CONCATENATE("          ", "4304", " - ", "SALES RETURN NON TAXABLE-DIGIT")</f>
        <v xml:space="preserve">          4304 - SALES RETURN NON TAXABLE-DIGIT</v>
      </c>
      <c r="C107" s="11"/>
      <c r="D107" s="2">
        <f>-4048.76</f>
        <v>-4048.76</v>
      </c>
      <c r="E107" s="2"/>
      <c r="F107" s="19"/>
      <c r="G107" s="2"/>
      <c r="H107" s="2"/>
      <c r="I107" s="2"/>
      <c r="J107" s="19"/>
      <c r="K107" s="2"/>
      <c r="L107" s="2">
        <f t="shared" si="0"/>
        <v>-4048.76</v>
      </c>
      <c r="M107" s="2"/>
      <c r="N107" s="19">
        <f t="shared" si="1"/>
        <v>0</v>
      </c>
      <c r="O107" s="11"/>
      <c r="P107" s="2">
        <f>-12515.31</f>
        <v>-12515.31</v>
      </c>
      <c r="Q107" s="2"/>
      <c r="R107" s="19"/>
      <c r="S107" s="2"/>
      <c r="T107" s="2"/>
      <c r="U107" s="2"/>
      <c r="V107" s="19"/>
      <c r="W107" s="2"/>
      <c r="X107" s="2">
        <f t="shared" si="2"/>
        <v>-12515.31</v>
      </c>
      <c r="Y107" s="2"/>
      <c r="Z107" s="19">
        <f t="shared" si="3"/>
        <v>0</v>
      </c>
    </row>
    <row r="108" spans="1:26" s="24" customFormat="1" hidden="1" outlineLevel="1" x14ac:dyDescent="0.25">
      <c r="A108" s="46"/>
      <c r="B108" s="11" t="str">
        <f>CONCATENATE("          ", "4311", " - ", "SALES RETURN NON TAXABLE-NO VA")</f>
        <v xml:space="preserve">          4311 - SALES RETURN NON TAXABLE-NO VA</v>
      </c>
      <c r="C108" s="11"/>
      <c r="D108" s="2">
        <f>-276.9</f>
        <v>-276.89999999999998</v>
      </c>
      <c r="E108" s="2"/>
      <c r="F108" s="19"/>
      <c r="G108" s="2"/>
      <c r="H108" s="2"/>
      <c r="I108" s="2"/>
      <c r="J108" s="19"/>
      <c r="K108" s="2"/>
      <c r="L108" s="2">
        <f t="shared" si="0"/>
        <v>-276.89999999999998</v>
      </c>
      <c r="M108" s="2"/>
      <c r="N108" s="19">
        <f t="shared" si="1"/>
        <v>0</v>
      </c>
      <c r="O108" s="11"/>
      <c r="P108" s="2">
        <f>-387.94</f>
        <v>-387.94</v>
      </c>
      <c r="Q108" s="2"/>
      <c r="R108" s="19"/>
      <c r="S108" s="2"/>
      <c r="T108" s="2"/>
      <c r="U108" s="2"/>
      <c r="V108" s="19"/>
      <c r="W108" s="2"/>
      <c r="X108" s="2">
        <f t="shared" si="2"/>
        <v>-387.94</v>
      </c>
      <c r="Y108" s="2"/>
      <c r="Z108" s="19">
        <f t="shared" si="3"/>
        <v>0</v>
      </c>
    </row>
    <row r="109" spans="1:26" s="24" customFormat="1" hidden="1" outlineLevel="1" x14ac:dyDescent="0.25">
      <c r="A109" s="46"/>
      <c r="B109" s="11" t="str">
        <f>CONCATENATE("          ", "4327", " - ", "SALES RETURN NON TAXABLE-SCHOO")</f>
        <v xml:space="preserve">          4327 - SALES RETURN NON TAXABLE-SCHOO</v>
      </c>
      <c r="C109" s="11"/>
      <c r="D109" s="2">
        <f>-8.29</f>
        <v>-8.2899999999999991</v>
      </c>
      <c r="E109" s="2"/>
      <c r="F109" s="19"/>
      <c r="G109" s="2"/>
      <c r="H109" s="2"/>
      <c r="I109" s="2"/>
      <c r="J109" s="19"/>
      <c r="K109" s="2"/>
      <c r="L109" s="2">
        <f t="shared" si="0"/>
        <v>-8.2899999999999991</v>
      </c>
      <c r="M109" s="2"/>
      <c r="N109" s="19">
        <f t="shared" si="1"/>
        <v>0</v>
      </c>
      <c r="O109" s="11"/>
      <c r="P109" s="2">
        <f>-21.87</f>
        <v>-21.87</v>
      </c>
      <c r="Q109" s="2"/>
      <c r="R109" s="19"/>
      <c r="S109" s="2"/>
      <c r="T109" s="2"/>
      <c r="U109" s="2"/>
      <c r="V109" s="19"/>
      <c r="W109" s="2"/>
      <c r="X109" s="2">
        <f t="shared" si="2"/>
        <v>-21.87</v>
      </c>
      <c r="Y109" s="2"/>
      <c r="Z109" s="19">
        <f t="shared" si="3"/>
        <v>0</v>
      </c>
    </row>
    <row r="110" spans="1:26" s="24" customFormat="1" hidden="1" outlineLevel="1" x14ac:dyDescent="0.25">
      <c r="A110" s="46"/>
      <c r="B110" s="11" t="str">
        <f>CONCATENATE("          ", "4340", " - ", "SALES RETURN NON TAXABLE-LOGO")</f>
        <v xml:space="preserve">          4340 - SALES RETURN NON TAXABLE-LOGO</v>
      </c>
      <c r="C110" s="11"/>
      <c r="D110" s="2">
        <f>-24.95</f>
        <v>-24.95</v>
      </c>
      <c r="E110" s="2"/>
      <c r="F110" s="19"/>
      <c r="G110" s="2"/>
      <c r="H110" s="2"/>
      <c r="I110" s="2"/>
      <c r="J110" s="19"/>
      <c r="K110" s="2"/>
      <c r="L110" s="2">
        <f t="shared" si="0"/>
        <v>-24.95</v>
      </c>
      <c r="M110" s="2"/>
      <c r="N110" s="19">
        <f t="shared" si="1"/>
        <v>0</v>
      </c>
      <c r="O110" s="11"/>
      <c r="P110" s="2">
        <f>-293.45</f>
        <v>-293.45</v>
      </c>
      <c r="Q110" s="2"/>
      <c r="R110" s="19"/>
      <c r="S110" s="2"/>
      <c r="T110" s="2"/>
      <c r="U110" s="2"/>
      <c r="V110" s="19"/>
      <c r="W110" s="2"/>
      <c r="X110" s="2">
        <f t="shared" si="2"/>
        <v>-293.45</v>
      </c>
      <c r="Y110" s="2"/>
      <c r="Z110" s="19">
        <f t="shared" si="3"/>
        <v>0</v>
      </c>
    </row>
    <row r="111" spans="1:26" s="24" customFormat="1" hidden="1" outlineLevel="1" x14ac:dyDescent="0.25">
      <c r="A111" s="46"/>
      <c r="B111" s="11" t="str">
        <f>CONCATENATE("          ", "4341", " - ", "SALES RETURN NON TAXABLE-LOGO")</f>
        <v xml:space="preserve">          4341 - SALES RETURN NON TAXABLE-LOGO</v>
      </c>
      <c r="C111" s="11"/>
      <c r="D111" s="2">
        <f>0</f>
        <v>0</v>
      </c>
      <c r="E111" s="2"/>
      <c r="F111" s="19"/>
      <c r="G111" s="2"/>
      <c r="H111" s="2"/>
      <c r="I111" s="2"/>
      <c r="J111" s="19"/>
      <c r="K111" s="2"/>
      <c r="L111" s="2">
        <f t="shared" si="0"/>
        <v>0</v>
      </c>
      <c r="M111" s="2"/>
      <c r="N111" s="19">
        <f t="shared" si="1"/>
        <v>0</v>
      </c>
      <c r="O111" s="11"/>
      <c r="P111" s="2">
        <f>-3.95</f>
        <v>-3.95</v>
      </c>
      <c r="Q111" s="2"/>
      <c r="R111" s="19"/>
      <c r="S111" s="2"/>
      <c r="T111" s="2"/>
      <c r="U111" s="2"/>
      <c r="V111" s="19"/>
      <c r="W111" s="2"/>
      <c r="X111" s="2">
        <f t="shared" si="2"/>
        <v>-3.95</v>
      </c>
      <c r="Y111" s="2"/>
      <c r="Z111" s="19">
        <f t="shared" si="3"/>
        <v>0</v>
      </c>
    </row>
    <row r="112" spans="1:26" s="24" customFormat="1" hidden="1" outlineLevel="1" x14ac:dyDescent="0.25">
      <c r="A112" s="46"/>
      <c r="B112" s="11" t="str">
        <f>CONCATENATE("          ", "4342", " - ", "SALES RETURN NON TAXABLE-EVERY")</f>
        <v xml:space="preserve">          4342 - SALES RETURN NON TAXABLE-EVERY</v>
      </c>
      <c r="C112" s="11"/>
      <c r="D112" s="2">
        <f>-10</f>
        <v>-10</v>
      </c>
      <c r="E112" s="2"/>
      <c r="F112" s="19"/>
      <c r="G112" s="2"/>
      <c r="H112" s="2"/>
      <c r="I112" s="2"/>
      <c r="J112" s="19"/>
      <c r="K112" s="2"/>
      <c r="L112" s="2">
        <f t="shared" si="0"/>
        <v>-10</v>
      </c>
      <c r="M112" s="2"/>
      <c r="N112" s="19">
        <f t="shared" si="1"/>
        <v>0</v>
      </c>
      <c r="O112" s="11"/>
      <c r="P112" s="2">
        <f>-10</f>
        <v>-10</v>
      </c>
      <c r="Q112" s="2"/>
      <c r="R112" s="19"/>
      <c r="S112" s="2"/>
      <c r="T112" s="2"/>
      <c r="U112" s="2"/>
      <c r="V112" s="19"/>
      <c r="W112" s="2"/>
      <c r="X112" s="2">
        <f t="shared" si="2"/>
        <v>-10</v>
      </c>
      <c r="Y112" s="2"/>
      <c r="Z112" s="19">
        <f t="shared" si="3"/>
        <v>0</v>
      </c>
    </row>
    <row r="113" spans="1:26" s="24" customFormat="1" hidden="1" outlineLevel="1" x14ac:dyDescent="0.25">
      <c r="A113" s="46"/>
      <c r="B113" s="11" t="str">
        <f>CONCATENATE("          ", "4346", " - ", "SALES RETURN NON TAXABLE-COIN-")</f>
        <v xml:space="preserve">          4346 - SALES RETURN NON TAXABLE-COIN-</v>
      </c>
      <c r="C113" s="11"/>
      <c r="D113" s="2">
        <f>0</f>
        <v>0</v>
      </c>
      <c r="E113" s="2"/>
      <c r="F113" s="19"/>
      <c r="G113" s="2"/>
      <c r="H113" s="2"/>
      <c r="I113" s="2"/>
      <c r="J113" s="19"/>
      <c r="K113" s="2"/>
      <c r="L113" s="2">
        <f t="shared" si="0"/>
        <v>0</v>
      </c>
      <c r="M113" s="2"/>
      <c r="N113" s="19">
        <f t="shared" si="1"/>
        <v>0</v>
      </c>
      <c r="O113" s="11"/>
      <c r="P113" s="2">
        <f>-8.15</f>
        <v>-8.15</v>
      </c>
      <c r="Q113" s="2"/>
      <c r="R113" s="19"/>
      <c r="S113" s="2"/>
      <c r="T113" s="2"/>
      <c r="U113" s="2"/>
      <c r="V113" s="19"/>
      <c r="W113" s="2"/>
      <c r="X113" s="2">
        <f t="shared" si="2"/>
        <v>-8.15</v>
      </c>
      <c r="Y113" s="2"/>
      <c r="Z113" s="19">
        <f t="shared" si="3"/>
        <v>0</v>
      </c>
    </row>
    <row r="114" spans="1:26" s="24" customFormat="1" hidden="1" outlineLevel="1" x14ac:dyDescent="0.25">
      <c r="A114" s="46"/>
      <c r="B114" s="11" t="str">
        <f>CONCATENATE("          ", "4381", " - ", "SALES RETURN NON TAXABLE-ELECT")</f>
        <v xml:space="preserve">          4381 - SALES RETURN NON TAXABLE-ELECT</v>
      </c>
      <c r="C114" s="11"/>
      <c r="D114" s="2">
        <f>-1279.84</f>
        <v>-1279.8399999999999</v>
      </c>
      <c r="E114" s="2"/>
      <c r="F114" s="19"/>
      <c r="G114" s="2"/>
      <c r="H114" s="2"/>
      <c r="I114" s="2"/>
      <c r="J114" s="19"/>
      <c r="K114" s="2"/>
      <c r="L114" s="2">
        <f t="shared" si="0"/>
        <v>-1279.8399999999999</v>
      </c>
      <c r="M114" s="2"/>
      <c r="N114" s="19">
        <f t="shared" si="1"/>
        <v>0</v>
      </c>
      <c r="O114" s="11"/>
      <c r="P114" s="2">
        <f>-1279.84</f>
        <v>-1279.8399999999999</v>
      </c>
      <c r="Q114" s="2"/>
      <c r="R114" s="19"/>
      <c r="S114" s="2"/>
      <c r="T114" s="2"/>
      <c r="U114" s="2"/>
      <c r="V114" s="19"/>
      <c r="W114" s="2"/>
      <c r="X114" s="2">
        <f t="shared" si="2"/>
        <v>-1279.8399999999999</v>
      </c>
      <c r="Y114" s="2"/>
      <c r="Z114" s="19">
        <f t="shared" si="3"/>
        <v>0</v>
      </c>
    </row>
    <row r="115" spans="1:26" s="24" customFormat="1" hidden="1" outlineLevel="1" x14ac:dyDescent="0.25">
      <c r="A115" s="46"/>
      <c r="B115" s="11" t="str">
        <f>CONCATENATE("          ", "4383", " - ", "SALES RETURN NON TAXABLE-COMPU")</f>
        <v xml:space="preserve">          4383 - SALES RETURN NON TAXABLE-COMPU</v>
      </c>
      <c r="C115" s="11"/>
      <c r="D115" s="2">
        <f t="shared" ref="D115:D116" si="8">0</f>
        <v>0</v>
      </c>
      <c r="E115" s="2"/>
      <c r="F115" s="19"/>
      <c r="G115" s="2"/>
      <c r="H115" s="2"/>
      <c r="I115" s="2"/>
      <c r="J115" s="19"/>
      <c r="K115" s="2"/>
      <c r="L115" s="2">
        <f t="shared" si="0"/>
        <v>0</v>
      </c>
      <c r="M115" s="2"/>
      <c r="N115" s="19">
        <f t="shared" si="1"/>
        <v>0</v>
      </c>
      <c r="O115" s="11"/>
      <c r="P115" s="2">
        <f>-24.99</f>
        <v>-24.99</v>
      </c>
      <c r="Q115" s="2"/>
      <c r="R115" s="19"/>
      <c r="S115" s="2"/>
      <c r="T115" s="2"/>
      <c r="U115" s="2"/>
      <c r="V115" s="19"/>
      <c r="W115" s="2"/>
      <c r="X115" s="2">
        <f t="shared" si="2"/>
        <v>-24.99</v>
      </c>
      <c r="Y115" s="2"/>
      <c r="Z115" s="19">
        <f t="shared" si="3"/>
        <v>0</v>
      </c>
    </row>
    <row r="116" spans="1:26" s="24" customFormat="1" hidden="1" outlineLevel="1" x14ac:dyDescent="0.25">
      <c r="A116" s="46"/>
      <c r="B116" s="11" t="str">
        <f>CONCATENATE("          ", "4386", " - ", "SALES RETURN NON TAXABLE-COMPU")</f>
        <v xml:space="preserve">          4386 - SALES RETURN NON TAXABLE-COMPU</v>
      </c>
      <c r="C116" s="11"/>
      <c r="D116" s="2">
        <f t="shared" si="8"/>
        <v>0</v>
      </c>
      <c r="E116" s="2"/>
      <c r="F116" s="19"/>
      <c r="G116" s="2"/>
      <c r="H116" s="2"/>
      <c r="I116" s="2"/>
      <c r="J116" s="19"/>
      <c r="K116" s="2"/>
      <c r="L116" s="2">
        <f t="shared" si="0"/>
        <v>0</v>
      </c>
      <c r="M116" s="2"/>
      <c r="N116" s="19">
        <f t="shared" si="1"/>
        <v>0</v>
      </c>
      <c r="O116" s="11"/>
      <c r="P116" s="2">
        <f>-19.99</f>
        <v>-19.989999999999998</v>
      </c>
      <c r="Q116" s="2"/>
      <c r="R116" s="19"/>
      <c r="S116" s="2"/>
      <c r="T116" s="2"/>
      <c r="U116" s="2"/>
      <c r="V116" s="19"/>
      <c r="W116" s="2"/>
      <c r="X116" s="2">
        <f t="shared" si="2"/>
        <v>-19.989999999999998</v>
      </c>
      <c r="Y116" s="2"/>
      <c r="Z116" s="19">
        <f t="shared" si="3"/>
        <v>0</v>
      </c>
    </row>
    <row r="117" spans="1:26" x14ac:dyDescent="0.25">
      <c r="A117" s="9"/>
      <c r="B117" s="10"/>
      <c r="C117" s="9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s="23" customFormat="1" collapsed="1" x14ac:dyDescent="0.25">
      <c r="A118" s="10"/>
      <c r="B118" s="28" t="s">
        <v>8</v>
      </c>
      <c r="C118" s="10"/>
      <c r="D118" s="4">
        <f>SUM(OSRRefD16x_0)</f>
        <v>916667.44000000018</v>
      </c>
      <c r="E118" s="4"/>
      <c r="F118" s="12">
        <f t="shared" ref="F118:F173" si="9">IF(D$12=0,0,D118/D$12)</f>
        <v>0.65132676891716235</v>
      </c>
      <c r="G118" s="4"/>
      <c r="H118" s="4">
        <f>SUM(OSRRefH16x_0)</f>
        <v>848063.87623000005</v>
      </c>
      <c r="I118" s="4"/>
      <c r="J118" s="12">
        <f t="shared" ref="J118:J173" si="10">IF(H$12=0,0,H118/H$12)</f>
        <v>0.60796188930254513</v>
      </c>
      <c r="K118" s="4"/>
      <c r="L118" s="4">
        <f t="shared" ref="L118:L173" si="11">+D118-H118</f>
        <v>68603.563770000124</v>
      </c>
      <c r="M118" s="4"/>
      <c r="N118" s="12">
        <f t="shared" ref="N118:N173" si="12">IF(H118=0,0,L118/H118)</f>
        <v>8.0894335548133189E-2</v>
      </c>
      <c r="O118" s="10"/>
      <c r="P118" s="4">
        <f>SUM(OSRRefP16x_0)</f>
        <v>3678262.7699999996</v>
      </c>
      <c r="Q118" s="4"/>
      <c r="R118" s="12">
        <f t="shared" ref="R118:R173" si="13">IF(P$12=0,0,P118/P$12)</f>
        <v>0.68956461868813723</v>
      </c>
      <c r="S118" s="4"/>
      <c r="T118" s="4">
        <f>SUM(OSRRefT16x_0)</f>
        <v>3514745.26719</v>
      </c>
      <c r="U118" s="4"/>
      <c r="V118" s="12">
        <f t="shared" ref="V118:V173" si="14">IF(T$12=0,0,T118/T$12)</f>
        <v>0.65077357188067542</v>
      </c>
      <c r="W118" s="4"/>
      <c r="X118" s="4">
        <f t="shared" ref="X118:X173" si="15">+P118-T118</f>
        <v>163517.50280999951</v>
      </c>
      <c r="Y118" s="4"/>
      <c r="Z118" s="12">
        <f t="shared" ref="Z118:Z173" si="16">IF(T118=0,0,X118/T118)</f>
        <v>4.6523287003592706E-2</v>
      </c>
    </row>
    <row r="119" spans="1:26" s="24" customFormat="1" hidden="1" outlineLevel="1" x14ac:dyDescent="0.25">
      <c r="A119" s="46"/>
      <c r="B119" s="11" t="str">
        <f>CONCATENATE("          ", "5000", " - ", "PURCHASES @ COST")</f>
        <v xml:space="preserve">          5000 - PURCHASES @ COST</v>
      </c>
      <c r="C119" s="11"/>
      <c r="D119" s="2"/>
      <c r="E119" s="2"/>
      <c r="F119" s="19">
        <f t="shared" si="9"/>
        <v>0</v>
      </c>
      <c r="G119" s="2"/>
      <c r="H119" s="2">
        <v>848063.87623000005</v>
      </c>
      <c r="I119" s="2"/>
      <c r="J119" s="19">
        <f t="shared" si="10"/>
        <v>0.60796188930254513</v>
      </c>
      <c r="K119" s="2"/>
      <c r="L119" s="2">
        <f t="shared" si="11"/>
        <v>-848063.87623000005</v>
      </c>
      <c r="M119" s="2"/>
      <c r="N119" s="19">
        <f t="shared" si="12"/>
        <v>-1</v>
      </c>
      <c r="O119" s="11"/>
      <c r="P119" s="2"/>
      <c r="Q119" s="2"/>
      <c r="R119" s="19">
        <f t="shared" si="13"/>
        <v>0</v>
      </c>
      <c r="S119" s="2"/>
      <c r="T119" s="2">
        <v>3514745.26719</v>
      </c>
      <c r="U119" s="2"/>
      <c r="V119" s="19">
        <f t="shared" si="14"/>
        <v>0.65077357188067542</v>
      </c>
      <c r="W119" s="2"/>
      <c r="X119" s="2">
        <f t="shared" si="15"/>
        <v>-3514745.26719</v>
      </c>
      <c r="Y119" s="2"/>
      <c r="Z119" s="19">
        <f t="shared" si="16"/>
        <v>-1</v>
      </c>
    </row>
    <row r="120" spans="1:26" s="24" customFormat="1" hidden="1" outlineLevel="1" x14ac:dyDescent="0.25">
      <c r="A120" s="46"/>
      <c r="B120" s="11" t="str">
        <f>CONCATENATE("          ", "5001", " - ", "PURCHASES @ COST-NEW TEXT")</f>
        <v xml:space="preserve">          5001 - PURCHASES @ COST-NEW TEXT</v>
      </c>
      <c r="C120" s="11"/>
      <c r="D120" s="2">
        <v>104892.25</v>
      </c>
      <c r="E120" s="2"/>
      <c r="F120" s="19">
        <f t="shared" si="9"/>
        <v>7.4529897425996944E-2</v>
      </c>
      <c r="G120" s="2"/>
      <c r="H120" s="2"/>
      <c r="I120" s="2"/>
      <c r="J120" s="19">
        <f t="shared" si="10"/>
        <v>0</v>
      </c>
      <c r="K120" s="2"/>
      <c r="L120" s="2">
        <f t="shared" si="11"/>
        <v>104892.25</v>
      </c>
      <c r="M120" s="2"/>
      <c r="N120" s="19">
        <f t="shared" si="12"/>
        <v>0</v>
      </c>
      <c r="O120" s="11"/>
      <c r="P120" s="2">
        <v>1932650.95</v>
      </c>
      <c r="Q120" s="2"/>
      <c r="R120" s="19">
        <f t="shared" si="13"/>
        <v>0.36231443992078255</v>
      </c>
      <c r="S120" s="2"/>
      <c r="T120" s="2"/>
      <c r="U120" s="2"/>
      <c r="V120" s="19">
        <f t="shared" si="14"/>
        <v>0</v>
      </c>
      <c r="W120" s="2"/>
      <c r="X120" s="2">
        <f t="shared" si="15"/>
        <v>1932650.95</v>
      </c>
      <c r="Y120" s="2"/>
      <c r="Z120" s="19">
        <f t="shared" si="16"/>
        <v>0</v>
      </c>
    </row>
    <row r="121" spans="1:26" s="24" customFormat="1" hidden="1" outlineLevel="1" x14ac:dyDescent="0.25">
      <c r="A121" s="46"/>
      <c r="B121" s="11" t="str">
        <f>CONCATENATE("          ", "5002", " - ", "PURCHASES @ COST-USED TEXT")</f>
        <v xml:space="preserve">          5002 - PURCHASES @ COST-USED TEXT</v>
      </c>
      <c r="C121" s="11"/>
      <c r="D121" s="2">
        <v>18830.57</v>
      </c>
      <c r="E121" s="2"/>
      <c r="F121" s="19">
        <f t="shared" si="9"/>
        <v>1.3379829783163726E-2</v>
      </c>
      <c r="G121" s="2"/>
      <c r="H121" s="2"/>
      <c r="I121" s="2"/>
      <c r="J121" s="19">
        <f t="shared" si="10"/>
        <v>0</v>
      </c>
      <c r="K121" s="2"/>
      <c r="L121" s="2">
        <f t="shared" si="11"/>
        <v>18830.57</v>
      </c>
      <c r="M121" s="2"/>
      <c r="N121" s="19">
        <f t="shared" si="12"/>
        <v>0</v>
      </c>
      <c r="O121" s="11"/>
      <c r="P121" s="2">
        <v>353811.24</v>
      </c>
      <c r="Q121" s="2"/>
      <c r="R121" s="19">
        <f t="shared" si="13"/>
        <v>6.6329060225943842E-2</v>
      </c>
      <c r="S121" s="2"/>
      <c r="T121" s="2"/>
      <c r="U121" s="2"/>
      <c r="V121" s="19">
        <f t="shared" si="14"/>
        <v>0</v>
      </c>
      <c r="W121" s="2"/>
      <c r="X121" s="2">
        <f t="shared" si="15"/>
        <v>353811.24</v>
      </c>
      <c r="Y121" s="2"/>
      <c r="Z121" s="19">
        <f t="shared" si="16"/>
        <v>0</v>
      </c>
    </row>
    <row r="122" spans="1:26" s="24" customFormat="1" hidden="1" outlineLevel="1" x14ac:dyDescent="0.25">
      <c r="A122" s="46"/>
      <c r="B122" s="11" t="str">
        <f>CONCATENATE("          ", "5003", " - ", "PURCHASES @ COST-RENTAL TEXT")</f>
        <v xml:space="preserve">          5003 - PURCHASES @ COST-RENTAL TEXT</v>
      </c>
      <c r="C122" s="11"/>
      <c r="D122" s="2"/>
      <c r="E122" s="2"/>
      <c r="F122" s="19">
        <f t="shared" si="9"/>
        <v>0</v>
      </c>
      <c r="G122" s="2"/>
      <c r="H122" s="2"/>
      <c r="I122" s="2"/>
      <c r="J122" s="19">
        <f t="shared" si="10"/>
        <v>0</v>
      </c>
      <c r="K122" s="2"/>
      <c r="L122" s="2">
        <f t="shared" si="11"/>
        <v>0</v>
      </c>
      <c r="M122" s="2"/>
      <c r="N122" s="19">
        <f t="shared" si="12"/>
        <v>0</v>
      </c>
      <c r="O122" s="11"/>
      <c r="P122" s="2">
        <v>-78.400000000000006</v>
      </c>
      <c r="Q122" s="2"/>
      <c r="R122" s="19">
        <f t="shared" si="13"/>
        <v>-1.4697662860326307E-5</v>
      </c>
      <c r="S122" s="2"/>
      <c r="T122" s="2"/>
      <c r="U122" s="2"/>
      <c r="V122" s="19">
        <f t="shared" si="14"/>
        <v>0</v>
      </c>
      <c r="W122" s="2"/>
      <c r="X122" s="2">
        <f t="shared" si="15"/>
        <v>-78.400000000000006</v>
      </c>
      <c r="Y122" s="2"/>
      <c r="Z122" s="19">
        <f t="shared" si="16"/>
        <v>0</v>
      </c>
    </row>
    <row r="123" spans="1:26" s="24" customFormat="1" hidden="1" outlineLevel="1" x14ac:dyDescent="0.25">
      <c r="A123" s="46"/>
      <c r="B123" s="11" t="str">
        <f>CONCATENATE("          ", "5004", " - ", "PURCHASES @ COST-DIGITAL TEXT")</f>
        <v xml:space="preserve">          5004 - PURCHASES @ COST-DIGITAL TEXT</v>
      </c>
      <c r="C123" s="11"/>
      <c r="D123" s="2">
        <v>50761.9</v>
      </c>
      <c r="E123" s="2"/>
      <c r="F123" s="19">
        <f t="shared" si="9"/>
        <v>3.6068243365441337E-2</v>
      </c>
      <c r="G123" s="2"/>
      <c r="H123" s="2"/>
      <c r="I123" s="2"/>
      <c r="J123" s="19">
        <f t="shared" si="10"/>
        <v>0</v>
      </c>
      <c r="K123" s="2"/>
      <c r="L123" s="2">
        <f t="shared" si="11"/>
        <v>50761.9</v>
      </c>
      <c r="M123" s="2"/>
      <c r="N123" s="19">
        <f t="shared" si="12"/>
        <v>0</v>
      </c>
      <c r="O123" s="11"/>
      <c r="P123" s="2">
        <v>353728.39</v>
      </c>
      <c r="Q123" s="2"/>
      <c r="R123" s="19">
        <f t="shared" si="13"/>
        <v>6.6313528320740042E-2</v>
      </c>
      <c r="S123" s="2"/>
      <c r="T123" s="2"/>
      <c r="U123" s="2"/>
      <c r="V123" s="19">
        <f t="shared" si="14"/>
        <v>0</v>
      </c>
      <c r="W123" s="2"/>
      <c r="X123" s="2">
        <f t="shared" si="15"/>
        <v>353728.39</v>
      </c>
      <c r="Y123" s="2"/>
      <c r="Z123" s="19">
        <f t="shared" si="16"/>
        <v>0</v>
      </c>
    </row>
    <row r="124" spans="1:26" s="24" customFormat="1" hidden="1" outlineLevel="1" x14ac:dyDescent="0.25">
      <c r="A124" s="46"/>
      <c r="B124" s="11" t="str">
        <f>CONCATENATE("          ", "5011", " - ", "PURCHASES @ COST-NO VALUE TEXT")</f>
        <v xml:space="preserve">          5011 - PURCHASES @ COST-NO VALUE TEXT</v>
      </c>
      <c r="C124" s="11"/>
      <c r="D124" s="2">
        <v>2928</v>
      </c>
      <c r="E124" s="2"/>
      <c r="F124" s="19">
        <f t="shared" si="9"/>
        <v>2.0804543678233527E-3</v>
      </c>
      <c r="G124" s="2"/>
      <c r="H124" s="2"/>
      <c r="I124" s="2"/>
      <c r="J124" s="19">
        <f t="shared" si="10"/>
        <v>0</v>
      </c>
      <c r="K124" s="2"/>
      <c r="L124" s="2">
        <f t="shared" si="11"/>
        <v>2928</v>
      </c>
      <c r="M124" s="2"/>
      <c r="N124" s="19">
        <f t="shared" si="12"/>
        <v>0</v>
      </c>
      <c r="O124" s="11"/>
      <c r="P124" s="2">
        <v>3585</v>
      </c>
      <c r="Q124" s="2"/>
      <c r="R124" s="19">
        <f t="shared" si="13"/>
        <v>6.720806295187476E-4</v>
      </c>
      <c r="S124" s="2"/>
      <c r="T124" s="2"/>
      <c r="U124" s="2"/>
      <c r="V124" s="19">
        <f t="shared" si="14"/>
        <v>0</v>
      </c>
      <c r="W124" s="2"/>
      <c r="X124" s="2">
        <f t="shared" si="15"/>
        <v>3585</v>
      </c>
      <c r="Y124" s="2"/>
      <c r="Z124" s="19">
        <f t="shared" si="16"/>
        <v>0</v>
      </c>
    </row>
    <row r="125" spans="1:26" s="24" customFormat="1" hidden="1" outlineLevel="1" x14ac:dyDescent="0.25">
      <c r="A125" s="46"/>
      <c r="B125" s="11" t="str">
        <f>CONCATENATE("          ", "5013", " - ", "PURCHASES @ COST-TRADE BOOKS")</f>
        <v xml:space="preserve">          5013 - PURCHASES @ COST-TRADE BOOKS</v>
      </c>
      <c r="C125" s="11"/>
      <c r="D125" s="2">
        <v>269.89</v>
      </c>
      <c r="E125" s="2"/>
      <c r="F125" s="19">
        <f t="shared" si="9"/>
        <v>1.9176701821442779E-4</v>
      </c>
      <c r="G125" s="2"/>
      <c r="H125" s="2"/>
      <c r="I125" s="2"/>
      <c r="J125" s="19">
        <f t="shared" si="10"/>
        <v>0</v>
      </c>
      <c r="K125" s="2"/>
      <c r="L125" s="2">
        <f t="shared" si="11"/>
        <v>269.89</v>
      </c>
      <c r="M125" s="2"/>
      <c r="N125" s="19">
        <f t="shared" si="12"/>
        <v>0</v>
      </c>
      <c r="O125" s="11"/>
      <c r="P125" s="2">
        <v>474.79</v>
      </c>
      <c r="Q125" s="2"/>
      <c r="R125" s="19">
        <f t="shared" si="13"/>
        <v>8.9008971294060303E-5</v>
      </c>
      <c r="S125" s="2"/>
      <c r="T125" s="2"/>
      <c r="U125" s="2"/>
      <c r="V125" s="19">
        <f t="shared" si="14"/>
        <v>0</v>
      </c>
      <c r="W125" s="2"/>
      <c r="X125" s="2">
        <f t="shared" si="15"/>
        <v>474.79</v>
      </c>
      <c r="Y125" s="2"/>
      <c r="Z125" s="19">
        <f t="shared" si="16"/>
        <v>0</v>
      </c>
    </row>
    <row r="126" spans="1:26" s="24" customFormat="1" hidden="1" outlineLevel="1" x14ac:dyDescent="0.25">
      <c r="A126" s="46"/>
      <c r="B126" s="11" t="str">
        <f>CONCATENATE("          ", "5014", " - ", "PURCHASES @ COST-REMAINDERS")</f>
        <v xml:space="preserve">          5014 - PURCHASES @ COST-REMAINDERS</v>
      </c>
      <c r="C126" s="11"/>
      <c r="D126" s="2">
        <v>55.65</v>
      </c>
      <c r="E126" s="2"/>
      <c r="F126" s="19">
        <f t="shared" si="9"/>
        <v>3.9541422667134412E-5</v>
      </c>
      <c r="G126" s="2"/>
      <c r="H126" s="2"/>
      <c r="I126" s="2"/>
      <c r="J126" s="19">
        <f t="shared" si="10"/>
        <v>0</v>
      </c>
      <c r="K126" s="2"/>
      <c r="L126" s="2">
        <f t="shared" si="11"/>
        <v>55.65</v>
      </c>
      <c r="M126" s="2"/>
      <c r="N126" s="19">
        <f t="shared" si="12"/>
        <v>0</v>
      </c>
      <c r="O126" s="11"/>
      <c r="P126" s="2">
        <v>289.97000000000003</v>
      </c>
      <c r="Q126" s="2"/>
      <c r="R126" s="19">
        <f t="shared" si="13"/>
        <v>5.4360730862357391E-5</v>
      </c>
      <c r="S126" s="2"/>
      <c r="T126" s="2"/>
      <c r="U126" s="2"/>
      <c r="V126" s="19">
        <f t="shared" si="14"/>
        <v>0</v>
      </c>
      <c r="W126" s="2"/>
      <c r="X126" s="2">
        <f t="shared" si="15"/>
        <v>289.97000000000003</v>
      </c>
      <c r="Y126" s="2"/>
      <c r="Z126" s="19">
        <f t="shared" si="16"/>
        <v>0</v>
      </c>
    </row>
    <row r="127" spans="1:26" s="24" customFormat="1" hidden="1" outlineLevel="1" x14ac:dyDescent="0.25">
      <c r="A127" s="46"/>
      <c r="B127" s="11" t="str">
        <f>CONCATENATE("          ", "5017", " - ", "PURCHASES @ COST-DORM/HOUSEWAR")</f>
        <v xml:space="preserve">          5017 - PURCHASES @ COST-DORM/HOUSEWAR</v>
      </c>
      <c r="C127" s="11"/>
      <c r="D127" s="2">
        <v>-139.86000000000001</v>
      </c>
      <c r="E127" s="2"/>
      <c r="F127" s="19">
        <f t="shared" si="9"/>
        <v>-9.9375801872873674E-5</v>
      </c>
      <c r="G127" s="2"/>
      <c r="H127" s="2"/>
      <c r="I127" s="2"/>
      <c r="J127" s="19">
        <f t="shared" si="10"/>
        <v>0</v>
      </c>
      <c r="K127" s="2"/>
      <c r="L127" s="2">
        <f t="shared" si="11"/>
        <v>-139.86000000000001</v>
      </c>
      <c r="M127" s="2"/>
      <c r="N127" s="19">
        <f t="shared" si="12"/>
        <v>0</v>
      </c>
      <c r="O127" s="11"/>
      <c r="P127" s="2">
        <v>0</v>
      </c>
      <c r="Q127" s="2"/>
      <c r="R127" s="19">
        <f t="shared" si="13"/>
        <v>0</v>
      </c>
      <c r="S127" s="2"/>
      <c r="T127" s="2"/>
      <c r="U127" s="2"/>
      <c r="V127" s="19">
        <f t="shared" si="14"/>
        <v>0</v>
      </c>
      <c r="W127" s="2"/>
      <c r="X127" s="2">
        <f t="shared" si="15"/>
        <v>0</v>
      </c>
      <c r="Y127" s="2"/>
      <c r="Z127" s="19">
        <f t="shared" si="16"/>
        <v>0</v>
      </c>
    </row>
    <row r="128" spans="1:26" s="24" customFormat="1" hidden="1" outlineLevel="1" x14ac:dyDescent="0.25">
      <c r="A128" s="46"/>
      <c r="B128" s="11" t="str">
        <f>CONCATENATE("          ", "5018", " - ", "PURCHASES @ COST-STUDY GUIDES")</f>
        <v xml:space="preserve">          5018 - PURCHASES @ COST-STUDY GUIDES</v>
      </c>
      <c r="C128" s="11"/>
      <c r="D128" s="2"/>
      <c r="E128" s="2"/>
      <c r="F128" s="19">
        <f t="shared" si="9"/>
        <v>0</v>
      </c>
      <c r="G128" s="2"/>
      <c r="H128" s="2"/>
      <c r="I128" s="2"/>
      <c r="J128" s="19">
        <f t="shared" si="10"/>
        <v>0</v>
      </c>
      <c r="K128" s="2"/>
      <c r="L128" s="2">
        <f t="shared" si="11"/>
        <v>0</v>
      </c>
      <c r="M128" s="2"/>
      <c r="N128" s="19">
        <f t="shared" si="12"/>
        <v>0</v>
      </c>
      <c r="O128" s="11"/>
      <c r="P128" s="2">
        <v>503.93</v>
      </c>
      <c r="Q128" s="2"/>
      <c r="R128" s="19">
        <f t="shared" si="13"/>
        <v>9.4471852617400968E-5</v>
      </c>
      <c r="S128" s="2"/>
      <c r="T128" s="2"/>
      <c r="U128" s="2"/>
      <c r="V128" s="19">
        <f t="shared" si="14"/>
        <v>0</v>
      </c>
      <c r="W128" s="2"/>
      <c r="X128" s="2">
        <f t="shared" si="15"/>
        <v>503.93</v>
      </c>
      <c r="Y128" s="2"/>
      <c r="Z128" s="19">
        <f t="shared" si="16"/>
        <v>0</v>
      </c>
    </row>
    <row r="129" spans="1:26" s="24" customFormat="1" hidden="1" outlineLevel="1" x14ac:dyDescent="0.25">
      <c r="A129" s="46"/>
      <c r="B129" s="11" t="str">
        <f>CONCATENATE("          ", "5025", " - ", "PURCHASES @ COST-TEST FORMS")</f>
        <v xml:space="preserve">          5025 - PURCHASES @ COST-TEST FORMS</v>
      </c>
      <c r="C129" s="11"/>
      <c r="D129" s="2">
        <v>1495.25</v>
      </c>
      <c r="E129" s="2"/>
      <c r="F129" s="19">
        <f t="shared" si="9"/>
        <v>1.0624314868469494E-3</v>
      </c>
      <c r="G129" s="2"/>
      <c r="H129" s="2"/>
      <c r="I129" s="2"/>
      <c r="J129" s="19">
        <f t="shared" si="10"/>
        <v>0</v>
      </c>
      <c r="K129" s="2"/>
      <c r="L129" s="2">
        <f t="shared" si="11"/>
        <v>1495.25</v>
      </c>
      <c r="M129" s="2"/>
      <c r="N129" s="19">
        <f t="shared" si="12"/>
        <v>0</v>
      </c>
      <c r="O129" s="11"/>
      <c r="P129" s="2">
        <v>3252.39</v>
      </c>
      <c r="Q129" s="2"/>
      <c r="R129" s="19">
        <f t="shared" si="13"/>
        <v>6.0972616977419231E-4</v>
      </c>
      <c r="S129" s="2"/>
      <c r="T129" s="2"/>
      <c r="U129" s="2"/>
      <c r="V129" s="19">
        <f t="shared" si="14"/>
        <v>0</v>
      </c>
      <c r="W129" s="2"/>
      <c r="X129" s="2">
        <f t="shared" si="15"/>
        <v>3252.39</v>
      </c>
      <c r="Y129" s="2"/>
      <c r="Z129" s="19">
        <f t="shared" si="16"/>
        <v>0</v>
      </c>
    </row>
    <row r="130" spans="1:26" s="24" customFormat="1" hidden="1" outlineLevel="1" x14ac:dyDescent="0.25">
      <c r="A130" s="46"/>
      <c r="B130" s="11" t="str">
        <f>CONCATENATE("          ", "5026", " - ", "PURCHASES @ COST-WRITING INSTR")</f>
        <v xml:space="preserve">          5026 - PURCHASES @ COST-WRITING INSTR</v>
      </c>
      <c r="C130" s="11"/>
      <c r="D130" s="2">
        <v>2250.85</v>
      </c>
      <c r="E130" s="2"/>
      <c r="F130" s="19">
        <f t="shared" si="9"/>
        <v>1.5993137683795058E-3</v>
      </c>
      <c r="G130" s="2"/>
      <c r="H130" s="2"/>
      <c r="I130" s="2"/>
      <c r="J130" s="19">
        <f t="shared" si="10"/>
        <v>0</v>
      </c>
      <c r="K130" s="2"/>
      <c r="L130" s="2">
        <f t="shared" si="11"/>
        <v>2250.85</v>
      </c>
      <c r="M130" s="2"/>
      <c r="N130" s="19">
        <f t="shared" si="12"/>
        <v>0</v>
      </c>
      <c r="O130" s="11"/>
      <c r="P130" s="2">
        <v>14787.38</v>
      </c>
      <c r="Q130" s="2"/>
      <c r="R130" s="19">
        <f t="shared" si="13"/>
        <v>2.7721929314736228E-3</v>
      </c>
      <c r="S130" s="2"/>
      <c r="T130" s="2"/>
      <c r="U130" s="2"/>
      <c r="V130" s="19">
        <f t="shared" si="14"/>
        <v>0</v>
      </c>
      <c r="W130" s="2"/>
      <c r="X130" s="2">
        <f t="shared" si="15"/>
        <v>14787.38</v>
      </c>
      <c r="Y130" s="2"/>
      <c r="Z130" s="19">
        <f t="shared" si="16"/>
        <v>0</v>
      </c>
    </row>
    <row r="131" spans="1:26" s="24" customFormat="1" hidden="1" outlineLevel="1" x14ac:dyDescent="0.25">
      <c r="A131" s="46"/>
      <c r="B131" s="11" t="str">
        <f>CONCATENATE("          ", "5027", " - ", "PURCHASES @ COST-SCHOOL SUPPLI")</f>
        <v xml:space="preserve">          5027 - PURCHASES @ COST-SCHOOL SUPPLI</v>
      </c>
      <c r="C131" s="11"/>
      <c r="D131" s="2">
        <v>12655.95</v>
      </c>
      <c r="E131" s="2"/>
      <c r="F131" s="19">
        <f t="shared" si="9"/>
        <v>8.9925295274774462E-3</v>
      </c>
      <c r="G131" s="2"/>
      <c r="H131" s="2"/>
      <c r="I131" s="2"/>
      <c r="J131" s="19">
        <f t="shared" si="10"/>
        <v>0</v>
      </c>
      <c r="K131" s="2"/>
      <c r="L131" s="2">
        <f t="shared" si="11"/>
        <v>12655.95</v>
      </c>
      <c r="M131" s="2"/>
      <c r="N131" s="19">
        <f t="shared" si="12"/>
        <v>0</v>
      </c>
      <c r="O131" s="11"/>
      <c r="P131" s="2">
        <v>62182.680000000008</v>
      </c>
      <c r="Q131" s="2"/>
      <c r="R131" s="19">
        <f t="shared" si="13"/>
        <v>1.1657398806014739E-2</v>
      </c>
      <c r="S131" s="2"/>
      <c r="T131" s="2"/>
      <c r="U131" s="2"/>
      <c r="V131" s="19">
        <f t="shared" si="14"/>
        <v>0</v>
      </c>
      <c r="W131" s="2"/>
      <c r="X131" s="2">
        <f t="shared" si="15"/>
        <v>62182.680000000008</v>
      </c>
      <c r="Y131" s="2"/>
      <c r="Z131" s="19">
        <f t="shared" si="16"/>
        <v>0</v>
      </c>
    </row>
    <row r="132" spans="1:26" s="24" customFormat="1" hidden="1" outlineLevel="1" x14ac:dyDescent="0.25">
      <c r="A132" s="46"/>
      <c r="B132" s="11" t="str">
        <f>CONCATENATE("          ", "5028", " - ", "PURCHASES @ COST-ART/TECH")</f>
        <v xml:space="preserve">          5028 - PURCHASES @ COST-ART/TECH</v>
      </c>
      <c r="C132" s="11"/>
      <c r="D132" s="2">
        <v>14830.009999999998</v>
      </c>
      <c r="E132" s="2"/>
      <c r="F132" s="19">
        <f t="shared" si="9"/>
        <v>1.0537281106340161E-2</v>
      </c>
      <c r="G132" s="2"/>
      <c r="H132" s="2"/>
      <c r="I132" s="2"/>
      <c r="J132" s="19">
        <f t="shared" si="10"/>
        <v>0</v>
      </c>
      <c r="K132" s="2"/>
      <c r="L132" s="2">
        <f t="shared" si="11"/>
        <v>14830.009999999998</v>
      </c>
      <c r="M132" s="2"/>
      <c r="N132" s="19">
        <f t="shared" si="12"/>
        <v>0</v>
      </c>
      <c r="O132" s="11"/>
      <c r="P132" s="2">
        <v>70844.78</v>
      </c>
      <c r="Q132" s="2"/>
      <c r="R132" s="19">
        <f t="shared" si="13"/>
        <v>1.3281284334872294E-2</v>
      </c>
      <c r="S132" s="2"/>
      <c r="T132" s="2"/>
      <c r="U132" s="2"/>
      <c r="V132" s="19">
        <f t="shared" si="14"/>
        <v>0</v>
      </c>
      <c r="W132" s="2"/>
      <c r="X132" s="2">
        <f t="shared" si="15"/>
        <v>70844.78</v>
      </c>
      <c r="Y132" s="2"/>
      <c r="Z132" s="19">
        <f t="shared" si="16"/>
        <v>0</v>
      </c>
    </row>
    <row r="133" spans="1:26" s="24" customFormat="1" hidden="1" outlineLevel="1" x14ac:dyDescent="0.25">
      <c r="A133" s="46"/>
      <c r="B133" s="11" t="str">
        <f>CONCATENATE("          ", "5031", " - ", "PURCHASES @ COST-FOOD")</f>
        <v xml:space="preserve">          5031 - PURCHASES @ COST-FOOD</v>
      </c>
      <c r="C133" s="11"/>
      <c r="D133" s="2">
        <v>5471.01</v>
      </c>
      <c r="E133" s="2"/>
      <c r="F133" s="19">
        <f t="shared" si="9"/>
        <v>3.8873588288610792E-3</v>
      </c>
      <c r="G133" s="2"/>
      <c r="H133" s="2"/>
      <c r="I133" s="2"/>
      <c r="J133" s="19">
        <f t="shared" si="10"/>
        <v>0</v>
      </c>
      <c r="K133" s="2"/>
      <c r="L133" s="2">
        <f t="shared" si="11"/>
        <v>5471.01</v>
      </c>
      <c r="M133" s="2"/>
      <c r="N133" s="19">
        <f t="shared" si="12"/>
        <v>0</v>
      </c>
      <c r="O133" s="11"/>
      <c r="P133" s="2">
        <v>8150.05</v>
      </c>
      <c r="Q133" s="2"/>
      <c r="R133" s="19">
        <f t="shared" si="13"/>
        <v>1.5278914183010513E-3</v>
      </c>
      <c r="S133" s="2"/>
      <c r="T133" s="2"/>
      <c r="U133" s="2"/>
      <c r="V133" s="19">
        <f t="shared" si="14"/>
        <v>0</v>
      </c>
      <c r="W133" s="2"/>
      <c r="X133" s="2">
        <f t="shared" si="15"/>
        <v>8150.05</v>
      </c>
      <c r="Y133" s="2"/>
      <c r="Z133" s="19">
        <f t="shared" si="16"/>
        <v>0</v>
      </c>
    </row>
    <row r="134" spans="1:26" s="24" customFormat="1" hidden="1" outlineLevel="1" x14ac:dyDescent="0.25">
      <c r="A134" s="46"/>
      <c r="B134" s="11" t="str">
        <f>CONCATENATE("          ", "5032", " - ", "PURCHASES @ COST-JUICE")</f>
        <v xml:space="preserve">          5032 - PURCHASES @ COST-JUICE</v>
      </c>
      <c r="C134" s="11"/>
      <c r="D134" s="2">
        <v>477.55</v>
      </c>
      <c r="E134" s="2"/>
      <c r="F134" s="19">
        <f t="shared" si="9"/>
        <v>3.3931727573567009E-4</v>
      </c>
      <c r="G134" s="2"/>
      <c r="H134" s="2"/>
      <c r="I134" s="2"/>
      <c r="J134" s="19">
        <f t="shared" si="10"/>
        <v>0</v>
      </c>
      <c r="K134" s="2"/>
      <c r="L134" s="2">
        <f t="shared" si="11"/>
        <v>477.55</v>
      </c>
      <c r="M134" s="2"/>
      <c r="N134" s="19">
        <f t="shared" si="12"/>
        <v>0</v>
      </c>
      <c r="O134" s="11"/>
      <c r="P134" s="2">
        <v>819.15</v>
      </c>
      <c r="Q134" s="2"/>
      <c r="R134" s="19">
        <f t="shared" si="13"/>
        <v>1.5356620576576906E-4</v>
      </c>
      <c r="S134" s="2"/>
      <c r="T134" s="2"/>
      <c r="U134" s="2"/>
      <c r="V134" s="19">
        <f t="shared" si="14"/>
        <v>0</v>
      </c>
      <c r="W134" s="2"/>
      <c r="X134" s="2">
        <f t="shared" si="15"/>
        <v>819.15</v>
      </c>
      <c r="Y134" s="2"/>
      <c r="Z134" s="19">
        <f t="shared" si="16"/>
        <v>0</v>
      </c>
    </row>
    <row r="135" spans="1:26" s="24" customFormat="1" hidden="1" outlineLevel="1" x14ac:dyDescent="0.25">
      <c r="A135" s="46"/>
      <c r="B135" s="11" t="str">
        <f>CONCATENATE("          ", "5033", " - ", "PURCHASES @ COST-CANDY")</f>
        <v xml:space="preserve">          5033 - PURCHASES @ COST-CANDY</v>
      </c>
      <c r="C135" s="11"/>
      <c r="D135" s="2">
        <v>1366.65</v>
      </c>
      <c r="E135" s="2"/>
      <c r="F135" s="19">
        <f t="shared" si="9"/>
        <v>9.710563394077134E-4</v>
      </c>
      <c r="G135" s="2"/>
      <c r="H135" s="2"/>
      <c r="I135" s="2"/>
      <c r="J135" s="19">
        <f t="shared" si="10"/>
        <v>0</v>
      </c>
      <c r="K135" s="2"/>
      <c r="L135" s="2">
        <f t="shared" si="11"/>
        <v>1366.65</v>
      </c>
      <c r="M135" s="2"/>
      <c r="N135" s="19">
        <f t="shared" si="12"/>
        <v>0</v>
      </c>
      <c r="O135" s="11"/>
      <c r="P135" s="2">
        <v>2353.11</v>
      </c>
      <c r="Q135" s="2"/>
      <c r="R135" s="19">
        <f t="shared" si="13"/>
        <v>4.4113797772018414E-4</v>
      </c>
      <c r="S135" s="2"/>
      <c r="T135" s="2"/>
      <c r="U135" s="2"/>
      <c r="V135" s="19">
        <f t="shared" si="14"/>
        <v>0</v>
      </c>
      <c r="W135" s="2"/>
      <c r="X135" s="2">
        <f t="shared" si="15"/>
        <v>2353.11</v>
      </c>
      <c r="Y135" s="2"/>
      <c r="Z135" s="19">
        <f t="shared" si="16"/>
        <v>0</v>
      </c>
    </row>
    <row r="136" spans="1:26" s="24" customFormat="1" hidden="1" outlineLevel="1" x14ac:dyDescent="0.25">
      <c r="A136" s="46"/>
      <c r="B136" s="11" t="str">
        <f>CONCATENATE("          ", "5034", " - ", "PURCHASES @ COST-SODA")</f>
        <v xml:space="preserve">          5034 - PURCHASES @ COST-SODA</v>
      </c>
      <c r="C136" s="11"/>
      <c r="D136" s="2">
        <v>330.04</v>
      </c>
      <c r="E136" s="2"/>
      <c r="F136" s="19">
        <f t="shared" si="9"/>
        <v>2.3450586050424157E-4</v>
      </c>
      <c r="G136" s="2"/>
      <c r="H136" s="2"/>
      <c r="I136" s="2"/>
      <c r="J136" s="19">
        <f t="shared" si="10"/>
        <v>0</v>
      </c>
      <c r="K136" s="2"/>
      <c r="L136" s="2">
        <f t="shared" si="11"/>
        <v>330.04</v>
      </c>
      <c r="M136" s="2"/>
      <c r="N136" s="19">
        <f t="shared" si="12"/>
        <v>0</v>
      </c>
      <c r="O136" s="11"/>
      <c r="P136" s="2">
        <v>618.54</v>
      </c>
      <c r="Q136" s="2"/>
      <c r="R136" s="19">
        <f t="shared" si="13"/>
        <v>1.1595781104115093E-4</v>
      </c>
      <c r="S136" s="2"/>
      <c r="T136" s="2"/>
      <c r="U136" s="2"/>
      <c r="V136" s="19">
        <f t="shared" si="14"/>
        <v>0</v>
      </c>
      <c r="W136" s="2"/>
      <c r="X136" s="2">
        <f t="shared" si="15"/>
        <v>618.54</v>
      </c>
      <c r="Y136" s="2"/>
      <c r="Z136" s="19">
        <f t="shared" si="16"/>
        <v>0</v>
      </c>
    </row>
    <row r="137" spans="1:26" s="24" customFormat="1" hidden="1" outlineLevel="1" x14ac:dyDescent="0.25">
      <c r="A137" s="46"/>
      <c r="B137" s="11" t="str">
        <f>CONCATENATE("          ", "5035", " - ", "PURCHASES @ COST-HEALTH &amp; BEAU")</f>
        <v xml:space="preserve">          5035 - PURCHASES @ COST-HEALTH &amp; BEAU</v>
      </c>
      <c r="C137" s="11"/>
      <c r="D137" s="2">
        <v>210.83</v>
      </c>
      <c r="E137" s="2"/>
      <c r="F137" s="19">
        <f t="shared" si="9"/>
        <v>1.4980266201099638E-4</v>
      </c>
      <c r="G137" s="2"/>
      <c r="H137" s="2"/>
      <c r="I137" s="2"/>
      <c r="J137" s="19">
        <f t="shared" si="10"/>
        <v>0</v>
      </c>
      <c r="K137" s="2"/>
      <c r="L137" s="2">
        <f t="shared" si="11"/>
        <v>210.83</v>
      </c>
      <c r="M137" s="2"/>
      <c r="N137" s="19">
        <f t="shared" si="12"/>
        <v>0</v>
      </c>
      <c r="O137" s="11"/>
      <c r="P137" s="2">
        <v>287.56</v>
      </c>
      <c r="Q137" s="2"/>
      <c r="R137" s="19">
        <f t="shared" si="13"/>
        <v>5.3908927705553992E-5</v>
      </c>
      <c r="S137" s="2"/>
      <c r="T137" s="2"/>
      <c r="U137" s="2"/>
      <c r="V137" s="19">
        <f t="shared" si="14"/>
        <v>0</v>
      </c>
      <c r="W137" s="2"/>
      <c r="X137" s="2">
        <f t="shared" si="15"/>
        <v>287.56</v>
      </c>
      <c r="Y137" s="2"/>
      <c r="Z137" s="19">
        <f t="shared" si="16"/>
        <v>0</v>
      </c>
    </row>
    <row r="138" spans="1:26" s="24" customFormat="1" hidden="1" outlineLevel="1" x14ac:dyDescent="0.25">
      <c r="A138" s="46"/>
      <c r="B138" s="11" t="str">
        <f>CONCATENATE("          ", "5037", " - ", "PURCHASES @ COST-WATER")</f>
        <v xml:space="preserve">          5037 - PURCHASES @ COST-WATER</v>
      </c>
      <c r="C138" s="11"/>
      <c r="D138" s="2">
        <v>896.64</v>
      </c>
      <c r="E138" s="2"/>
      <c r="F138" s="19">
        <f t="shared" si="9"/>
        <v>6.3709651788426593E-4</v>
      </c>
      <c r="G138" s="2"/>
      <c r="H138" s="2"/>
      <c r="I138" s="2"/>
      <c r="J138" s="19">
        <f t="shared" si="10"/>
        <v>0</v>
      </c>
      <c r="K138" s="2"/>
      <c r="L138" s="2">
        <f t="shared" si="11"/>
        <v>896.64</v>
      </c>
      <c r="M138" s="2"/>
      <c r="N138" s="19">
        <f t="shared" si="12"/>
        <v>0</v>
      </c>
      <c r="O138" s="11"/>
      <c r="P138" s="2">
        <v>1392.58</v>
      </c>
      <c r="Q138" s="2"/>
      <c r="R138" s="19">
        <f t="shared" si="13"/>
        <v>2.6106723655654603E-4</v>
      </c>
      <c r="S138" s="2"/>
      <c r="T138" s="2"/>
      <c r="U138" s="2"/>
      <c r="V138" s="19">
        <f t="shared" si="14"/>
        <v>0</v>
      </c>
      <c r="W138" s="2"/>
      <c r="X138" s="2">
        <f t="shared" si="15"/>
        <v>1392.58</v>
      </c>
      <c r="Y138" s="2"/>
      <c r="Z138" s="19">
        <f t="shared" si="16"/>
        <v>0</v>
      </c>
    </row>
    <row r="139" spans="1:26" s="24" customFormat="1" hidden="1" outlineLevel="1" x14ac:dyDescent="0.25">
      <c r="A139" s="46"/>
      <c r="B139" s="11" t="str">
        <f>CONCATENATE("          ", "5040", " - ", "PURCHASES @ COST-LOGO CLOTHING")</f>
        <v xml:space="preserve">          5040 - PURCHASES @ COST-LOGO CLOTHING</v>
      </c>
      <c r="C139" s="11"/>
      <c r="D139" s="2">
        <v>150282.89000000001</v>
      </c>
      <c r="E139" s="2"/>
      <c r="F139" s="19">
        <f t="shared" si="9"/>
        <v>0.10678165809754661</v>
      </c>
      <c r="G139" s="2"/>
      <c r="H139" s="2"/>
      <c r="I139" s="2"/>
      <c r="J139" s="19">
        <f t="shared" si="10"/>
        <v>0</v>
      </c>
      <c r="K139" s="2"/>
      <c r="L139" s="2">
        <f t="shared" si="11"/>
        <v>150282.89000000001</v>
      </c>
      <c r="M139" s="2"/>
      <c r="N139" s="19">
        <f t="shared" si="12"/>
        <v>0</v>
      </c>
      <c r="O139" s="11"/>
      <c r="P139" s="2">
        <v>335851.86000000004</v>
      </c>
      <c r="Q139" s="2"/>
      <c r="R139" s="19">
        <f t="shared" si="13"/>
        <v>6.2962211853233557E-2</v>
      </c>
      <c r="S139" s="2"/>
      <c r="T139" s="2"/>
      <c r="U139" s="2"/>
      <c r="V139" s="19">
        <f t="shared" si="14"/>
        <v>0</v>
      </c>
      <c r="W139" s="2"/>
      <c r="X139" s="2">
        <f t="shared" si="15"/>
        <v>335851.86000000004</v>
      </c>
      <c r="Y139" s="2"/>
      <c r="Z139" s="19">
        <f t="shared" si="16"/>
        <v>0</v>
      </c>
    </row>
    <row r="140" spans="1:26" s="24" customFormat="1" hidden="1" outlineLevel="1" x14ac:dyDescent="0.25">
      <c r="A140" s="46"/>
      <c r="B140" s="11" t="str">
        <f>CONCATENATE("          ", "5041", " - ", "PURCHASES @ COST-LOGO GIFTS")</f>
        <v xml:space="preserve">          5041 - PURCHASES @ COST-LOGO GIFTS</v>
      </c>
      <c r="C140" s="11"/>
      <c r="D140" s="2">
        <v>14167.32</v>
      </c>
      <c r="E140" s="2"/>
      <c r="F140" s="19">
        <f t="shared" si="9"/>
        <v>1.0066414881950526E-2</v>
      </c>
      <c r="G140" s="2"/>
      <c r="H140" s="2"/>
      <c r="I140" s="2"/>
      <c r="J140" s="19">
        <f t="shared" si="10"/>
        <v>0</v>
      </c>
      <c r="K140" s="2"/>
      <c r="L140" s="2">
        <f t="shared" si="11"/>
        <v>14167.32</v>
      </c>
      <c r="M140" s="2"/>
      <c r="N140" s="19">
        <f t="shared" si="12"/>
        <v>0</v>
      </c>
      <c r="O140" s="11"/>
      <c r="P140" s="2">
        <v>42696.480000000003</v>
      </c>
      <c r="Q140" s="2"/>
      <c r="R140" s="19">
        <f t="shared" si="13"/>
        <v>8.0043171985033808E-3</v>
      </c>
      <c r="S140" s="2"/>
      <c r="T140" s="2"/>
      <c r="U140" s="2"/>
      <c r="V140" s="19">
        <f t="shared" si="14"/>
        <v>0</v>
      </c>
      <c r="W140" s="2"/>
      <c r="X140" s="2">
        <f t="shared" si="15"/>
        <v>42696.480000000003</v>
      </c>
      <c r="Y140" s="2"/>
      <c r="Z140" s="19">
        <f t="shared" si="16"/>
        <v>0</v>
      </c>
    </row>
    <row r="141" spans="1:26" s="24" customFormat="1" hidden="1" outlineLevel="1" x14ac:dyDescent="0.25">
      <c r="A141" s="46"/>
      <c r="B141" s="11" t="str">
        <f>CONCATENATE("          ", "5042", " - ", "PURCHASES @ COST-EVERYDAY GIFT")</f>
        <v xml:space="preserve">          5042 - PURCHASES @ COST-EVERYDAY GIFT</v>
      </c>
      <c r="C141" s="11"/>
      <c r="D141" s="2">
        <v>11559.46</v>
      </c>
      <c r="E141" s="2"/>
      <c r="F141" s="19">
        <f t="shared" si="9"/>
        <v>8.2134320514615188E-3</v>
      </c>
      <c r="G141" s="2"/>
      <c r="H141" s="2"/>
      <c r="I141" s="2"/>
      <c r="J141" s="19">
        <f t="shared" si="10"/>
        <v>0</v>
      </c>
      <c r="K141" s="2"/>
      <c r="L141" s="2">
        <f t="shared" si="11"/>
        <v>11559.46</v>
      </c>
      <c r="M141" s="2"/>
      <c r="N141" s="19">
        <f t="shared" si="12"/>
        <v>0</v>
      </c>
      <c r="O141" s="11"/>
      <c r="P141" s="2">
        <v>35291.68</v>
      </c>
      <c r="Q141" s="2"/>
      <c r="R141" s="19">
        <f t="shared" si="13"/>
        <v>6.6161379389607236E-3</v>
      </c>
      <c r="S141" s="2"/>
      <c r="T141" s="2"/>
      <c r="U141" s="2"/>
      <c r="V141" s="19">
        <f t="shared" si="14"/>
        <v>0</v>
      </c>
      <c r="W141" s="2"/>
      <c r="X141" s="2">
        <f t="shared" si="15"/>
        <v>35291.68</v>
      </c>
      <c r="Y141" s="2"/>
      <c r="Z141" s="19">
        <f t="shared" si="16"/>
        <v>0</v>
      </c>
    </row>
    <row r="142" spans="1:26" s="24" customFormat="1" hidden="1" outlineLevel="1" x14ac:dyDescent="0.25">
      <c r="A142" s="46"/>
      <c r="B142" s="11" t="str">
        <f>CONCATENATE("          ", "5043", " - ", "PURCHASES @ COST-CARDS")</f>
        <v xml:space="preserve">          5043 - PURCHASES @ COST-CARDS</v>
      </c>
      <c r="C142" s="11"/>
      <c r="D142" s="2">
        <v>495.49</v>
      </c>
      <c r="E142" s="2"/>
      <c r="F142" s="19">
        <f t="shared" si="9"/>
        <v>3.520643219647517E-4</v>
      </c>
      <c r="G142" s="2"/>
      <c r="H142" s="2"/>
      <c r="I142" s="2"/>
      <c r="J142" s="19">
        <f t="shared" si="10"/>
        <v>0</v>
      </c>
      <c r="K142" s="2"/>
      <c r="L142" s="2">
        <f t="shared" si="11"/>
        <v>495.49</v>
      </c>
      <c r="M142" s="2"/>
      <c r="N142" s="19">
        <f t="shared" si="12"/>
        <v>0</v>
      </c>
      <c r="O142" s="11"/>
      <c r="P142" s="2">
        <v>1008.99</v>
      </c>
      <c r="Q142" s="2"/>
      <c r="R142" s="19">
        <f t="shared" si="13"/>
        <v>1.8915554654898775E-4</v>
      </c>
      <c r="S142" s="2"/>
      <c r="T142" s="2"/>
      <c r="U142" s="2"/>
      <c r="V142" s="19">
        <f t="shared" si="14"/>
        <v>0</v>
      </c>
      <c r="W142" s="2"/>
      <c r="X142" s="2">
        <f t="shared" si="15"/>
        <v>1008.99</v>
      </c>
      <c r="Y142" s="2"/>
      <c r="Z142" s="19">
        <f t="shared" si="16"/>
        <v>0</v>
      </c>
    </row>
    <row r="143" spans="1:26" s="24" customFormat="1" hidden="1" outlineLevel="1" x14ac:dyDescent="0.25">
      <c r="A143" s="46"/>
      <c r="B143" s="11" t="str">
        <f>CONCATENATE("          ", "5044", " - ", "PURCHASES @ COST-ACCESSORIES")</f>
        <v xml:space="preserve">          5044 - PURCHASES @ COST-ACCESSORIES</v>
      </c>
      <c r="C143" s="11"/>
      <c r="D143" s="2">
        <v>2315.5300000000002</v>
      </c>
      <c r="E143" s="2"/>
      <c r="F143" s="19">
        <f t="shared" si="9"/>
        <v>1.6452713464228169E-3</v>
      </c>
      <c r="G143" s="2"/>
      <c r="H143" s="2"/>
      <c r="I143" s="2"/>
      <c r="J143" s="19">
        <f t="shared" si="10"/>
        <v>0</v>
      </c>
      <c r="K143" s="2"/>
      <c r="L143" s="2">
        <f t="shared" si="11"/>
        <v>2315.5300000000002</v>
      </c>
      <c r="M143" s="2"/>
      <c r="N143" s="19">
        <f t="shared" si="12"/>
        <v>0</v>
      </c>
      <c r="O143" s="11"/>
      <c r="P143" s="2">
        <v>20403.649999999998</v>
      </c>
      <c r="Q143" s="2"/>
      <c r="R143" s="19">
        <f t="shared" si="13"/>
        <v>3.8250761329093981E-3</v>
      </c>
      <c r="S143" s="2"/>
      <c r="T143" s="2"/>
      <c r="U143" s="2"/>
      <c r="V143" s="19">
        <f t="shared" si="14"/>
        <v>0</v>
      </c>
      <c r="W143" s="2"/>
      <c r="X143" s="2">
        <f t="shared" si="15"/>
        <v>20403.649999999998</v>
      </c>
      <c r="Y143" s="2"/>
      <c r="Z143" s="19">
        <f t="shared" si="16"/>
        <v>0</v>
      </c>
    </row>
    <row r="144" spans="1:26" s="24" customFormat="1" hidden="1" outlineLevel="1" x14ac:dyDescent="0.25">
      <c r="A144" s="46"/>
      <c r="B144" s="11" t="str">
        <f>CONCATENATE("          ", "5045", " - ", "PURCHASES @ COST-SPECIAL ORDER")</f>
        <v xml:space="preserve">          5045 - PURCHASES @ COST-SPECIAL ORDER</v>
      </c>
      <c r="C144" s="11"/>
      <c r="D144" s="2">
        <v>4318.3999999999996</v>
      </c>
      <c r="E144" s="2"/>
      <c r="F144" s="19">
        <f t="shared" si="9"/>
        <v>3.0683859774618735E-3</v>
      </c>
      <c r="G144" s="2"/>
      <c r="H144" s="2"/>
      <c r="I144" s="2"/>
      <c r="J144" s="19">
        <f t="shared" si="10"/>
        <v>0</v>
      </c>
      <c r="K144" s="2"/>
      <c r="L144" s="2">
        <f t="shared" si="11"/>
        <v>4318.3999999999996</v>
      </c>
      <c r="M144" s="2"/>
      <c r="N144" s="19">
        <f t="shared" si="12"/>
        <v>0</v>
      </c>
      <c r="O144" s="11"/>
      <c r="P144" s="2">
        <v>24464.030000000002</v>
      </c>
      <c r="Q144" s="2"/>
      <c r="R144" s="19">
        <f t="shared" si="13"/>
        <v>4.5862763411340388E-3</v>
      </c>
      <c r="S144" s="2"/>
      <c r="T144" s="2"/>
      <c r="U144" s="2"/>
      <c r="V144" s="19">
        <f t="shared" si="14"/>
        <v>0</v>
      </c>
      <c r="W144" s="2"/>
      <c r="X144" s="2">
        <f t="shared" si="15"/>
        <v>24464.030000000002</v>
      </c>
      <c r="Y144" s="2"/>
      <c r="Z144" s="19">
        <f t="shared" si="16"/>
        <v>0</v>
      </c>
    </row>
    <row r="145" spans="1:26" s="24" customFormat="1" hidden="1" outlineLevel="1" x14ac:dyDescent="0.25">
      <c r="A145" s="46"/>
      <c r="B145" s="11" t="str">
        <f>CONCATENATE("          ", "5081", " - ", "PURCHASES @ COST-ELECTRONICS")</f>
        <v xml:space="preserve">          5081 - PURCHASES @ COST-ELECTRONICS</v>
      </c>
      <c r="C145" s="11"/>
      <c r="D145" s="2">
        <v>66395.33</v>
      </c>
      <c r="E145" s="2"/>
      <c r="F145" s="19">
        <f t="shared" si="9"/>
        <v>4.7176384665837734E-2</v>
      </c>
      <c r="G145" s="2"/>
      <c r="H145" s="2"/>
      <c r="I145" s="2"/>
      <c r="J145" s="19">
        <f t="shared" si="10"/>
        <v>0</v>
      </c>
      <c r="K145" s="2"/>
      <c r="L145" s="2">
        <f t="shared" si="11"/>
        <v>66395.33</v>
      </c>
      <c r="M145" s="2"/>
      <c r="N145" s="19">
        <f t="shared" si="12"/>
        <v>0</v>
      </c>
      <c r="O145" s="11"/>
      <c r="P145" s="2">
        <v>150158.17000000001</v>
      </c>
      <c r="Q145" s="2"/>
      <c r="R145" s="19">
        <f t="shared" si="13"/>
        <v>2.8150180591627091E-2</v>
      </c>
      <c r="S145" s="2"/>
      <c r="T145" s="2"/>
      <c r="U145" s="2"/>
      <c r="V145" s="19">
        <f t="shared" si="14"/>
        <v>0</v>
      </c>
      <c r="W145" s="2"/>
      <c r="X145" s="2">
        <f t="shared" si="15"/>
        <v>150158.17000000001</v>
      </c>
      <c r="Y145" s="2"/>
      <c r="Z145" s="19">
        <f t="shared" si="16"/>
        <v>0</v>
      </c>
    </row>
    <row r="146" spans="1:26" s="24" customFormat="1" hidden="1" outlineLevel="1" x14ac:dyDescent="0.25">
      <c r="A146" s="46"/>
      <c r="B146" s="11" t="str">
        <f>CONCATENATE("          ", "5082", " - ", "PURCHASES @ COST-COMPUTER HARD")</f>
        <v xml:space="preserve">          5082 - PURCHASES @ COST-COMPUTER HARD</v>
      </c>
      <c r="C146" s="11"/>
      <c r="D146" s="2">
        <v>127439.07</v>
      </c>
      <c r="E146" s="2"/>
      <c r="F146" s="19">
        <f t="shared" si="9"/>
        <v>9.0550262914223356E-2</v>
      </c>
      <c r="G146" s="2"/>
      <c r="H146" s="2"/>
      <c r="I146" s="2"/>
      <c r="J146" s="19">
        <f t="shared" si="10"/>
        <v>0</v>
      </c>
      <c r="K146" s="2"/>
      <c r="L146" s="2">
        <f t="shared" si="11"/>
        <v>127439.07</v>
      </c>
      <c r="M146" s="2"/>
      <c r="N146" s="19">
        <f t="shared" si="12"/>
        <v>0</v>
      </c>
      <c r="O146" s="11"/>
      <c r="P146" s="2">
        <v>801192.57</v>
      </c>
      <c r="Q146" s="2"/>
      <c r="R146" s="19">
        <f t="shared" si="13"/>
        <v>0.15019972295992837</v>
      </c>
      <c r="S146" s="2"/>
      <c r="T146" s="2"/>
      <c r="U146" s="2"/>
      <c r="V146" s="19">
        <f t="shared" si="14"/>
        <v>0</v>
      </c>
      <c r="W146" s="2"/>
      <c r="X146" s="2">
        <f t="shared" si="15"/>
        <v>801192.57</v>
      </c>
      <c r="Y146" s="2"/>
      <c r="Z146" s="19">
        <f t="shared" si="16"/>
        <v>0</v>
      </c>
    </row>
    <row r="147" spans="1:26" s="24" customFormat="1" hidden="1" outlineLevel="1" x14ac:dyDescent="0.25">
      <c r="A147" s="46"/>
      <c r="B147" s="11" t="str">
        <f>CONCATENATE("          ", "5083", " - ", "PURCHASES @ COST-COMPUTER EQUI")</f>
        <v xml:space="preserve">          5083 - PURCHASES @ COST-COMPUTER EQUI</v>
      </c>
      <c r="C147" s="11"/>
      <c r="D147" s="2">
        <v>10594.52</v>
      </c>
      <c r="E147" s="2"/>
      <c r="F147" s="19">
        <f t="shared" si="9"/>
        <v>7.5278058090819215E-3</v>
      </c>
      <c r="G147" s="2"/>
      <c r="H147" s="2"/>
      <c r="I147" s="2"/>
      <c r="J147" s="19">
        <f t="shared" si="10"/>
        <v>0</v>
      </c>
      <c r="K147" s="2"/>
      <c r="L147" s="2">
        <f t="shared" si="11"/>
        <v>10594.52</v>
      </c>
      <c r="M147" s="2"/>
      <c r="N147" s="19">
        <f t="shared" si="12"/>
        <v>0</v>
      </c>
      <c r="O147" s="11"/>
      <c r="P147" s="2">
        <v>27868.41</v>
      </c>
      <c r="Q147" s="2"/>
      <c r="R147" s="19">
        <f t="shared" si="13"/>
        <v>5.2244961050171715E-3</v>
      </c>
      <c r="S147" s="2"/>
      <c r="T147" s="2"/>
      <c r="U147" s="2"/>
      <c r="V147" s="19">
        <f t="shared" si="14"/>
        <v>0</v>
      </c>
      <c r="W147" s="2"/>
      <c r="X147" s="2">
        <f t="shared" si="15"/>
        <v>27868.41</v>
      </c>
      <c r="Y147" s="2"/>
      <c r="Z147" s="19">
        <f t="shared" si="16"/>
        <v>0</v>
      </c>
    </row>
    <row r="148" spans="1:26" s="24" customFormat="1" hidden="1" outlineLevel="1" x14ac:dyDescent="0.25">
      <c r="A148" s="46"/>
      <c r="B148" s="11" t="str">
        <f>CONCATENATE("          ", "5084", " - ", "PURCHASES @ COST-SOFTWARE LICE")</f>
        <v xml:space="preserve">          5084 - PURCHASES @ COST-SOFTWARE LICE</v>
      </c>
      <c r="C148" s="11"/>
      <c r="D148" s="2"/>
      <c r="E148" s="2"/>
      <c r="F148" s="19">
        <f t="shared" si="9"/>
        <v>0</v>
      </c>
      <c r="G148" s="2"/>
      <c r="H148" s="2"/>
      <c r="I148" s="2"/>
      <c r="J148" s="19">
        <f t="shared" si="10"/>
        <v>0</v>
      </c>
      <c r="K148" s="2"/>
      <c r="L148" s="2">
        <f t="shared" si="11"/>
        <v>0</v>
      </c>
      <c r="M148" s="2"/>
      <c r="N148" s="19">
        <f t="shared" si="12"/>
        <v>0</v>
      </c>
      <c r="O148" s="11"/>
      <c r="P148" s="2">
        <v>1522</v>
      </c>
      <c r="Q148" s="2"/>
      <c r="R148" s="19">
        <f t="shared" si="13"/>
        <v>2.8532962848745714E-4</v>
      </c>
      <c r="S148" s="2"/>
      <c r="T148" s="2"/>
      <c r="U148" s="2"/>
      <c r="V148" s="19">
        <f t="shared" si="14"/>
        <v>0</v>
      </c>
      <c r="W148" s="2"/>
      <c r="X148" s="2">
        <f t="shared" si="15"/>
        <v>1522</v>
      </c>
      <c r="Y148" s="2"/>
      <c r="Z148" s="19">
        <f t="shared" si="16"/>
        <v>0</v>
      </c>
    </row>
    <row r="149" spans="1:26" s="24" customFormat="1" hidden="1" outlineLevel="1" x14ac:dyDescent="0.25">
      <c r="A149" s="46"/>
      <c r="B149" s="11" t="str">
        <f>CONCATENATE("          ", "5085", " - ", "PURCHASES @ COST-SOFTWARE")</f>
        <v xml:space="preserve">          5085 - PURCHASES @ COST-SOFTWARE</v>
      </c>
      <c r="C149" s="11"/>
      <c r="D149" s="2">
        <v>3058</v>
      </c>
      <c r="E149" s="2"/>
      <c r="F149" s="19">
        <f t="shared" si="9"/>
        <v>2.1728242680340887E-3</v>
      </c>
      <c r="G149" s="2"/>
      <c r="H149" s="2"/>
      <c r="I149" s="2"/>
      <c r="J149" s="19">
        <f t="shared" si="10"/>
        <v>0</v>
      </c>
      <c r="K149" s="2"/>
      <c r="L149" s="2">
        <f t="shared" si="11"/>
        <v>3058</v>
      </c>
      <c r="M149" s="2"/>
      <c r="N149" s="19">
        <f t="shared" si="12"/>
        <v>0</v>
      </c>
      <c r="O149" s="11"/>
      <c r="P149" s="2">
        <v>6426</v>
      </c>
      <c r="Q149" s="2"/>
      <c r="R149" s="19">
        <f t="shared" si="13"/>
        <v>1.2046834380160312E-3</v>
      </c>
      <c r="S149" s="2"/>
      <c r="T149" s="2"/>
      <c r="U149" s="2"/>
      <c r="V149" s="19">
        <f t="shared" si="14"/>
        <v>0</v>
      </c>
      <c r="W149" s="2"/>
      <c r="X149" s="2">
        <f t="shared" si="15"/>
        <v>6426</v>
      </c>
      <c r="Y149" s="2"/>
      <c r="Z149" s="19">
        <f t="shared" si="16"/>
        <v>0</v>
      </c>
    </row>
    <row r="150" spans="1:26" s="24" customFormat="1" hidden="1" outlineLevel="1" x14ac:dyDescent="0.25">
      <c r="A150" s="46"/>
      <c r="B150" s="11" t="str">
        <f>CONCATENATE("          ", "5086", " - ", "PURCHASES @ COST-COMPUTER SUPP")</f>
        <v xml:space="preserve">          5086 - PURCHASES @ COST-COMPUTER SUPP</v>
      </c>
      <c r="C150" s="11"/>
      <c r="D150" s="2">
        <v>6301.87</v>
      </c>
      <c r="E150" s="2"/>
      <c r="F150" s="19">
        <f t="shared" si="9"/>
        <v>4.4777161772387129E-3</v>
      </c>
      <c r="G150" s="2"/>
      <c r="H150" s="2"/>
      <c r="I150" s="2"/>
      <c r="J150" s="19">
        <f t="shared" si="10"/>
        <v>0</v>
      </c>
      <c r="K150" s="2"/>
      <c r="L150" s="2">
        <f t="shared" si="11"/>
        <v>6301.87</v>
      </c>
      <c r="M150" s="2"/>
      <c r="N150" s="19">
        <f t="shared" si="12"/>
        <v>0</v>
      </c>
      <c r="O150" s="11"/>
      <c r="P150" s="2">
        <v>12566.75</v>
      </c>
      <c r="Q150" s="2"/>
      <c r="R150" s="19">
        <f t="shared" si="13"/>
        <v>2.3558910044643574E-3</v>
      </c>
      <c r="S150" s="2"/>
      <c r="T150" s="2"/>
      <c r="U150" s="2"/>
      <c r="V150" s="19">
        <f t="shared" si="14"/>
        <v>0</v>
      </c>
      <c r="W150" s="2"/>
      <c r="X150" s="2">
        <f t="shared" si="15"/>
        <v>12566.75</v>
      </c>
      <c r="Y150" s="2"/>
      <c r="Z150" s="19">
        <f t="shared" si="16"/>
        <v>0</v>
      </c>
    </row>
    <row r="151" spans="1:26" s="24" customFormat="1" hidden="1" outlineLevel="1" x14ac:dyDescent="0.25">
      <c r="A151" s="46"/>
      <c r="B151" s="11" t="str">
        <f>CONCATENATE("          ", "5088", " - ", "PURCHASES @ COST-MUSIC")</f>
        <v xml:space="preserve">          5088 - PURCHASES @ COST-MUSIC</v>
      </c>
      <c r="C151" s="11"/>
      <c r="D151" s="2">
        <v>6.75</v>
      </c>
      <c r="E151" s="2"/>
      <c r="F151" s="19">
        <f t="shared" si="9"/>
        <v>4.7961294340189993E-6</v>
      </c>
      <c r="G151" s="2"/>
      <c r="H151" s="2"/>
      <c r="I151" s="2"/>
      <c r="J151" s="19">
        <f t="shared" si="10"/>
        <v>0</v>
      </c>
      <c r="K151" s="2"/>
      <c r="L151" s="2">
        <f t="shared" si="11"/>
        <v>6.75</v>
      </c>
      <c r="M151" s="2"/>
      <c r="N151" s="19">
        <f t="shared" si="12"/>
        <v>0</v>
      </c>
      <c r="O151" s="11"/>
      <c r="P151" s="2">
        <v>88.75</v>
      </c>
      <c r="Q151" s="2"/>
      <c r="R151" s="19">
        <f t="shared" si="13"/>
        <v>1.6637979322116833E-5</v>
      </c>
      <c r="S151" s="2"/>
      <c r="T151" s="2"/>
      <c r="U151" s="2"/>
      <c r="V151" s="19">
        <f t="shared" si="14"/>
        <v>0</v>
      </c>
      <c r="W151" s="2"/>
      <c r="X151" s="2">
        <f t="shared" si="15"/>
        <v>88.75</v>
      </c>
      <c r="Y151" s="2"/>
      <c r="Z151" s="19">
        <f t="shared" si="16"/>
        <v>0</v>
      </c>
    </row>
    <row r="152" spans="1:26" s="24" customFormat="1" hidden="1" outlineLevel="1" x14ac:dyDescent="0.25">
      <c r="A152" s="46"/>
      <c r="B152" s="11" t="str">
        <f>CONCATENATE("          ", "5092", " - ", "PURCHASES @ COST-GRAD MERCH")</f>
        <v xml:space="preserve">          5092 - PURCHASES @ COST-GRAD MERCH</v>
      </c>
      <c r="C152" s="11"/>
      <c r="D152" s="2">
        <v>-628</v>
      </c>
      <c r="E152" s="2"/>
      <c r="F152" s="19">
        <f t="shared" si="9"/>
        <v>-4.4621767178724909E-4</v>
      </c>
      <c r="G152" s="2"/>
      <c r="H152" s="2"/>
      <c r="I152" s="2"/>
      <c r="J152" s="19">
        <f t="shared" si="10"/>
        <v>0</v>
      </c>
      <c r="K152" s="2"/>
      <c r="L152" s="2">
        <f t="shared" si="11"/>
        <v>-628</v>
      </c>
      <c r="M152" s="2"/>
      <c r="N152" s="19">
        <f t="shared" si="12"/>
        <v>0</v>
      </c>
      <c r="O152" s="11"/>
      <c r="P152" s="2">
        <v>0</v>
      </c>
      <c r="Q152" s="2"/>
      <c r="R152" s="19">
        <f t="shared" si="13"/>
        <v>0</v>
      </c>
      <c r="S152" s="2"/>
      <c r="T152" s="2"/>
      <c r="U152" s="2"/>
      <c r="V152" s="19">
        <f t="shared" si="14"/>
        <v>0</v>
      </c>
      <c r="W152" s="2"/>
      <c r="X152" s="2">
        <f t="shared" si="15"/>
        <v>0</v>
      </c>
      <c r="Y152" s="2"/>
      <c r="Z152" s="19">
        <f t="shared" si="16"/>
        <v>0</v>
      </c>
    </row>
    <row r="153" spans="1:26" s="24" customFormat="1" hidden="1" outlineLevel="1" x14ac:dyDescent="0.25">
      <c r="A153" s="46"/>
      <c r="B153" s="11" t="str">
        <f>CONCATENATE("          ", "5095", " - ", "PURCHASES @ COST-CUSTOMER SERV")</f>
        <v xml:space="preserve">          5095 - PURCHASES @ COST-CUSTOMER SERV</v>
      </c>
      <c r="C153" s="11"/>
      <c r="D153" s="2"/>
      <c r="E153" s="2"/>
      <c r="F153" s="19">
        <f t="shared" si="9"/>
        <v>0</v>
      </c>
      <c r="G153" s="2"/>
      <c r="H153" s="2"/>
      <c r="I153" s="2"/>
      <c r="J153" s="19">
        <f t="shared" si="10"/>
        <v>0</v>
      </c>
      <c r="K153" s="2"/>
      <c r="L153" s="2">
        <f t="shared" si="11"/>
        <v>0</v>
      </c>
      <c r="M153" s="2"/>
      <c r="N153" s="19">
        <f t="shared" si="12"/>
        <v>0</v>
      </c>
      <c r="O153" s="11"/>
      <c r="P153" s="2">
        <v>0</v>
      </c>
      <c r="Q153" s="2"/>
      <c r="R153" s="19">
        <f t="shared" si="13"/>
        <v>0</v>
      </c>
      <c r="S153" s="2"/>
      <c r="T153" s="2"/>
      <c r="U153" s="2"/>
      <c r="V153" s="19">
        <f t="shared" si="14"/>
        <v>0</v>
      </c>
      <c r="W153" s="2"/>
      <c r="X153" s="2">
        <f t="shared" si="15"/>
        <v>0</v>
      </c>
      <c r="Y153" s="2"/>
      <c r="Z153" s="19">
        <f t="shared" si="16"/>
        <v>0</v>
      </c>
    </row>
    <row r="154" spans="1:26" s="24" customFormat="1" hidden="1" outlineLevel="1" x14ac:dyDescent="0.25">
      <c r="A154" s="46"/>
      <c r="B154" s="11" t="str">
        <f>CONCATENATE("          ", "5200", " - ", "PURCHASES OFFSET")</f>
        <v xml:space="preserve">          5200 - PURCHASES OFFSET</v>
      </c>
      <c r="C154" s="11"/>
      <c r="D154" s="2">
        <v>-493649</v>
      </c>
      <c r="E154" s="2"/>
      <c r="F154" s="19">
        <f t="shared" si="9"/>
        <v>-0.35075622207022888</v>
      </c>
      <c r="G154" s="2"/>
      <c r="H154" s="2"/>
      <c r="I154" s="2"/>
      <c r="J154" s="19">
        <f t="shared" si="10"/>
        <v>0</v>
      </c>
      <c r="K154" s="2"/>
      <c r="L154" s="2">
        <f t="shared" si="11"/>
        <v>-493649</v>
      </c>
      <c r="M154" s="2"/>
      <c r="N154" s="19">
        <f t="shared" si="12"/>
        <v>0</v>
      </c>
      <c r="O154" s="11"/>
      <c r="P154" s="2">
        <v>-3635482</v>
      </c>
      <c r="Q154" s="2"/>
      <c r="R154" s="19">
        <f t="shared" si="13"/>
        <v>-0.68154449962735719</v>
      </c>
      <c r="S154" s="2"/>
      <c r="T154" s="2"/>
      <c r="U154" s="2"/>
      <c r="V154" s="19">
        <f t="shared" si="14"/>
        <v>0</v>
      </c>
      <c r="W154" s="2"/>
      <c r="X154" s="2">
        <f t="shared" si="15"/>
        <v>-3635482</v>
      </c>
      <c r="Y154" s="2"/>
      <c r="Z154" s="19">
        <f t="shared" si="16"/>
        <v>0</v>
      </c>
    </row>
    <row r="155" spans="1:26" s="24" customFormat="1" hidden="1" outlineLevel="1" x14ac:dyDescent="0.25">
      <c r="A155" s="46"/>
      <c r="B155" s="11" t="str">
        <f>CONCATENATE("          ", "5300", " - ", "COG$ OFFSET")</f>
        <v xml:space="preserve">          5300 - COG$ OFFSET</v>
      </c>
      <c r="C155" s="11"/>
      <c r="D155" s="2">
        <v>777079</v>
      </c>
      <c r="E155" s="2"/>
      <c r="F155" s="19">
        <f t="shared" si="9"/>
        <v>0.55214392066045181</v>
      </c>
      <c r="G155" s="2"/>
      <c r="H155" s="2"/>
      <c r="I155" s="2"/>
      <c r="J155" s="19">
        <f t="shared" si="10"/>
        <v>0</v>
      </c>
      <c r="K155" s="2"/>
      <c r="L155" s="2">
        <f t="shared" si="11"/>
        <v>777079</v>
      </c>
      <c r="M155" s="2"/>
      <c r="N155" s="19">
        <f t="shared" si="12"/>
        <v>0</v>
      </c>
      <c r="O155" s="11"/>
      <c r="P155" s="2">
        <v>3003907</v>
      </c>
      <c r="Q155" s="2"/>
      <c r="R155" s="19">
        <f t="shared" si="13"/>
        <v>0.56314301466548744</v>
      </c>
      <c r="S155" s="2"/>
      <c r="T155" s="2"/>
      <c r="U155" s="2"/>
      <c r="V155" s="19">
        <f t="shared" si="14"/>
        <v>0</v>
      </c>
      <c r="W155" s="2"/>
      <c r="X155" s="2">
        <f t="shared" si="15"/>
        <v>3003907</v>
      </c>
      <c r="Y155" s="2"/>
      <c r="Z155" s="19">
        <f t="shared" si="16"/>
        <v>0</v>
      </c>
    </row>
    <row r="156" spans="1:26" s="24" customFormat="1" hidden="1" outlineLevel="1" x14ac:dyDescent="0.25">
      <c r="A156" s="46"/>
      <c r="B156" s="11" t="str">
        <f>CONCATENATE("          ", "5500", " - ", "FREIGHT-IN")</f>
        <v xml:space="preserve">          5500 - FREIGHT-IN</v>
      </c>
      <c r="C156" s="11"/>
      <c r="D156" s="2">
        <v>-49</v>
      </c>
      <c r="E156" s="2"/>
      <c r="F156" s="19">
        <f t="shared" si="9"/>
        <v>-3.4816347002508291E-5</v>
      </c>
      <c r="G156" s="2"/>
      <c r="H156" s="2"/>
      <c r="I156" s="2"/>
      <c r="J156" s="19">
        <f t="shared" si="10"/>
        <v>0</v>
      </c>
      <c r="K156" s="2"/>
      <c r="L156" s="2">
        <f t="shared" si="11"/>
        <v>-49</v>
      </c>
      <c r="M156" s="2"/>
      <c r="N156" s="19">
        <f t="shared" si="12"/>
        <v>0</v>
      </c>
      <c r="O156" s="11"/>
      <c r="P156" s="2">
        <v>0</v>
      </c>
      <c r="Q156" s="2"/>
      <c r="R156" s="19">
        <f t="shared" si="13"/>
        <v>0</v>
      </c>
      <c r="S156" s="2"/>
      <c r="T156" s="2"/>
      <c r="U156" s="2"/>
      <c r="V156" s="19">
        <f t="shared" si="14"/>
        <v>0</v>
      </c>
      <c r="W156" s="2"/>
      <c r="X156" s="2">
        <f t="shared" si="15"/>
        <v>0</v>
      </c>
      <c r="Y156" s="2"/>
      <c r="Z156" s="19">
        <f t="shared" si="16"/>
        <v>0</v>
      </c>
    </row>
    <row r="157" spans="1:26" s="24" customFormat="1" hidden="1" outlineLevel="1" x14ac:dyDescent="0.25">
      <c r="A157" s="46"/>
      <c r="B157" s="11" t="str">
        <f>CONCATENATE("          ", "5501", " - ", "FREIGHT-IN-NEW TEXT")</f>
        <v xml:space="preserve">          5501 - FREIGHT-IN-NEW TEXT</v>
      </c>
      <c r="C157" s="11"/>
      <c r="D157" s="2">
        <v>13859.22</v>
      </c>
      <c r="E157" s="2"/>
      <c r="F157" s="19">
        <f t="shared" si="9"/>
        <v>9.8474982184510798E-3</v>
      </c>
      <c r="G157" s="2"/>
      <c r="H157" s="2"/>
      <c r="I157" s="2"/>
      <c r="J157" s="19">
        <f t="shared" si="10"/>
        <v>0</v>
      </c>
      <c r="K157" s="2"/>
      <c r="L157" s="2">
        <f t="shared" si="11"/>
        <v>13859.22</v>
      </c>
      <c r="M157" s="2"/>
      <c r="N157" s="19">
        <f t="shared" si="12"/>
        <v>0</v>
      </c>
      <c r="O157" s="11"/>
      <c r="P157" s="2">
        <v>26583.46</v>
      </c>
      <c r="Q157" s="2"/>
      <c r="R157" s="19">
        <f t="shared" si="13"/>
        <v>4.9836062849613512E-3</v>
      </c>
      <c r="S157" s="2"/>
      <c r="T157" s="2"/>
      <c r="U157" s="2"/>
      <c r="V157" s="19">
        <f t="shared" si="14"/>
        <v>0</v>
      </c>
      <c r="W157" s="2"/>
      <c r="X157" s="2">
        <f t="shared" si="15"/>
        <v>26583.46</v>
      </c>
      <c r="Y157" s="2"/>
      <c r="Z157" s="19">
        <f t="shared" si="16"/>
        <v>0</v>
      </c>
    </row>
    <row r="158" spans="1:26" s="24" customFormat="1" hidden="1" outlineLevel="1" x14ac:dyDescent="0.25">
      <c r="A158" s="46"/>
      <c r="B158" s="11" t="str">
        <f>CONCATENATE("          ", "5502", " - ", "FREIGHT-IN-USED TEXT")</f>
        <v xml:space="preserve">          5502 - FREIGHT-IN-USED TEXT</v>
      </c>
      <c r="C158" s="11"/>
      <c r="D158" s="2">
        <v>1998.66</v>
      </c>
      <c r="E158" s="2"/>
      <c r="F158" s="19">
        <f t="shared" si="9"/>
        <v>1.4201232673476168E-3</v>
      </c>
      <c r="G158" s="2"/>
      <c r="H158" s="2"/>
      <c r="I158" s="2"/>
      <c r="J158" s="19">
        <f t="shared" si="10"/>
        <v>0</v>
      </c>
      <c r="K158" s="2"/>
      <c r="L158" s="2">
        <f t="shared" si="11"/>
        <v>1998.66</v>
      </c>
      <c r="M158" s="2"/>
      <c r="N158" s="19">
        <f t="shared" si="12"/>
        <v>0</v>
      </c>
      <c r="O158" s="11"/>
      <c r="P158" s="2">
        <v>6261.17</v>
      </c>
      <c r="Q158" s="2"/>
      <c r="R158" s="19">
        <f t="shared" si="13"/>
        <v>1.1737827266733324E-3</v>
      </c>
      <c r="S158" s="2"/>
      <c r="T158" s="2"/>
      <c r="U158" s="2"/>
      <c r="V158" s="19">
        <f t="shared" si="14"/>
        <v>0</v>
      </c>
      <c r="W158" s="2"/>
      <c r="X158" s="2">
        <f t="shared" si="15"/>
        <v>6261.17</v>
      </c>
      <c r="Y158" s="2"/>
      <c r="Z158" s="19">
        <f t="shared" si="16"/>
        <v>0</v>
      </c>
    </row>
    <row r="159" spans="1:26" s="24" customFormat="1" hidden="1" outlineLevel="1" x14ac:dyDescent="0.25">
      <c r="A159" s="46"/>
      <c r="B159" s="11" t="str">
        <f>CONCATENATE("          ", "5504", " - ", "FREIGHT-IN-DIGITAL TEXT")</f>
        <v xml:space="preserve">          5504 - FREIGHT-IN-DIGITAL TEXT</v>
      </c>
      <c r="C159" s="11"/>
      <c r="D159" s="2"/>
      <c r="E159" s="2"/>
      <c r="F159" s="19">
        <f t="shared" si="9"/>
        <v>0</v>
      </c>
      <c r="G159" s="2"/>
      <c r="H159" s="2"/>
      <c r="I159" s="2"/>
      <c r="J159" s="19">
        <f t="shared" si="10"/>
        <v>0</v>
      </c>
      <c r="K159" s="2"/>
      <c r="L159" s="2">
        <f t="shared" si="11"/>
        <v>0</v>
      </c>
      <c r="M159" s="2"/>
      <c r="N159" s="19">
        <f t="shared" si="12"/>
        <v>0</v>
      </c>
      <c r="O159" s="11"/>
      <c r="P159" s="2">
        <v>7.03</v>
      </c>
      <c r="Q159" s="2"/>
      <c r="R159" s="19">
        <f t="shared" si="13"/>
        <v>1.3179154325011983E-6</v>
      </c>
      <c r="S159" s="2"/>
      <c r="T159" s="2"/>
      <c r="U159" s="2"/>
      <c r="V159" s="19">
        <f t="shared" si="14"/>
        <v>0</v>
      </c>
      <c r="W159" s="2"/>
      <c r="X159" s="2">
        <f t="shared" si="15"/>
        <v>7.03</v>
      </c>
      <c r="Y159" s="2"/>
      <c r="Z159" s="19">
        <f t="shared" si="16"/>
        <v>0</v>
      </c>
    </row>
    <row r="160" spans="1:26" s="24" customFormat="1" hidden="1" outlineLevel="1" x14ac:dyDescent="0.25">
      <c r="A160" s="46"/>
      <c r="B160" s="11" t="str">
        <f>CONCATENATE("          ", "5526", " - ", "FREIGHT-IN-WRITING INSTRUMENTS")</f>
        <v xml:space="preserve">          5526 - FREIGHT-IN-WRITING INSTRUMENTS</v>
      </c>
      <c r="C160" s="11"/>
      <c r="D160" s="2"/>
      <c r="E160" s="2"/>
      <c r="F160" s="19">
        <f t="shared" si="9"/>
        <v>0</v>
      </c>
      <c r="G160" s="2"/>
      <c r="H160" s="2"/>
      <c r="I160" s="2"/>
      <c r="J160" s="19">
        <f t="shared" si="10"/>
        <v>0</v>
      </c>
      <c r="K160" s="2"/>
      <c r="L160" s="2">
        <f t="shared" si="11"/>
        <v>0</v>
      </c>
      <c r="M160" s="2"/>
      <c r="N160" s="19">
        <f t="shared" si="12"/>
        <v>0</v>
      </c>
      <c r="O160" s="11"/>
      <c r="P160" s="2">
        <v>56.57</v>
      </c>
      <c r="Q160" s="2"/>
      <c r="R160" s="19">
        <f t="shared" si="13"/>
        <v>1.0605188622559428E-5</v>
      </c>
      <c r="S160" s="2"/>
      <c r="T160" s="2"/>
      <c r="U160" s="2"/>
      <c r="V160" s="19">
        <f t="shared" si="14"/>
        <v>0</v>
      </c>
      <c r="W160" s="2"/>
      <c r="X160" s="2">
        <f t="shared" si="15"/>
        <v>56.57</v>
      </c>
      <c r="Y160" s="2"/>
      <c r="Z160" s="19">
        <f t="shared" si="16"/>
        <v>0</v>
      </c>
    </row>
    <row r="161" spans="1:26" s="24" customFormat="1" hidden="1" outlineLevel="1" x14ac:dyDescent="0.25">
      <c r="A161" s="46"/>
      <c r="B161" s="11" t="str">
        <f>CONCATENATE("          ", "5527", " - ", "FREIGHT-IN-SCHOOL SUPPLIES")</f>
        <v xml:space="preserve">          5527 - FREIGHT-IN-SCHOOL SUPPLIES</v>
      </c>
      <c r="C161" s="11"/>
      <c r="D161" s="2">
        <v>133.38999999999999</v>
      </c>
      <c r="E161" s="2"/>
      <c r="F161" s="19">
        <f t="shared" si="9"/>
        <v>9.4778622993154697E-5</v>
      </c>
      <c r="G161" s="2"/>
      <c r="H161" s="2"/>
      <c r="I161" s="2"/>
      <c r="J161" s="19">
        <f t="shared" si="10"/>
        <v>0</v>
      </c>
      <c r="K161" s="2"/>
      <c r="L161" s="2">
        <f t="shared" si="11"/>
        <v>133.38999999999999</v>
      </c>
      <c r="M161" s="2"/>
      <c r="N161" s="19">
        <f t="shared" si="12"/>
        <v>0</v>
      </c>
      <c r="O161" s="11"/>
      <c r="P161" s="2">
        <v>393.9</v>
      </c>
      <c r="Q161" s="2"/>
      <c r="R161" s="19">
        <f t="shared" si="13"/>
        <v>7.3844507661766987E-5</v>
      </c>
      <c r="S161" s="2"/>
      <c r="T161" s="2"/>
      <c r="U161" s="2"/>
      <c r="V161" s="19">
        <f t="shared" si="14"/>
        <v>0</v>
      </c>
      <c r="W161" s="2"/>
      <c r="X161" s="2">
        <f t="shared" si="15"/>
        <v>393.9</v>
      </c>
      <c r="Y161" s="2"/>
      <c r="Z161" s="19">
        <f t="shared" si="16"/>
        <v>0</v>
      </c>
    </row>
    <row r="162" spans="1:26" s="24" customFormat="1" hidden="1" outlineLevel="1" x14ac:dyDescent="0.25">
      <c r="A162" s="46"/>
      <c r="B162" s="11" t="str">
        <f>CONCATENATE("          ", "5528", " - ", "FREIGHT-IN-ART/TECH")</f>
        <v xml:space="preserve">          5528 - FREIGHT-IN-ART/TECH</v>
      </c>
      <c r="C162" s="11"/>
      <c r="D162" s="2">
        <v>332.97</v>
      </c>
      <c r="E162" s="2"/>
      <c r="F162" s="19">
        <f t="shared" si="9"/>
        <v>2.3658773594745279E-4</v>
      </c>
      <c r="G162" s="2"/>
      <c r="H162" s="2"/>
      <c r="I162" s="2"/>
      <c r="J162" s="19">
        <f t="shared" si="10"/>
        <v>0</v>
      </c>
      <c r="K162" s="2"/>
      <c r="L162" s="2">
        <f t="shared" si="11"/>
        <v>332.97</v>
      </c>
      <c r="M162" s="2"/>
      <c r="N162" s="19">
        <f t="shared" si="12"/>
        <v>0</v>
      </c>
      <c r="O162" s="11"/>
      <c r="P162" s="2">
        <v>632.77</v>
      </c>
      <c r="Q162" s="2"/>
      <c r="R162" s="19">
        <f t="shared" si="13"/>
        <v>1.1862551183837597E-4</v>
      </c>
      <c r="S162" s="2"/>
      <c r="T162" s="2"/>
      <c r="U162" s="2"/>
      <c r="V162" s="19">
        <f t="shared" si="14"/>
        <v>0</v>
      </c>
      <c r="W162" s="2"/>
      <c r="X162" s="2">
        <f t="shared" si="15"/>
        <v>632.77</v>
      </c>
      <c r="Y162" s="2"/>
      <c r="Z162" s="19">
        <f t="shared" si="16"/>
        <v>0</v>
      </c>
    </row>
    <row r="163" spans="1:26" s="24" customFormat="1" hidden="1" outlineLevel="1" x14ac:dyDescent="0.25">
      <c r="A163" s="46"/>
      <c r="B163" s="11" t="str">
        <f>CONCATENATE("          ", "5540", " - ", "FREIGHT-IN-LOGO CLOTHING")</f>
        <v xml:space="preserve">          5540 - FREIGHT-IN-LOGO CLOTHING</v>
      </c>
      <c r="C163" s="11"/>
      <c r="D163" s="2">
        <v>2672.92</v>
      </c>
      <c r="E163" s="2"/>
      <c r="F163" s="19">
        <f t="shared" si="9"/>
        <v>1.8992104128560095E-3</v>
      </c>
      <c r="G163" s="2"/>
      <c r="H163" s="2"/>
      <c r="I163" s="2"/>
      <c r="J163" s="19">
        <f t="shared" si="10"/>
        <v>0</v>
      </c>
      <c r="K163" s="2"/>
      <c r="L163" s="2">
        <f t="shared" si="11"/>
        <v>2672.92</v>
      </c>
      <c r="M163" s="2"/>
      <c r="N163" s="19">
        <f t="shared" si="12"/>
        <v>0</v>
      </c>
      <c r="O163" s="11"/>
      <c r="P163" s="2">
        <v>5004.8599999999997</v>
      </c>
      <c r="Q163" s="2"/>
      <c r="R163" s="19">
        <f t="shared" si="13"/>
        <v>9.3826205284608052E-4</v>
      </c>
      <c r="S163" s="2"/>
      <c r="T163" s="2"/>
      <c r="U163" s="2"/>
      <c r="V163" s="19">
        <f t="shared" si="14"/>
        <v>0</v>
      </c>
      <c r="W163" s="2"/>
      <c r="X163" s="2">
        <f t="shared" si="15"/>
        <v>5004.8599999999997</v>
      </c>
      <c r="Y163" s="2"/>
      <c r="Z163" s="19">
        <f t="shared" si="16"/>
        <v>0</v>
      </c>
    </row>
    <row r="164" spans="1:26" s="24" customFormat="1" hidden="1" outlineLevel="1" x14ac:dyDescent="0.25">
      <c r="A164" s="46"/>
      <c r="B164" s="11" t="str">
        <f>CONCATENATE("          ", "5541", " - ", "FREIGHT-IN-LOGO GIFTS")</f>
        <v xml:space="preserve">          5541 - FREIGHT-IN-LOGO GIFTS</v>
      </c>
      <c r="C164" s="11"/>
      <c r="D164" s="2">
        <v>97.6</v>
      </c>
      <c r="E164" s="2"/>
      <c r="F164" s="19">
        <f t="shared" si="9"/>
        <v>6.934847892744508E-5</v>
      </c>
      <c r="G164" s="2"/>
      <c r="H164" s="2"/>
      <c r="I164" s="2"/>
      <c r="J164" s="19">
        <f t="shared" si="10"/>
        <v>0</v>
      </c>
      <c r="K164" s="2"/>
      <c r="L164" s="2">
        <f t="shared" si="11"/>
        <v>97.6</v>
      </c>
      <c r="M164" s="2"/>
      <c r="N164" s="19">
        <f t="shared" si="12"/>
        <v>0</v>
      </c>
      <c r="O164" s="11"/>
      <c r="P164" s="2">
        <v>818.01</v>
      </c>
      <c r="Q164" s="2"/>
      <c r="R164" s="19">
        <f t="shared" si="13"/>
        <v>1.5335248974968779E-4</v>
      </c>
      <c r="S164" s="2"/>
      <c r="T164" s="2"/>
      <c r="U164" s="2"/>
      <c r="V164" s="19">
        <f t="shared" si="14"/>
        <v>0</v>
      </c>
      <c r="W164" s="2"/>
      <c r="X164" s="2">
        <f t="shared" si="15"/>
        <v>818.01</v>
      </c>
      <c r="Y164" s="2"/>
      <c r="Z164" s="19">
        <f t="shared" si="16"/>
        <v>0</v>
      </c>
    </row>
    <row r="165" spans="1:26" s="24" customFormat="1" hidden="1" outlineLevel="1" x14ac:dyDescent="0.25">
      <c r="A165" s="46"/>
      <c r="B165" s="11" t="str">
        <f>CONCATENATE("          ", "5542", " - ", "FREIGHT-IN-EVERYDAY GIFTS")</f>
        <v xml:space="preserve">          5542 - FREIGHT-IN-EVERYDAY GIFTS</v>
      </c>
      <c r="C165" s="11"/>
      <c r="D165" s="2">
        <v>58.91</v>
      </c>
      <c r="E165" s="2"/>
      <c r="F165" s="19">
        <f t="shared" si="9"/>
        <v>4.1857775549342109E-5</v>
      </c>
      <c r="G165" s="2"/>
      <c r="H165" s="2"/>
      <c r="I165" s="2"/>
      <c r="J165" s="19">
        <f t="shared" si="10"/>
        <v>0</v>
      </c>
      <c r="K165" s="2"/>
      <c r="L165" s="2">
        <f t="shared" si="11"/>
        <v>58.91</v>
      </c>
      <c r="M165" s="2"/>
      <c r="N165" s="19">
        <f t="shared" si="12"/>
        <v>0</v>
      </c>
      <c r="O165" s="11"/>
      <c r="P165" s="2">
        <v>171.68</v>
      </c>
      <c r="Q165" s="2"/>
      <c r="R165" s="19">
        <f t="shared" si="13"/>
        <v>3.2184882141081891E-5</v>
      </c>
      <c r="S165" s="2"/>
      <c r="T165" s="2"/>
      <c r="U165" s="2"/>
      <c r="V165" s="19">
        <f t="shared" si="14"/>
        <v>0</v>
      </c>
      <c r="W165" s="2"/>
      <c r="X165" s="2">
        <f t="shared" si="15"/>
        <v>171.68</v>
      </c>
      <c r="Y165" s="2"/>
      <c r="Z165" s="19">
        <f t="shared" si="16"/>
        <v>0</v>
      </c>
    </row>
    <row r="166" spans="1:26" s="24" customFormat="1" hidden="1" outlineLevel="1" x14ac:dyDescent="0.25">
      <c r="A166" s="46"/>
      <c r="B166" s="11" t="str">
        <f>CONCATENATE("          ", "5543", " - ", "FREIGHT-IN-CARDS")</f>
        <v xml:space="preserve">          5543 - FREIGHT-IN-CARDS</v>
      </c>
      <c r="C166" s="11"/>
      <c r="D166" s="2"/>
      <c r="E166" s="2"/>
      <c r="F166" s="19">
        <f t="shared" si="9"/>
        <v>0</v>
      </c>
      <c r="G166" s="2"/>
      <c r="H166" s="2"/>
      <c r="I166" s="2"/>
      <c r="J166" s="19">
        <f t="shared" si="10"/>
        <v>0</v>
      </c>
      <c r="K166" s="2"/>
      <c r="L166" s="2">
        <f t="shared" si="11"/>
        <v>0</v>
      </c>
      <c r="M166" s="2"/>
      <c r="N166" s="19">
        <f t="shared" si="12"/>
        <v>0</v>
      </c>
      <c r="O166" s="11"/>
      <c r="P166" s="2">
        <v>4.58</v>
      </c>
      <c r="Q166" s="2"/>
      <c r="R166" s="19">
        <f t="shared" si="13"/>
        <v>8.5861346811600113E-7</v>
      </c>
      <c r="S166" s="2"/>
      <c r="T166" s="2"/>
      <c r="U166" s="2"/>
      <c r="V166" s="19">
        <f t="shared" si="14"/>
        <v>0</v>
      </c>
      <c r="W166" s="2"/>
      <c r="X166" s="2">
        <f t="shared" si="15"/>
        <v>4.58</v>
      </c>
      <c r="Y166" s="2"/>
      <c r="Z166" s="19">
        <f t="shared" si="16"/>
        <v>0</v>
      </c>
    </row>
    <row r="167" spans="1:26" s="24" customFormat="1" hidden="1" outlineLevel="1" x14ac:dyDescent="0.25">
      <c r="A167" s="46"/>
      <c r="B167" s="11" t="str">
        <f>CONCATENATE("          ", "5544", " - ", "FREIGHT-IN-ACCESSORIES")</f>
        <v xml:space="preserve">          5544 - FREIGHT-IN-ACCESSORIES</v>
      </c>
      <c r="C167" s="11"/>
      <c r="D167" s="2">
        <v>34.18</v>
      </c>
      <c r="E167" s="2"/>
      <c r="F167" s="19">
        <f t="shared" si="9"/>
        <v>2.4286178378484354E-5</v>
      </c>
      <c r="G167" s="2"/>
      <c r="H167" s="2"/>
      <c r="I167" s="2"/>
      <c r="J167" s="19">
        <f t="shared" si="10"/>
        <v>0</v>
      </c>
      <c r="K167" s="2"/>
      <c r="L167" s="2">
        <f t="shared" si="11"/>
        <v>34.18</v>
      </c>
      <c r="M167" s="2"/>
      <c r="N167" s="19">
        <f t="shared" si="12"/>
        <v>0</v>
      </c>
      <c r="O167" s="11"/>
      <c r="P167" s="2">
        <v>135.84</v>
      </c>
      <c r="Q167" s="2"/>
      <c r="R167" s="19">
        <f t="shared" si="13"/>
        <v>2.5465950547789868E-5</v>
      </c>
      <c r="S167" s="2"/>
      <c r="T167" s="2"/>
      <c r="U167" s="2"/>
      <c r="V167" s="19">
        <f t="shared" si="14"/>
        <v>0</v>
      </c>
      <c r="W167" s="2"/>
      <c r="X167" s="2">
        <f t="shared" si="15"/>
        <v>135.84</v>
      </c>
      <c r="Y167" s="2"/>
      <c r="Z167" s="19">
        <f t="shared" si="16"/>
        <v>0</v>
      </c>
    </row>
    <row r="168" spans="1:26" s="24" customFormat="1" hidden="1" outlineLevel="1" x14ac:dyDescent="0.25">
      <c r="A168" s="46"/>
      <c r="B168" s="11" t="str">
        <f>CONCATENATE("          ", "5545", " - ", "FREIGHT-IN-SPECIAL ORDERS")</f>
        <v xml:space="preserve">          5545 - FREIGHT-IN-SPECIAL ORDERS</v>
      </c>
      <c r="C168" s="11"/>
      <c r="D168" s="2">
        <v>26.56</v>
      </c>
      <c r="E168" s="2"/>
      <c r="F168" s="19">
        <f t="shared" si="9"/>
        <v>1.8871881150747351E-5</v>
      </c>
      <c r="G168" s="2"/>
      <c r="H168" s="2"/>
      <c r="I168" s="2"/>
      <c r="J168" s="19">
        <f t="shared" si="10"/>
        <v>0</v>
      </c>
      <c r="K168" s="2"/>
      <c r="L168" s="2">
        <f t="shared" si="11"/>
        <v>26.56</v>
      </c>
      <c r="M168" s="2"/>
      <c r="N168" s="19">
        <f t="shared" si="12"/>
        <v>0</v>
      </c>
      <c r="O168" s="11"/>
      <c r="P168" s="2">
        <v>262.51</v>
      </c>
      <c r="Q168" s="2"/>
      <c r="R168" s="19">
        <f t="shared" si="13"/>
        <v>4.9212799457452281E-5</v>
      </c>
      <c r="S168" s="2"/>
      <c r="T168" s="2"/>
      <c r="U168" s="2"/>
      <c r="V168" s="19">
        <f t="shared" si="14"/>
        <v>0</v>
      </c>
      <c r="W168" s="2"/>
      <c r="X168" s="2">
        <f t="shared" si="15"/>
        <v>262.51</v>
      </c>
      <c r="Y168" s="2"/>
      <c r="Z168" s="19">
        <f t="shared" si="16"/>
        <v>0</v>
      </c>
    </row>
    <row r="169" spans="1:26" s="24" customFormat="1" hidden="1" outlineLevel="1" x14ac:dyDescent="0.25">
      <c r="A169" s="46"/>
      <c r="B169" s="11" t="str">
        <f>CONCATENATE("          ", "5581", " - ", "FREIGHT-IN-ELECTRONICS")</f>
        <v xml:space="preserve">          5581 - FREIGHT-IN-ELECTRONICS</v>
      </c>
      <c r="C169" s="11"/>
      <c r="D169" s="2">
        <v>92.95</v>
      </c>
      <c r="E169" s="2"/>
      <c r="F169" s="19">
        <f t="shared" si="9"/>
        <v>6.6044478650676447E-5</v>
      </c>
      <c r="G169" s="2"/>
      <c r="H169" s="2"/>
      <c r="I169" s="2"/>
      <c r="J169" s="19">
        <f t="shared" si="10"/>
        <v>0</v>
      </c>
      <c r="K169" s="2"/>
      <c r="L169" s="2">
        <f t="shared" si="11"/>
        <v>92.95</v>
      </c>
      <c r="M169" s="2"/>
      <c r="N169" s="19">
        <f t="shared" si="12"/>
        <v>0</v>
      </c>
      <c r="O169" s="11"/>
      <c r="P169" s="2">
        <v>92.95</v>
      </c>
      <c r="Q169" s="2"/>
      <c r="R169" s="19">
        <f t="shared" si="13"/>
        <v>1.7425354118205743E-5</v>
      </c>
      <c r="S169" s="2"/>
      <c r="T169" s="2"/>
      <c r="U169" s="2"/>
      <c r="V169" s="19">
        <f t="shared" si="14"/>
        <v>0</v>
      </c>
      <c r="W169" s="2"/>
      <c r="X169" s="2">
        <f t="shared" si="15"/>
        <v>92.95</v>
      </c>
      <c r="Y169" s="2"/>
      <c r="Z169" s="19">
        <f t="shared" si="16"/>
        <v>0</v>
      </c>
    </row>
    <row r="170" spans="1:26" s="24" customFormat="1" hidden="1" outlineLevel="1" x14ac:dyDescent="0.25">
      <c r="A170" s="46"/>
      <c r="B170" s="11" t="str">
        <f>CONCATENATE("          ", "5582", " - ", "FREIGHT-IN-COMPUTER HARDWARE")</f>
        <v xml:space="preserve">          5582 - FREIGHT-IN-COMPUTER HARDWARE</v>
      </c>
      <c r="C170" s="11"/>
      <c r="D170" s="2">
        <v>4.84</v>
      </c>
      <c r="E170" s="2"/>
      <c r="F170" s="19">
        <f t="shared" si="9"/>
        <v>3.4390024386151045E-6</v>
      </c>
      <c r="G170" s="2"/>
      <c r="H170" s="2"/>
      <c r="I170" s="2"/>
      <c r="J170" s="19">
        <f t="shared" si="10"/>
        <v>0</v>
      </c>
      <c r="K170" s="2"/>
      <c r="L170" s="2">
        <f t="shared" si="11"/>
        <v>4.84</v>
      </c>
      <c r="M170" s="2"/>
      <c r="N170" s="19">
        <f t="shared" si="12"/>
        <v>0</v>
      </c>
      <c r="O170" s="11"/>
      <c r="P170" s="2">
        <v>4.84</v>
      </c>
      <c r="Q170" s="2"/>
      <c r="R170" s="19">
        <f t="shared" si="13"/>
        <v>9.0735571739769538E-7</v>
      </c>
      <c r="S170" s="2"/>
      <c r="T170" s="2"/>
      <c r="U170" s="2"/>
      <c r="V170" s="19">
        <f t="shared" si="14"/>
        <v>0</v>
      </c>
      <c r="W170" s="2"/>
      <c r="X170" s="2">
        <f t="shared" si="15"/>
        <v>4.84</v>
      </c>
      <c r="Y170" s="2"/>
      <c r="Z170" s="19">
        <f t="shared" si="16"/>
        <v>0</v>
      </c>
    </row>
    <row r="171" spans="1:26" s="24" customFormat="1" hidden="1" outlineLevel="1" x14ac:dyDescent="0.25">
      <c r="A171" s="46"/>
      <c r="B171" s="11" t="str">
        <f>CONCATENATE("          ", "5583", " - ", "FREIGHT-IN-COMPUTER EQUIPMENT")</f>
        <v xml:space="preserve">          5583 - FREIGHT-IN-COMPUTER EQUIPMENT</v>
      </c>
      <c r="C171" s="11"/>
      <c r="D171" s="2">
        <v>7.86</v>
      </c>
      <c r="E171" s="2"/>
      <c r="F171" s="19">
        <f t="shared" si="9"/>
        <v>5.5848262742799017E-6</v>
      </c>
      <c r="G171" s="2"/>
      <c r="H171" s="2"/>
      <c r="I171" s="2"/>
      <c r="J171" s="19">
        <f t="shared" si="10"/>
        <v>0</v>
      </c>
      <c r="K171" s="2"/>
      <c r="L171" s="2">
        <f t="shared" si="11"/>
        <v>7.86</v>
      </c>
      <c r="M171" s="2"/>
      <c r="N171" s="19">
        <f t="shared" si="12"/>
        <v>0</v>
      </c>
      <c r="O171" s="11"/>
      <c r="P171" s="2">
        <v>41</v>
      </c>
      <c r="Q171" s="2"/>
      <c r="R171" s="19">
        <f t="shared" si="13"/>
        <v>7.6862777713441143E-6</v>
      </c>
      <c r="S171" s="2"/>
      <c r="T171" s="2"/>
      <c r="U171" s="2"/>
      <c r="V171" s="19">
        <f t="shared" si="14"/>
        <v>0</v>
      </c>
      <c r="W171" s="2"/>
      <c r="X171" s="2">
        <f t="shared" si="15"/>
        <v>41</v>
      </c>
      <c r="Y171" s="2"/>
      <c r="Z171" s="19">
        <f t="shared" si="16"/>
        <v>0</v>
      </c>
    </row>
    <row r="172" spans="1:26" s="24" customFormat="1" hidden="1" outlineLevel="1" x14ac:dyDescent="0.25">
      <c r="A172" s="46"/>
      <c r="B172" s="11" t="str">
        <f>CONCATENATE("          ", "5586", " - ", "FREIGHT-IN-COMPUTER SUPPLIES")</f>
        <v xml:space="preserve">          5586 - FREIGHT-IN-COMPUTER SUPPLIES</v>
      </c>
      <c r="C172" s="11"/>
      <c r="D172" s="2">
        <v>65.36</v>
      </c>
      <c r="E172" s="2"/>
      <c r="F172" s="19">
        <f t="shared" si="9"/>
        <v>4.6440743675182487E-5</v>
      </c>
      <c r="G172" s="2"/>
      <c r="H172" s="2"/>
      <c r="I172" s="2"/>
      <c r="J172" s="19">
        <f t="shared" si="10"/>
        <v>0</v>
      </c>
      <c r="K172" s="2"/>
      <c r="L172" s="2">
        <f t="shared" si="11"/>
        <v>65.36</v>
      </c>
      <c r="M172" s="2"/>
      <c r="N172" s="19">
        <f t="shared" si="12"/>
        <v>0</v>
      </c>
      <c r="O172" s="11"/>
      <c r="P172" s="2">
        <v>102.39</v>
      </c>
      <c r="Q172" s="2"/>
      <c r="R172" s="19">
        <f t="shared" si="13"/>
        <v>1.9195072707510339E-5</v>
      </c>
      <c r="S172" s="2"/>
      <c r="T172" s="2"/>
      <c r="U172" s="2"/>
      <c r="V172" s="19">
        <f t="shared" si="14"/>
        <v>0</v>
      </c>
      <c r="W172" s="2"/>
      <c r="X172" s="2">
        <f t="shared" si="15"/>
        <v>102.39</v>
      </c>
      <c r="Y172" s="2"/>
      <c r="Z172" s="19">
        <f t="shared" si="16"/>
        <v>0</v>
      </c>
    </row>
    <row r="173" spans="1:26" s="24" customFormat="1" hidden="1" outlineLevel="1" x14ac:dyDescent="0.25">
      <c r="A173" s="46"/>
      <c r="B173" s="11" t="str">
        <f>CONCATENATE("          ", "5592", " - ", "FREIGHT-IN-GRAD MERCH")</f>
        <v xml:space="preserve">          5592 - FREIGHT-IN-GRAD MERCH</v>
      </c>
      <c r="C173" s="11"/>
      <c r="D173" s="2">
        <v>11.21</v>
      </c>
      <c r="E173" s="2"/>
      <c r="F173" s="19">
        <f t="shared" si="9"/>
        <v>7.9651275489411838E-6</v>
      </c>
      <c r="G173" s="2"/>
      <c r="H173" s="2"/>
      <c r="I173" s="2"/>
      <c r="J173" s="19">
        <f t="shared" si="10"/>
        <v>0</v>
      </c>
      <c r="K173" s="2"/>
      <c r="L173" s="2">
        <f t="shared" si="11"/>
        <v>11.21</v>
      </c>
      <c r="M173" s="2"/>
      <c r="N173" s="19">
        <f t="shared" si="12"/>
        <v>0</v>
      </c>
      <c r="O173" s="11"/>
      <c r="P173" s="2">
        <v>70.78</v>
      </c>
      <c r="Q173" s="2"/>
      <c r="R173" s="19">
        <f t="shared" si="13"/>
        <v>1.3269140015993572E-5</v>
      </c>
      <c r="S173" s="2"/>
      <c r="T173" s="2"/>
      <c r="U173" s="2"/>
      <c r="V173" s="19">
        <f t="shared" si="14"/>
        <v>0</v>
      </c>
      <c r="W173" s="2"/>
      <c r="X173" s="2">
        <f t="shared" si="15"/>
        <v>70.78</v>
      </c>
      <c r="Y173" s="2"/>
      <c r="Z173" s="19">
        <f t="shared" si="16"/>
        <v>0</v>
      </c>
    </row>
    <row r="174" spans="1:26" x14ac:dyDescent="0.25">
      <c r="A174" s="9"/>
      <c r="B174" s="10"/>
      <c r="C174" s="10"/>
      <c r="D174" s="3"/>
      <c r="E174" s="3"/>
      <c r="F174" s="8"/>
      <c r="G174" s="3"/>
      <c r="H174" s="3"/>
      <c r="I174" s="3"/>
      <c r="J174" s="8"/>
      <c r="K174" s="3"/>
      <c r="L174" s="3"/>
      <c r="M174" s="3"/>
      <c r="N174" s="8"/>
      <c r="O174" s="10"/>
      <c r="P174" s="3"/>
      <c r="Q174" s="3"/>
      <c r="R174" s="8"/>
      <c r="S174" s="3"/>
      <c r="T174" s="3"/>
      <c r="U174" s="3"/>
      <c r="V174" s="8"/>
      <c r="W174" s="3"/>
      <c r="X174" s="3"/>
      <c r="Y174" s="3"/>
      <c r="Z174" s="8"/>
    </row>
    <row r="175" spans="1:26" s="23" customFormat="1" x14ac:dyDescent="0.25">
      <c r="A175" s="10"/>
      <c r="B175" s="29" t="s">
        <v>6</v>
      </c>
      <c r="C175" s="29"/>
      <c r="D175" s="22">
        <f>D12-D118</f>
        <v>490717.42999999924</v>
      </c>
      <c r="E175" s="14"/>
      <c r="F175" s="20">
        <f>IF(D$12=0,0,D175/D$12)</f>
        <v>0.34867323108283765</v>
      </c>
      <c r="G175" s="14"/>
      <c r="H175" s="22">
        <f>H12-H118</f>
        <v>546865.46252000006</v>
      </c>
      <c r="I175" s="14"/>
      <c r="J175" s="20">
        <f>IF(H$12=0,0,H175/H$12)</f>
        <v>0.39203811069745487</v>
      </c>
      <c r="K175" s="15"/>
      <c r="L175" s="22">
        <f>+D175-H175</f>
        <v>-56148.032520000823</v>
      </c>
      <c r="M175" s="15"/>
      <c r="N175" s="20">
        <f>IF(H175=0,0,L175/H175)</f>
        <v>-0.10267247864084554</v>
      </c>
      <c r="O175" s="28"/>
      <c r="P175" s="22">
        <f>P12-P118</f>
        <v>1655918.6399999997</v>
      </c>
      <c r="Q175" s="14"/>
      <c r="R175" s="20">
        <f>IF(P$12=0,0,P175/P$12)</f>
        <v>0.31043538131186277</v>
      </c>
      <c r="S175" s="14"/>
      <c r="T175" s="22">
        <f>T12-T118</f>
        <v>1886127.50801</v>
      </c>
      <c r="U175" s="14"/>
      <c r="V175" s="20">
        <f>IF(T$12=0,0,T175/T$12)</f>
        <v>0.34922642811932458</v>
      </c>
      <c r="W175" s="15"/>
      <c r="X175" s="22">
        <f>+P175-T175</f>
        <v>-230208.86801000033</v>
      </c>
      <c r="Y175" s="15"/>
      <c r="Z175" s="20">
        <f>IF(T175=0,0,X175/T175)</f>
        <v>-0.12205371430741033</v>
      </c>
    </row>
    <row r="176" spans="1:26" x14ac:dyDescent="0.25">
      <c r="A176" s="9"/>
      <c r="B176" s="10"/>
      <c r="C176" s="9"/>
      <c r="D176" s="1"/>
      <c r="E176" s="1"/>
      <c r="F176" s="5"/>
      <c r="G176" s="1"/>
      <c r="H176" s="1"/>
      <c r="I176" s="1"/>
      <c r="J176" s="5"/>
      <c r="K176" s="1"/>
      <c r="L176" s="1"/>
      <c r="M176" s="1"/>
      <c r="N176" s="5"/>
      <c r="O176" s="36"/>
      <c r="P176" s="1"/>
      <c r="Q176" s="1"/>
      <c r="R176" s="5"/>
      <c r="S176" s="1"/>
      <c r="T176" s="1"/>
      <c r="U176" s="1"/>
      <c r="V176" s="5"/>
      <c r="W176" s="1"/>
      <c r="X176" s="1"/>
      <c r="Y176" s="1"/>
      <c r="Z176" s="5"/>
    </row>
    <row r="177" spans="1:26" s="23" customFormat="1" x14ac:dyDescent="0.25">
      <c r="A177" s="10"/>
      <c r="B177" s="28" t="s">
        <v>9</v>
      </c>
      <c r="C177" s="10"/>
      <c r="D177" s="21">
        <f>SUM(OSRRefD22x_0)</f>
        <v>366282.53000000009</v>
      </c>
      <c r="E177" s="21"/>
      <c r="F177" s="33">
        <f t="shared" ref="F177:F188" si="17">IF(D$12=0,0,D177/D$12)</f>
        <v>0.26025754419258484</v>
      </c>
      <c r="G177" s="21"/>
      <c r="H177" s="21">
        <f>SUM(OSRRefH22x_0)</f>
        <v>405745.69515224767</v>
      </c>
      <c r="I177" s="21"/>
      <c r="J177" s="33">
        <f t="shared" ref="J177:J188" si="18">IF(H$12=0,0,H177/H$12)</f>
        <v>0.29087186273954024</v>
      </c>
      <c r="K177" s="4"/>
      <c r="L177" s="21">
        <f t="shared" ref="L177:L188" si="19">+D177-H177</f>
        <v>-39463.165152247588</v>
      </c>
      <c r="M177" s="4"/>
      <c r="N177" s="33">
        <f t="shared" ref="N177:N188" si="20">IF(H177=0,0,L177/H177)</f>
        <v>-9.7260835108650634E-2</v>
      </c>
      <c r="O177" s="10"/>
      <c r="P177" s="21">
        <f>SUM(OSRRefP22x_0)</f>
        <v>1222286.8400000001</v>
      </c>
      <c r="Q177" s="21"/>
      <c r="R177" s="33">
        <f t="shared" ref="R177:R188" si="21">IF(P$12=0,0,P177/P$12)</f>
        <v>0.22914234557313271</v>
      </c>
      <c r="S177" s="21"/>
      <c r="T177" s="21">
        <f>SUM(OSRRefT22x_0)</f>
        <v>1302698.1740457306</v>
      </c>
      <c r="U177" s="21"/>
      <c r="V177" s="33">
        <f t="shared" ref="V177:V188" si="22">IF(T$12=0,0,T177/T$12)</f>
        <v>0.24120141841287684</v>
      </c>
      <c r="W177" s="4"/>
      <c r="X177" s="21">
        <f t="shared" ref="X177:X188" si="23">+P177-T177</f>
        <v>-80411.334045730531</v>
      </c>
      <c r="Y177" s="4"/>
      <c r="Z177" s="33">
        <f t="shared" ref="Z177:Z188" si="24">IF(T177=0,0,X177/T177)</f>
        <v>-6.1726757316317334E-2</v>
      </c>
    </row>
    <row r="178" spans="1:26" s="26" customFormat="1" outlineLevel="1" collapsed="1" x14ac:dyDescent="0.25">
      <c r="A178" s="27"/>
      <c r="B178" s="13" t="str">
        <f>CONCATENATE("     ","*Benefits                                         ")</f>
        <v xml:space="preserve">     *Benefits                                         </v>
      </c>
      <c r="C178" s="13"/>
      <c r="D178" s="1">
        <f>SUM(OSRRefD22_0x_0)</f>
        <v>52271.06</v>
      </c>
      <c r="E178" s="1"/>
      <c r="F178" s="5">
        <f t="shared" si="17"/>
        <v>3.7140558431610834E-2</v>
      </c>
      <c r="G178" s="1"/>
      <c r="H178" s="1">
        <f>SUM(OSRRefH22_0x_0)</f>
        <v>48417.414735866114</v>
      </c>
      <c r="I178" s="1"/>
      <c r="J178" s="5">
        <f t="shared" si="18"/>
        <v>3.4709582335728267E-2</v>
      </c>
      <c r="K178" s="1"/>
      <c r="L178" s="1">
        <f t="shared" si="19"/>
        <v>3853.6452641338838</v>
      </c>
      <c r="M178" s="1"/>
      <c r="N178" s="5">
        <f t="shared" si="20"/>
        <v>7.959213198715509E-2</v>
      </c>
      <c r="O178" s="13"/>
      <c r="P178" s="1">
        <f>SUM(OSRRefP22_0x_0)</f>
        <v>165346.23999999999</v>
      </c>
      <c r="Q178" s="1"/>
      <c r="R178" s="5">
        <f t="shared" si="21"/>
        <v>3.0997490953349489E-2</v>
      </c>
      <c r="S178" s="1"/>
      <c r="T178" s="1">
        <f>SUM(OSRRefT22_0x_0)</f>
        <v>160929.36626194045</v>
      </c>
      <c r="U178" s="1"/>
      <c r="V178" s="5">
        <f t="shared" si="22"/>
        <v>2.9796918564885297E-2</v>
      </c>
      <c r="W178" s="1"/>
      <c r="X178" s="1">
        <f t="shared" si="23"/>
        <v>4416.8737380595412</v>
      </c>
      <c r="Y178" s="1"/>
      <c r="Z178" s="5">
        <f t="shared" si="24"/>
        <v>2.7446039468460425E-2</v>
      </c>
    </row>
    <row r="179" spans="1:26" s="24" customFormat="1" hidden="1" outlineLevel="2" x14ac:dyDescent="0.25">
      <c r="A179" s="25"/>
      <c r="B179" s="11" t="str">
        <f>CONCATENATE("          ", "6111", " - ", "F.I.C.A.")</f>
        <v xml:space="preserve">          6111 - F.I.C.A.</v>
      </c>
      <c r="C179" s="11"/>
      <c r="D179" s="7">
        <v>8095.17</v>
      </c>
      <c r="E179" s="2"/>
      <c r="F179" s="6">
        <f t="shared" si="17"/>
        <v>5.7519234237611233E-3</v>
      </c>
      <c r="G179" s="2"/>
      <c r="H179" s="7">
        <v>7895.4232538873139</v>
      </c>
      <c r="I179" s="2"/>
      <c r="J179" s="6">
        <f t="shared" si="18"/>
        <v>5.6600883174214569E-3</v>
      </c>
      <c r="K179" s="2"/>
      <c r="L179" s="7">
        <f t="shared" si="19"/>
        <v>199.7467461126862</v>
      </c>
      <c r="M179" s="2"/>
      <c r="N179" s="6">
        <f t="shared" si="20"/>
        <v>2.5299054868824267E-2</v>
      </c>
      <c r="O179" s="11"/>
      <c r="P179" s="7">
        <v>34170.81</v>
      </c>
      <c r="Q179" s="2"/>
      <c r="R179" s="6">
        <f t="shared" si="21"/>
        <v>6.4060082276054427E-3</v>
      </c>
      <c r="S179" s="2"/>
      <c r="T179" s="7">
        <v>34801.091677421951</v>
      </c>
      <c r="U179" s="2"/>
      <c r="V179" s="6">
        <f t="shared" si="22"/>
        <v>6.4436051590075144E-3</v>
      </c>
      <c r="W179" s="2"/>
      <c r="X179" s="7">
        <f t="shared" si="23"/>
        <v>-630.28167742195365</v>
      </c>
      <c r="Y179" s="2"/>
      <c r="Z179" s="6">
        <f t="shared" si="24"/>
        <v>-1.8110974312649627E-2</v>
      </c>
    </row>
    <row r="180" spans="1:26" s="24" customFormat="1" hidden="1" outlineLevel="2" x14ac:dyDescent="0.25">
      <c r="A180" s="25"/>
      <c r="B180" s="11" t="str">
        <f>CONCATENATE("          ", "6112", " - ", "COMPENSATION INSURANCE")</f>
        <v xml:space="preserve">          6112 - COMPENSATION INSURANCE</v>
      </c>
      <c r="C180" s="11"/>
      <c r="D180" s="7">
        <v>3489.11</v>
      </c>
      <c r="E180" s="2"/>
      <c r="F180" s="6">
        <f t="shared" si="17"/>
        <v>2.4791441732637085E-3</v>
      </c>
      <c r="G180" s="2"/>
      <c r="H180" s="7">
        <v>3653.9401446538459</v>
      </c>
      <c r="I180" s="2"/>
      <c r="J180" s="6">
        <f t="shared" si="18"/>
        <v>2.6194446149710717E-3</v>
      </c>
      <c r="K180" s="2"/>
      <c r="L180" s="7">
        <f t="shared" si="19"/>
        <v>-164.83014465384576</v>
      </c>
      <c r="M180" s="2"/>
      <c r="N180" s="6">
        <f t="shared" si="20"/>
        <v>-4.5110247603538906E-2</v>
      </c>
      <c r="O180" s="11"/>
      <c r="P180" s="7">
        <v>8623.59</v>
      </c>
      <c r="Q180" s="2"/>
      <c r="R180" s="6">
        <f t="shared" si="21"/>
        <v>1.6166660518581804E-3</v>
      </c>
      <c r="S180" s="2"/>
      <c r="T180" s="7">
        <v>11549.112876374997</v>
      </c>
      <c r="U180" s="2"/>
      <c r="V180" s="6">
        <f t="shared" si="22"/>
        <v>2.1383789911524663E-3</v>
      </c>
      <c r="W180" s="2"/>
      <c r="X180" s="7">
        <f t="shared" si="23"/>
        <v>-2925.5228763749965</v>
      </c>
      <c r="Y180" s="2"/>
      <c r="Z180" s="6">
        <f t="shared" si="24"/>
        <v>-0.25331148008428256</v>
      </c>
    </row>
    <row r="181" spans="1:26" s="24" customFormat="1" hidden="1" outlineLevel="2" x14ac:dyDescent="0.25">
      <c r="A181" s="25"/>
      <c r="B181" s="11" t="str">
        <f>CONCATENATE("          ", "6113", " - ", "GROUP INSURANCE")</f>
        <v xml:space="preserve">          6113 - GROUP INSURANCE</v>
      </c>
      <c r="C181" s="11"/>
      <c r="D181" s="7">
        <v>20000.43</v>
      </c>
      <c r="E181" s="2"/>
      <c r="F181" s="6">
        <f t="shared" si="17"/>
        <v>1.4211059409783202E-2</v>
      </c>
      <c r="G181" s="2"/>
      <c r="H181" s="7">
        <v>19697.01923076923</v>
      </c>
      <c r="I181" s="2"/>
      <c r="J181" s="6">
        <f t="shared" si="18"/>
        <v>1.412044229309836E-2</v>
      </c>
      <c r="K181" s="2"/>
      <c r="L181" s="7">
        <f t="shared" si="19"/>
        <v>303.4107692307698</v>
      </c>
      <c r="M181" s="2"/>
      <c r="N181" s="6">
        <f t="shared" si="20"/>
        <v>1.5403892623346982E-2</v>
      </c>
      <c r="O181" s="11"/>
      <c r="P181" s="7">
        <v>59458.74</v>
      </c>
      <c r="Q181" s="2"/>
      <c r="R181" s="6">
        <f t="shared" si="21"/>
        <v>1.1146741257905589E-2</v>
      </c>
      <c r="S181" s="2"/>
      <c r="T181" s="7">
        <v>59562.749999999993</v>
      </c>
      <c r="U181" s="2"/>
      <c r="V181" s="6">
        <f t="shared" si="22"/>
        <v>1.1028356430372371E-2</v>
      </c>
      <c r="W181" s="2"/>
      <c r="X181" s="7">
        <f t="shared" si="23"/>
        <v>-104.00999999999476</v>
      </c>
      <c r="Y181" s="2"/>
      <c r="Z181" s="6">
        <f t="shared" si="24"/>
        <v>-1.7462256191998317E-3</v>
      </c>
    </row>
    <row r="182" spans="1:26" s="24" customFormat="1" hidden="1" outlineLevel="2" x14ac:dyDescent="0.25">
      <c r="A182" s="25"/>
      <c r="B182" s="11" t="str">
        <f>CONCATENATE("          ", "6114", " - ", "STATE UNEMPLOYMENT INSURANCE")</f>
        <v xml:space="preserve">          6114 - STATE UNEMPLOYMENT INSURANCE</v>
      </c>
      <c r="C182" s="11"/>
      <c r="D182" s="7">
        <v>582.83000000000004</v>
      </c>
      <c r="E182" s="2"/>
      <c r="F182" s="6">
        <f t="shared" si="17"/>
        <v>4.1412268415248792E-4</v>
      </c>
      <c r="G182" s="2"/>
      <c r="H182" s="7">
        <v>518.20376500991199</v>
      </c>
      <c r="I182" s="2"/>
      <c r="J182" s="6">
        <f t="shared" si="18"/>
        <v>3.7149105020206668E-4</v>
      </c>
      <c r="K182" s="2"/>
      <c r="L182" s="7">
        <f t="shared" si="19"/>
        <v>64.626234990088051</v>
      </c>
      <c r="M182" s="2"/>
      <c r="N182" s="6">
        <f t="shared" si="20"/>
        <v>0.1247120136011592</v>
      </c>
      <c r="O182" s="11"/>
      <c r="P182" s="7">
        <v>1467.86</v>
      </c>
      <c r="Q182" s="2"/>
      <c r="R182" s="6">
        <f t="shared" si="21"/>
        <v>2.7517999242549195E-4</v>
      </c>
      <c r="S182" s="2"/>
      <c r="T182" s="7">
        <v>1634.924680689144</v>
      </c>
      <c r="U182" s="2"/>
      <c r="V182" s="6">
        <f t="shared" si="22"/>
        <v>3.0271490344976714E-4</v>
      </c>
      <c r="W182" s="2"/>
      <c r="X182" s="7">
        <f t="shared" si="23"/>
        <v>-167.0646806891441</v>
      </c>
      <c r="Y182" s="2"/>
      <c r="Z182" s="6">
        <f t="shared" si="24"/>
        <v>-0.10218494017640248</v>
      </c>
    </row>
    <row r="183" spans="1:26" s="24" customFormat="1" hidden="1" outlineLevel="2" x14ac:dyDescent="0.25">
      <c r="A183" s="25"/>
      <c r="B183" s="11" t="str">
        <f>CONCATENATE("          ", "6115", " - ", "P.E.R.S.")</f>
        <v xml:space="preserve">          6115 - P.E.R.S.</v>
      </c>
      <c r="C183" s="11"/>
      <c r="D183" s="7">
        <v>6581.04</v>
      </c>
      <c r="E183" s="2"/>
      <c r="F183" s="6">
        <f t="shared" si="17"/>
        <v>4.676076985252799E-3</v>
      </c>
      <c r="G183" s="2"/>
      <c r="H183" s="7">
        <v>6302.5344405384549</v>
      </c>
      <c r="I183" s="2"/>
      <c r="J183" s="6">
        <f t="shared" si="18"/>
        <v>4.5181746956345281E-3</v>
      </c>
      <c r="K183" s="2"/>
      <c r="L183" s="7">
        <f t="shared" si="19"/>
        <v>278.50555946154509</v>
      </c>
      <c r="M183" s="2"/>
      <c r="N183" s="6">
        <f t="shared" si="20"/>
        <v>4.4189454589914315E-2</v>
      </c>
      <c r="O183" s="11"/>
      <c r="P183" s="7">
        <v>19253.009999999998</v>
      </c>
      <c r="Q183" s="2"/>
      <c r="R183" s="6">
        <f t="shared" si="21"/>
        <v>3.6093654340113644E-3</v>
      </c>
      <c r="S183" s="2"/>
      <c r="T183" s="7">
        <v>20483.23693174998</v>
      </c>
      <c r="U183" s="2"/>
      <c r="V183" s="6">
        <f t="shared" si="22"/>
        <v>3.7925790486689373E-3</v>
      </c>
      <c r="W183" s="2"/>
      <c r="X183" s="7">
        <f t="shared" si="23"/>
        <v>-1230.2269317499813</v>
      </c>
      <c r="Y183" s="2"/>
      <c r="Z183" s="6">
        <f t="shared" si="24"/>
        <v>-6.0060181691452864E-2</v>
      </c>
    </row>
    <row r="184" spans="1:26" s="24" customFormat="1" hidden="1" outlineLevel="2" x14ac:dyDescent="0.25">
      <c r="A184" s="25"/>
      <c r="B184" s="11" t="str">
        <f>CONCATENATE("          ", "6116", " - ", "EDUCATIONAL BENEFITS")</f>
        <v xml:space="preserve">          6116 - EDUCATIONAL BENEFITS</v>
      </c>
      <c r="C184" s="11"/>
      <c r="D184" s="7"/>
      <c r="E184" s="2"/>
      <c r="F184" s="6">
        <f t="shared" si="17"/>
        <v>0</v>
      </c>
      <c r="G184" s="2"/>
      <c r="H184" s="7">
        <v>0</v>
      </c>
      <c r="I184" s="2"/>
      <c r="J184" s="6">
        <f t="shared" si="18"/>
        <v>0</v>
      </c>
      <c r="K184" s="2"/>
      <c r="L184" s="7">
        <f t="shared" si="19"/>
        <v>0</v>
      </c>
      <c r="M184" s="2"/>
      <c r="N184" s="6">
        <f t="shared" si="20"/>
        <v>0</v>
      </c>
      <c r="O184" s="11"/>
      <c r="P184" s="7"/>
      <c r="Q184" s="2"/>
      <c r="R184" s="6">
        <f t="shared" si="21"/>
        <v>0</v>
      </c>
      <c r="S184" s="2"/>
      <c r="T184" s="7">
        <v>0</v>
      </c>
      <c r="U184" s="2"/>
      <c r="V184" s="6">
        <f t="shared" si="22"/>
        <v>0</v>
      </c>
      <c r="W184" s="2"/>
      <c r="X184" s="7">
        <f t="shared" si="23"/>
        <v>0</v>
      </c>
      <c r="Y184" s="2"/>
      <c r="Z184" s="6">
        <f t="shared" si="24"/>
        <v>0</v>
      </c>
    </row>
    <row r="185" spans="1:26" s="24" customFormat="1" hidden="1" outlineLevel="2" x14ac:dyDescent="0.25">
      <c r="A185" s="25"/>
      <c r="B185" s="11" t="str">
        <f>CONCATENATE("          ", "6117", " - ", "RETIREMENT STAFF HOURLY")</f>
        <v xml:space="preserve">          6117 - RETIREMENT STAFF HOURLY</v>
      </c>
      <c r="C185" s="11"/>
      <c r="D185" s="7">
        <v>447.04</v>
      </c>
      <c r="E185" s="2"/>
      <c r="F185" s="6">
        <f t="shared" si="17"/>
        <v>3.1763877069390423E-4</v>
      </c>
      <c r="G185" s="2"/>
      <c r="H185" s="7"/>
      <c r="I185" s="2"/>
      <c r="J185" s="6">
        <f t="shared" si="18"/>
        <v>0</v>
      </c>
      <c r="K185" s="2"/>
      <c r="L185" s="7">
        <f t="shared" si="19"/>
        <v>447.04</v>
      </c>
      <c r="M185" s="2"/>
      <c r="N185" s="6">
        <f t="shared" si="20"/>
        <v>0</v>
      </c>
      <c r="O185" s="11"/>
      <c r="P185" s="7">
        <v>1013.39</v>
      </c>
      <c r="Q185" s="2"/>
      <c r="R185" s="6">
        <f t="shared" si="21"/>
        <v>1.8998041538298565E-4</v>
      </c>
      <c r="S185" s="2"/>
      <c r="T185" s="7"/>
      <c r="U185" s="2"/>
      <c r="V185" s="6">
        <f t="shared" si="22"/>
        <v>0</v>
      </c>
      <c r="W185" s="2"/>
      <c r="X185" s="7">
        <f t="shared" si="23"/>
        <v>1013.39</v>
      </c>
      <c r="Y185" s="2"/>
      <c r="Z185" s="6">
        <f t="shared" si="24"/>
        <v>0</v>
      </c>
    </row>
    <row r="186" spans="1:26" s="24" customFormat="1" hidden="1" outlineLevel="2" x14ac:dyDescent="0.25">
      <c r="A186" s="25"/>
      <c r="B186" s="11" t="str">
        <f>CONCATENATE("          ", "6118", " - ", "VACATION")</f>
        <v xml:space="preserve">          6118 - VACATION</v>
      </c>
      <c r="C186" s="11"/>
      <c r="D186" s="7">
        <v>5998.1</v>
      </c>
      <c r="E186" s="2"/>
      <c r="F186" s="6">
        <f t="shared" si="17"/>
        <v>4.2618761419539793E-3</v>
      </c>
      <c r="G186" s="2"/>
      <c r="H186" s="7">
        <v>4547.5461527846119</v>
      </c>
      <c r="I186" s="2"/>
      <c r="J186" s="6">
        <f t="shared" si="18"/>
        <v>3.2600548475521206E-3</v>
      </c>
      <c r="K186" s="2"/>
      <c r="L186" s="7">
        <f t="shared" si="19"/>
        <v>1450.5538472153885</v>
      </c>
      <c r="M186" s="2"/>
      <c r="N186" s="6">
        <f t="shared" si="20"/>
        <v>0.31897506885711685</v>
      </c>
      <c r="O186" s="11"/>
      <c r="P186" s="7">
        <v>18502.489999999998</v>
      </c>
      <c r="Q186" s="2"/>
      <c r="R186" s="6">
        <f t="shared" si="21"/>
        <v>3.4686653073540672E-3</v>
      </c>
      <c r="S186" s="2"/>
      <c r="T186" s="7">
        <v>14779.524996549992</v>
      </c>
      <c r="U186" s="2"/>
      <c r="V186" s="6">
        <f t="shared" si="22"/>
        <v>2.7365067854246373E-3</v>
      </c>
      <c r="W186" s="2"/>
      <c r="X186" s="7">
        <f t="shared" si="23"/>
        <v>3722.9650034500064</v>
      </c>
      <c r="Y186" s="2"/>
      <c r="Z186" s="6">
        <f t="shared" si="24"/>
        <v>0.25190017976349471</v>
      </c>
    </row>
    <row r="187" spans="1:26" s="24" customFormat="1" hidden="1" outlineLevel="2" x14ac:dyDescent="0.25">
      <c r="A187" s="25"/>
      <c r="B187" s="11" t="str">
        <f>CONCATENATE("          ", "6119", " - ", "SICK LEAVE")</f>
        <v xml:space="preserve">          6119 - SICK LEAVE</v>
      </c>
      <c r="C187" s="11"/>
      <c r="D187" s="7">
        <v>4755.8100000000004</v>
      </c>
      <c r="E187" s="2"/>
      <c r="F187" s="6">
        <f t="shared" si="17"/>
        <v>3.3791822701632443E-3</v>
      </c>
      <c r="G187" s="2"/>
      <c r="H187" s="7">
        <v>4252.7477482227378</v>
      </c>
      <c r="I187" s="2"/>
      <c r="J187" s="6">
        <f t="shared" si="18"/>
        <v>3.0487191215245613E-3</v>
      </c>
      <c r="K187" s="2"/>
      <c r="L187" s="7">
        <f t="shared" si="19"/>
        <v>503.06225177726265</v>
      </c>
      <c r="M187" s="2"/>
      <c r="N187" s="6">
        <f t="shared" si="20"/>
        <v>0.11829111002116149</v>
      </c>
      <c r="O187" s="11"/>
      <c r="P187" s="7">
        <v>16587.79</v>
      </c>
      <c r="Q187" s="2"/>
      <c r="R187" s="6">
        <f t="shared" si="21"/>
        <v>3.1097161354322975E-3</v>
      </c>
      <c r="S187" s="2"/>
      <c r="T187" s="7">
        <v>13468.725099154392</v>
      </c>
      <c r="U187" s="2"/>
      <c r="V187" s="6">
        <f t="shared" si="22"/>
        <v>2.493805290322846E-3</v>
      </c>
      <c r="W187" s="2"/>
      <c r="X187" s="7">
        <f t="shared" si="23"/>
        <v>3119.0649008456094</v>
      </c>
      <c r="Y187" s="2"/>
      <c r="Z187" s="6">
        <f t="shared" si="24"/>
        <v>0.23157833261007266</v>
      </c>
    </row>
    <row r="188" spans="1:26" s="24" customFormat="1" hidden="1" outlineLevel="2" x14ac:dyDescent="0.25">
      <c r="A188" s="25"/>
      <c r="B188" s="11" t="str">
        <f>CONCATENATE("          ", "6156", " - ", "EMPLOYEE MEALS")</f>
        <v xml:space="preserve">          6156 - EMPLOYEE MEALS</v>
      </c>
      <c r="C188" s="11"/>
      <c r="D188" s="7">
        <v>2321.5300000000002</v>
      </c>
      <c r="E188" s="2"/>
      <c r="F188" s="6">
        <f t="shared" si="17"/>
        <v>1.6495345725863894E-3</v>
      </c>
      <c r="G188" s="2"/>
      <c r="H188" s="7">
        <v>1550</v>
      </c>
      <c r="I188" s="2"/>
      <c r="J188" s="6">
        <f t="shared" si="18"/>
        <v>1.1111673953240952E-3</v>
      </c>
      <c r="K188" s="2"/>
      <c r="L188" s="7">
        <f t="shared" si="19"/>
        <v>771.5300000000002</v>
      </c>
      <c r="M188" s="2"/>
      <c r="N188" s="6">
        <f t="shared" si="20"/>
        <v>0.49776129032258076</v>
      </c>
      <c r="O188" s="11"/>
      <c r="P188" s="7">
        <v>6268.56</v>
      </c>
      <c r="Q188" s="2"/>
      <c r="R188" s="6">
        <f t="shared" si="21"/>
        <v>1.1751681313740699E-3</v>
      </c>
      <c r="S188" s="2"/>
      <c r="T188" s="7">
        <v>4650</v>
      </c>
      <c r="U188" s="2"/>
      <c r="V188" s="6">
        <f t="shared" si="22"/>
        <v>8.609719564867561E-4</v>
      </c>
      <c r="W188" s="2"/>
      <c r="X188" s="7">
        <f t="shared" si="23"/>
        <v>1618.5600000000004</v>
      </c>
      <c r="Y188" s="2"/>
      <c r="Z188" s="6">
        <f t="shared" si="24"/>
        <v>0.34807741935483877</v>
      </c>
    </row>
    <row r="189" spans="1:26" s="26" customFormat="1" outlineLevel="1" collapsed="1" x14ac:dyDescent="0.25">
      <c r="A189" s="27"/>
      <c r="B189" s="13" t="str">
        <f>CONCATENATE("     ","*Payroll                                          ")</f>
        <v xml:space="preserve">     *Payroll                                          </v>
      </c>
      <c r="C189" s="13"/>
      <c r="D189" s="1">
        <f>SUM(OSRRefD22_1x_0)</f>
        <v>182683.1</v>
      </c>
      <c r="E189" s="1"/>
      <c r="F189" s="5">
        <f t="shared" ref="F189:F199" si="25">IF(D$12=0,0,D189/D$12)</f>
        <v>0.12980322859375351</v>
      </c>
      <c r="G189" s="1"/>
      <c r="H189" s="1">
        <f>SUM(OSRRefH22_1x_0)</f>
        <v>191748.78041638157</v>
      </c>
      <c r="I189" s="1"/>
      <c r="J189" s="5">
        <f t="shared" ref="J189:J199" si="26">IF(H$12=0,0,H189/H$12)</f>
        <v>0.13746128573667263</v>
      </c>
      <c r="K189" s="1"/>
      <c r="L189" s="1">
        <f t="shared" ref="L189:L199" si="27">+D189-H189</f>
        <v>-9065.6804163815686</v>
      </c>
      <c r="M189" s="1"/>
      <c r="N189" s="5">
        <f t="shared" ref="N189:N199" si="28">IF(H189=0,0,L189/H189)</f>
        <v>-4.7278946946601098E-2</v>
      </c>
      <c r="O189" s="13"/>
      <c r="P189" s="1">
        <f>SUM(OSRRefP22_1x_0)</f>
        <v>594103.36</v>
      </c>
      <c r="Q189" s="1"/>
      <c r="R189" s="5">
        <f t="shared" ref="R189:R199" si="29">IF(P$12=0,0,P189/P$12)</f>
        <v>0.11137666950850854</v>
      </c>
      <c r="S189" s="1"/>
      <c r="T189" s="1">
        <f>SUM(OSRRefT22_1x_0)</f>
        <v>604505.30778379017</v>
      </c>
      <c r="U189" s="1"/>
      <c r="V189" s="5">
        <f t="shared" ref="V189:V199" si="30">IF(T$12=0,0,T189/T$12)</f>
        <v>0.11192733710736312</v>
      </c>
      <c r="W189" s="1"/>
      <c r="X189" s="1">
        <f t="shared" ref="X189:X199" si="31">+P189-T189</f>
        <v>-10401.94778379018</v>
      </c>
      <c r="Y189" s="1"/>
      <c r="Z189" s="5">
        <f t="shared" ref="Z189:Z199" si="32">IF(T189=0,0,X189/T189)</f>
        <v>-1.7207372127012958E-2</v>
      </c>
    </row>
    <row r="190" spans="1:26" s="24" customFormat="1" hidden="1" outlineLevel="2" x14ac:dyDescent="0.25">
      <c r="A190" s="25"/>
      <c r="B190" s="11" t="str">
        <f>CONCATENATE("          ", "6001", " - ", "ADMINISTRATIVE SALARIES")</f>
        <v xml:space="preserve">          6001 - ADMINISTRATIVE SALARIES</v>
      </c>
      <c r="C190" s="11"/>
      <c r="D190" s="7">
        <v>10717.14</v>
      </c>
      <c r="E190" s="2"/>
      <c r="F190" s="6">
        <f t="shared" si="25"/>
        <v>7.6149319411114632E-3</v>
      </c>
      <c r="G190" s="2"/>
      <c r="H190" s="7">
        <v>27651.922292615382</v>
      </c>
      <c r="I190" s="2"/>
      <c r="J190" s="6">
        <f t="shared" si="26"/>
        <v>1.9823170625541751E-2</v>
      </c>
      <c r="K190" s="2"/>
      <c r="L190" s="7">
        <f t="shared" si="27"/>
        <v>-16934.782292615382</v>
      </c>
      <c r="M190" s="2"/>
      <c r="N190" s="6">
        <f t="shared" si="28"/>
        <v>-0.61242694498450556</v>
      </c>
      <c r="O190" s="11"/>
      <c r="P190" s="7">
        <v>33758.700000000004</v>
      </c>
      <c r="Q190" s="2"/>
      <c r="R190" s="6">
        <f t="shared" si="29"/>
        <v>6.3287498877920628E-3</v>
      </c>
      <c r="S190" s="2"/>
      <c r="T190" s="7">
        <v>89868.747450999988</v>
      </c>
      <c r="U190" s="2"/>
      <c r="V190" s="6">
        <f t="shared" si="30"/>
        <v>1.6639671251591749E-2</v>
      </c>
      <c r="W190" s="2"/>
      <c r="X190" s="7">
        <f t="shared" si="31"/>
        <v>-56110.047450999984</v>
      </c>
      <c r="Y190" s="2"/>
      <c r="Z190" s="6">
        <f t="shared" si="32"/>
        <v>-0.62435550780980242</v>
      </c>
    </row>
    <row r="191" spans="1:26" s="24" customFormat="1" hidden="1" outlineLevel="2" x14ac:dyDescent="0.25">
      <c r="A191" s="25"/>
      <c r="B191" s="11" t="str">
        <f>CONCATENATE("          ", "6002", " - ", "STAFF SALARIES")</f>
        <v xml:space="preserve">          6002 - STAFF SALARIES</v>
      </c>
      <c r="C191" s="11"/>
      <c r="D191" s="7">
        <v>62140.639999999999</v>
      </c>
      <c r="E191" s="2"/>
      <c r="F191" s="6">
        <f t="shared" si="25"/>
        <v>4.4153267044856059E-2</v>
      </c>
      <c r="G191" s="2"/>
      <c r="H191" s="7">
        <v>39132.03454564618</v>
      </c>
      <c r="I191" s="2"/>
      <c r="J191" s="6">
        <f t="shared" si="26"/>
        <v>2.8053058645043986E-2</v>
      </c>
      <c r="K191" s="2"/>
      <c r="L191" s="7">
        <f t="shared" si="27"/>
        <v>23008.605454353819</v>
      </c>
      <c r="M191" s="2"/>
      <c r="N191" s="6">
        <f t="shared" si="28"/>
        <v>0.58797365691566761</v>
      </c>
      <c r="O191" s="11"/>
      <c r="P191" s="7">
        <v>188552.8</v>
      </c>
      <c r="Q191" s="2"/>
      <c r="R191" s="6">
        <f t="shared" si="29"/>
        <v>3.5348029155236403E-2</v>
      </c>
      <c r="S191" s="2"/>
      <c r="T191" s="7">
        <v>127179.11227335005</v>
      </c>
      <c r="U191" s="2"/>
      <c r="V191" s="6">
        <f t="shared" si="30"/>
        <v>2.3547881530803227E-2</v>
      </c>
      <c r="W191" s="2"/>
      <c r="X191" s="7">
        <f t="shared" si="31"/>
        <v>61373.687726649936</v>
      </c>
      <c r="Y191" s="2"/>
      <c r="Z191" s="6">
        <f t="shared" si="32"/>
        <v>0.48257678976982904</v>
      </c>
    </row>
    <row r="192" spans="1:26" s="24" customFormat="1" hidden="1" outlineLevel="2" x14ac:dyDescent="0.25">
      <c r="A192" s="25"/>
      <c r="B192" s="11" t="str">
        <f>CONCATENATE("          ", "6003", " - ", "STAFF HOURLY-9 MONTH")</f>
        <v xml:space="preserve">          6003 - STAFF HOURLY-9 MONTH</v>
      </c>
      <c r="C192" s="11"/>
      <c r="D192" s="7"/>
      <c r="E192" s="2"/>
      <c r="F192" s="6">
        <f t="shared" si="25"/>
        <v>0</v>
      </c>
      <c r="G192" s="2"/>
      <c r="H192" s="7">
        <v>0</v>
      </c>
      <c r="I192" s="2"/>
      <c r="J192" s="6">
        <f t="shared" si="26"/>
        <v>0</v>
      </c>
      <c r="K192" s="2"/>
      <c r="L192" s="7">
        <f t="shared" si="27"/>
        <v>0</v>
      </c>
      <c r="M192" s="2"/>
      <c r="N192" s="6">
        <f t="shared" si="28"/>
        <v>0</v>
      </c>
      <c r="O192" s="11"/>
      <c r="P192" s="7"/>
      <c r="Q192" s="2"/>
      <c r="R192" s="6">
        <f t="shared" si="29"/>
        <v>0</v>
      </c>
      <c r="S192" s="2"/>
      <c r="T192" s="7">
        <v>0</v>
      </c>
      <c r="U192" s="2"/>
      <c r="V192" s="6">
        <f t="shared" si="30"/>
        <v>0</v>
      </c>
      <c r="W192" s="2"/>
      <c r="X192" s="7">
        <f t="shared" si="31"/>
        <v>0</v>
      </c>
      <c r="Y192" s="2"/>
      <c r="Z192" s="6">
        <f t="shared" si="32"/>
        <v>0</v>
      </c>
    </row>
    <row r="193" spans="1:26" s="24" customFormat="1" hidden="1" outlineLevel="2" x14ac:dyDescent="0.25">
      <c r="A193" s="25"/>
      <c r="B193" s="11" t="str">
        <f>CONCATENATE("          ", "6004", " - ", "STAFF HOURLY")</f>
        <v xml:space="preserve">          6004 - STAFF HOURLY</v>
      </c>
      <c r="C193" s="11"/>
      <c r="D193" s="7">
        <v>1265.96</v>
      </c>
      <c r="E193" s="2"/>
      <c r="F193" s="6">
        <f t="shared" si="25"/>
        <v>8.9951229900602848E-4</v>
      </c>
      <c r="G193" s="2"/>
      <c r="H193" s="7">
        <v>23102.312382</v>
      </c>
      <c r="I193" s="2"/>
      <c r="J193" s="6">
        <f t="shared" si="26"/>
        <v>1.6561636306755181E-2</v>
      </c>
      <c r="K193" s="2"/>
      <c r="L193" s="7">
        <f t="shared" si="27"/>
        <v>-21836.352382000001</v>
      </c>
      <c r="M193" s="2"/>
      <c r="N193" s="6">
        <f t="shared" si="28"/>
        <v>-0.94520202224490901</v>
      </c>
      <c r="O193" s="11"/>
      <c r="P193" s="7">
        <v>6102.21</v>
      </c>
      <c r="Q193" s="2"/>
      <c r="R193" s="6">
        <f t="shared" si="29"/>
        <v>1.1439824653432626E-3</v>
      </c>
      <c r="S193" s="2"/>
      <c r="T193" s="7">
        <v>74337.974304000003</v>
      </c>
      <c r="U193" s="2"/>
      <c r="V193" s="6">
        <f t="shared" si="30"/>
        <v>1.3764066919952061E-2</v>
      </c>
      <c r="W193" s="2"/>
      <c r="X193" s="7">
        <f t="shared" si="31"/>
        <v>-68235.764303999997</v>
      </c>
      <c r="Y193" s="2"/>
      <c r="Z193" s="6">
        <f t="shared" si="32"/>
        <v>-0.91791261388095613</v>
      </c>
    </row>
    <row r="194" spans="1:26" s="24" customFormat="1" hidden="1" outlineLevel="2" x14ac:dyDescent="0.25">
      <c r="A194" s="25"/>
      <c r="B194" s="11" t="str">
        <f>CONCATENATE("          ", "6005", " - ", "TEMPORARY WAGES-HOURLY")</f>
        <v xml:space="preserve">          6005 - TEMPORARY WAGES-HOURLY</v>
      </c>
      <c r="C194" s="11"/>
      <c r="D194" s="7">
        <v>20170.329999999998</v>
      </c>
      <c r="E194" s="2"/>
      <c r="F194" s="6">
        <f t="shared" si="25"/>
        <v>1.4331779763981693E-2</v>
      </c>
      <c r="G194" s="2"/>
      <c r="H194" s="7">
        <v>3071.2</v>
      </c>
      <c r="I194" s="2"/>
      <c r="J194" s="6">
        <f t="shared" si="26"/>
        <v>2.2016885835608778E-3</v>
      </c>
      <c r="K194" s="2"/>
      <c r="L194" s="7">
        <f t="shared" si="27"/>
        <v>17099.129999999997</v>
      </c>
      <c r="M194" s="2"/>
      <c r="N194" s="6">
        <f t="shared" si="28"/>
        <v>5.5675729356603281</v>
      </c>
      <c r="O194" s="11"/>
      <c r="P194" s="7">
        <v>60183.91</v>
      </c>
      <c r="Q194" s="2"/>
      <c r="R194" s="6">
        <f t="shared" si="29"/>
        <v>1.1282689015257922E-2</v>
      </c>
      <c r="S194" s="2"/>
      <c r="T194" s="7">
        <v>10023.280000000001</v>
      </c>
      <c r="U194" s="2"/>
      <c r="V194" s="6">
        <f t="shared" si="30"/>
        <v>1.8558630090353921E-3</v>
      </c>
      <c r="W194" s="2"/>
      <c r="X194" s="7">
        <f t="shared" si="31"/>
        <v>50160.630000000005</v>
      </c>
      <c r="Y194" s="2"/>
      <c r="Z194" s="6">
        <f t="shared" si="32"/>
        <v>5.0044127271711458</v>
      </c>
    </row>
    <row r="195" spans="1:26" s="24" customFormat="1" hidden="1" outlineLevel="2" x14ac:dyDescent="0.25">
      <c r="A195" s="25"/>
      <c r="B195" s="11" t="str">
        <f>CONCATENATE("          ", "6006", " - ", "TEMPORARY PART TIME")</f>
        <v xml:space="preserve">          6006 - TEMPORARY PART TIME</v>
      </c>
      <c r="C195" s="11"/>
      <c r="D195" s="7">
        <v>8044.72</v>
      </c>
      <c r="E195" s="2"/>
      <c r="F195" s="6">
        <f t="shared" si="25"/>
        <v>5.7160767971024184E-3</v>
      </c>
      <c r="G195" s="2"/>
      <c r="H195" s="7">
        <v>0</v>
      </c>
      <c r="I195" s="2"/>
      <c r="J195" s="6">
        <f t="shared" si="26"/>
        <v>0</v>
      </c>
      <c r="K195" s="2"/>
      <c r="L195" s="7">
        <f t="shared" si="27"/>
        <v>8044.72</v>
      </c>
      <c r="M195" s="2"/>
      <c r="N195" s="6">
        <f t="shared" si="28"/>
        <v>0</v>
      </c>
      <c r="O195" s="11"/>
      <c r="P195" s="7">
        <v>19270.54</v>
      </c>
      <c r="Q195" s="2"/>
      <c r="R195" s="6">
        <f t="shared" si="29"/>
        <v>3.6126517864340881E-3</v>
      </c>
      <c r="S195" s="2"/>
      <c r="T195" s="7">
        <v>0</v>
      </c>
      <c r="U195" s="2"/>
      <c r="V195" s="6">
        <f t="shared" si="30"/>
        <v>0</v>
      </c>
      <c r="W195" s="2"/>
      <c r="X195" s="7">
        <f t="shared" si="31"/>
        <v>19270.54</v>
      </c>
      <c r="Y195" s="2"/>
      <c r="Z195" s="6">
        <f t="shared" si="32"/>
        <v>0</v>
      </c>
    </row>
    <row r="196" spans="1:26" s="24" customFormat="1" hidden="1" outlineLevel="2" x14ac:dyDescent="0.25">
      <c r="A196" s="25"/>
      <c r="B196" s="11" t="str">
        <f>CONCATENATE("          ", "6007", " - ", "STUDENT HOURLY")</f>
        <v xml:space="preserve">          6007 - STUDENT HOURLY</v>
      </c>
      <c r="C196" s="11"/>
      <c r="D196" s="7">
        <v>78682.31</v>
      </c>
      <c r="E196" s="2"/>
      <c r="F196" s="6">
        <f t="shared" si="25"/>
        <v>5.5906747100386289E-2</v>
      </c>
      <c r="G196" s="2"/>
      <c r="H196" s="7">
        <v>5721.06</v>
      </c>
      <c r="I196" s="2"/>
      <c r="J196" s="6">
        <f t="shared" si="26"/>
        <v>4.1013260249631407E-3</v>
      </c>
      <c r="K196" s="2"/>
      <c r="L196" s="7">
        <f t="shared" si="27"/>
        <v>72961.25</v>
      </c>
      <c r="M196" s="2"/>
      <c r="N196" s="6">
        <f t="shared" si="28"/>
        <v>12.753099950009263</v>
      </c>
      <c r="O196" s="11"/>
      <c r="P196" s="7">
        <v>282611.20000000001</v>
      </c>
      <c r="Q196" s="2"/>
      <c r="R196" s="6">
        <f t="shared" si="29"/>
        <v>5.2981175231533804E-2</v>
      </c>
      <c r="S196" s="2"/>
      <c r="T196" s="7">
        <v>139091.3563632</v>
      </c>
      <c r="U196" s="2"/>
      <c r="V196" s="6">
        <f t="shared" si="30"/>
        <v>2.5753496176004496E-2</v>
      </c>
      <c r="W196" s="2"/>
      <c r="X196" s="7">
        <f t="shared" si="31"/>
        <v>143519.84363680001</v>
      </c>
      <c r="Y196" s="2"/>
      <c r="Z196" s="6">
        <f t="shared" si="32"/>
        <v>1.0318386950087408</v>
      </c>
    </row>
    <row r="197" spans="1:26" s="24" customFormat="1" hidden="1" outlineLevel="2" x14ac:dyDescent="0.25">
      <c r="A197" s="25"/>
      <c r="B197" s="11" t="str">
        <f>CONCATENATE("          ", "6008", " - ", "STUDENT HOURLY-FICA EXEMPT")</f>
        <v xml:space="preserve">          6008 - STUDENT HOURLY-FICA EXEMPT</v>
      </c>
      <c r="C197" s="11"/>
      <c r="D197" s="7">
        <v>1662</v>
      </c>
      <c r="E197" s="2"/>
      <c r="F197" s="6">
        <f t="shared" si="25"/>
        <v>1.1809136473095669E-3</v>
      </c>
      <c r="G197" s="2"/>
      <c r="H197" s="7">
        <v>93070.251196120007</v>
      </c>
      <c r="I197" s="2"/>
      <c r="J197" s="6">
        <f t="shared" si="26"/>
        <v>6.6720405550807688E-2</v>
      </c>
      <c r="K197" s="2"/>
      <c r="L197" s="7">
        <f t="shared" si="27"/>
        <v>-91408.251196120007</v>
      </c>
      <c r="M197" s="2"/>
      <c r="N197" s="6">
        <f t="shared" si="28"/>
        <v>-0.98214252160448356</v>
      </c>
      <c r="O197" s="11"/>
      <c r="P197" s="7">
        <v>3624</v>
      </c>
      <c r="Q197" s="2"/>
      <c r="R197" s="6">
        <f t="shared" si="29"/>
        <v>6.7939196691100168E-4</v>
      </c>
      <c r="S197" s="2"/>
      <c r="T197" s="7">
        <v>164004.83739224001</v>
      </c>
      <c r="U197" s="2"/>
      <c r="V197" s="6">
        <f t="shared" si="30"/>
        <v>3.0366358219976165E-2</v>
      </c>
      <c r="W197" s="2"/>
      <c r="X197" s="7">
        <f t="shared" si="31"/>
        <v>-160380.83739224001</v>
      </c>
      <c r="Y197" s="2"/>
      <c r="Z197" s="6">
        <f t="shared" si="32"/>
        <v>-0.97790309080132365</v>
      </c>
    </row>
    <row r="198" spans="1:26" s="24" customFormat="1" hidden="1" outlineLevel="2" x14ac:dyDescent="0.25">
      <c r="A198" s="25"/>
      <c r="B198" s="11" t="str">
        <f>CONCATENATE("          ", "6009", " - ", "TEMPORARY-SEASONAL")</f>
        <v xml:space="preserve">          6009 - TEMPORARY-SEASONAL</v>
      </c>
      <c r="C198" s="11"/>
      <c r="D198" s="7"/>
      <c r="E198" s="2"/>
      <c r="F198" s="6">
        <f t="shared" si="25"/>
        <v>0</v>
      </c>
      <c r="G198" s="2"/>
      <c r="H198" s="7">
        <v>0</v>
      </c>
      <c r="I198" s="2"/>
      <c r="J198" s="6">
        <f t="shared" si="26"/>
        <v>0</v>
      </c>
      <c r="K198" s="2"/>
      <c r="L198" s="7">
        <f t="shared" si="27"/>
        <v>0</v>
      </c>
      <c r="M198" s="2"/>
      <c r="N198" s="6">
        <f t="shared" si="28"/>
        <v>0</v>
      </c>
      <c r="O198" s="11"/>
      <c r="P198" s="7"/>
      <c r="Q198" s="2"/>
      <c r="R198" s="6">
        <f t="shared" si="29"/>
        <v>0</v>
      </c>
      <c r="S198" s="2"/>
      <c r="T198" s="7">
        <v>0</v>
      </c>
      <c r="U198" s="2"/>
      <c r="V198" s="6">
        <f t="shared" si="30"/>
        <v>0</v>
      </c>
      <c r="W198" s="2"/>
      <c r="X198" s="7">
        <f t="shared" si="31"/>
        <v>0</v>
      </c>
      <c r="Y198" s="2"/>
      <c r="Z198" s="6">
        <f t="shared" si="32"/>
        <v>0</v>
      </c>
    </row>
    <row r="199" spans="1:26" s="24" customFormat="1" hidden="1" outlineLevel="2" x14ac:dyDescent="0.25">
      <c r="A199" s="25"/>
      <c r="B199" s="11" t="str">
        <f>CONCATENATE("          ", "6010", " - ", "GRATUITY")</f>
        <v xml:space="preserve">          6010 - GRATUITY</v>
      </c>
      <c r="C199" s="11"/>
      <c r="D199" s="7"/>
      <c r="E199" s="2"/>
      <c r="F199" s="6">
        <f t="shared" si="25"/>
        <v>0</v>
      </c>
      <c r="G199" s="2"/>
      <c r="H199" s="7">
        <v>0</v>
      </c>
      <c r="I199" s="2"/>
      <c r="J199" s="6">
        <f t="shared" si="26"/>
        <v>0</v>
      </c>
      <c r="K199" s="2"/>
      <c r="L199" s="7">
        <f t="shared" si="27"/>
        <v>0</v>
      </c>
      <c r="M199" s="2"/>
      <c r="N199" s="6">
        <f t="shared" si="28"/>
        <v>0</v>
      </c>
      <c r="O199" s="11"/>
      <c r="P199" s="7"/>
      <c r="Q199" s="2"/>
      <c r="R199" s="6">
        <f t="shared" si="29"/>
        <v>0</v>
      </c>
      <c r="S199" s="2"/>
      <c r="T199" s="7">
        <v>0</v>
      </c>
      <c r="U199" s="2"/>
      <c r="V199" s="6">
        <f t="shared" si="30"/>
        <v>0</v>
      </c>
      <c r="W199" s="2"/>
      <c r="X199" s="7">
        <f t="shared" si="31"/>
        <v>0</v>
      </c>
      <c r="Y199" s="2"/>
      <c r="Z199" s="6">
        <f t="shared" si="32"/>
        <v>0</v>
      </c>
    </row>
    <row r="200" spans="1:26" s="26" customFormat="1" outlineLevel="1" collapsed="1" x14ac:dyDescent="0.25">
      <c r="A200" s="27"/>
      <c r="B200" s="13" t="str">
        <f>CONCATENATE("     ","Advertising/Promo                                 ")</f>
        <v xml:space="preserve">     Advertising/Promo                                 </v>
      </c>
      <c r="C200" s="13"/>
      <c r="D200" s="1">
        <f>SUM(OSRRefD22_2x_0)</f>
        <v>-84.58</v>
      </c>
      <c r="E200" s="1"/>
      <c r="F200" s="5">
        <f t="shared" ref="F200:F204" si="33">IF(D$12=0,0,D200/D$12)</f>
        <v>-6.0097278152492884E-5</v>
      </c>
      <c r="G200" s="1"/>
      <c r="H200" s="1">
        <f>SUM(OSRRefH22_2x_0)</f>
        <v>4020</v>
      </c>
      <c r="I200" s="1"/>
      <c r="J200" s="5">
        <f t="shared" ref="J200:J204" si="34">IF(H$12=0,0,H200/H$12)</f>
        <v>2.8818664059373305E-3</v>
      </c>
      <c r="K200" s="1"/>
      <c r="L200" s="1">
        <f t="shared" ref="L200:L204" si="35">+D200-H200</f>
        <v>-4104.58</v>
      </c>
      <c r="M200" s="1"/>
      <c r="N200" s="5">
        <f t="shared" ref="N200:N204" si="36">IF(H200=0,0,L200/H200)</f>
        <v>-1.0210398009950248</v>
      </c>
      <c r="O200" s="13"/>
      <c r="P200" s="1">
        <f>SUM(OSRRefP22_2x_0)</f>
        <v>7808.08</v>
      </c>
      <c r="Q200" s="1"/>
      <c r="R200" s="5">
        <f t="shared" ref="R200:R204" si="37">IF(P$12=0,0,P200/P$12)</f>
        <v>1.4637822375823549E-3</v>
      </c>
      <c r="S200" s="1"/>
      <c r="T200" s="1">
        <f>SUM(OSRRefT22_2x_0)</f>
        <v>13860</v>
      </c>
      <c r="U200" s="1"/>
      <c r="V200" s="5">
        <f t="shared" ref="V200:V204" si="38">IF(T$12=0,0,T200/T$12)</f>
        <v>2.5662518961089118E-3</v>
      </c>
      <c r="W200" s="1"/>
      <c r="X200" s="1">
        <f t="shared" ref="X200:X204" si="39">+P200-T200</f>
        <v>-6051.92</v>
      </c>
      <c r="Y200" s="1"/>
      <c r="Z200" s="5">
        <f t="shared" ref="Z200:Z204" si="40">IF(T200=0,0,X200/T200)</f>
        <v>-0.43664646464646467</v>
      </c>
    </row>
    <row r="201" spans="1:26" s="24" customFormat="1" hidden="1" outlineLevel="2" x14ac:dyDescent="0.25">
      <c r="A201" s="25"/>
      <c r="B201" s="11" t="str">
        <f>CONCATENATE("          ", "6362", " - ", "ADVERTISING EXPENSE")</f>
        <v xml:space="preserve">          6362 - ADVERTISING EXPENSE</v>
      </c>
      <c r="C201" s="11"/>
      <c r="D201" s="7">
        <v>-84.58</v>
      </c>
      <c r="E201" s="2"/>
      <c r="F201" s="6">
        <f t="shared" si="33"/>
        <v>-6.0097278152492884E-5</v>
      </c>
      <c r="G201" s="2"/>
      <c r="H201" s="7">
        <v>4020</v>
      </c>
      <c r="I201" s="2"/>
      <c r="J201" s="6">
        <f t="shared" si="34"/>
        <v>2.8818664059373305E-3</v>
      </c>
      <c r="K201" s="2"/>
      <c r="L201" s="7">
        <f t="shared" si="35"/>
        <v>-4104.58</v>
      </c>
      <c r="M201" s="2"/>
      <c r="N201" s="6">
        <f t="shared" si="36"/>
        <v>-1.0210398009950248</v>
      </c>
      <c r="O201" s="11"/>
      <c r="P201" s="7">
        <v>7808.08</v>
      </c>
      <c r="Q201" s="2"/>
      <c r="R201" s="6">
        <f t="shared" si="37"/>
        <v>1.4637822375823549E-3</v>
      </c>
      <c r="S201" s="2"/>
      <c r="T201" s="7">
        <v>13860</v>
      </c>
      <c r="U201" s="2"/>
      <c r="V201" s="6">
        <f t="shared" si="38"/>
        <v>2.5662518961089118E-3</v>
      </c>
      <c r="W201" s="2"/>
      <c r="X201" s="7">
        <f t="shared" si="39"/>
        <v>-6051.92</v>
      </c>
      <c r="Y201" s="2"/>
      <c r="Z201" s="6">
        <f t="shared" si="40"/>
        <v>-0.43664646464646467</v>
      </c>
    </row>
    <row r="202" spans="1:26" s="26" customFormat="1" outlineLevel="1" collapsed="1" x14ac:dyDescent="0.25">
      <c r="A202" s="27"/>
      <c r="B202" s="13" t="str">
        <f>CONCATENATE("     ","Bad Debts/Over/Short                              ")</f>
        <v xml:space="preserve">     Bad Debts/Over/Short                              </v>
      </c>
      <c r="C202" s="13"/>
      <c r="D202" s="1">
        <f>SUM(OSRRefD22_3x_0)</f>
        <v>-82.82</v>
      </c>
      <c r="E202" s="1"/>
      <c r="F202" s="5">
        <f t="shared" si="33"/>
        <v>-5.8846731811178292E-5</v>
      </c>
      <c r="G202" s="1"/>
      <c r="H202" s="1">
        <f>SUM(OSRRefH22_3x_0)</f>
        <v>135</v>
      </c>
      <c r="I202" s="1"/>
      <c r="J202" s="5">
        <f t="shared" si="34"/>
        <v>9.6779095721776022E-5</v>
      </c>
      <c r="K202" s="1"/>
      <c r="L202" s="1">
        <f t="shared" si="35"/>
        <v>-217.82</v>
      </c>
      <c r="M202" s="1"/>
      <c r="N202" s="5">
        <f t="shared" si="36"/>
        <v>-1.6134814814814815</v>
      </c>
      <c r="O202" s="13"/>
      <c r="P202" s="1">
        <f>SUM(OSRRefP22_3x_0)</f>
        <v>-165.15</v>
      </c>
      <c r="Q202" s="1"/>
      <c r="R202" s="5">
        <f t="shared" si="37"/>
        <v>-3.0960701803353185E-5</v>
      </c>
      <c r="S202" s="1"/>
      <c r="T202" s="1">
        <f>SUM(OSRRefT22_3x_0)</f>
        <v>405</v>
      </c>
      <c r="U202" s="1"/>
      <c r="V202" s="5">
        <f t="shared" si="38"/>
        <v>7.4987880081104556E-5</v>
      </c>
      <c r="W202" s="1"/>
      <c r="X202" s="1">
        <f t="shared" si="39"/>
        <v>-570.15</v>
      </c>
      <c r="Y202" s="1"/>
      <c r="Z202" s="5">
        <f t="shared" si="40"/>
        <v>-1.4077777777777778</v>
      </c>
    </row>
    <row r="203" spans="1:26" s="24" customFormat="1" hidden="1" outlineLevel="2" x14ac:dyDescent="0.25">
      <c r="A203" s="25"/>
      <c r="B203" s="11" t="str">
        <f>CONCATENATE("          ", "6272", " - ", "CASH (OVER/SHORT)")</f>
        <v xml:space="preserve">          6272 - CASH (OVER/SHORT)</v>
      </c>
      <c r="C203" s="11"/>
      <c r="D203" s="7">
        <v>-82.82</v>
      </c>
      <c r="E203" s="2"/>
      <c r="F203" s="6">
        <f t="shared" si="33"/>
        <v>-5.8846731811178292E-5</v>
      </c>
      <c r="G203" s="2"/>
      <c r="H203" s="7">
        <v>125</v>
      </c>
      <c r="I203" s="2"/>
      <c r="J203" s="6">
        <f t="shared" si="34"/>
        <v>8.9610273816459284E-5</v>
      </c>
      <c r="K203" s="2"/>
      <c r="L203" s="7">
        <f t="shared" si="35"/>
        <v>-207.82</v>
      </c>
      <c r="M203" s="2"/>
      <c r="N203" s="6">
        <f t="shared" si="36"/>
        <v>-1.66256</v>
      </c>
      <c r="O203" s="11"/>
      <c r="P203" s="7">
        <v>-165.15</v>
      </c>
      <c r="Q203" s="2"/>
      <c r="R203" s="6">
        <f t="shared" si="37"/>
        <v>-3.0960701803353185E-5</v>
      </c>
      <c r="S203" s="2"/>
      <c r="T203" s="7">
        <v>375</v>
      </c>
      <c r="U203" s="2"/>
      <c r="V203" s="6">
        <f t="shared" si="38"/>
        <v>6.9433222297319045E-5</v>
      </c>
      <c r="W203" s="2"/>
      <c r="X203" s="7">
        <f t="shared" si="39"/>
        <v>-540.15</v>
      </c>
      <c r="Y203" s="2"/>
      <c r="Z203" s="6">
        <f t="shared" si="40"/>
        <v>-1.4403999999999999</v>
      </c>
    </row>
    <row r="204" spans="1:26" s="24" customFormat="1" hidden="1" outlineLevel="2" x14ac:dyDescent="0.25">
      <c r="A204" s="25"/>
      <c r="B204" s="11" t="str">
        <f>CONCATENATE("          ", "6342", " - ", "BAD DEBT")</f>
        <v xml:space="preserve">          6342 - BAD DEBT</v>
      </c>
      <c r="C204" s="11"/>
      <c r="D204" s="7"/>
      <c r="E204" s="2"/>
      <c r="F204" s="6">
        <f t="shared" si="33"/>
        <v>0</v>
      </c>
      <c r="G204" s="2"/>
      <c r="H204" s="7">
        <v>10</v>
      </c>
      <c r="I204" s="2"/>
      <c r="J204" s="6">
        <f t="shared" si="34"/>
        <v>7.1688219053167429E-6</v>
      </c>
      <c r="K204" s="2"/>
      <c r="L204" s="7">
        <f t="shared" si="35"/>
        <v>-10</v>
      </c>
      <c r="M204" s="2"/>
      <c r="N204" s="6">
        <f t="shared" si="36"/>
        <v>-1</v>
      </c>
      <c r="O204" s="11"/>
      <c r="P204" s="7"/>
      <c r="Q204" s="2"/>
      <c r="R204" s="6">
        <f t="shared" si="37"/>
        <v>0</v>
      </c>
      <c r="S204" s="2"/>
      <c r="T204" s="7">
        <v>30</v>
      </c>
      <c r="U204" s="2"/>
      <c r="V204" s="6">
        <f t="shared" si="38"/>
        <v>5.5546577837855233E-6</v>
      </c>
      <c r="W204" s="2"/>
      <c r="X204" s="7">
        <f t="shared" si="39"/>
        <v>-30</v>
      </c>
      <c r="Y204" s="2"/>
      <c r="Z204" s="6">
        <f t="shared" si="40"/>
        <v>-1</v>
      </c>
    </row>
    <row r="205" spans="1:26" s="26" customFormat="1" outlineLevel="1" collapsed="1" x14ac:dyDescent="0.25">
      <c r="A205" s="27"/>
      <c r="B205" s="13" t="str">
        <f>CONCATENATE("     ","Bank/card Fees                                    ")</f>
        <v xml:space="preserve">     Bank/card Fees                                    </v>
      </c>
      <c r="C205" s="13"/>
      <c r="D205" s="1">
        <f>SUM(OSRRefD22_4x_0)</f>
        <v>20801.550000000003</v>
      </c>
      <c r="E205" s="1"/>
      <c r="F205" s="5">
        <f t="shared" ref="F205:F210" si="41">IF(D$12=0,0,D205/D$12)</f>
        <v>1.4780285367143396E-2</v>
      </c>
      <c r="G205" s="1"/>
      <c r="H205" s="1">
        <f>SUM(OSRRefH22_4x_0)</f>
        <v>28470</v>
      </c>
      <c r="I205" s="1"/>
      <c r="J205" s="5">
        <f t="shared" ref="J205:J210" si="42">IF(H$12=0,0,H205/H$12)</f>
        <v>2.0409635964436765E-2</v>
      </c>
      <c r="K205" s="1"/>
      <c r="L205" s="1">
        <f t="shared" ref="L205:L210" si="43">+D205-H205</f>
        <v>-7668.4499999999971</v>
      </c>
      <c r="M205" s="1"/>
      <c r="N205" s="5">
        <f t="shared" ref="N205:N210" si="44">IF(H205=0,0,L205/H205)</f>
        <v>-0.26935194942044249</v>
      </c>
      <c r="O205" s="13"/>
      <c r="P205" s="1">
        <f>SUM(OSRRefP22_4x_0)</f>
        <v>60257.06</v>
      </c>
      <c r="Q205" s="1"/>
      <c r="R205" s="5">
        <f t="shared" ref="R205:R210" si="45">IF(P$12=0,0,P205/P$12)</f>
        <v>1.1296402459623135E-2</v>
      </c>
      <c r="S205" s="1"/>
      <c r="T205" s="1">
        <f>SUM(OSRRefT22_4x_0)</f>
        <v>64095.000000000007</v>
      </c>
      <c r="U205" s="1"/>
      <c r="V205" s="5">
        <f t="shared" ref="V205:V210" si="46">IF(T$12=0,0,T205/T$12)</f>
        <v>1.1867526355057771E-2</v>
      </c>
      <c r="W205" s="1"/>
      <c r="X205" s="1">
        <f t="shared" ref="X205:X210" si="47">+P205-T205</f>
        <v>-3837.9400000000096</v>
      </c>
      <c r="Y205" s="1"/>
      <c r="Z205" s="5">
        <f t="shared" ref="Z205:Z210" si="48">IF(T205=0,0,X205/T205)</f>
        <v>-5.9878929713706362E-2</v>
      </c>
    </row>
    <row r="206" spans="1:26" s="24" customFormat="1" hidden="1" outlineLevel="2" x14ac:dyDescent="0.25">
      <c r="A206" s="25"/>
      <c r="B206" s="11" t="str">
        <f>CONCATENATE("          ", "6381", " - ", "BANK/CREDIT CARD FEES")</f>
        <v xml:space="preserve">          6381 - BANK/CREDIT CARD FEES</v>
      </c>
      <c r="C206" s="11"/>
      <c r="D206" s="7">
        <v>20801.550000000003</v>
      </c>
      <c r="E206" s="2"/>
      <c r="F206" s="6">
        <f t="shared" si="41"/>
        <v>1.4780285367143396E-2</v>
      </c>
      <c r="G206" s="2"/>
      <c r="H206" s="7">
        <v>28470</v>
      </c>
      <c r="I206" s="2"/>
      <c r="J206" s="6">
        <f t="shared" si="42"/>
        <v>2.0409635964436765E-2</v>
      </c>
      <c r="K206" s="2"/>
      <c r="L206" s="7">
        <f t="shared" si="43"/>
        <v>-7668.4499999999971</v>
      </c>
      <c r="M206" s="2"/>
      <c r="N206" s="6">
        <f t="shared" si="44"/>
        <v>-0.26935194942044249</v>
      </c>
      <c r="O206" s="11"/>
      <c r="P206" s="7">
        <v>60257.06</v>
      </c>
      <c r="Q206" s="2"/>
      <c r="R206" s="6">
        <f t="shared" si="45"/>
        <v>1.1296402459623135E-2</v>
      </c>
      <c r="S206" s="2"/>
      <c r="T206" s="7">
        <v>64095.000000000007</v>
      </c>
      <c r="U206" s="2"/>
      <c r="V206" s="6">
        <f t="shared" si="46"/>
        <v>1.1867526355057771E-2</v>
      </c>
      <c r="W206" s="2"/>
      <c r="X206" s="7">
        <f t="shared" si="47"/>
        <v>-3837.9400000000096</v>
      </c>
      <c r="Y206" s="2"/>
      <c r="Z206" s="6">
        <f t="shared" si="48"/>
        <v>-5.9878929713706362E-2</v>
      </c>
    </row>
    <row r="207" spans="1:26" s="26" customFormat="1" outlineLevel="1" collapsed="1" x14ac:dyDescent="0.25">
      <c r="A207" s="27"/>
      <c r="B207" s="13" t="str">
        <f>CONCATENATE("     ","Depreciation                                      ")</f>
        <v xml:space="preserve">     Depreciation                                      </v>
      </c>
      <c r="C207" s="13"/>
      <c r="D207" s="1">
        <f>SUM(OSRRefD22_5x_0)</f>
        <v>29887.870000000003</v>
      </c>
      <c r="E207" s="1"/>
      <c r="F207" s="5">
        <f t="shared" si="41"/>
        <v>2.123645822624199E-2</v>
      </c>
      <c r="G207" s="1"/>
      <c r="H207" s="1">
        <f>SUM(OSRRefH22_5x_0)</f>
        <v>30202</v>
      </c>
      <c r="I207" s="1"/>
      <c r="J207" s="5">
        <f t="shared" si="42"/>
        <v>2.1651275918437626E-2</v>
      </c>
      <c r="K207" s="1"/>
      <c r="L207" s="1">
        <f t="shared" si="43"/>
        <v>-314.12999999999738</v>
      </c>
      <c r="M207" s="1"/>
      <c r="N207" s="5">
        <f t="shared" si="44"/>
        <v>-1.0400966823389092E-2</v>
      </c>
      <c r="O207" s="13"/>
      <c r="P207" s="1">
        <f>SUM(OSRRefP22_5x_0)</f>
        <v>89663.609999999986</v>
      </c>
      <c r="Q207" s="1"/>
      <c r="R207" s="5">
        <f t="shared" si="45"/>
        <v>1.6809253961987018E-2</v>
      </c>
      <c r="S207" s="1"/>
      <c r="T207" s="1">
        <f>SUM(OSRRefT22_5x_0)</f>
        <v>90606</v>
      </c>
      <c r="U207" s="1"/>
      <c r="V207" s="5">
        <f t="shared" si="46"/>
        <v>1.6776177438589036E-2</v>
      </c>
      <c r="W207" s="1"/>
      <c r="X207" s="1">
        <f t="shared" si="47"/>
        <v>-942.39000000001397</v>
      </c>
      <c r="Y207" s="1"/>
      <c r="Z207" s="5">
        <f t="shared" si="48"/>
        <v>-1.0400966823389333E-2</v>
      </c>
    </row>
    <row r="208" spans="1:26" s="24" customFormat="1" hidden="1" outlineLevel="2" x14ac:dyDescent="0.25">
      <c r="A208" s="25"/>
      <c r="B208" s="11" t="str">
        <f>CONCATENATE("          ", "6321", " - ", "BUILDING DEPRECIATION")</f>
        <v xml:space="preserve">          6321 - BUILDING DEPRECIATION</v>
      </c>
      <c r="C208" s="11"/>
      <c r="D208" s="7">
        <v>16396.52</v>
      </c>
      <c r="E208" s="2"/>
      <c r="F208" s="6">
        <f t="shared" si="41"/>
        <v>1.1650345509256475E-2</v>
      </c>
      <c r="G208" s="2"/>
      <c r="H208" s="7">
        <v>16453</v>
      </c>
      <c r="I208" s="2"/>
      <c r="J208" s="6">
        <f t="shared" si="42"/>
        <v>1.1794862680817636E-2</v>
      </c>
      <c r="K208" s="2"/>
      <c r="L208" s="7">
        <f t="shared" si="43"/>
        <v>-56.479999999999563</v>
      </c>
      <c r="M208" s="2"/>
      <c r="N208" s="6">
        <f t="shared" si="44"/>
        <v>-3.432808606333165E-3</v>
      </c>
      <c r="O208" s="11"/>
      <c r="P208" s="7">
        <v>49189.56</v>
      </c>
      <c r="Q208" s="2"/>
      <c r="R208" s="6">
        <f t="shared" si="45"/>
        <v>9.2215761368340879E-3</v>
      </c>
      <c r="S208" s="2"/>
      <c r="T208" s="7">
        <v>49359</v>
      </c>
      <c r="U208" s="2"/>
      <c r="V208" s="6">
        <f t="shared" si="46"/>
        <v>9.1390784516623205E-3</v>
      </c>
      <c r="W208" s="2"/>
      <c r="X208" s="7">
        <f t="shared" si="47"/>
        <v>-169.44000000000233</v>
      </c>
      <c r="Y208" s="2"/>
      <c r="Z208" s="6">
        <f t="shared" si="48"/>
        <v>-3.4328086063332387E-3</v>
      </c>
    </row>
    <row r="209" spans="1:26" s="24" customFormat="1" hidden="1" outlineLevel="2" x14ac:dyDescent="0.25">
      <c r="A209" s="25"/>
      <c r="B209" s="11" t="str">
        <f>CONCATENATE("          ", "6322", " - ", "EQUIPMENT DEPRECIATION EXPENSE")</f>
        <v xml:space="preserve">          6322 - EQUIPMENT DEPRECIATION EXPENSE</v>
      </c>
      <c r="C209" s="11"/>
      <c r="D209" s="7">
        <v>13491.35</v>
      </c>
      <c r="E209" s="2"/>
      <c r="F209" s="6">
        <f t="shared" si="41"/>
        <v>9.5861127169855152E-3</v>
      </c>
      <c r="G209" s="2"/>
      <c r="H209" s="7">
        <v>13049</v>
      </c>
      <c r="I209" s="2"/>
      <c r="J209" s="6">
        <f t="shared" si="42"/>
        <v>9.3545957042478183E-3</v>
      </c>
      <c r="K209" s="2"/>
      <c r="L209" s="7">
        <f t="shared" si="43"/>
        <v>442.35000000000036</v>
      </c>
      <c r="M209" s="2"/>
      <c r="N209" s="6">
        <f t="shared" si="44"/>
        <v>3.3899149360104248E-2</v>
      </c>
      <c r="O209" s="11"/>
      <c r="P209" s="7">
        <v>40474.049999999996</v>
      </c>
      <c r="Q209" s="2"/>
      <c r="R209" s="6">
        <f t="shared" si="45"/>
        <v>7.5876778251529322E-3</v>
      </c>
      <c r="S209" s="2"/>
      <c r="T209" s="7">
        <v>39147</v>
      </c>
      <c r="U209" s="2"/>
      <c r="V209" s="6">
        <f t="shared" si="46"/>
        <v>7.248272942061729E-3</v>
      </c>
      <c r="W209" s="2"/>
      <c r="X209" s="7">
        <f t="shared" si="47"/>
        <v>1327.0499999999956</v>
      </c>
      <c r="Y209" s="2"/>
      <c r="Z209" s="6">
        <f t="shared" si="48"/>
        <v>3.389914936010411E-2</v>
      </c>
    </row>
    <row r="210" spans="1:26" s="24" customFormat="1" hidden="1" outlineLevel="2" x14ac:dyDescent="0.25">
      <c r="A210" s="25"/>
      <c r="B210" s="11" t="str">
        <f>CONCATENATE("          ", "6324", " - ", "FURNITURE + FIXT DEPRECIATION")</f>
        <v xml:space="preserve">          6324 - FURNITURE + FIXT DEPRECIATION</v>
      </c>
      <c r="C210" s="11"/>
      <c r="D210" s="7"/>
      <c r="E210" s="2"/>
      <c r="F210" s="6">
        <f t="shared" si="41"/>
        <v>0</v>
      </c>
      <c r="G210" s="2"/>
      <c r="H210" s="7">
        <v>700</v>
      </c>
      <c r="I210" s="2"/>
      <c r="J210" s="6">
        <f t="shared" si="42"/>
        <v>5.0181753337217195E-4</v>
      </c>
      <c r="K210" s="2"/>
      <c r="L210" s="7">
        <f t="shared" si="43"/>
        <v>-700</v>
      </c>
      <c r="M210" s="2"/>
      <c r="N210" s="6">
        <f t="shared" si="44"/>
        <v>-1</v>
      </c>
      <c r="O210" s="11"/>
      <c r="P210" s="7"/>
      <c r="Q210" s="2"/>
      <c r="R210" s="6">
        <f t="shared" si="45"/>
        <v>0</v>
      </c>
      <c r="S210" s="2"/>
      <c r="T210" s="7">
        <v>2100</v>
      </c>
      <c r="U210" s="2"/>
      <c r="V210" s="6">
        <f t="shared" si="46"/>
        <v>3.8882604486498661E-4</v>
      </c>
      <c r="W210" s="2"/>
      <c r="X210" s="7">
        <f t="shared" si="47"/>
        <v>-2100</v>
      </c>
      <c r="Y210" s="2"/>
      <c r="Z210" s="6">
        <f t="shared" si="48"/>
        <v>-1</v>
      </c>
    </row>
    <row r="211" spans="1:26" s="26" customFormat="1" outlineLevel="1" collapsed="1" x14ac:dyDescent="0.25">
      <c r="A211" s="27"/>
      <c r="B211" s="13" t="str">
        <f>CONCATENATE("     ","Discounts and Markdowns                           ")</f>
        <v xml:space="preserve">     Discounts and Markdowns                           </v>
      </c>
      <c r="C211" s="13"/>
      <c r="D211" s="1">
        <f>SUM(OSRRefD22_6x_0)</f>
        <v>1925.6699999999998</v>
      </c>
      <c r="E211" s="1"/>
      <c r="F211" s="5">
        <f t="shared" ref="F211:F213" si="49">IF(D$12=0,0,D211/D$12)</f>
        <v>1.3682611210677578E-3</v>
      </c>
      <c r="G211" s="1"/>
      <c r="H211" s="1">
        <f>SUM(OSRRefH22_6x_0)</f>
        <v>31725</v>
      </c>
      <c r="I211" s="1"/>
      <c r="J211" s="5">
        <f t="shared" ref="J211:J213" si="50">IF(H$12=0,0,H211/H$12)</f>
        <v>2.2743087494617367E-2</v>
      </c>
      <c r="K211" s="1"/>
      <c r="L211" s="1">
        <f t="shared" ref="L211:L213" si="51">+D211-H211</f>
        <v>-29799.33</v>
      </c>
      <c r="M211" s="1"/>
      <c r="N211" s="5">
        <f t="shared" ref="N211:N213" si="52">IF(H211=0,0,L211/H211)</f>
        <v>-0.93930118203309698</v>
      </c>
      <c r="O211" s="13"/>
      <c r="P211" s="1">
        <f>SUM(OSRRefP22_6x_0)</f>
        <v>131028.24999999999</v>
      </c>
      <c r="Q211" s="1"/>
      <c r="R211" s="5">
        <f t="shared" ref="R211:R213" si="53">IF(P$12=0,0,P211/P$12)</f>
        <v>2.4563890863246812E-2</v>
      </c>
      <c r="S211" s="1"/>
      <c r="T211" s="1">
        <f>SUM(OSRRefT22_6x_0)</f>
        <v>89175</v>
      </c>
      <c r="U211" s="1"/>
      <c r="V211" s="5">
        <f t="shared" ref="V211:V213" si="54">IF(T$12=0,0,T211/T$12)</f>
        <v>1.6511220262302468E-2</v>
      </c>
      <c r="W211" s="1"/>
      <c r="X211" s="1">
        <f t="shared" ref="X211:X213" si="55">+P211-T211</f>
        <v>41853.249999999985</v>
      </c>
      <c r="Y211" s="1"/>
      <c r="Z211" s="5">
        <f t="shared" ref="Z211:Z213" si="56">IF(T211=0,0,X211/T211)</f>
        <v>0.4693383795906923</v>
      </c>
    </row>
    <row r="212" spans="1:26" s="24" customFormat="1" hidden="1" outlineLevel="2" x14ac:dyDescent="0.25">
      <c r="A212" s="25"/>
      <c r="B212" s="11" t="str">
        <f>CONCATENATE("          ", "6382", " - ", "DISCOUNTS/MARK DOWNS")</f>
        <v xml:space="preserve">          6382 - DISCOUNTS/MARK DOWNS</v>
      </c>
      <c r="C212" s="11"/>
      <c r="D212" s="7">
        <v>2323.9699999999998</v>
      </c>
      <c r="E212" s="2"/>
      <c r="F212" s="6">
        <f t="shared" si="49"/>
        <v>1.6512682845595751E-3</v>
      </c>
      <c r="G212" s="2"/>
      <c r="H212" s="7">
        <v>31725</v>
      </c>
      <c r="I212" s="2"/>
      <c r="J212" s="6">
        <f t="shared" si="50"/>
        <v>2.2743087494617367E-2</v>
      </c>
      <c r="K212" s="2"/>
      <c r="L212" s="7">
        <f t="shared" si="51"/>
        <v>-29401.03</v>
      </c>
      <c r="M212" s="2"/>
      <c r="N212" s="6">
        <f t="shared" si="52"/>
        <v>-0.92674641449960593</v>
      </c>
      <c r="O212" s="11"/>
      <c r="P212" s="7">
        <v>132676.10999999999</v>
      </c>
      <c r="Q212" s="2"/>
      <c r="R212" s="6">
        <f t="shared" si="53"/>
        <v>2.4872815489790402E-2</v>
      </c>
      <c r="S212" s="2"/>
      <c r="T212" s="7">
        <v>89175</v>
      </c>
      <c r="U212" s="2"/>
      <c r="V212" s="6">
        <f t="shared" si="54"/>
        <v>1.6511220262302468E-2</v>
      </c>
      <c r="W212" s="2"/>
      <c r="X212" s="7">
        <f t="shared" si="55"/>
        <v>43501.109999999986</v>
      </c>
      <c r="Y212" s="2"/>
      <c r="Z212" s="6">
        <f t="shared" si="56"/>
        <v>0.48781732548359952</v>
      </c>
    </row>
    <row r="213" spans="1:26" s="24" customFormat="1" hidden="1" outlineLevel="2" x14ac:dyDescent="0.25">
      <c r="A213" s="25"/>
      <c r="B213" s="11" t="str">
        <f>CONCATENATE("          ", "9175", " - ", "EARNED DISCOUNTS")</f>
        <v xml:space="preserve">          9175 - EARNED DISCOUNTS</v>
      </c>
      <c r="C213" s="11"/>
      <c r="D213" s="7">
        <v>-398.3</v>
      </c>
      <c r="E213" s="2"/>
      <c r="F213" s="6">
        <f t="shared" si="49"/>
        <v>-2.8300716349181741E-4</v>
      </c>
      <c r="G213" s="2"/>
      <c r="H213" s="7"/>
      <c r="I213" s="2"/>
      <c r="J213" s="6">
        <f t="shared" si="50"/>
        <v>0</v>
      </c>
      <c r="K213" s="2"/>
      <c r="L213" s="7">
        <f t="shared" si="51"/>
        <v>-398.3</v>
      </c>
      <c r="M213" s="2"/>
      <c r="N213" s="6">
        <f t="shared" si="52"/>
        <v>0</v>
      </c>
      <c r="O213" s="11"/>
      <c r="P213" s="7">
        <v>-1647.86</v>
      </c>
      <c r="Q213" s="2"/>
      <c r="R213" s="6">
        <f t="shared" si="53"/>
        <v>-3.0892462654358809E-4</v>
      </c>
      <c r="S213" s="2"/>
      <c r="T213" s="7"/>
      <c r="U213" s="2"/>
      <c r="V213" s="6">
        <f t="shared" si="54"/>
        <v>0</v>
      </c>
      <c r="W213" s="2"/>
      <c r="X213" s="7">
        <f t="shared" si="55"/>
        <v>-1647.86</v>
      </c>
      <c r="Y213" s="2"/>
      <c r="Z213" s="6">
        <f t="shared" si="56"/>
        <v>0</v>
      </c>
    </row>
    <row r="214" spans="1:26" s="26" customFormat="1" outlineLevel="1" collapsed="1" x14ac:dyDescent="0.25">
      <c r="A214" s="27"/>
      <c r="B214" s="13" t="str">
        <f>CONCATENATE("     ","Donations                                         ")</f>
        <v xml:space="preserve">     Donations                                         </v>
      </c>
      <c r="C214" s="13"/>
      <c r="D214" s="1">
        <f>SUM(OSRRefD22_7x_0)</f>
        <v>1608.36</v>
      </c>
      <c r="E214" s="1"/>
      <c r="F214" s="5">
        <f t="shared" ref="F214:F216" si="57">IF(D$12=0,0,D214/D$12)</f>
        <v>1.1428004054072293E-3</v>
      </c>
      <c r="G214" s="1"/>
      <c r="H214" s="1">
        <f>SUM(OSRRefH22_7x_0)</f>
        <v>1025</v>
      </c>
      <c r="I214" s="1"/>
      <c r="J214" s="5">
        <f t="shared" ref="J214:J216" si="58">IF(H$12=0,0,H214/H$12)</f>
        <v>7.3480424529496612E-4</v>
      </c>
      <c r="K214" s="1"/>
      <c r="L214" s="1">
        <f t="shared" ref="L214:L216" si="59">+D214-H214</f>
        <v>583.3599999999999</v>
      </c>
      <c r="M214" s="1"/>
      <c r="N214" s="5">
        <f t="shared" ref="N214:N216" si="60">IF(H214=0,0,L214/H214)</f>
        <v>0.56913170731707308</v>
      </c>
      <c r="O214" s="13"/>
      <c r="P214" s="1">
        <f>SUM(OSRRefP22_7x_0)</f>
        <v>5225.34</v>
      </c>
      <c r="Q214" s="1"/>
      <c r="R214" s="5">
        <f t="shared" ref="R214:R216" si="61">IF(P$12=0,0,P214/P$12)</f>
        <v>9.7959548023695739E-4</v>
      </c>
      <c r="S214" s="1"/>
      <c r="T214" s="1">
        <f>SUM(OSRRefT22_7x_0)</f>
        <v>3150</v>
      </c>
      <c r="U214" s="1"/>
      <c r="V214" s="5">
        <f t="shared" ref="V214:V216" si="62">IF(T$12=0,0,T214/T$12)</f>
        <v>5.8323906729747992E-4</v>
      </c>
      <c r="W214" s="1"/>
      <c r="X214" s="1">
        <f t="shared" ref="X214:X216" si="63">+P214-T214</f>
        <v>2075.34</v>
      </c>
      <c r="Y214" s="1"/>
      <c r="Z214" s="5">
        <f t="shared" ref="Z214:Z216" si="64">IF(T214=0,0,X214/T214)</f>
        <v>0.65883809523809533</v>
      </c>
    </row>
    <row r="215" spans="1:26" s="24" customFormat="1" hidden="1" outlineLevel="2" x14ac:dyDescent="0.25">
      <c r="A215" s="25"/>
      <c r="B215" s="11" t="str">
        <f>CONCATENATE("          ", "6395", " - ", "DONATION-OFF CAMPUS")</f>
        <v xml:space="preserve">          6395 - DONATION-OFF CAMPUS</v>
      </c>
      <c r="C215" s="11"/>
      <c r="D215" s="7"/>
      <c r="E215" s="2"/>
      <c r="F215" s="6">
        <f t="shared" si="57"/>
        <v>0</v>
      </c>
      <c r="G215" s="2"/>
      <c r="H215" s="7">
        <v>1025</v>
      </c>
      <c r="I215" s="2"/>
      <c r="J215" s="6">
        <f t="shared" si="58"/>
        <v>7.3480424529496612E-4</v>
      </c>
      <c r="K215" s="2"/>
      <c r="L215" s="7">
        <f t="shared" si="59"/>
        <v>-1025</v>
      </c>
      <c r="M215" s="2"/>
      <c r="N215" s="6">
        <f t="shared" si="60"/>
        <v>-1</v>
      </c>
      <c r="O215" s="11"/>
      <c r="P215" s="7"/>
      <c r="Q215" s="2"/>
      <c r="R215" s="6">
        <f t="shared" si="61"/>
        <v>0</v>
      </c>
      <c r="S215" s="2"/>
      <c r="T215" s="7">
        <v>3150</v>
      </c>
      <c r="U215" s="2"/>
      <c r="V215" s="6">
        <f t="shared" si="62"/>
        <v>5.8323906729747992E-4</v>
      </c>
      <c r="W215" s="2"/>
      <c r="X215" s="7">
        <f t="shared" si="63"/>
        <v>-3150</v>
      </c>
      <c r="Y215" s="2"/>
      <c r="Z215" s="6">
        <f t="shared" si="64"/>
        <v>-1</v>
      </c>
    </row>
    <row r="216" spans="1:26" s="24" customFormat="1" hidden="1" outlineLevel="2" x14ac:dyDescent="0.25">
      <c r="A216" s="25"/>
      <c r="B216" s="11" t="str">
        <f>CONCATENATE("          ", "6399", " - ", "DONATION-ON CAMPUS")</f>
        <v xml:space="preserve">          6399 - DONATION-ON CAMPUS</v>
      </c>
      <c r="C216" s="11"/>
      <c r="D216" s="7">
        <v>1608.36</v>
      </c>
      <c r="E216" s="2"/>
      <c r="F216" s="6">
        <f t="shared" si="57"/>
        <v>1.1428004054072293E-3</v>
      </c>
      <c r="G216" s="2"/>
      <c r="H216" s="7"/>
      <c r="I216" s="2"/>
      <c r="J216" s="6">
        <f t="shared" si="58"/>
        <v>0</v>
      </c>
      <c r="K216" s="2"/>
      <c r="L216" s="7">
        <f t="shared" si="59"/>
        <v>1608.36</v>
      </c>
      <c r="M216" s="2"/>
      <c r="N216" s="6">
        <f t="shared" si="60"/>
        <v>0</v>
      </c>
      <c r="O216" s="11"/>
      <c r="P216" s="7">
        <v>5225.34</v>
      </c>
      <c r="Q216" s="2"/>
      <c r="R216" s="6">
        <f t="shared" si="61"/>
        <v>9.7959548023695739E-4</v>
      </c>
      <c r="S216" s="2"/>
      <c r="T216" s="7"/>
      <c r="U216" s="2"/>
      <c r="V216" s="6">
        <f t="shared" si="62"/>
        <v>0</v>
      </c>
      <c r="W216" s="2"/>
      <c r="X216" s="7">
        <f t="shared" si="63"/>
        <v>5225.34</v>
      </c>
      <c r="Y216" s="2"/>
      <c r="Z216" s="6">
        <f t="shared" si="64"/>
        <v>0</v>
      </c>
    </row>
    <row r="217" spans="1:26" s="26" customFormat="1" outlineLevel="1" collapsed="1" x14ac:dyDescent="0.25">
      <c r="A217" s="27"/>
      <c r="B217" s="13" t="str">
        <f>CONCATENATE("     ","Employees' Appreciation                           ")</f>
        <v xml:space="preserve">     Employees' Appreciation                           </v>
      </c>
      <c r="C217" s="13"/>
      <c r="D217" s="1">
        <f>SUM(OSRRefD22_8x_0)</f>
        <v>134.26</v>
      </c>
      <c r="E217" s="1"/>
      <c r="F217" s="5">
        <f t="shared" ref="F217:F223" si="65">IF(D$12=0,0,D217/D$12)</f>
        <v>9.5396790786872704E-5</v>
      </c>
      <c r="G217" s="1"/>
      <c r="H217" s="1">
        <f>SUM(OSRRefH22_8x_0)</f>
        <v>740</v>
      </c>
      <c r="I217" s="1"/>
      <c r="J217" s="5">
        <f t="shared" ref="J217:J223" si="66">IF(H$12=0,0,H217/H$12)</f>
        <v>5.3049282099343895E-4</v>
      </c>
      <c r="K217" s="1"/>
      <c r="L217" s="1">
        <f t="shared" ref="L217:L223" si="67">+D217-H217</f>
        <v>-605.74</v>
      </c>
      <c r="M217" s="1"/>
      <c r="N217" s="5">
        <f t="shared" ref="N217:N223" si="68">IF(H217=0,0,L217/H217)</f>
        <v>-0.81856756756756754</v>
      </c>
      <c r="O217" s="13"/>
      <c r="P217" s="1">
        <f>SUM(OSRRefP22_8x_0)</f>
        <v>585.13</v>
      </c>
      <c r="Q217" s="1"/>
      <c r="R217" s="5">
        <f t="shared" ref="R217:R223" si="69">IF(P$12=0,0,P217/P$12)</f>
        <v>1.096944320084532E-4</v>
      </c>
      <c r="S217" s="1"/>
      <c r="T217" s="1">
        <f>SUM(OSRRefT22_8x_0)</f>
        <v>2220</v>
      </c>
      <c r="U217" s="1"/>
      <c r="V217" s="5">
        <f t="shared" ref="V217:V223" si="70">IF(T$12=0,0,T217/T$12)</f>
        <v>4.1104467600012871E-4</v>
      </c>
      <c r="W217" s="1"/>
      <c r="X217" s="1">
        <f t="shared" ref="X217:X223" si="71">+P217-T217</f>
        <v>-1634.87</v>
      </c>
      <c r="Y217" s="1"/>
      <c r="Z217" s="5">
        <f t="shared" ref="Z217:Z223" si="72">IF(T217=0,0,X217/T217)</f>
        <v>-0.73642792792792788</v>
      </c>
    </row>
    <row r="218" spans="1:26" s="24" customFormat="1" hidden="1" outlineLevel="2" x14ac:dyDescent="0.25">
      <c r="A218" s="25"/>
      <c r="B218" s="11" t="str">
        <f>CONCATENATE("          ", "6277", " - ", "EMPLOYEE APPRECIATION")</f>
        <v xml:space="preserve">          6277 - EMPLOYEE APPRECIATION</v>
      </c>
      <c r="C218" s="11"/>
      <c r="D218" s="7">
        <v>134.26</v>
      </c>
      <c r="E218" s="2"/>
      <c r="F218" s="6">
        <f t="shared" si="65"/>
        <v>9.5396790786872704E-5</v>
      </c>
      <c r="G218" s="2"/>
      <c r="H218" s="7">
        <v>740</v>
      </c>
      <c r="I218" s="2"/>
      <c r="J218" s="6">
        <f t="shared" si="66"/>
        <v>5.3049282099343895E-4</v>
      </c>
      <c r="K218" s="2"/>
      <c r="L218" s="7">
        <f t="shared" si="67"/>
        <v>-605.74</v>
      </c>
      <c r="M218" s="2"/>
      <c r="N218" s="6">
        <f t="shared" si="68"/>
        <v>-0.81856756756756754</v>
      </c>
      <c r="O218" s="11"/>
      <c r="P218" s="7">
        <v>585.13</v>
      </c>
      <c r="Q218" s="2"/>
      <c r="R218" s="6">
        <f t="shared" si="69"/>
        <v>1.096944320084532E-4</v>
      </c>
      <c r="S218" s="2"/>
      <c r="T218" s="7">
        <v>2220</v>
      </c>
      <c r="U218" s="2"/>
      <c r="V218" s="6">
        <f t="shared" si="70"/>
        <v>4.1104467600012871E-4</v>
      </c>
      <c r="W218" s="2"/>
      <c r="X218" s="7">
        <f t="shared" si="71"/>
        <v>-1634.87</v>
      </c>
      <c r="Y218" s="2"/>
      <c r="Z218" s="6">
        <f t="shared" si="72"/>
        <v>-0.73642792792792788</v>
      </c>
    </row>
    <row r="219" spans="1:26" s="26" customFormat="1" outlineLevel="1" collapsed="1" x14ac:dyDescent="0.25">
      <c r="A219" s="27"/>
      <c r="B219" s="13" t="str">
        <f>CONCATENATE("     ","Equipment Rental                                  ")</f>
        <v xml:space="preserve">     Equipment Rental                                  </v>
      </c>
      <c r="C219" s="13"/>
      <c r="D219" s="1">
        <f>SUM(OSRRefD22_9x_0)</f>
        <v>1296.9000000000001</v>
      </c>
      <c r="E219" s="1"/>
      <c r="F219" s="5">
        <f t="shared" si="65"/>
        <v>9.2149633525618376E-4</v>
      </c>
      <c r="G219" s="1"/>
      <c r="H219" s="1">
        <f>SUM(OSRRefH22_9x_0)</f>
        <v>3225</v>
      </c>
      <c r="I219" s="1"/>
      <c r="J219" s="5">
        <f t="shared" si="66"/>
        <v>2.3119450644646495E-3</v>
      </c>
      <c r="K219" s="1"/>
      <c r="L219" s="1">
        <f t="shared" si="67"/>
        <v>-1928.1</v>
      </c>
      <c r="M219" s="1"/>
      <c r="N219" s="5">
        <f t="shared" si="68"/>
        <v>-0.59786046511627899</v>
      </c>
      <c r="O219" s="13"/>
      <c r="P219" s="1">
        <f>SUM(OSRRefP22_9x_0)</f>
        <v>3890.7</v>
      </c>
      <c r="Q219" s="1"/>
      <c r="R219" s="5">
        <f t="shared" si="69"/>
        <v>7.2939026646264742E-4</v>
      </c>
      <c r="S219" s="1"/>
      <c r="T219" s="1">
        <f>SUM(OSRRefT22_9x_0)</f>
        <v>9675</v>
      </c>
      <c r="U219" s="1"/>
      <c r="V219" s="5">
        <f t="shared" si="70"/>
        <v>1.7913771352708312E-3</v>
      </c>
      <c r="W219" s="1"/>
      <c r="X219" s="1">
        <f t="shared" si="71"/>
        <v>-5784.3</v>
      </c>
      <c r="Y219" s="1"/>
      <c r="Z219" s="5">
        <f t="shared" si="72"/>
        <v>-0.59786046511627911</v>
      </c>
    </row>
    <row r="220" spans="1:26" s="24" customFormat="1" hidden="1" outlineLevel="2" x14ac:dyDescent="0.25">
      <c r="A220" s="25"/>
      <c r="B220" s="11" t="str">
        <f>CONCATENATE("          ", "6351", " - ", "EQUIPMENT RENTAL")</f>
        <v xml:space="preserve">          6351 - EQUIPMENT RENTAL</v>
      </c>
      <c r="C220" s="11"/>
      <c r="D220" s="7">
        <v>1296.9000000000001</v>
      </c>
      <c r="E220" s="2"/>
      <c r="F220" s="6">
        <f t="shared" si="65"/>
        <v>9.2149633525618376E-4</v>
      </c>
      <c r="G220" s="2"/>
      <c r="H220" s="7">
        <v>3225</v>
      </c>
      <c r="I220" s="2"/>
      <c r="J220" s="6">
        <f t="shared" si="66"/>
        <v>2.3119450644646495E-3</v>
      </c>
      <c r="K220" s="2"/>
      <c r="L220" s="7">
        <f t="shared" si="67"/>
        <v>-1928.1</v>
      </c>
      <c r="M220" s="2"/>
      <c r="N220" s="6">
        <f t="shared" si="68"/>
        <v>-0.59786046511627899</v>
      </c>
      <c r="O220" s="11"/>
      <c r="P220" s="7">
        <v>3890.7</v>
      </c>
      <c r="Q220" s="2"/>
      <c r="R220" s="6">
        <f t="shared" si="69"/>
        <v>7.2939026646264742E-4</v>
      </c>
      <c r="S220" s="2"/>
      <c r="T220" s="7">
        <v>9675</v>
      </c>
      <c r="U220" s="2"/>
      <c r="V220" s="6">
        <f t="shared" si="70"/>
        <v>1.7913771352708312E-3</v>
      </c>
      <c r="W220" s="2"/>
      <c r="X220" s="7">
        <f t="shared" si="71"/>
        <v>-5784.3</v>
      </c>
      <c r="Y220" s="2"/>
      <c r="Z220" s="6">
        <f t="shared" si="72"/>
        <v>-0.59786046511627911</v>
      </c>
    </row>
    <row r="221" spans="1:26" s="26" customFormat="1" outlineLevel="1" collapsed="1" x14ac:dyDescent="0.25">
      <c r="A221" s="27"/>
      <c r="B221" s="13" t="str">
        <f>CONCATENATE("     ","Freight out/Postage                               ")</f>
        <v xml:space="preserve">     Freight out/Postage                               </v>
      </c>
      <c r="C221" s="13"/>
      <c r="D221" s="1">
        <f>SUM(OSRRefD22_10x_0)</f>
        <v>9430.5199999999986</v>
      </c>
      <c r="E221" s="1"/>
      <c r="F221" s="5">
        <f t="shared" si="65"/>
        <v>6.7007399333488659E-3</v>
      </c>
      <c r="G221" s="1"/>
      <c r="H221" s="1">
        <f>SUM(OSRRefH22_10x_0)</f>
        <v>-20985</v>
      </c>
      <c r="I221" s="1"/>
      <c r="J221" s="5">
        <f t="shared" si="66"/>
        <v>-1.5043772768307186E-2</v>
      </c>
      <c r="K221" s="1"/>
      <c r="L221" s="1">
        <f t="shared" si="67"/>
        <v>30415.519999999997</v>
      </c>
      <c r="M221" s="1"/>
      <c r="N221" s="5">
        <f t="shared" si="68"/>
        <v>-1.4493933762211102</v>
      </c>
      <c r="O221" s="13"/>
      <c r="P221" s="1">
        <f>SUM(OSRRefP22_10x_0)</f>
        <v>-5705.3200000000015</v>
      </c>
      <c r="Q221" s="1"/>
      <c r="R221" s="5">
        <f t="shared" si="69"/>
        <v>-1.0695774218147565E-3</v>
      </c>
      <c r="S221" s="1"/>
      <c r="T221" s="1">
        <f>SUM(OSRRefT22_10x_0)</f>
        <v>-23855</v>
      </c>
      <c r="U221" s="1"/>
      <c r="V221" s="5">
        <f t="shared" si="70"/>
        <v>-4.4168787144067889E-3</v>
      </c>
      <c r="W221" s="1"/>
      <c r="X221" s="1">
        <f t="shared" si="71"/>
        <v>18149.68</v>
      </c>
      <c r="Y221" s="1"/>
      <c r="Z221" s="5">
        <f t="shared" si="72"/>
        <v>-0.76083336826661074</v>
      </c>
    </row>
    <row r="222" spans="1:26" s="24" customFormat="1" hidden="1" outlineLevel="2" x14ac:dyDescent="0.25">
      <c r="A222" s="25"/>
      <c r="B222" s="11" t="str">
        <f>CONCATENATE("          ", "6305", " - ", "FREIGHT OUT")</f>
        <v xml:space="preserve">          6305 - FREIGHT OUT</v>
      </c>
      <c r="C222" s="11"/>
      <c r="D222" s="7">
        <v>10658.96</v>
      </c>
      <c r="E222" s="2"/>
      <c r="F222" s="6">
        <f t="shared" si="65"/>
        <v>7.5735928580786885E-3</v>
      </c>
      <c r="G222" s="2"/>
      <c r="H222" s="7">
        <v>-21025</v>
      </c>
      <c r="I222" s="2"/>
      <c r="J222" s="6">
        <f t="shared" si="66"/>
        <v>-1.5072448055928452E-2</v>
      </c>
      <c r="K222" s="2"/>
      <c r="L222" s="7">
        <f t="shared" si="67"/>
        <v>31683.96</v>
      </c>
      <c r="M222" s="2"/>
      <c r="N222" s="6">
        <f t="shared" si="68"/>
        <v>-1.506965992865636</v>
      </c>
      <c r="O222" s="11"/>
      <c r="P222" s="7">
        <v>14936.72</v>
      </c>
      <c r="Q222" s="2"/>
      <c r="R222" s="6">
        <f t="shared" si="69"/>
        <v>2.8001897295802697E-3</v>
      </c>
      <c r="S222" s="2"/>
      <c r="T222" s="7">
        <v>-23975</v>
      </c>
      <c r="U222" s="2"/>
      <c r="V222" s="6">
        <f t="shared" si="70"/>
        <v>-4.4390973455419305E-3</v>
      </c>
      <c r="W222" s="2"/>
      <c r="X222" s="7">
        <f t="shared" si="71"/>
        <v>38911.72</v>
      </c>
      <c r="Y222" s="2"/>
      <c r="Z222" s="6">
        <f t="shared" si="72"/>
        <v>-1.6230123044838374</v>
      </c>
    </row>
    <row r="223" spans="1:26" s="24" customFormat="1" hidden="1" outlineLevel="2" x14ac:dyDescent="0.25">
      <c r="A223" s="25"/>
      <c r="B223" s="11" t="str">
        <f>CONCATENATE("          ", "6307", " - ", "POSTAGE")</f>
        <v xml:space="preserve">          6307 - POSTAGE</v>
      </c>
      <c r="C223" s="11"/>
      <c r="D223" s="7">
        <v>-1228.44</v>
      </c>
      <c r="E223" s="2"/>
      <c r="F223" s="6">
        <f t="shared" si="65"/>
        <v>-8.7285292472982215E-4</v>
      </c>
      <c r="G223" s="2"/>
      <c r="H223" s="7">
        <v>40</v>
      </c>
      <c r="I223" s="2"/>
      <c r="J223" s="6">
        <f t="shared" si="66"/>
        <v>2.8675287621266972E-5</v>
      </c>
      <c r="K223" s="2"/>
      <c r="L223" s="7">
        <f t="shared" si="67"/>
        <v>-1268.44</v>
      </c>
      <c r="M223" s="2"/>
      <c r="N223" s="6">
        <f t="shared" si="68"/>
        <v>-31.711000000000002</v>
      </c>
      <c r="O223" s="11"/>
      <c r="P223" s="7">
        <v>-20642.04</v>
      </c>
      <c r="Q223" s="2"/>
      <c r="R223" s="6">
        <f t="shared" si="69"/>
        <v>-3.8697671513950259E-3</v>
      </c>
      <c r="S223" s="2"/>
      <c r="T223" s="7">
        <v>120</v>
      </c>
      <c r="U223" s="2"/>
      <c r="V223" s="6">
        <f t="shared" si="70"/>
        <v>2.2218631135142093E-5</v>
      </c>
      <c r="W223" s="2"/>
      <c r="X223" s="7">
        <f t="shared" si="71"/>
        <v>-20762.04</v>
      </c>
      <c r="Y223" s="2"/>
      <c r="Z223" s="6">
        <f t="shared" si="72"/>
        <v>-173.017</v>
      </c>
    </row>
    <row r="224" spans="1:26" s="26" customFormat="1" outlineLevel="1" collapsed="1" x14ac:dyDescent="0.25">
      <c r="A224" s="27"/>
      <c r="B224" s="13" t="str">
        <f>CONCATENATE("     ","General                                           ")</f>
        <v xml:space="preserve">     General                                           </v>
      </c>
      <c r="C224" s="13"/>
      <c r="D224" s="1">
        <f>SUM(OSRRefD22_11x_0)</f>
        <v>-1366.16</v>
      </c>
      <c r="E224" s="1"/>
      <c r="F224" s="5">
        <f t="shared" ref="F224:F237" si="73">IF(D$12=0,0,D224/D$12)</f>
        <v>-9.7070817593768839E-4</v>
      </c>
      <c r="G224" s="1"/>
      <c r="H224" s="1">
        <f>SUM(OSRRefH22_11x_0)</f>
        <v>600</v>
      </c>
      <c r="I224" s="1"/>
      <c r="J224" s="5">
        <f t="shared" ref="J224:J237" si="74">IF(H$12=0,0,H224/H$12)</f>
        <v>4.301293143190046E-4</v>
      </c>
      <c r="K224" s="1"/>
      <c r="L224" s="1">
        <f t="shared" ref="L224:L237" si="75">+D224-H224</f>
        <v>-1966.16</v>
      </c>
      <c r="M224" s="1"/>
      <c r="N224" s="5">
        <f t="shared" ref="N224:N237" si="76">IF(H224=0,0,L224/H224)</f>
        <v>-3.2769333333333335</v>
      </c>
      <c r="O224" s="13"/>
      <c r="P224" s="1">
        <f>SUM(OSRRefP22_11x_0)</f>
        <v>-15701.74</v>
      </c>
      <c r="Q224" s="1"/>
      <c r="R224" s="5">
        <f t="shared" ref="R224:R237" si="77">IF(P$12=0,0,P224/P$12)</f>
        <v>-2.9436081739859692E-3</v>
      </c>
      <c r="S224" s="1"/>
      <c r="T224" s="1">
        <f>SUM(OSRRefT22_11x_0)</f>
        <v>1580</v>
      </c>
      <c r="U224" s="1"/>
      <c r="V224" s="5">
        <f t="shared" ref="V224:V237" si="78">IF(T$12=0,0,T224/T$12)</f>
        <v>2.9254530994603754E-4</v>
      </c>
      <c r="W224" s="1"/>
      <c r="X224" s="1">
        <f t="shared" ref="X224:X237" si="79">+P224-T224</f>
        <v>-17281.739999999998</v>
      </c>
      <c r="Y224" s="1"/>
      <c r="Z224" s="5">
        <f t="shared" ref="Z224:Z237" si="80">IF(T224=0,0,X224/T224)</f>
        <v>-10.937810126582278</v>
      </c>
    </row>
    <row r="225" spans="1:26" s="24" customFormat="1" hidden="1" outlineLevel="2" x14ac:dyDescent="0.25">
      <c r="A225" s="25"/>
      <c r="B225" s="11" t="str">
        <f>CONCATENATE("          ", "6279", " - ", "GENERAL EXPENSE")</f>
        <v xml:space="preserve">          6279 - GENERAL EXPENSE</v>
      </c>
      <c r="C225" s="11"/>
      <c r="D225" s="7">
        <v>-1366.16</v>
      </c>
      <c r="E225" s="2"/>
      <c r="F225" s="6">
        <f t="shared" si="73"/>
        <v>-9.7070817593768839E-4</v>
      </c>
      <c r="G225" s="2"/>
      <c r="H225" s="7">
        <v>600</v>
      </c>
      <c r="I225" s="2"/>
      <c r="J225" s="6">
        <f t="shared" si="74"/>
        <v>4.301293143190046E-4</v>
      </c>
      <c r="K225" s="2"/>
      <c r="L225" s="7">
        <f t="shared" si="75"/>
        <v>-1966.16</v>
      </c>
      <c r="M225" s="2"/>
      <c r="N225" s="6">
        <f t="shared" si="76"/>
        <v>-3.2769333333333335</v>
      </c>
      <c r="O225" s="11"/>
      <c r="P225" s="7">
        <v>-15701.74</v>
      </c>
      <c r="Q225" s="2"/>
      <c r="R225" s="6">
        <f t="shared" si="77"/>
        <v>-2.9436081739859692E-3</v>
      </c>
      <c r="S225" s="2"/>
      <c r="T225" s="7">
        <v>1580</v>
      </c>
      <c r="U225" s="2"/>
      <c r="V225" s="6">
        <f t="shared" si="78"/>
        <v>2.9254530994603754E-4</v>
      </c>
      <c r="W225" s="2"/>
      <c r="X225" s="7">
        <f t="shared" si="79"/>
        <v>-17281.739999999998</v>
      </c>
      <c r="Y225" s="2"/>
      <c r="Z225" s="6">
        <f t="shared" si="80"/>
        <v>-10.937810126582278</v>
      </c>
    </row>
    <row r="226" spans="1:26" s="26" customFormat="1" outlineLevel="1" collapsed="1" x14ac:dyDescent="0.25">
      <c r="A226" s="27"/>
      <c r="B226" s="13" t="str">
        <f>CONCATENATE("     ","Insurance                                         ")</f>
        <v xml:space="preserve">     Insurance                                         </v>
      </c>
      <c r="C226" s="13"/>
      <c r="D226" s="1">
        <f>SUM(OSRRefD22_12x_0)</f>
        <v>4044.74</v>
      </c>
      <c r="E226" s="1"/>
      <c r="F226" s="5">
        <f t="shared" si="73"/>
        <v>2.8739402321413341E-3</v>
      </c>
      <c r="G226" s="1"/>
      <c r="H226" s="1">
        <f>SUM(OSRRefH22_12x_0)</f>
        <v>3815</v>
      </c>
      <c r="I226" s="1"/>
      <c r="J226" s="5">
        <f t="shared" si="74"/>
        <v>2.7349055568783374E-3</v>
      </c>
      <c r="K226" s="1"/>
      <c r="L226" s="1">
        <f t="shared" si="75"/>
        <v>229.73999999999978</v>
      </c>
      <c r="M226" s="1"/>
      <c r="N226" s="5">
        <f t="shared" si="76"/>
        <v>6.0220183486238477E-2</v>
      </c>
      <c r="O226" s="13"/>
      <c r="P226" s="1">
        <f>SUM(OSRRefP22_12x_0)</f>
        <v>12134.22</v>
      </c>
      <c r="Q226" s="1"/>
      <c r="R226" s="5">
        <f t="shared" si="77"/>
        <v>2.2748045233804675E-3</v>
      </c>
      <c r="S226" s="1"/>
      <c r="T226" s="1">
        <f>SUM(OSRRefT22_12x_0)</f>
        <v>11445</v>
      </c>
      <c r="U226" s="1"/>
      <c r="V226" s="5">
        <f t="shared" si="78"/>
        <v>2.1191019445141769E-3</v>
      </c>
      <c r="W226" s="1"/>
      <c r="X226" s="1">
        <f t="shared" si="79"/>
        <v>689.21999999999935</v>
      </c>
      <c r="Y226" s="1"/>
      <c r="Z226" s="5">
        <f t="shared" si="80"/>
        <v>6.0220183486238477E-2</v>
      </c>
    </row>
    <row r="227" spans="1:26" s="24" customFormat="1" hidden="1" outlineLevel="2" x14ac:dyDescent="0.25">
      <c r="A227" s="25"/>
      <c r="B227" s="11" t="str">
        <f>CONCATENATE("          ", "6314", " - ", "LIABILITY INSURANCE")</f>
        <v xml:space="preserve">          6314 - LIABILITY INSURANCE</v>
      </c>
      <c r="C227" s="11"/>
      <c r="D227" s="7">
        <v>4044.74</v>
      </c>
      <c r="E227" s="2"/>
      <c r="F227" s="6">
        <f t="shared" si="73"/>
        <v>2.8739402321413341E-3</v>
      </c>
      <c r="G227" s="2"/>
      <c r="H227" s="7">
        <v>3815</v>
      </c>
      <c r="I227" s="2"/>
      <c r="J227" s="6">
        <f t="shared" si="74"/>
        <v>2.7349055568783374E-3</v>
      </c>
      <c r="K227" s="2"/>
      <c r="L227" s="7">
        <f t="shared" si="75"/>
        <v>229.73999999999978</v>
      </c>
      <c r="M227" s="2"/>
      <c r="N227" s="6">
        <f t="shared" si="76"/>
        <v>6.0220183486238477E-2</v>
      </c>
      <c r="O227" s="11"/>
      <c r="P227" s="7">
        <v>12134.22</v>
      </c>
      <c r="Q227" s="2"/>
      <c r="R227" s="6">
        <f t="shared" si="77"/>
        <v>2.2748045233804675E-3</v>
      </c>
      <c r="S227" s="2"/>
      <c r="T227" s="7">
        <v>11445</v>
      </c>
      <c r="U227" s="2"/>
      <c r="V227" s="6">
        <f t="shared" si="78"/>
        <v>2.1191019445141769E-3</v>
      </c>
      <c r="W227" s="2"/>
      <c r="X227" s="7">
        <f t="shared" si="79"/>
        <v>689.21999999999935</v>
      </c>
      <c r="Y227" s="2"/>
      <c r="Z227" s="6">
        <f t="shared" si="80"/>
        <v>6.0220183486238477E-2</v>
      </c>
    </row>
    <row r="228" spans="1:26" s="26" customFormat="1" outlineLevel="1" collapsed="1" x14ac:dyDescent="0.25">
      <c r="A228" s="27"/>
      <c r="B228" s="13" t="str">
        <f>CONCATENATE("     ","Inventory Adjustment                              ")</f>
        <v xml:space="preserve">     Inventory Adjustment                              </v>
      </c>
      <c r="C228" s="13"/>
      <c r="D228" s="1">
        <f>SUM(OSRRefD22_13x_0)</f>
        <v>4250</v>
      </c>
      <c r="E228" s="1"/>
      <c r="F228" s="5">
        <f t="shared" si="73"/>
        <v>3.0197851991971476E-3</v>
      </c>
      <c r="G228" s="1"/>
      <c r="H228" s="1">
        <f>SUM(OSRRefH22_13x_0)</f>
        <v>4250</v>
      </c>
      <c r="I228" s="1"/>
      <c r="J228" s="5">
        <f t="shared" si="74"/>
        <v>3.0467493097596156E-3</v>
      </c>
      <c r="K228" s="1"/>
      <c r="L228" s="1">
        <f t="shared" si="75"/>
        <v>0</v>
      </c>
      <c r="M228" s="1"/>
      <c r="N228" s="5">
        <f t="shared" si="76"/>
        <v>0</v>
      </c>
      <c r="O228" s="13"/>
      <c r="P228" s="1">
        <f>SUM(OSRRefP22_13x_0)</f>
        <v>12650</v>
      </c>
      <c r="Q228" s="1"/>
      <c r="R228" s="5">
        <f t="shared" si="77"/>
        <v>2.3714978977439766E-3</v>
      </c>
      <c r="S228" s="1"/>
      <c r="T228" s="1">
        <f>SUM(OSRRefT22_13x_0)</f>
        <v>12650</v>
      </c>
      <c r="U228" s="1"/>
      <c r="V228" s="5">
        <f t="shared" si="78"/>
        <v>2.3422140321628956E-3</v>
      </c>
      <c r="W228" s="1"/>
      <c r="X228" s="1">
        <f t="shared" si="79"/>
        <v>0</v>
      </c>
      <c r="Y228" s="1"/>
      <c r="Z228" s="5">
        <f t="shared" si="80"/>
        <v>0</v>
      </c>
    </row>
    <row r="229" spans="1:26" s="24" customFormat="1" hidden="1" outlineLevel="2" x14ac:dyDescent="0.25">
      <c r="A229" s="25"/>
      <c r="B229" s="11" t="str">
        <f>CONCATENATE("          ", "6408", " - ", "INVENTORY ADJUSTMENT")</f>
        <v xml:space="preserve">          6408 - INVENTORY ADJUSTMENT</v>
      </c>
      <c r="C229" s="11"/>
      <c r="D229" s="7">
        <v>4250</v>
      </c>
      <c r="E229" s="2"/>
      <c r="F229" s="6">
        <f t="shared" si="73"/>
        <v>3.0197851991971476E-3</v>
      </c>
      <c r="G229" s="2"/>
      <c r="H229" s="7">
        <v>4250</v>
      </c>
      <c r="I229" s="2"/>
      <c r="J229" s="6">
        <f t="shared" si="74"/>
        <v>3.0467493097596156E-3</v>
      </c>
      <c r="K229" s="2"/>
      <c r="L229" s="7">
        <f t="shared" si="75"/>
        <v>0</v>
      </c>
      <c r="M229" s="2"/>
      <c r="N229" s="6">
        <f t="shared" si="76"/>
        <v>0</v>
      </c>
      <c r="O229" s="11"/>
      <c r="P229" s="7">
        <v>12650</v>
      </c>
      <c r="Q229" s="2"/>
      <c r="R229" s="6">
        <f t="shared" si="77"/>
        <v>2.3714978977439766E-3</v>
      </c>
      <c r="S229" s="2"/>
      <c r="T229" s="7">
        <v>12650</v>
      </c>
      <c r="U229" s="2"/>
      <c r="V229" s="6">
        <f t="shared" si="78"/>
        <v>2.3422140321628956E-3</v>
      </c>
      <c r="W229" s="2"/>
      <c r="X229" s="7">
        <f t="shared" si="79"/>
        <v>0</v>
      </c>
      <c r="Y229" s="2"/>
      <c r="Z229" s="6">
        <f t="shared" si="80"/>
        <v>0</v>
      </c>
    </row>
    <row r="230" spans="1:26" s="26" customFormat="1" outlineLevel="1" collapsed="1" x14ac:dyDescent="0.25">
      <c r="A230" s="27"/>
      <c r="B230" s="13" t="str">
        <f>CONCATENATE("     ","Professional Services                             ")</f>
        <v xml:space="preserve">     Professional Services                             </v>
      </c>
      <c r="C230" s="13"/>
      <c r="D230" s="1">
        <f>SUM(OSRRefD22_14x_0)</f>
        <v>0</v>
      </c>
      <c r="E230" s="1"/>
      <c r="F230" s="5">
        <f t="shared" si="73"/>
        <v>0</v>
      </c>
      <c r="G230" s="1"/>
      <c r="H230" s="1">
        <f>SUM(OSRRefH22_14x_0)</f>
        <v>1015</v>
      </c>
      <c r="I230" s="1"/>
      <c r="J230" s="5">
        <f t="shared" si="74"/>
        <v>7.2763542338964943E-4</v>
      </c>
      <c r="K230" s="1"/>
      <c r="L230" s="1">
        <f t="shared" si="75"/>
        <v>-1015</v>
      </c>
      <c r="M230" s="1"/>
      <c r="N230" s="5">
        <f t="shared" si="76"/>
        <v>-1</v>
      </c>
      <c r="O230" s="13"/>
      <c r="P230" s="1">
        <f>SUM(OSRRefP22_14x_0)</f>
        <v>6158.41</v>
      </c>
      <c r="Q230" s="1"/>
      <c r="R230" s="5">
        <f t="shared" si="77"/>
        <v>1.1545182899956904E-3</v>
      </c>
      <c r="S230" s="1"/>
      <c r="T230" s="1">
        <f>SUM(OSRRefT22_14x_0)</f>
        <v>5445</v>
      </c>
      <c r="U230" s="1"/>
      <c r="V230" s="5">
        <f t="shared" si="78"/>
        <v>1.0081703877570724E-3</v>
      </c>
      <c r="W230" s="1"/>
      <c r="X230" s="1">
        <f t="shared" si="79"/>
        <v>713.40999999999985</v>
      </c>
      <c r="Y230" s="1"/>
      <c r="Z230" s="5">
        <f t="shared" si="80"/>
        <v>0.13102112029384755</v>
      </c>
    </row>
    <row r="231" spans="1:26" s="24" customFormat="1" hidden="1" outlineLevel="2" x14ac:dyDescent="0.25">
      <c r="A231" s="25"/>
      <c r="B231" s="11" t="str">
        <f>CONCATENATE("          ", "6336", " - ", "PROFESSIONAL SERVICES")</f>
        <v xml:space="preserve">          6336 - PROFESSIONAL SERVICES</v>
      </c>
      <c r="C231" s="11"/>
      <c r="D231" s="7"/>
      <c r="E231" s="2"/>
      <c r="F231" s="6">
        <f t="shared" si="73"/>
        <v>0</v>
      </c>
      <c r="G231" s="2"/>
      <c r="H231" s="7">
        <v>1015</v>
      </c>
      <c r="I231" s="2"/>
      <c r="J231" s="6">
        <f t="shared" si="74"/>
        <v>7.2763542338964943E-4</v>
      </c>
      <c r="K231" s="2"/>
      <c r="L231" s="7">
        <f t="shared" si="75"/>
        <v>-1015</v>
      </c>
      <c r="M231" s="2"/>
      <c r="N231" s="6">
        <f t="shared" si="76"/>
        <v>-1</v>
      </c>
      <c r="O231" s="11"/>
      <c r="P231" s="7">
        <v>6158.41</v>
      </c>
      <c r="Q231" s="2"/>
      <c r="R231" s="6">
        <f t="shared" si="77"/>
        <v>1.1545182899956904E-3</v>
      </c>
      <c r="S231" s="2"/>
      <c r="T231" s="7">
        <v>5445</v>
      </c>
      <c r="U231" s="2"/>
      <c r="V231" s="6">
        <f t="shared" si="78"/>
        <v>1.0081703877570724E-3</v>
      </c>
      <c r="W231" s="2"/>
      <c r="X231" s="7">
        <f t="shared" si="79"/>
        <v>713.40999999999985</v>
      </c>
      <c r="Y231" s="2"/>
      <c r="Z231" s="6">
        <f t="shared" si="80"/>
        <v>0.13102112029384755</v>
      </c>
    </row>
    <row r="232" spans="1:26" s="26" customFormat="1" outlineLevel="1" collapsed="1" x14ac:dyDescent="0.25">
      <c r="A232" s="27"/>
      <c r="B232" s="13" t="str">
        <f>CONCATENATE("     ","Rent                                              ")</f>
        <v xml:space="preserve">     Rent                                              </v>
      </c>
      <c r="C232" s="13"/>
      <c r="D232" s="1">
        <f>SUM(OSRRefD22_15x_0)</f>
        <v>6100</v>
      </c>
      <c r="E232" s="1"/>
      <c r="F232" s="5">
        <f t="shared" si="73"/>
        <v>4.3342799329653178E-3</v>
      </c>
      <c r="G232" s="1"/>
      <c r="H232" s="1">
        <f>SUM(OSRRefH22_15x_0)</f>
        <v>6400</v>
      </c>
      <c r="I232" s="1"/>
      <c r="J232" s="5">
        <f t="shared" si="74"/>
        <v>4.5880460194027157E-3</v>
      </c>
      <c r="K232" s="1"/>
      <c r="L232" s="1">
        <f t="shared" si="75"/>
        <v>-300</v>
      </c>
      <c r="M232" s="1"/>
      <c r="N232" s="5">
        <f t="shared" si="76"/>
        <v>-4.6875E-2</v>
      </c>
      <c r="O232" s="13"/>
      <c r="P232" s="1">
        <f>SUM(OSRRefP22_15x_0)</f>
        <v>18300</v>
      </c>
      <c r="Q232" s="1"/>
      <c r="R232" s="5">
        <f t="shared" si="77"/>
        <v>3.4307044686731048E-3</v>
      </c>
      <c r="S232" s="1"/>
      <c r="T232" s="1">
        <f>SUM(OSRRefT22_15x_0)</f>
        <v>19200</v>
      </c>
      <c r="U232" s="1"/>
      <c r="V232" s="5">
        <f t="shared" si="78"/>
        <v>3.5549809816227346E-3</v>
      </c>
      <c r="W232" s="1"/>
      <c r="X232" s="1">
        <f t="shared" si="79"/>
        <v>-900</v>
      </c>
      <c r="Y232" s="1"/>
      <c r="Z232" s="5">
        <f t="shared" si="80"/>
        <v>-4.6875E-2</v>
      </c>
    </row>
    <row r="233" spans="1:26" s="24" customFormat="1" hidden="1" outlineLevel="2" x14ac:dyDescent="0.25">
      <c r="A233" s="25"/>
      <c r="B233" s="11" t="str">
        <f>CONCATENATE("          ", "6273", " - ", "RENT")</f>
        <v xml:space="preserve">          6273 - RENT</v>
      </c>
      <c r="C233" s="11"/>
      <c r="D233" s="7">
        <v>6100</v>
      </c>
      <c r="E233" s="2"/>
      <c r="F233" s="6">
        <f t="shared" si="73"/>
        <v>4.3342799329653178E-3</v>
      </c>
      <c r="G233" s="2"/>
      <c r="H233" s="7">
        <v>6400</v>
      </c>
      <c r="I233" s="2"/>
      <c r="J233" s="6">
        <f t="shared" si="74"/>
        <v>4.5880460194027157E-3</v>
      </c>
      <c r="K233" s="2"/>
      <c r="L233" s="7">
        <f t="shared" si="75"/>
        <v>-300</v>
      </c>
      <c r="M233" s="2"/>
      <c r="N233" s="6">
        <f t="shared" si="76"/>
        <v>-4.6875E-2</v>
      </c>
      <c r="O233" s="11"/>
      <c r="P233" s="7">
        <v>18300</v>
      </c>
      <c r="Q233" s="2"/>
      <c r="R233" s="6">
        <f t="shared" si="77"/>
        <v>3.4307044686731048E-3</v>
      </c>
      <c r="S233" s="2"/>
      <c r="T233" s="7">
        <v>19200</v>
      </c>
      <c r="U233" s="2"/>
      <c r="V233" s="6">
        <f t="shared" si="78"/>
        <v>3.5549809816227346E-3</v>
      </c>
      <c r="W233" s="2"/>
      <c r="X233" s="7">
        <f t="shared" si="79"/>
        <v>-900</v>
      </c>
      <c r="Y233" s="2"/>
      <c r="Z233" s="6">
        <f t="shared" si="80"/>
        <v>-4.6875E-2</v>
      </c>
    </row>
    <row r="234" spans="1:26" s="26" customFormat="1" outlineLevel="1" collapsed="1" x14ac:dyDescent="0.25">
      <c r="A234" s="27"/>
      <c r="B234" s="13" t="str">
        <f>CONCATENATE("     ","Repair and Maintenance                            ")</f>
        <v xml:space="preserve">     Repair and Maintenance                            </v>
      </c>
      <c r="C234" s="13"/>
      <c r="D234" s="1">
        <f>SUM(OSRRefD22_16x_0)</f>
        <v>10676.609999999999</v>
      </c>
      <c r="E234" s="1"/>
      <c r="F234" s="5">
        <f t="shared" si="73"/>
        <v>7.5861338483765306E-3</v>
      </c>
      <c r="G234" s="1"/>
      <c r="H234" s="1">
        <f>SUM(OSRRefH22_16x_0)</f>
        <v>14740</v>
      </c>
      <c r="I234" s="1"/>
      <c r="J234" s="5">
        <f t="shared" si="74"/>
        <v>1.0566843488436879E-2</v>
      </c>
      <c r="K234" s="1"/>
      <c r="L234" s="1">
        <f t="shared" si="75"/>
        <v>-4063.3900000000012</v>
      </c>
      <c r="M234" s="1"/>
      <c r="N234" s="5">
        <f t="shared" si="76"/>
        <v>-0.2756709633649933</v>
      </c>
      <c r="O234" s="13"/>
      <c r="P234" s="1">
        <f>SUM(OSRRefP22_16x_0)</f>
        <v>48354.41</v>
      </c>
      <c r="Q234" s="1"/>
      <c r="R234" s="5">
        <f t="shared" si="77"/>
        <v>9.0650104080356002E-3</v>
      </c>
      <c r="S234" s="1"/>
      <c r="T234" s="1">
        <f>SUM(OSRRefT22_16x_0)</f>
        <v>86255</v>
      </c>
      <c r="U234" s="1"/>
      <c r="V234" s="5">
        <f t="shared" si="78"/>
        <v>1.5970566904680676E-2</v>
      </c>
      <c r="W234" s="1"/>
      <c r="X234" s="1">
        <f t="shared" si="79"/>
        <v>-37900.589999999997</v>
      </c>
      <c r="Y234" s="1"/>
      <c r="Z234" s="5">
        <f t="shared" si="80"/>
        <v>-0.43940165787490576</v>
      </c>
    </row>
    <row r="235" spans="1:26" s="24" customFormat="1" hidden="1" outlineLevel="2" x14ac:dyDescent="0.25">
      <c r="A235" s="25"/>
      <c r="B235" s="11" t="str">
        <f>CONCATENATE("          ", "6371", " - ", "COMPUTER SOFTWARE MAINTENANCE")</f>
        <v xml:space="preserve">          6371 - COMPUTER SOFTWARE MAINTENANCE</v>
      </c>
      <c r="C235" s="11"/>
      <c r="D235" s="7">
        <v>3662.15</v>
      </c>
      <c r="E235" s="2"/>
      <c r="F235" s="6">
        <f t="shared" si="73"/>
        <v>2.6020956158211376E-3</v>
      </c>
      <c r="G235" s="2"/>
      <c r="H235" s="7"/>
      <c r="I235" s="2"/>
      <c r="J235" s="6">
        <f t="shared" si="74"/>
        <v>0</v>
      </c>
      <c r="K235" s="2"/>
      <c r="L235" s="7">
        <f t="shared" si="75"/>
        <v>3662.15</v>
      </c>
      <c r="M235" s="2"/>
      <c r="N235" s="6">
        <f t="shared" si="76"/>
        <v>0</v>
      </c>
      <c r="O235" s="11"/>
      <c r="P235" s="7">
        <v>12150.4</v>
      </c>
      <c r="Q235" s="2"/>
      <c r="R235" s="6">
        <f t="shared" si="77"/>
        <v>2.2778377910473054E-3</v>
      </c>
      <c r="S235" s="2"/>
      <c r="T235" s="7">
        <v>48535</v>
      </c>
      <c r="U235" s="2"/>
      <c r="V235" s="6">
        <f t="shared" si="78"/>
        <v>8.9865105178676789E-3</v>
      </c>
      <c r="W235" s="2"/>
      <c r="X235" s="7">
        <f t="shared" si="79"/>
        <v>-36384.6</v>
      </c>
      <c r="Y235" s="2"/>
      <c r="Z235" s="6">
        <f t="shared" si="80"/>
        <v>-0.74965694859379828</v>
      </c>
    </row>
    <row r="236" spans="1:26" s="24" customFormat="1" hidden="1" outlineLevel="2" x14ac:dyDescent="0.25">
      <c r="A236" s="25"/>
      <c r="B236" s="11" t="str">
        <f>CONCATENATE("          ", "6373", " - ", "MAINTENANCE CONTRACTS")</f>
        <v xml:space="preserve">          6373 - MAINTENANCE CONTRACTS</v>
      </c>
      <c r="C236" s="11"/>
      <c r="D236" s="7">
        <v>6672.75</v>
      </c>
      <c r="E236" s="2"/>
      <c r="F236" s="6">
        <f t="shared" si="73"/>
        <v>4.7412403971630037E-3</v>
      </c>
      <c r="G236" s="2"/>
      <c r="H236" s="7">
        <v>7040</v>
      </c>
      <c r="I236" s="2"/>
      <c r="J236" s="6">
        <f t="shared" si="74"/>
        <v>5.0468506213429869E-3</v>
      </c>
      <c r="K236" s="2"/>
      <c r="L236" s="7">
        <f t="shared" si="75"/>
        <v>-367.25</v>
      </c>
      <c r="M236" s="2"/>
      <c r="N236" s="6">
        <f t="shared" si="76"/>
        <v>-5.2166193181818185E-2</v>
      </c>
      <c r="O236" s="11"/>
      <c r="P236" s="7">
        <v>19048.190000000002</v>
      </c>
      <c r="Q236" s="2"/>
      <c r="R236" s="6">
        <f t="shared" si="77"/>
        <v>3.5709677897887626E-3</v>
      </c>
      <c r="S236" s="2"/>
      <c r="T236" s="7">
        <v>21195</v>
      </c>
      <c r="U236" s="2"/>
      <c r="V236" s="6">
        <f t="shared" si="78"/>
        <v>3.9243657242444717E-3</v>
      </c>
      <c r="W236" s="2"/>
      <c r="X236" s="7">
        <f t="shared" si="79"/>
        <v>-2146.8099999999977</v>
      </c>
      <c r="Y236" s="2"/>
      <c r="Z236" s="6">
        <f t="shared" si="80"/>
        <v>-0.10128851144137757</v>
      </c>
    </row>
    <row r="237" spans="1:26" s="24" customFormat="1" hidden="1" outlineLevel="2" x14ac:dyDescent="0.25">
      <c r="A237" s="25"/>
      <c r="B237" s="11" t="str">
        <f>CONCATENATE("          ", "6375", " - ", "OUTSIDE REPAIRS &amp; MAINTENANCE")</f>
        <v xml:space="preserve">          6375 - OUTSIDE REPAIRS &amp; MAINTENANCE</v>
      </c>
      <c r="C237" s="11"/>
      <c r="D237" s="7">
        <v>341.71</v>
      </c>
      <c r="E237" s="2"/>
      <c r="F237" s="6">
        <f t="shared" si="73"/>
        <v>2.4279783539238995E-4</v>
      </c>
      <c r="G237" s="2"/>
      <c r="H237" s="7">
        <v>7700</v>
      </c>
      <c r="I237" s="2"/>
      <c r="J237" s="6">
        <f t="shared" si="74"/>
        <v>5.519992867093892E-3</v>
      </c>
      <c r="K237" s="2"/>
      <c r="L237" s="7">
        <f t="shared" si="75"/>
        <v>-7358.29</v>
      </c>
      <c r="M237" s="2"/>
      <c r="N237" s="6">
        <f t="shared" si="76"/>
        <v>-0.95562207792207787</v>
      </c>
      <c r="O237" s="11"/>
      <c r="P237" s="7">
        <v>17155.82</v>
      </c>
      <c r="Q237" s="2"/>
      <c r="R237" s="6">
        <f t="shared" si="77"/>
        <v>3.2162048271995314E-3</v>
      </c>
      <c r="S237" s="2"/>
      <c r="T237" s="7">
        <v>16525</v>
      </c>
      <c r="U237" s="2"/>
      <c r="V237" s="6">
        <f t="shared" si="78"/>
        <v>3.0596906625685255E-3</v>
      </c>
      <c r="W237" s="2"/>
      <c r="X237" s="7">
        <f t="shared" si="79"/>
        <v>630.81999999999971</v>
      </c>
      <c r="Y237" s="2"/>
      <c r="Z237" s="6">
        <f t="shared" si="80"/>
        <v>3.8173676248108905E-2</v>
      </c>
    </row>
    <row r="238" spans="1:26" s="26" customFormat="1" outlineLevel="1" collapsed="1" x14ac:dyDescent="0.25">
      <c r="A238" s="27"/>
      <c r="B238" s="13" t="str">
        <f>CONCATENATE("     ","Royalty &amp; Commissions                             ")</f>
        <v xml:space="preserve">     Royalty &amp; Commissions                             </v>
      </c>
      <c r="C238" s="13"/>
      <c r="D238" s="1">
        <f>SUM(OSRRefD22_17x_0)</f>
        <v>10580.82</v>
      </c>
      <c r="E238" s="1"/>
      <c r="F238" s="5">
        <f t="shared" ref="F238:F242" si="81">IF(D$12=0,0,D238/D$12)</f>
        <v>7.5180714426750974E-3</v>
      </c>
      <c r="G238" s="1"/>
      <c r="H238" s="1">
        <f>SUM(OSRRefH22_17x_0)</f>
        <v>16485</v>
      </c>
      <c r="I238" s="1"/>
      <c r="J238" s="5">
        <f t="shared" ref="J238:J242" si="82">IF(H$12=0,0,H238/H$12)</f>
        <v>1.181780291091465E-2</v>
      </c>
      <c r="K238" s="1"/>
      <c r="L238" s="1">
        <f t="shared" ref="L238:L242" si="83">+D238-H238</f>
        <v>-5904.18</v>
      </c>
      <c r="M238" s="1"/>
      <c r="N238" s="5">
        <f t="shared" ref="N238:N242" si="84">IF(H238=0,0,L238/H238)</f>
        <v>-0.35815468607825296</v>
      </c>
      <c r="O238" s="13"/>
      <c r="P238" s="1">
        <f>SUM(OSRRefP22_17x_0)</f>
        <v>19452.440000000002</v>
      </c>
      <c r="Q238" s="1"/>
      <c r="R238" s="5">
        <f t="shared" ref="R238:R242" si="85">IF(P$12=0,0,P238/P$12)</f>
        <v>3.6467526139123199E-3</v>
      </c>
      <c r="S238" s="1"/>
      <c r="T238" s="1">
        <f>SUM(OSRRefT22_17x_0)</f>
        <v>49455</v>
      </c>
      <c r="U238" s="1"/>
      <c r="V238" s="5">
        <f t="shared" ref="V238:V242" si="86">IF(T$12=0,0,T238/T$12)</f>
        <v>9.1568533565704342E-3</v>
      </c>
      <c r="W238" s="1"/>
      <c r="X238" s="1">
        <f t="shared" ref="X238:X242" si="87">+P238-T238</f>
        <v>-30002.559999999998</v>
      </c>
      <c r="Y238" s="1"/>
      <c r="Z238" s="5">
        <f t="shared" ref="Z238:Z242" si="88">IF(T238=0,0,X238/T238)</f>
        <v>-0.60666383581033256</v>
      </c>
    </row>
    <row r="239" spans="1:26" s="24" customFormat="1" hidden="1" outlineLevel="2" x14ac:dyDescent="0.25">
      <c r="A239" s="25"/>
      <c r="B239" s="11" t="str">
        <f>CONCATENATE("          ", "6252", " - ", "ROYALTY DUE CSTV")</f>
        <v xml:space="preserve">          6252 - ROYALTY DUE CSTV</v>
      </c>
      <c r="C239" s="11"/>
      <c r="D239" s="7"/>
      <c r="E239" s="2"/>
      <c r="F239" s="6">
        <f t="shared" si="81"/>
        <v>0</v>
      </c>
      <c r="G239" s="2"/>
      <c r="H239" s="7">
        <v>1085</v>
      </c>
      <c r="I239" s="2"/>
      <c r="J239" s="6">
        <f t="shared" si="82"/>
        <v>7.7781717672686663E-4</v>
      </c>
      <c r="K239" s="2"/>
      <c r="L239" s="7">
        <f t="shared" si="83"/>
        <v>-1085</v>
      </c>
      <c r="M239" s="2"/>
      <c r="N239" s="6">
        <f t="shared" si="84"/>
        <v>-1</v>
      </c>
      <c r="O239" s="11"/>
      <c r="P239" s="7"/>
      <c r="Q239" s="2"/>
      <c r="R239" s="6">
        <f t="shared" si="85"/>
        <v>0</v>
      </c>
      <c r="S239" s="2"/>
      <c r="T239" s="7">
        <v>3255</v>
      </c>
      <c r="U239" s="2"/>
      <c r="V239" s="6">
        <f t="shared" si="86"/>
        <v>6.0268036954072926E-4</v>
      </c>
      <c r="W239" s="2"/>
      <c r="X239" s="7">
        <f t="shared" si="87"/>
        <v>-3255</v>
      </c>
      <c r="Y239" s="2"/>
      <c r="Z239" s="6">
        <f t="shared" si="88"/>
        <v>-1</v>
      </c>
    </row>
    <row r="240" spans="1:26" s="24" customFormat="1" hidden="1" outlineLevel="2" x14ac:dyDescent="0.25">
      <c r="A240" s="25"/>
      <c r="B240" s="11" t="str">
        <f>CONCATENATE("          ", "6253", " - ", "ROYALTY DUE ATHLETICS-LRG")</f>
        <v xml:space="preserve">          6253 - ROYALTY DUE ATHLETICS-LRG</v>
      </c>
      <c r="C240" s="11"/>
      <c r="D240" s="7"/>
      <c r="E240" s="2"/>
      <c r="F240" s="6">
        <f t="shared" si="81"/>
        <v>0</v>
      </c>
      <c r="G240" s="2"/>
      <c r="H240" s="7">
        <v>3700</v>
      </c>
      <c r="I240" s="2"/>
      <c r="J240" s="6">
        <f t="shared" si="82"/>
        <v>2.6524641049671949E-3</v>
      </c>
      <c r="K240" s="2"/>
      <c r="L240" s="7">
        <f t="shared" si="83"/>
        <v>-3700</v>
      </c>
      <c r="M240" s="2"/>
      <c r="N240" s="6">
        <f t="shared" si="84"/>
        <v>-1</v>
      </c>
      <c r="O240" s="11"/>
      <c r="P240" s="7">
        <v>4366.95</v>
      </c>
      <c r="Q240" s="2"/>
      <c r="R240" s="6">
        <f t="shared" si="85"/>
        <v>8.1867294423344338E-4</v>
      </c>
      <c r="S240" s="2"/>
      <c r="T240" s="7">
        <v>11100</v>
      </c>
      <c r="U240" s="2"/>
      <c r="V240" s="6">
        <f t="shared" si="86"/>
        <v>2.0552233800006435E-3</v>
      </c>
      <c r="W240" s="2"/>
      <c r="X240" s="7">
        <f t="shared" si="87"/>
        <v>-6733.05</v>
      </c>
      <c r="Y240" s="2"/>
      <c r="Z240" s="6">
        <f t="shared" si="88"/>
        <v>-0.60658108108108111</v>
      </c>
    </row>
    <row r="241" spans="1:26" s="24" customFormat="1" hidden="1" outlineLevel="2" x14ac:dyDescent="0.25">
      <c r="A241" s="25"/>
      <c r="B241" s="11" t="str">
        <f>CONCATENATE("          ", "6254", " - ", "ROYALTY &amp; COMMISSIONS")</f>
        <v xml:space="preserve">          6254 - ROYALTY &amp; COMMISSIONS</v>
      </c>
      <c r="C241" s="11"/>
      <c r="D241" s="7">
        <v>365.38</v>
      </c>
      <c r="E241" s="2"/>
      <c r="F241" s="6">
        <f t="shared" si="81"/>
        <v>2.5961626260768327E-4</v>
      </c>
      <c r="G241" s="2"/>
      <c r="H241" s="7">
        <v>11700</v>
      </c>
      <c r="I241" s="2"/>
      <c r="J241" s="6">
        <f t="shared" si="82"/>
        <v>8.387521629220589E-3</v>
      </c>
      <c r="K241" s="2"/>
      <c r="L241" s="7">
        <f t="shared" si="83"/>
        <v>-11334.62</v>
      </c>
      <c r="M241" s="2"/>
      <c r="N241" s="6">
        <f t="shared" si="84"/>
        <v>-0.96877094017094023</v>
      </c>
      <c r="O241" s="11"/>
      <c r="P241" s="7">
        <v>615.87</v>
      </c>
      <c r="Q241" s="2"/>
      <c r="R241" s="6">
        <f t="shared" si="85"/>
        <v>1.1545726563506585E-4</v>
      </c>
      <c r="S241" s="2"/>
      <c r="T241" s="7">
        <v>35100</v>
      </c>
      <c r="U241" s="2"/>
      <c r="V241" s="6">
        <f t="shared" si="86"/>
        <v>6.498949607029062E-3</v>
      </c>
      <c r="W241" s="2"/>
      <c r="X241" s="7">
        <f t="shared" si="87"/>
        <v>-34484.129999999997</v>
      </c>
      <c r="Y241" s="2"/>
      <c r="Z241" s="6">
        <f t="shared" si="88"/>
        <v>-0.98245384615384612</v>
      </c>
    </row>
    <row r="242" spans="1:26" s="24" customFormat="1" hidden="1" outlineLevel="2" x14ac:dyDescent="0.25">
      <c r="A242" s="25"/>
      <c r="B242" s="11" t="str">
        <f>CONCATENATE("          ", "6259", " - ", "ROYALTY &amp; COMMISSIONS")</f>
        <v xml:space="preserve">          6259 - ROYALTY &amp; COMMISSIONS</v>
      </c>
      <c r="C242" s="11"/>
      <c r="D242" s="7">
        <v>10215.44</v>
      </c>
      <c r="E242" s="2"/>
      <c r="F242" s="6">
        <f t="shared" si="81"/>
        <v>7.2584551800674146E-3</v>
      </c>
      <c r="G242" s="2"/>
      <c r="H242" s="7"/>
      <c r="I242" s="2"/>
      <c r="J242" s="6">
        <f t="shared" si="82"/>
        <v>0</v>
      </c>
      <c r="K242" s="2"/>
      <c r="L242" s="7">
        <f t="shared" si="83"/>
        <v>10215.44</v>
      </c>
      <c r="M242" s="2"/>
      <c r="N242" s="6">
        <f t="shared" si="84"/>
        <v>0</v>
      </c>
      <c r="O242" s="11"/>
      <c r="P242" s="7">
        <v>14469.62</v>
      </c>
      <c r="Q242" s="2"/>
      <c r="R242" s="6">
        <f t="shared" si="85"/>
        <v>2.7126224040438106E-3</v>
      </c>
      <c r="S242" s="2"/>
      <c r="T242" s="7"/>
      <c r="U242" s="2"/>
      <c r="V242" s="6">
        <f t="shared" si="86"/>
        <v>0</v>
      </c>
      <c r="W242" s="2"/>
      <c r="X242" s="7">
        <f t="shared" si="87"/>
        <v>14469.62</v>
      </c>
      <c r="Y242" s="2"/>
      <c r="Z242" s="6">
        <f t="shared" si="88"/>
        <v>0</v>
      </c>
    </row>
    <row r="243" spans="1:26" s="26" customFormat="1" outlineLevel="1" collapsed="1" x14ac:dyDescent="0.25">
      <c r="A243" s="27"/>
      <c r="B243" s="13" t="str">
        <f>CONCATENATE("     ","Services                                          ")</f>
        <v xml:space="preserve">     Services                                          </v>
      </c>
      <c r="C243" s="13"/>
      <c r="D243" s="1">
        <f>SUM(OSRRefD22_18x_0)</f>
        <v>3921.52</v>
      </c>
      <c r="E243" s="1"/>
      <c r="F243" s="5">
        <f t="shared" ref="F243:F247" si="89">IF(D$12=0,0,D243/D$12)</f>
        <v>2.7863877774954348E-3</v>
      </c>
      <c r="G243" s="1"/>
      <c r="H243" s="1">
        <f>SUM(OSRRefH22_18x_0)</f>
        <v>4432.5</v>
      </c>
      <c r="I243" s="1"/>
      <c r="J243" s="5">
        <f t="shared" ref="J243:J247" si="90">IF(H$12=0,0,H243/H$12)</f>
        <v>3.1775803095316461E-3</v>
      </c>
      <c r="K243" s="1"/>
      <c r="L243" s="1">
        <f t="shared" ref="L243:L247" si="91">+D243-H243</f>
        <v>-510.98</v>
      </c>
      <c r="M243" s="1"/>
      <c r="N243" s="5">
        <f t="shared" ref="N243:N247" si="92">IF(H243=0,0,L243/H243)</f>
        <v>-0.11528031584884377</v>
      </c>
      <c r="O243" s="13"/>
      <c r="P243" s="1">
        <f>SUM(OSRRefP22_18x_0)</f>
        <v>13227.19</v>
      </c>
      <c r="Q243" s="1"/>
      <c r="R243" s="5">
        <f t="shared" ref="R243:R247" si="93">IF(P$12=0,0,P243/P$12)</f>
        <v>2.4797038164474428E-3</v>
      </c>
      <c r="S243" s="1"/>
      <c r="T243" s="1">
        <f>SUM(OSRRefT22_18x_0)</f>
        <v>13297.5</v>
      </c>
      <c r="U243" s="1"/>
      <c r="V243" s="5">
        <f t="shared" ref="V243:V247" si="94">IF(T$12=0,0,T243/T$12)</f>
        <v>2.4621020626629333E-3</v>
      </c>
      <c r="W243" s="1"/>
      <c r="X243" s="1">
        <f t="shared" ref="X243:X247" si="95">+P243-T243</f>
        <v>-70.309999999999491</v>
      </c>
      <c r="Y243" s="1"/>
      <c r="Z243" s="5">
        <f t="shared" ref="Z243:Z247" si="96">IF(T243=0,0,X243/T243)</f>
        <v>-5.2874600488813303E-3</v>
      </c>
    </row>
    <row r="244" spans="1:26" s="24" customFormat="1" hidden="1" outlineLevel="2" x14ac:dyDescent="0.25">
      <c r="A244" s="25"/>
      <c r="B244" s="11" t="str">
        <f>CONCATENATE("          ", "6282", " - ", "JANITORIAL/EXTERMINATOR EXPENS")</f>
        <v xml:space="preserve">          6282 - JANITORIAL/EXTERMINATOR EXPENS</v>
      </c>
      <c r="C244" s="11"/>
      <c r="D244" s="7">
        <v>266.5</v>
      </c>
      <c r="E244" s="2"/>
      <c r="F244" s="6">
        <f t="shared" si="89"/>
        <v>1.8935829543200938E-4</v>
      </c>
      <c r="G244" s="2"/>
      <c r="H244" s="7">
        <v>50</v>
      </c>
      <c r="I244" s="2"/>
      <c r="J244" s="6">
        <f t="shared" si="90"/>
        <v>3.5844109526583716E-5</v>
      </c>
      <c r="K244" s="2"/>
      <c r="L244" s="7">
        <f t="shared" si="91"/>
        <v>216.5</v>
      </c>
      <c r="M244" s="2"/>
      <c r="N244" s="6">
        <f t="shared" si="92"/>
        <v>4.33</v>
      </c>
      <c r="O244" s="11"/>
      <c r="P244" s="7">
        <v>799.5</v>
      </c>
      <c r="Q244" s="2"/>
      <c r="R244" s="6">
        <f t="shared" si="93"/>
        <v>1.4988241654121024E-4</v>
      </c>
      <c r="S244" s="2"/>
      <c r="T244" s="7">
        <v>150</v>
      </c>
      <c r="U244" s="2"/>
      <c r="V244" s="6">
        <f t="shared" si="94"/>
        <v>2.7773288918927614E-5</v>
      </c>
      <c r="W244" s="2"/>
      <c r="X244" s="7">
        <f t="shared" si="95"/>
        <v>649.5</v>
      </c>
      <c r="Y244" s="2"/>
      <c r="Z244" s="6">
        <f t="shared" si="96"/>
        <v>4.33</v>
      </c>
    </row>
    <row r="245" spans="1:26" s="24" customFormat="1" hidden="1" outlineLevel="2" x14ac:dyDescent="0.25">
      <c r="A245" s="25"/>
      <c r="B245" s="11" t="str">
        <f>CONCATENATE("          ", "6283", " - ", "PLANT SERVICE")</f>
        <v xml:space="preserve">          6283 - PLANT SERVICE</v>
      </c>
      <c r="C245" s="11"/>
      <c r="D245" s="7">
        <v>180.66</v>
      </c>
      <c r="E245" s="2"/>
      <c r="F245" s="6">
        <f t="shared" si="89"/>
        <v>1.2836573978516628E-4</v>
      </c>
      <c r="G245" s="2"/>
      <c r="H245" s="7">
        <v>60</v>
      </c>
      <c r="I245" s="2"/>
      <c r="J245" s="6">
        <f t="shared" si="90"/>
        <v>4.3012931431900454E-5</v>
      </c>
      <c r="K245" s="2"/>
      <c r="L245" s="7">
        <f t="shared" si="91"/>
        <v>120.66</v>
      </c>
      <c r="M245" s="2"/>
      <c r="N245" s="6">
        <f t="shared" si="92"/>
        <v>2.0110000000000001</v>
      </c>
      <c r="O245" s="11"/>
      <c r="P245" s="7">
        <v>541.98</v>
      </c>
      <c r="Q245" s="2"/>
      <c r="R245" s="6">
        <f t="shared" si="93"/>
        <v>1.016050933295874E-4</v>
      </c>
      <c r="S245" s="2"/>
      <c r="T245" s="7">
        <v>180</v>
      </c>
      <c r="U245" s="2"/>
      <c r="V245" s="6">
        <f t="shared" si="94"/>
        <v>3.3327946702713138E-5</v>
      </c>
      <c r="W245" s="2"/>
      <c r="X245" s="7">
        <f t="shared" si="95"/>
        <v>361.98</v>
      </c>
      <c r="Y245" s="2"/>
      <c r="Z245" s="6">
        <f t="shared" si="96"/>
        <v>2.0110000000000001</v>
      </c>
    </row>
    <row r="246" spans="1:26" s="24" customFormat="1" hidden="1" outlineLevel="2" x14ac:dyDescent="0.25">
      <c r="A246" s="25"/>
      <c r="B246" s="11" t="str">
        <f>CONCATENATE("          ", "6284", " - ", "TRASH REMOVAL EXPENSE")</f>
        <v xml:space="preserve">          6284 - TRASH REMOVAL EXPENSE</v>
      </c>
      <c r="C246" s="11"/>
      <c r="D246" s="7">
        <v>134.82</v>
      </c>
      <c r="E246" s="2"/>
      <c r="F246" s="6">
        <f t="shared" si="89"/>
        <v>9.5794691895472812E-5</v>
      </c>
      <c r="G246" s="2"/>
      <c r="H246" s="7">
        <v>62.5</v>
      </c>
      <c r="I246" s="2"/>
      <c r="J246" s="6">
        <f t="shared" si="90"/>
        <v>4.4805136908229642E-5</v>
      </c>
      <c r="K246" s="2"/>
      <c r="L246" s="7">
        <f t="shared" si="91"/>
        <v>72.319999999999993</v>
      </c>
      <c r="M246" s="2"/>
      <c r="N246" s="6">
        <f t="shared" si="92"/>
        <v>1.1571199999999999</v>
      </c>
      <c r="O246" s="11"/>
      <c r="P246" s="7">
        <v>404.46</v>
      </c>
      <c r="Q246" s="2"/>
      <c r="R246" s="6">
        <f t="shared" si="93"/>
        <v>7.5824192863361957E-5</v>
      </c>
      <c r="S246" s="2"/>
      <c r="T246" s="7">
        <v>187.5</v>
      </c>
      <c r="U246" s="2"/>
      <c r="V246" s="6">
        <f t="shared" si="94"/>
        <v>3.4716611148659523E-5</v>
      </c>
      <c r="W246" s="2"/>
      <c r="X246" s="7">
        <f t="shared" si="95"/>
        <v>216.95999999999998</v>
      </c>
      <c r="Y246" s="2"/>
      <c r="Z246" s="6">
        <f t="shared" si="96"/>
        <v>1.1571199999999999</v>
      </c>
    </row>
    <row r="247" spans="1:26" s="24" customFormat="1" hidden="1" outlineLevel="2" x14ac:dyDescent="0.25">
      <c r="A247" s="25"/>
      <c r="B247" s="11" t="str">
        <f>CONCATENATE("          ", "6285", " - ", "JANITORIAL SERVICES")</f>
        <v xml:space="preserve">          6285 - JANITORIAL SERVICES</v>
      </c>
      <c r="C247" s="11"/>
      <c r="D247" s="7">
        <v>3339.54</v>
      </c>
      <c r="E247" s="2"/>
      <c r="F247" s="6">
        <f t="shared" si="89"/>
        <v>2.3728690503827866E-3</v>
      </c>
      <c r="G247" s="2"/>
      <c r="H247" s="7">
        <v>4260</v>
      </c>
      <c r="I247" s="2"/>
      <c r="J247" s="6">
        <f t="shared" si="90"/>
        <v>3.0539181316649325E-3</v>
      </c>
      <c r="K247" s="2"/>
      <c r="L247" s="7">
        <f t="shared" si="91"/>
        <v>-920.46</v>
      </c>
      <c r="M247" s="2"/>
      <c r="N247" s="6">
        <f t="shared" si="92"/>
        <v>-0.21607042253521128</v>
      </c>
      <c r="O247" s="11"/>
      <c r="P247" s="7">
        <v>11481.25</v>
      </c>
      <c r="Q247" s="2"/>
      <c r="R247" s="6">
        <f t="shared" si="93"/>
        <v>2.1523921137132831E-3</v>
      </c>
      <c r="S247" s="2"/>
      <c r="T247" s="7">
        <v>12780</v>
      </c>
      <c r="U247" s="2"/>
      <c r="V247" s="6">
        <f t="shared" si="94"/>
        <v>2.3662842158926329E-3</v>
      </c>
      <c r="W247" s="2"/>
      <c r="X247" s="7">
        <f t="shared" si="95"/>
        <v>-1298.75</v>
      </c>
      <c r="Y247" s="2"/>
      <c r="Z247" s="6">
        <f t="shared" si="96"/>
        <v>-0.10162363067292644</v>
      </c>
    </row>
    <row r="248" spans="1:26" s="26" customFormat="1" outlineLevel="1" collapsed="1" x14ac:dyDescent="0.25">
      <c r="A248" s="27"/>
      <c r="B248" s="13" t="str">
        <f>CONCATENATE("     ","Subscriptions &amp; Dues                              ")</f>
        <v xml:space="preserve">     Subscriptions &amp; Dues                              </v>
      </c>
      <c r="C248" s="13"/>
      <c r="D248" s="1">
        <f>SUM(OSRRefD22_19x_0)</f>
        <v>706.62</v>
      </c>
      <c r="E248" s="1"/>
      <c r="F248" s="5">
        <f t="shared" ref="F248:F250" si="97">IF(D$12=0,0,D248/D$12)</f>
        <v>5.0208014528392673E-4</v>
      </c>
      <c r="G248" s="1"/>
      <c r="H248" s="1">
        <f>SUM(OSRRefH22_19x_0)</f>
        <v>1515</v>
      </c>
      <c r="I248" s="1"/>
      <c r="J248" s="5">
        <f t="shared" ref="J248:J250" si="98">IF(H$12=0,0,H248/H$12)</f>
        <v>1.0860765186554865E-3</v>
      </c>
      <c r="K248" s="1"/>
      <c r="L248" s="1">
        <f t="shared" ref="L248:L250" si="99">+D248-H248</f>
        <v>-808.38</v>
      </c>
      <c r="M248" s="1"/>
      <c r="N248" s="5">
        <f t="shared" ref="N248:N250" si="100">IF(H248=0,0,L248/H248)</f>
        <v>-0.53358415841584161</v>
      </c>
      <c r="O248" s="13"/>
      <c r="P248" s="1">
        <f>SUM(OSRRefP22_19x_0)</f>
        <v>-3301.15</v>
      </c>
      <c r="Q248" s="1"/>
      <c r="R248" s="5">
        <f t="shared" ref="R248:R250" si="101">IF(P$12=0,0,P248/P$12)</f>
        <v>-6.1886721621640551E-4</v>
      </c>
      <c r="S248" s="1"/>
      <c r="T248" s="1">
        <f>SUM(OSRRefT22_19x_0)</f>
        <v>5215</v>
      </c>
      <c r="U248" s="1"/>
      <c r="V248" s="5">
        <f t="shared" ref="V248:V250" si="102">IF(T$12=0,0,T248/T$12)</f>
        <v>9.6558467808138349E-4</v>
      </c>
      <c r="W248" s="1"/>
      <c r="X248" s="1">
        <f t="shared" ref="X248:X250" si="103">+P248-T248</f>
        <v>-8516.15</v>
      </c>
      <c r="Y248" s="1"/>
      <c r="Z248" s="5">
        <f t="shared" ref="Z248:Z250" si="104">IF(T248=0,0,X248/T248)</f>
        <v>-1.6330105465004794</v>
      </c>
    </row>
    <row r="249" spans="1:26" s="24" customFormat="1" hidden="1" outlineLevel="2" x14ac:dyDescent="0.25">
      <c r="A249" s="25"/>
      <c r="B249" s="11" t="str">
        <f>CONCATENATE("          ", "6258", " - ", "MEMBERSHIP DUES")</f>
        <v xml:space="preserve">          6258 - MEMBERSHIP DUES</v>
      </c>
      <c r="C249" s="11"/>
      <c r="D249" s="7">
        <v>250</v>
      </c>
      <c r="E249" s="2"/>
      <c r="F249" s="6">
        <f t="shared" si="97"/>
        <v>1.7763442348218516E-4</v>
      </c>
      <c r="G249" s="2"/>
      <c r="H249" s="7">
        <v>1300</v>
      </c>
      <c r="I249" s="2"/>
      <c r="J249" s="6">
        <f t="shared" si="98"/>
        <v>9.319468476911766E-4</v>
      </c>
      <c r="K249" s="2"/>
      <c r="L249" s="7">
        <f t="shared" si="99"/>
        <v>-1050</v>
      </c>
      <c r="M249" s="2"/>
      <c r="N249" s="6">
        <f t="shared" si="100"/>
        <v>-0.80769230769230771</v>
      </c>
      <c r="O249" s="11"/>
      <c r="P249" s="7">
        <v>-4091.15</v>
      </c>
      <c r="Q249" s="2"/>
      <c r="R249" s="6">
        <f t="shared" si="101"/>
        <v>-7.6696866595693839E-4</v>
      </c>
      <c r="S249" s="2"/>
      <c r="T249" s="7">
        <v>3695</v>
      </c>
      <c r="U249" s="2"/>
      <c r="V249" s="6">
        <f t="shared" si="102"/>
        <v>6.8414868370291696E-4</v>
      </c>
      <c r="W249" s="2"/>
      <c r="X249" s="7">
        <f t="shared" si="103"/>
        <v>-7786.15</v>
      </c>
      <c r="Y249" s="2"/>
      <c r="Z249" s="6">
        <f t="shared" si="104"/>
        <v>-2.1072124492557509</v>
      </c>
    </row>
    <row r="250" spans="1:26" s="24" customFormat="1" hidden="1" outlineLevel="2" x14ac:dyDescent="0.25">
      <c r="A250" s="25"/>
      <c r="B250" s="11" t="str">
        <f>CONCATENATE("          ", "6275", " - ", "SUBSCRIPTIONS")</f>
        <v xml:space="preserve">          6275 - SUBSCRIPTIONS</v>
      </c>
      <c r="C250" s="11"/>
      <c r="D250" s="7">
        <v>456.62</v>
      </c>
      <c r="E250" s="2"/>
      <c r="F250" s="6">
        <f t="shared" si="97"/>
        <v>3.2444572180174156E-4</v>
      </c>
      <c r="G250" s="2"/>
      <c r="H250" s="7">
        <v>215</v>
      </c>
      <c r="I250" s="2"/>
      <c r="J250" s="6">
        <f t="shared" si="98"/>
        <v>1.5412967096430997E-4</v>
      </c>
      <c r="K250" s="2"/>
      <c r="L250" s="7">
        <f t="shared" si="99"/>
        <v>241.62</v>
      </c>
      <c r="M250" s="2"/>
      <c r="N250" s="6">
        <f t="shared" si="100"/>
        <v>1.1238139534883722</v>
      </c>
      <c r="O250" s="11"/>
      <c r="P250" s="7">
        <v>790</v>
      </c>
      <c r="Q250" s="2"/>
      <c r="R250" s="6">
        <f t="shared" si="101"/>
        <v>1.4810144974053294E-4</v>
      </c>
      <c r="S250" s="2"/>
      <c r="T250" s="7">
        <v>1520</v>
      </c>
      <c r="U250" s="2"/>
      <c r="V250" s="6">
        <f t="shared" si="102"/>
        <v>2.8143599437846652E-4</v>
      </c>
      <c r="W250" s="2"/>
      <c r="X250" s="7">
        <f t="shared" si="103"/>
        <v>-730</v>
      </c>
      <c r="Y250" s="2"/>
      <c r="Z250" s="6">
        <f t="shared" si="104"/>
        <v>-0.48026315789473684</v>
      </c>
    </row>
    <row r="251" spans="1:26" s="26" customFormat="1" outlineLevel="1" collapsed="1" x14ac:dyDescent="0.25">
      <c r="A251" s="27"/>
      <c r="B251" s="13" t="str">
        <f>CONCATENATE("     ","Supplies                                          ")</f>
        <v xml:space="preserve">     Supplies                                          </v>
      </c>
      <c r="C251" s="13"/>
      <c r="D251" s="1">
        <f>SUM(OSRRefD22_20x_0)</f>
        <v>20213.899999999998</v>
      </c>
      <c r="E251" s="1"/>
      <c r="F251" s="5">
        <f t="shared" ref="F251:F258" si="105">IF(D$12=0,0,D251/D$12)</f>
        <v>1.4362737891306168E-2</v>
      </c>
      <c r="G251" s="1"/>
      <c r="H251" s="1">
        <f>SUM(OSRRefH22_20x_0)</f>
        <v>21875</v>
      </c>
      <c r="I251" s="1"/>
      <c r="J251" s="5">
        <f t="shared" ref="J251:J258" si="106">IF(H$12=0,0,H251/H$12)</f>
        <v>1.5681797917880377E-2</v>
      </c>
      <c r="K251" s="1"/>
      <c r="L251" s="1">
        <f t="shared" ref="L251:L258" si="107">+D251-H251</f>
        <v>-1661.1000000000022</v>
      </c>
      <c r="M251" s="1"/>
      <c r="N251" s="5">
        <f t="shared" ref="N251:N258" si="108">IF(H251=0,0,L251/H251)</f>
        <v>-7.5936000000000101E-2</v>
      </c>
      <c r="O251" s="13"/>
      <c r="P251" s="1">
        <f>SUM(OSRRefP22_20x_0)</f>
        <v>33426.160000000003</v>
      </c>
      <c r="Q251" s="1"/>
      <c r="R251" s="5">
        <f t="shared" ref="R251:R258" si="109">IF(P$12=0,0,P251/P$12)</f>
        <v>6.2664085509607755E-3</v>
      </c>
      <c r="S251" s="1"/>
      <c r="T251" s="1">
        <f>SUM(OSRRefT22_20x_0)</f>
        <v>50470</v>
      </c>
      <c r="U251" s="1"/>
      <c r="V251" s="5">
        <f t="shared" ref="V251:V258" si="110">IF(T$12=0,0,T251/T$12)</f>
        <v>9.3447859449218452E-3</v>
      </c>
      <c r="W251" s="1"/>
      <c r="X251" s="1">
        <f t="shared" ref="X251:X258" si="111">+P251-T251</f>
        <v>-17043.839999999997</v>
      </c>
      <c r="Y251" s="1"/>
      <c r="Z251" s="5">
        <f t="shared" ref="Z251:Z258" si="112">IF(T251=0,0,X251/T251)</f>
        <v>-0.33770239746383984</v>
      </c>
    </row>
    <row r="252" spans="1:26" s="24" customFormat="1" hidden="1" outlineLevel="2" x14ac:dyDescent="0.25">
      <c r="A252" s="25"/>
      <c r="B252" s="11" t="str">
        <f>CONCATENATE("          ", "6234", " - ", "EXPENDABLE SUPPLIES &amp; EQUIPMEN")</f>
        <v xml:space="preserve">          6234 - EXPENDABLE SUPPLIES &amp; EQUIPMEN</v>
      </c>
      <c r="C252" s="11"/>
      <c r="D252" s="7"/>
      <c r="E252" s="2"/>
      <c r="F252" s="6">
        <f t="shared" si="105"/>
        <v>0</v>
      </c>
      <c r="G252" s="2"/>
      <c r="H252" s="7">
        <v>450</v>
      </c>
      <c r="I252" s="2"/>
      <c r="J252" s="6">
        <f t="shared" si="106"/>
        <v>3.2259698573925343E-4</v>
      </c>
      <c r="K252" s="2"/>
      <c r="L252" s="7">
        <f t="shared" si="107"/>
        <v>-450</v>
      </c>
      <c r="M252" s="2"/>
      <c r="N252" s="6">
        <f t="shared" si="108"/>
        <v>-1</v>
      </c>
      <c r="O252" s="11"/>
      <c r="P252" s="7">
        <v>1716.1</v>
      </c>
      <c r="Q252" s="2"/>
      <c r="R252" s="6">
        <f t="shared" si="109"/>
        <v>3.2171759227813741E-4</v>
      </c>
      <c r="S252" s="2"/>
      <c r="T252" s="7">
        <v>2050</v>
      </c>
      <c r="U252" s="2"/>
      <c r="V252" s="6">
        <f t="shared" si="110"/>
        <v>3.7956828189201076E-4</v>
      </c>
      <c r="W252" s="2"/>
      <c r="X252" s="7">
        <f t="shared" si="111"/>
        <v>-333.90000000000009</v>
      </c>
      <c r="Y252" s="2"/>
      <c r="Z252" s="6">
        <f t="shared" si="112"/>
        <v>-0.16287804878048784</v>
      </c>
    </row>
    <row r="253" spans="1:26" s="24" customFormat="1" hidden="1" outlineLevel="2" x14ac:dyDescent="0.25">
      <c r="A253" s="25"/>
      <c r="B253" s="11" t="str">
        <f>CONCATENATE("          ", "6237", " - ", "JANITORIAL SUPPLIES")</f>
        <v xml:space="preserve">          6237 - JANITORIAL SUPPLIES</v>
      </c>
      <c r="C253" s="11"/>
      <c r="D253" s="7">
        <v>1088.21</v>
      </c>
      <c r="E253" s="2"/>
      <c r="F253" s="6">
        <f t="shared" si="105"/>
        <v>7.732142239101949E-4</v>
      </c>
      <c r="G253" s="2"/>
      <c r="H253" s="7">
        <v>75</v>
      </c>
      <c r="I253" s="2"/>
      <c r="J253" s="6">
        <f t="shared" si="106"/>
        <v>5.3766164289875574E-5</v>
      </c>
      <c r="K253" s="2"/>
      <c r="L253" s="7">
        <f t="shared" si="107"/>
        <v>1013.21</v>
      </c>
      <c r="M253" s="2"/>
      <c r="N253" s="6">
        <f t="shared" si="108"/>
        <v>13.509466666666667</v>
      </c>
      <c r="O253" s="11"/>
      <c r="P253" s="7">
        <v>1863.61</v>
      </c>
      <c r="Q253" s="2"/>
      <c r="R253" s="6">
        <f t="shared" si="109"/>
        <v>3.4937131993791716E-4</v>
      </c>
      <c r="S253" s="2"/>
      <c r="T253" s="7">
        <v>145</v>
      </c>
      <c r="U253" s="2"/>
      <c r="V253" s="6">
        <f t="shared" si="110"/>
        <v>2.6847512621630029E-5</v>
      </c>
      <c r="W253" s="2"/>
      <c r="X253" s="7">
        <f t="shared" si="111"/>
        <v>1718.61</v>
      </c>
      <c r="Y253" s="2"/>
      <c r="Z253" s="6">
        <f t="shared" si="112"/>
        <v>11.852482758620688</v>
      </c>
    </row>
    <row r="254" spans="1:26" s="24" customFormat="1" hidden="1" outlineLevel="2" x14ac:dyDescent="0.25">
      <c r="A254" s="25"/>
      <c r="B254" s="11" t="str">
        <f>CONCATENATE("          ", "6241", " - ", "OFFICE EXPENSE")</f>
        <v xml:space="preserve">          6241 - OFFICE EXPENSE</v>
      </c>
      <c r="C254" s="11"/>
      <c r="D254" s="7">
        <v>2997.41</v>
      </c>
      <c r="E254" s="2"/>
      <c r="F254" s="6">
        <f t="shared" si="105"/>
        <v>2.1297727891589464E-3</v>
      </c>
      <c r="G254" s="2"/>
      <c r="H254" s="7">
        <v>1475</v>
      </c>
      <c r="I254" s="2"/>
      <c r="J254" s="6">
        <f t="shared" si="106"/>
        <v>1.0574012310342197E-3</v>
      </c>
      <c r="K254" s="2"/>
      <c r="L254" s="7">
        <f t="shared" si="107"/>
        <v>1522.4099999999999</v>
      </c>
      <c r="M254" s="2"/>
      <c r="N254" s="6">
        <f t="shared" si="108"/>
        <v>1.0321423728813559</v>
      </c>
      <c r="O254" s="11"/>
      <c r="P254" s="7">
        <v>10195.92</v>
      </c>
      <c r="Q254" s="2"/>
      <c r="R254" s="6">
        <f t="shared" si="109"/>
        <v>1.9114310549854362E-3</v>
      </c>
      <c r="S254" s="2"/>
      <c r="T254" s="7">
        <v>4050</v>
      </c>
      <c r="U254" s="2"/>
      <c r="V254" s="6">
        <f t="shared" si="110"/>
        <v>7.4987880081104567E-4</v>
      </c>
      <c r="W254" s="2"/>
      <c r="X254" s="7">
        <f t="shared" si="111"/>
        <v>6145.92</v>
      </c>
      <c r="Y254" s="2"/>
      <c r="Z254" s="6">
        <f t="shared" si="112"/>
        <v>1.517511111111111</v>
      </c>
    </row>
    <row r="255" spans="1:26" s="24" customFormat="1" hidden="1" outlineLevel="2" x14ac:dyDescent="0.25">
      <c r="A255" s="25"/>
      <c r="B255" s="11" t="str">
        <f>CONCATENATE("          ", "6243", " - ", "PAPER SUPPLIES")</f>
        <v xml:space="preserve">          6243 - PAPER SUPPLIES</v>
      </c>
      <c r="C255" s="11"/>
      <c r="D255" s="7">
        <v>318.66000000000003</v>
      </c>
      <c r="E255" s="2"/>
      <c r="F255" s="6">
        <f t="shared" si="105"/>
        <v>2.2641994154733251E-4</v>
      </c>
      <c r="G255" s="2"/>
      <c r="H255" s="7">
        <v>250</v>
      </c>
      <c r="I255" s="2"/>
      <c r="J255" s="6">
        <f t="shared" si="106"/>
        <v>1.7922054763291857E-4</v>
      </c>
      <c r="K255" s="2"/>
      <c r="L255" s="7">
        <f t="shared" si="107"/>
        <v>68.660000000000025</v>
      </c>
      <c r="M255" s="2"/>
      <c r="N255" s="6">
        <f t="shared" si="108"/>
        <v>0.27464000000000011</v>
      </c>
      <c r="O255" s="11"/>
      <c r="P255" s="7">
        <v>2976.95</v>
      </c>
      <c r="Q255" s="2"/>
      <c r="R255" s="6">
        <f t="shared" si="109"/>
        <v>5.5808938076592346E-4</v>
      </c>
      <c r="S255" s="2"/>
      <c r="T255" s="7">
        <v>1250</v>
      </c>
      <c r="U255" s="2"/>
      <c r="V255" s="6">
        <f t="shared" si="110"/>
        <v>2.3144407432439679E-4</v>
      </c>
      <c r="W255" s="2"/>
      <c r="X255" s="7">
        <f t="shared" si="111"/>
        <v>1726.9499999999998</v>
      </c>
      <c r="Y255" s="2"/>
      <c r="Z255" s="6">
        <f t="shared" si="112"/>
        <v>1.3815599999999999</v>
      </c>
    </row>
    <row r="256" spans="1:26" s="24" customFormat="1" hidden="1" outlineLevel="2" x14ac:dyDescent="0.25">
      <c r="A256" s="25"/>
      <c r="B256" s="11" t="str">
        <f>CONCATENATE("          ", "6245", " - ", "PRINTING")</f>
        <v xml:space="preserve">          6245 - PRINTING</v>
      </c>
      <c r="C256" s="11"/>
      <c r="D256" s="7">
        <v>254.9</v>
      </c>
      <c r="E256" s="2"/>
      <c r="F256" s="6">
        <f t="shared" si="105"/>
        <v>1.8111605818243599E-4</v>
      </c>
      <c r="G256" s="2"/>
      <c r="H256" s="7">
        <v>100</v>
      </c>
      <c r="I256" s="2"/>
      <c r="J256" s="6">
        <f t="shared" si="106"/>
        <v>7.1688219053167433E-5</v>
      </c>
      <c r="K256" s="2"/>
      <c r="L256" s="7">
        <f t="shared" si="107"/>
        <v>154.9</v>
      </c>
      <c r="M256" s="2"/>
      <c r="N256" s="6">
        <f t="shared" si="108"/>
        <v>1.5490000000000002</v>
      </c>
      <c r="O256" s="11"/>
      <c r="P256" s="7">
        <v>5240.01</v>
      </c>
      <c r="Q256" s="2"/>
      <c r="R256" s="6">
        <f t="shared" si="109"/>
        <v>9.8234566791758227E-4</v>
      </c>
      <c r="S256" s="2"/>
      <c r="T256" s="7">
        <v>700</v>
      </c>
      <c r="U256" s="2"/>
      <c r="V256" s="6">
        <f t="shared" si="110"/>
        <v>1.2960868162166221E-4</v>
      </c>
      <c r="W256" s="2"/>
      <c r="X256" s="7">
        <f t="shared" si="111"/>
        <v>4540.01</v>
      </c>
      <c r="Y256" s="2"/>
      <c r="Z256" s="6">
        <f t="shared" si="112"/>
        <v>6.485728571428572</v>
      </c>
    </row>
    <row r="257" spans="1:26" s="24" customFormat="1" hidden="1" outlineLevel="2" x14ac:dyDescent="0.25">
      <c r="A257" s="25"/>
      <c r="B257" s="11" t="str">
        <f>CONCATENATE("          ", "6247", " - ", "STORE SUPPLIES")</f>
        <v xml:space="preserve">          6247 - STORE SUPPLIES</v>
      </c>
      <c r="C257" s="11"/>
      <c r="D257" s="7">
        <v>15554.72</v>
      </c>
      <c r="E257" s="2"/>
      <c r="F257" s="6">
        <f t="shared" si="105"/>
        <v>1.1052214878507259E-2</v>
      </c>
      <c r="G257" s="2"/>
      <c r="H257" s="7">
        <v>18525</v>
      </c>
      <c r="I257" s="2"/>
      <c r="J257" s="6">
        <f t="shared" si="106"/>
        <v>1.3280242579599266E-2</v>
      </c>
      <c r="K257" s="2"/>
      <c r="L257" s="7">
        <f t="shared" si="107"/>
        <v>-2970.2800000000007</v>
      </c>
      <c r="M257" s="2"/>
      <c r="N257" s="6">
        <f t="shared" si="108"/>
        <v>-0.16033900134952769</v>
      </c>
      <c r="O257" s="11"/>
      <c r="P257" s="7">
        <v>11433.57</v>
      </c>
      <c r="Q257" s="2"/>
      <c r="R257" s="6">
        <f t="shared" si="109"/>
        <v>2.1434535350757788E-3</v>
      </c>
      <c r="S257" s="2"/>
      <c r="T257" s="7">
        <v>39275</v>
      </c>
      <c r="U257" s="2"/>
      <c r="V257" s="6">
        <f t="shared" si="110"/>
        <v>7.2719728152725472E-3</v>
      </c>
      <c r="W257" s="2"/>
      <c r="X257" s="7">
        <f t="shared" si="111"/>
        <v>-27841.43</v>
      </c>
      <c r="Y257" s="2"/>
      <c r="Z257" s="6">
        <f t="shared" si="112"/>
        <v>-0.70888427753023553</v>
      </c>
    </row>
    <row r="258" spans="1:26" s="24" customFormat="1" hidden="1" outlineLevel="2" x14ac:dyDescent="0.25">
      <c r="A258" s="25"/>
      <c r="B258" s="11" t="str">
        <f>CONCATENATE("          ", "6248", " - ", "UNIFORMS")</f>
        <v xml:space="preserve">          6248 - UNIFORMS</v>
      </c>
      <c r="C258" s="11"/>
      <c r="D258" s="7"/>
      <c r="E258" s="2"/>
      <c r="F258" s="6">
        <f t="shared" si="105"/>
        <v>0</v>
      </c>
      <c r="G258" s="2"/>
      <c r="H258" s="7">
        <v>1000</v>
      </c>
      <c r="I258" s="2"/>
      <c r="J258" s="6">
        <f t="shared" si="106"/>
        <v>7.1688219053167427E-4</v>
      </c>
      <c r="K258" s="2"/>
      <c r="L258" s="7">
        <f t="shared" si="107"/>
        <v>-1000</v>
      </c>
      <c r="M258" s="2"/>
      <c r="N258" s="6">
        <f t="shared" si="108"/>
        <v>-1</v>
      </c>
      <c r="O258" s="11"/>
      <c r="P258" s="7"/>
      <c r="Q258" s="2"/>
      <c r="R258" s="6">
        <f t="shared" si="109"/>
        <v>0</v>
      </c>
      <c r="S258" s="2"/>
      <c r="T258" s="7">
        <v>3000</v>
      </c>
      <c r="U258" s="2"/>
      <c r="V258" s="6">
        <f t="shared" si="110"/>
        <v>5.5546577837855236E-4</v>
      </c>
      <c r="W258" s="2"/>
      <c r="X258" s="7">
        <f t="shared" si="111"/>
        <v>-3000</v>
      </c>
      <c r="Y258" s="2"/>
      <c r="Z258" s="6">
        <f t="shared" si="112"/>
        <v>-1</v>
      </c>
    </row>
    <row r="259" spans="1:26" s="26" customFormat="1" outlineLevel="1" collapsed="1" x14ac:dyDescent="0.25">
      <c r="A259" s="27"/>
      <c r="B259" s="13" t="str">
        <f>CONCATENATE("     ","Telephone/Data Lines                              ")</f>
        <v xml:space="preserve">     Telephone/Data Lines                              </v>
      </c>
      <c r="C259" s="13"/>
      <c r="D259" s="1">
        <f>SUM(OSRRefD22_21x_0)</f>
        <v>6329.03</v>
      </c>
      <c r="E259" s="1"/>
      <c r="F259" s="5">
        <f t="shared" ref="F259:F261" si="113">IF(D$12=0,0,D259/D$12)</f>
        <v>4.4970143810058169E-3</v>
      </c>
      <c r="G259" s="1"/>
      <c r="H259" s="1">
        <f>SUM(OSRRefH22_21x_0)</f>
        <v>5045</v>
      </c>
      <c r="I259" s="1"/>
      <c r="J259" s="5">
        <f t="shared" ref="J259:J261" si="114">IF(H$12=0,0,H259/H$12)</f>
        <v>3.6166706512322966E-3</v>
      </c>
      <c r="K259" s="1"/>
      <c r="L259" s="1">
        <f t="shared" ref="L259:L261" si="115">+D259-H259</f>
        <v>1284.0299999999997</v>
      </c>
      <c r="M259" s="1"/>
      <c r="N259" s="5">
        <f t="shared" ref="N259:N261" si="116">IF(H259=0,0,L259/H259)</f>
        <v>0.25451536174430123</v>
      </c>
      <c r="O259" s="13"/>
      <c r="P259" s="1">
        <f>SUM(OSRRefP22_21x_0)</f>
        <v>11177.7</v>
      </c>
      <c r="Q259" s="1"/>
      <c r="R259" s="5">
        <f t="shared" ref="R259:R261" si="117">IF(P$12=0,0,P259/P$12)</f>
        <v>2.0954855376769054E-3</v>
      </c>
      <c r="S259" s="1"/>
      <c r="T259" s="1">
        <f>SUM(OSRRefT22_21x_0)</f>
        <v>10835</v>
      </c>
      <c r="U259" s="1"/>
      <c r="V259" s="5">
        <f t="shared" ref="V259:V261" si="118">IF(T$12=0,0,T259/T$12)</f>
        <v>2.0061572362438714E-3</v>
      </c>
      <c r="W259" s="1"/>
      <c r="X259" s="1">
        <f t="shared" ref="X259:X261" si="119">+P259-T259</f>
        <v>342.70000000000073</v>
      </c>
      <c r="Y259" s="1"/>
      <c r="Z259" s="5">
        <f t="shared" ref="Z259:Z261" si="120">IF(T259=0,0,X259/T259)</f>
        <v>3.1628980156899009E-2</v>
      </c>
    </row>
    <row r="260" spans="1:26" s="24" customFormat="1" hidden="1" outlineLevel="2" x14ac:dyDescent="0.25">
      <c r="A260" s="25"/>
      <c r="B260" s="11" t="str">
        <f>CONCATENATE("          ", "6303", " - ", "DATA PHONE LINES")</f>
        <v xml:space="preserve">          6303 - DATA PHONE LINES</v>
      </c>
      <c r="C260" s="11"/>
      <c r="D260" s="7">
        <v>295</v>
      </c>
      <c r="E260" s="2"/>
      <c r="F260" s="6">
        <f t="shared" si="113"/>
        <v>2.0960861970897849E-4</v>
      </c>
      <c r="G260" s="2"/>
      <c r="H260" s="7">
        <v>2280</v>
      </c>
      <c r="I260" s="2"/>
      <c r="J260" s="6">
        <f t="shared" si="114"/>
        <v>1.6344913944122174E-3</v>
      </c>
      <c r="K260" s="2"/>
      <c r="L260" s="7">
        <f t="shared" si="115"/>
        <v>-1985</v>
      </c>
      <c r="M260" s="2"/>
      <c r="N260" s="6">
        <f t="shared" si="116"/>
        <v>-0.87061403508771928</v>
      </c>
      <c r="O260" s="11"/>
      <c r="P260" s="7">
        <v>885</v>
      </c>
      <c r="Q260" s="2"/>
      <c r="R260" s="6">
        <f t="shared" si="117"/>
        <v>1.6591111774730589E-4</v>
      </c>
      <c r="S260" s="2"/>
      <c r="T260" s="7">
        <v>4565</v>
      </c>
      <c r="U260" s="2"/>
      <c r="V260" s="6">
        <f t="shared" si="118"/>
        <v>8.452337594326971E-4</v>
      </c>
      <c r="W260" s="2"/>
      <c r="X260" s="7">
        <f t="shared" si="119"/>
        <v>-3680</v>
      </c>
      <c r="Y260" s="2"/>
      <c r="Z260" s="6">
        <f t="shared" si="120"/>
        <v>-0.80613362541073386</v>
      </c>
    </row>
    <row r="261" spans="1:26" s="24" customFormat="1" hidden="1" outlineLevel="2" x14ac:dyDescent="0.25">
      <c r="A261" s="25"/>
      <c r="B261" s="11" t="str">
        <f>CONCATENATE("          ", "6309", " - ", "TELEPHONE")</f>
        <v xml:space="preserve">          6309 - TELEPHONE</v>
      </c>
      <c r="C261" s="11"/>
      <c r="D261" s="7">
        <v>6034.03</v>
      </c>
      <c r="E261" s="2"/>
      <c r="F261" s="6">
        <f t="shared" si="113"/>
        <v>4.2874057612968383E-3</v>
      </c>
      <c r="G261" s="2"/>
      <c r="H261" s="7">
        <v>2765</v>
      </c>
      <c r="I261" s="2"/>
      <c r="J261" s="6">
        <f t="shared" si="114"/>
        <v>1.9821792568200792E-3</v>
      </c>
      <c r="K261" s="2"/>
      <c r="L261" s="7">
        <f t="shared" si="115"/>
        <v>3269.0299999999997</v>
      </c>
      <c r="M261" s="2"/>
      <c r="N261" s="6">
        <f t="shared" si="116"/>
        <v>1.1822893309222422</v>
      </c>
      <c r="O261" s="11"/>
      <c r="P261" s="7">
        <v>10292.700000000001</v>
      </c>
      <c r="Q261" s="2"/>
      <c r="R261" s="6">
        <f t="shared" si="117"/>
        <v>1.9295744199295994E-3</v>
      </c>
      <c r="S261" s="2"/>
      <c r="T261" s="7">
        <v>6270</v>
      </c>
      <c r="U261" s="2"/>
      <c r="V261" s="6">
        <f t="shared" si="118"/>
        <v>1.1609234768111744E-3</v>
      </c>
      <c r="W261" s="2"/>
      <c r="X261" s="7">
        <f t="shared" si="119"/>
        <v>4022.7000000000007</v>
      </c>
      <c r="Y261" s="2"/>
      <c r="Z261" s="6">
        <f t="shared" si="120"/>
        <v>0.64157894736842114</v>
      </c>
    </row>
    <row r="262" spans="1:26" s="26" customFormat="1" outlineLevel="1" collapsed="1" x14ac:dyDescent="0.25">
      <c r="A262" s="27"/>
      <c r="B262" s="13" t="str">
        <f>CONCATENATE("     ","Training                                          ")</f>
        <v xml:space="preserve">     Training                                          </v>
      </c>
      <c r="C262" s="13"/>
      <c r="D262" s="1">
        <f>SUM(OSRRefD22_22x_0)</f>
        <v>-4902.29</v>
      </c>
      <c r="E262" s="1"/>
      <c r="F262" s="5">
        <f t="shared" ref="F262:F267" si="121">IF(D$12=0,0,D262/D$12)</f>
        <v>-3.4832618315699258E-3</v>
      </c>
      <c r="G262" s="1"/>
      <c r="H262" s="1">
        <f>SUM(OSRRefH22_22x_0)</f>
        <v>1675</v>
      </c>
      <c r="I262" s="1"/>
      <c r="J262" s="5">
        <f t="shared" ref="J262:J267" si="122">IF(H$12=0,0,H262/H$12)</f>
        <v>1.2007776691405545E-3</v>
      </c>
      <c r="K262" s="1"/>
      <c r="L262" s="1">
        <f t="shared" ref="L262:L267" si="123">+D262-H262</f>
        <v>-6577.29</v>
      </c>
      <c r="M262" s="1"/>
      <c r="N262" s="5">
        <f t="shared" ref="N262:N267" si="124">IF(H262=0,0,L262/H262)</f>
        <v>-3.9267402985074629</v>
      </c>
      <c r="O262" s="13"/>
      <c r="P262" s="1">
        <f>SUM(OSRRefP22_22x_0)</f>
        <v>2420.2399999999998</v>
      </c>
      <c r="Q262" s="1"/>
      <c r="R262" s="5">
        <f t="shared" ref="R262:R267" si="125">IF(P$12=0,0,P262/P$12)</f>
        <v>4.5372285154433851E-4</v>
      </c>
      <c r="S262" s="1"/>
      <c r="T262" s="1">
        <f>SUM(OSRRefT22_22x_0)</f>
        <v>6025</v>
      </c>
      <c r="U262" s="1"/>
      <c r="V262" s="5">
        <f t="shared" ref="V262:V267" si="126">IF(T$12=0,0,T262/T$12)</f>
        <v>1.1155604382435925E-3</v>
      </c>
      <c r="W262" s="1"/>
      <c r="X262" s="1">
        <f t="shared" ref="X262:X267" si="127">+P262-T262</f>
        <v>-3604.76</v>
      </c>
      <c r="Y262" s="1"/>
      <c r="Z262" s="5">
        <f t="shared" ref="Z262:Z267" si="128">IF(T262=0,0,X262/T262)</f>
        <v>-0.59830041493775932</v>
      </c>
    </row>
    <row r="263" spans="1:26" s="24" customFormat="1" hidden="1" outlineLevel="2" x14ac:dyDescent="0.25">
      <c r="A263" s="25"/>
      <c r="B263" s="11" t="str">
        <f>CONCATENATE("          ", "6376", " - ", "TRAINING")</f>
        <v xml:space="preserve">          6376 - TRAINING</v>
      </c>
      <c r="C263" s="11"/>
      <c r="D263" s="7">
        <v>-4902.29</v>
      </c>
      <c r="E263" s="2"/>
      <c r="F263" s="6">
        <f t="shared" si="121"/>
        <v>-3.4832618315699258E-3</v>
      </c>
      <c r="G263" s="2"/>
      <c r="H263" s="7">
        <v>1675</v>
      </c>
      <c r="I263" s="2"/>
      <c r="J263" s="6">
        <f t="shared" si="122"/>
        <v>1.2007776691405545E-3</v>
      </c>
      <c r="K263" s="2"/>
      <c r="L263" s="7">
        <f t="shared" si="123"/>
        <v>-6577.29</v>
      </c>
      <c r="M263" s="2"/>
      <c r="N263" s="6">
        <f t="shared" si="124"/>
        <v>-3.9267402985074629</v>
      </c>
      <c r="O263" s="11"/>
      <c r="P263" s="7">
        <v>2420.2399999999998</v>
      </c>
      <c r="Q263" s="2"/>
      <c r="R263" s="6">
        <f t="shared" si="125"/>
        <v>4.5372285154433851E-4</v>
      </c>
      <c r="S263" s="2"/>
      <c r="T263" s="7">
        <v>6025</v>
      </c>
      <c r="U263" s="2"/>
      <c r="V263" s="6">
        <f t="shared" si="126"/>
        <v>1.1155604382435925E-3</v>
      </c>
      <c r="W263" s="2"/>
      <c r="X263" s="7">
        <f t="shared" si="127"/>
        <v>-3604.76</v>
      </c>
      <c r="Y263" s="2"/>
      <c r="Z263" s="6">
        <f t="shared" si="128"/>
        <v>-0.59830041493775932</v>
      </c>
    </row>
    <row r="264" spans="1:26" s="26" customFormat="1" outlineLevel="1" collapsed="1" x14ac:dyDescent="0.25">
      <c r="A264" s="27"/>
      <c r="B264" s="13" t="str">
        <f>CONCATENATE("     ","Travel                                            ")</f>
        <v xml:space="preserve">     Travel                                            </v>
      </c>
      <c r="C264" s="13"/>
      <c r="D264" s="1">
        <f>SUM(OSRRefD22_23x_0)</f>
        <v>207.82999999999998</v>
      </c>
      <c r="E264" s="1"/>
      <c r="F264" s="5">
        <f t="shared" si="121"/>
        <v>1.4767104892921015E-4</v>
      </c>
      <c r="G264" s="1"/>
      <c r="H264" s="1">
        <f>SUM(OSRRefH22_23x_0)</f>
        <v>100</v>
      </c>
      <c r="I264" s="1"/>
      <c r="J264" s="5">
        <f t="shared" si="122"/>
        <v>7.1688219053167433E-5</v>
      </c>
      <c r="K264" s="1"/>
      <c r="L264" s="1">
        <f t="shared" si="123"/>
        <v>107.82999999999998</v>
      </c>
      <c r="M264" s="1"/>
      <c r="N264" s="5">
        <f t="shared" si="124"/>
        <v>1.0782999999999998</v>
      </c>
      <c r="O264" s="13"/>
      <c r="P264" s="1">
        <f>SUM(OSRRefP22_23x_0)</f>
        <v>613.86</v>
      </c>
      <c r="Q264" s="1"/>
      <c r="R264" s="5">
        <f t="shared" si="125"/>
        <v>1.1508045055408044E-4</v>
      </c>
      <c r="S264" s="1"/>
      <c r="T264" s="1">
        <f>SUM(OSRRefT22_23x_0)</f>
        <v>810</v>
      </c>
      <c r="U264" s="1"/>
      <c r="V264" s="5">
        <f t="shared" si="126"/>
        <v>1.4997576016220911E-4</v>
      </c>
      <c r="W264" s="1"/>
      <c r="X264" s="1">
        <f t="shared" si="127"/>
        <v>-196.14</v>
      </c>
      <c r="Y264" s="1"/>
      <c r="Z264" s="5">
        <f t="shared" si="128"/>
        <v>-0.24214814814814814</v>
      </c>
    </row>
    <row r="265" spans="1:26" s="24" customFormat="1" hidden="1" outlineLevel="2" x14ac:dyDescent="0.25">
      <c r="A265" s="25"/>
      <c r="B265" s="11" t="str">
        <f>CONCATENATE("          ", "6292", " - ", "TRAVEL/CONFERENCE")</f>
        <v xml:space="preserve">          6292 - TRAVEL/CONFERENCE</v>
      </c>
      <c r="C265" s="11"/>
      <c r="D265" s="7">
        <v>91.13</v>
      </c>
      <c r="E265" s="2"/>
      <c r="F265" s="6">
        <f t="shared" si="121"/>
        <v>6.475130004772613E-5</v>
      </c>
      <c r="G265" s="2"/>
      <c r="H265" s="7"/>
      <c r="I265" s="2"/>
      <c r="J265" s="6">
        <f t="shared" si="122"/>
        <v>0</v>
      </c>
      <c r="K265" s="2"/>
      <c r="L265" s="7">
        <f t="shared" si="123"/>
        <v>91.13</v>
      </c>
      <c r="M265" s="2"/>
      <c r="N265" s="6">
        <f t="shared" si="124"/>
        <v>0</v>
      </c>
      <c r="O265" s="11"/>
      <c r="P265" s="7">
        <v>341.77</v>
      </c>
      <c r="Q265" s="2"/>
      <c r="R265" s="6">
        <f t="shared" si="125"/>
        <v>6.4071686680787268E-5</v>
      </c>
      <c r="S265" s="2"/>
      <c r="T265" s="7"/>
      <c r="U265" s="2"/>
      <c r="V265" s="6">
        <f t="shared" si="126"/>
        <v>0</v>
      </c>
      <c r="W265" s="2"/>
      <c r="X265" s="7">
        <f t="shared" si="127"/>
        <v>341.77</v>
      </c>
      <c r="Y265" s="2"/>
      <c r="Z265" s="6">
        <f t="shared" si="128"/>
        <v>0</v>
      </c>
    </row>
    <row r="266" spans="1:26" s="24" customFormat="1" hidden="1" outlineLevel="2" x14ac:dyDescent="0.25">
      <c r="A266" s="25"/>
      <c r="B266" s="11" t="str">
        <f>CONCATENATE("          ", "6294", " - ", "TRAVEL OPERATIONAL")</f>
        <v xml:space="preserve">          6294 - TRAVEL OPERATIONAL</v>
      </c>
      <c r="C266" s="11"/>
      <c r="D266" s="7">
        <v>33.43</v>
      </c>
      <c r="E266" s="2"/>
      <c r="F266" s="6">
        <f t="shared" si="121"/>
        <v>2.3753275108037799E-5</v>
      </c>
      <c r="G266" s="2"/>
      <c r="H266" s="7">
        <v>100</v>
      </c>
      <c r="I266" s="2"/>
      <c r="J266" s="6">
        <f t="shared" si="122"/>
        <v>7.1688219053167433E-5</v>
      </c>
      <c r="K266" s="2"/>
      <c r="L266" s="7">
        <f t="shared" si="123"/>
        <v>-66.569999999999993</v>
      </c>
      <c r="M266" s="2"/>
      <c r="N266" s="6">
        <f t="shared" si="124"/>
        <v>-0.66569999999999996</v>
      </c>
      <c r="O266" s="11"/>
      <c r="P266" s="7">
        <v>102.1</v>
      </c>
      <c r="Q266" s="2"/>
      <c r="R266" s="6">
        <f t="shared" si="125"/>
        <v>1.9140706352542293E-5</v>
      </c>
      <c r="S266" s="2"/>
      <c r="T266" s="7">
        <v>360</v>
      </c>
      <c r="U266" s="2"/>
      <c r="V266" s="6">
        <f t="shared" si="126"/>
        <v>6.6655893405426277E-5</v>
      </c>
      <c r="W266" s="2"/>
      <c r="X266" s="7">
        <f t="shared" si="127"/>
        <v>-257.89999999999998</v>
      </c>
      <c r="Y266" s="2"/>
      <c r="Z266" s="6">
        <f t="shared" si="128"/>
        <v>-0.71638888888888885</v>
      </c>
    </row>
    <row r="267" spans="1:26" s="24" customFormat="1" hidden="1" outlineLevel="2" x14ac:dyDescent="0.25">
      <c r="A267" s="25"/>
      <c r="B267" s="11" t="str">
        <f>CONCATENATE("          ", "6298", " - ", "VEHICLE MILEAGE")</f>
        <v xml:space="preserve">          6298 - VEHICLE MILEAGE</v>
      </c>
      <c r="C267" s="11"/>
      <c r="D267" s="7">
        <v>83.27</v>
      </c>
      <c r="E267" s="2"/>
      <c r="F267" s="6">
        <f t="shared" si="121"/>
        <v>5.9166473773446231E-5</v>
      </c>
      <c r="G267" s="2"/>
      <c r="H267" s="7"/>
      <c r="I267" s="2"/>
      <c r="J267" s="6">
        <f t="shared" si="122"/>
        <v>0</v>
      </c>
      <c r="K267" s="2"/>
      <c r="L267" s="7">
        <f t="shared" si="123"/>
        <v>83.27</v>
      </c>
      <c r="M267" s="2"/>
      <c r="N267" s="6">
        <f t="shared" si="124"/>
        <v>0</v>
      </c>
      <c r="O267" s="11"/>
      <c r="P267" s="7">
        <v>169.99</v>
      </c>
      <c r="Q267" s="2"/>
      <c r="R267" s="6">
        <f t="shared" si="125"/>
        <v>3.1868057520750879E-5</v>
      </c>
      <c r="S267" s="2"/>
      <c r="T267" s="7">
        <v>450</v>
      </c>
      <c r="U267" s="2"/>
      <c r="V267" s="6">
        <f t="shared" si="126"/>
        <v>8.3319866756782849E-5</v>
      </c>
      <c r="W267" s="2"/>
      <c r="X267" s="7">
        <f t="shared" si="127"/>
        <v>-280.01</v>
      </c>
      <c r="Y267" s="2"/>
      <c r="Z267" s="6">
        <f t="shared" si="128"/>
        <v>-0.62224444444444438</v>
      </c>
    </row>
    <row r="268" spans="1:26" s="26" customFormat="1" outlineLevel="1" collapsed="1" x14ac:dyDescent="0.25">
      <c r="A268" s="27"/>
      <c r="B268" s="13" t="str">
        <f>CONCATENATE("     ","Utilities                                         ")</f>
        <v xml:space="preserve">     Utilities                                         </v>
      </c>
      <c r="C268" s="13"/>
      <c r="D268" s="1">
        <f>SUM(OSRRefD22_24x_0)</f>
        <v>5648.02</v>
      </c>
      <c r="E268" s="1"/>
      <c r="F268" s="5">
        <f t="shared" ref="F268:F269" si="129">IF(D$12=0,0,D268/D$12)</f>
        <v>4.013131106063406E-3</v>
      </c>
      <c r="G268" s="1"/>
      <c r="H268" s="1">
        <f>SUM(OSRRefH22_24x_0)</f>
        <v>5075</v>
      </c>
      <c r="I268" s="1"/>
      <c r="J268" s="5">
        <f t="shared" ref="J268:J269" si="130">IF(H$12=0,0,H268/H$12)</f>
        <v>3.6381771169482469E-3</v>
      </c>
      <c r="K268" s="1"/>
      <c r="L268" s="1">
        <f t="shared" ref="L268:L269" si="131">+D268-H268</f>
        <v>573.02000000000044</v>
      </c>
      <c r="M268" s="1"/>
      <c r="N268" s="5">
        <f t="shared" ref="N268:N269" si="132">IF(H268=0,0,L268/H268)</f>
        <v>0.11291034482758629</v>
      </c>
      <c r="O268" s="13"/>
      <c r="P268" s="1">
        <f>SUM(OSRRefP22_24x_0)</f>
        <v>11337.8</v>
      </c>
      <c r="Q268" s="1"/>
      <c r="R268" s="5">
        <f t="shared" ref="R268:R269" si="133">IF(P$12=0,0,P268/P$12)</f>
        <v>2.1254995150230558E-3</v>
      </c>
      <c r="S268" s="1"/>
      <c r="T268" s="1">
        <f>SUM(OSRRefT22_24x_0)</f>
        <v>15250</v>
      </c>
      <c r="U268" s="1"/>
      <c r="V268" s="5">
        <f t="shared" ref="V268:V269" si="134">IF(T$12=0,0,T268/T$12)</f>
        <v>2.8236177067576407E-3</v>
      </c>
      <c r="W268" s="1"/>
      <c r="X268" s="1">
        <f t="shared" ref="X268:X269" si="135">+P268-T268</f>
        <v>-3912.2000000000007</v>
      </c>
      <c r="Y268" s="1"/>
      <c r="Z268" s="5">
        <f t="shared" ref="Z268:Z269" si="136">IF(T268=0,0,X268/T268)</f>
        <v>-0.25653770491803285</v>
      </c>
    </row>
    <row r="269" spans="1:26" s="24" customFormat="1" hidden="1" outlineLevel="2" x14ac:dyDescent="0.25">
      <c r="A269" s="25"/>
      <c r="B269" s="11" t="str">
        <f>CONCATENATE("          ", "6274", " - ", "UTILITIES")</f>
        <v xml:space="preserve">          6274 - UTILITIES</v>
      </c>
      <c r="C269" s="11"/>
      <c r="D269" s="7">
        <v>5648.02</v>
      </c>
      <c r="E269" s="2"/>
      <c r="F269" s="6">
        <f t="shared" si="129"/>
        <v>4.013131106063406E-3</v>
      </c>
      <c r="G269" s="2"/>
      <c r="H269" s="7">
        <v>5075</v>
      </c>
      <c r="I269" s="2"/>
      <c r="J269" s="6">
        <f t="shared" si="130"/>
        <v>3.6381771169482469E-3</v>
      </c>
      <c r="K269" s="2"/>
      <c r="L269" s="7">
        <f t="shared" si="131"/>
        <v>573.02000000000044</v>
      </c>
      <c r="M269" s="2"/>
      <c r="N269" s="6">
        <f t="shared" si="132"/>
        <v>0.11291034482758629</v>
      </c>
      <c r="O269" s="11"/>
      <c r="P269" s="7">
        <v>11337.8</v>
      </c>
      <c r="Q269" s="2"/>
      <c r="R269" s="6">
        <f t="shared" si="133"/>
        <v>2.1254995150230558E-3</v>
      </c>
      <c r="S269" s="2"/>
      <c r="T269" s="7">
        <v>15250</v>
      </c>
      <c r="U269" s="2"/>
      <c r="V269" s="6">
        <f t="shared" si="134"/>
        <v>2.8236177067576407E-3</v>
      </c>
      <c r="W269" s="2"/>
      <c r="X269" s="7">
        <f t="shared" si="135"/>
        <v>-3912.2000000000007</v>
      </c>
      <c r="Y269" s="2"/>
      <c r="Z269" s="6">
        <f t="shared" si="136"/>
        <v>-0.25653770491803285</v>
      </c>
    </row>
    <row r="270" spans="1:26" s="63" customFormat="1" x14ac:dyDescent="0.25">
      <c r="A270" s="36"/>
      <c r="B270" s="36"/>
      <c r="C270" s="36"/>
      <c r="D270" s="1"/>
      <c r="E270" s="1"/>
      <c r="F270" s="5"/>
      <c r="G270" s="1"/>
      <c r="H270" s="1"/>
      <c r="I270" s="1"/>
      <c r="J270" s="5"/>
      <c r="K270" s="1"/>
      <c r="L270" s="1"/>
      <c r="M270" s="1"/>
      <c r="N270" s="5"/>
      <c r="O270" s="36"/>
      <c r="P270" s="1"/>
      <c r="Q270" s="1"/>
      <c r="R270" s="5"/>
      <c r="S270" s="1"/>
      <c r="T270" s="1"/>
      <c r="U270" s="1"/>
      <c r="V270" s="5"/>
      <c r="W270" s="1"/>
      <c r="X270" s="1"/>
      <c r="Y270" s="1"/>
      <c r="Z270" s="5"/>
    </row>
    <row r="271" spans="1:26" s="23" customFormat="1" collapsed="1" x14ac:dyDescent="0.25">
      <c r="A271" s="10"/>
      <c r="B271" s="28" t="s">
        <v>0</v>
      </c>
      <c r="C271" s="10"/>
      <c r="D271" s="4">
        <f>SUM(OSRRefD25x_0)</f>
        <v>128496.1</v>
      </c>
      <c r="E271" s="4"/>
      <c r="F271" s="12">
        <f t="shared" ref="F271:F280" si="137">IF(D$12=0,0,D271/D$12)</f>
        <v>9.1301322572836852E-2</v>
      </c>
      <c r="G271" s="4"/>
      <c r="H271" s="4">
        <f>SUM(OSRRefH25x_0)</f>
        <v>135400</v>
      </c>
      <c r="I271" s="4"/>
      <c r="J271" s="12">
        <f t="shared" ref="J271:J280" si="138">IF(H$12=0,0,H271/H$12)</f>
        <v>9.7065848597988696E-2</v>
      </c>
      <c r="K271" s="4"/>
      <c r="L271" s="4">
        <f t="shared" ref="L271:L280" si="139">+D271-H271</f>
        <v>-6903.8999999999942</v>
      </c>
      <c r="M271" s="4"/>
      <c r="N271" s="12">
        <f t="shared" ref="N271:N280" si="140">IF(H271=0,0,L271/H271)</f>
        <v>-5.0988921713441611E-2</v>
      </c>
      <c r="O271" s="10"/>
      <c r="P271" s="4">
        <f>SUM(OSRRefP25x_0)</f>
        <v>246689.41</v>
      </c>
      <c r="Q271" s="4"/>
      <c r="R271" s="12">
        <f t="shared" ref="R271:R280" si="141">IF(P$12=0,0,P271/P$12)</f>
        <v>4.6246910451438888E-2</v>
      </c>
      <c r="S271" s="4"/>
      <c r="T271" s="4">
        <f>SUM(OSRRefT25x_0)</f>
        <v>263325</v>
      </c>
      <c r="U271" s="4"/>
      <c r="V271" s="12">
        <f t="shared" ref="V271:V280" si="142">IF(T$12=0,0,T271/T$12)</f>
        <v>4.875600869717743E-2</v>
      </c>
      <c r="W271" s="4"/>
      <c r="X271" s="4">
        <f t="shared" ref="X271:X280" si="143">+P271-T271</f>
        <v>-16635.589999999997</v>
      </c>
      <c r="Y271" s="4"/>
      <c r="Z271" s="12">
        <f t="shared" ref="Z271:Z280" si="144">IF(T271=0,0,X271/T271)</f>
        <v>-6.317512579512008E-2</v>
      </c>
    </row>
    <row r="272" spans="1:26" s="24" customFormat="1" hidden="1" outlineLevel="1" x14ac:dyDescent="0.25">
      <c r="A272" s="46"/>
      <c r="B272" s="11" t="str">
        <f>CONCATENATE("          ", "4098", " - ", "TAXABLE SALES-GRAD RENTALS")</f>
        <v xml:space="preserve">          4098 - TAXABLE SALES-GRAD RENTALS</v>
      </c>
      <c r="C272" s="11"/>
      <c r="D272" s="2">
        <f>0</f>
        <v>0</v>
      </c>
      <c r="E272" s="2"/>
      <c r="F272" s="19">
        <f t="shared" si="137"/>
        <v>0</v>
      </c>
      <c r="G272" s="2"/>
      <c r="H272" s="2"/>
      <c r="I272" s="2"/>
      <c r="J272" s="19">
        <f t="shared" si="138"/>
        <v>0</v>
      </c>
      <c r="K272" s="2"/>
      <c r="L272" s="2">
        <f t="shared" si="139"/>
        <v>0</v>
      </c>
      <c r="M272" s="2"/>
      <c r="N272" s="19">
        <f t="shared" si="140"/>
        <v>0</v>
      </c>
      <c r="O272" s="11"/>
      <c r="P272" s="2">
        <f>--1626.85</f>
        <v>1626.85</v>
      </c>
      <c r="Q272" s="2"/>
      <c r="R272" s="19">
        <f t="shared" si="141"/>
        <v>3.0498587786124807E-4</v>
      </c>
      <c r="S272" s="2"/>
      <c r="T272" s="2"/>
      <c r="U272" s="2"/>
      <c r="V272" s="19">
        <f t="shared" si="142"/>
        <v>0</v>
      </c>
      <c r="W272" s="2"/>
      <c r="X272" s="2">
        <f t="shared" si="143"/>
        <v>1626.85</v>
      </c>
      <c r="Y272" s="2"/>
      <c r="Z272" s="19">
        <f t="shared" si="144"/>
        <v>0</v>
      </c>
    </row>
    <row r="273" spans="1:26" s="24" customFormat="1" hidden="1" outlineLevel="1" x14ac:dyDescent="0.25">
      <c r="A273" s="46"/>
      <c r="B273" s="11" t="str">
        <f>CONCATENATE("          ", "4187", " - ", "NON-TAXABLE SALES-COMPUTER REP")</f>
        <v xml:space="preserve">          4187 - NON-TAXABLE SALES-COMPUTER REP</v>
      </c>
      <c r="C273" s="11"/>
      <c r="D273" s="2">
        <f>--4892.54</f>
        <v>4892.54</v>
      </c>
      <c r="E273" s="2"/>
      <c r="F273" s="19">
        <f t="shared" si="137"/>
        <v>3.4763340890541206E-3</v>
      </c>
      <c r="G273" s="2"/>
      <c r="H273" s="2"/>
      <c r="I273" s="2"/>
      <c r="J273" s="19">
        <f t="shared" si="138"/>
        <v>0</v>
      </c>
      <c r="K273" s="2"/>
      <c r="L273" s="2">
        <f t="shared" si="139"/>
        <v>4892.54</v>
      </c>
      <c r="M273" s="2"/>
      <c r="N273" s="19">
        <f t="shared" si="140"/>
        <v>0</v>
      </c>
      <c r="O273" s="11"/>
      <c r="P273" s="2">
        <f>--7374.8</f>
        <v>7374.8</v>
      </c>
      <c r="Q273" s="2"/>
      <c r="R273" s="19">
        <f t="shared" si="141"/>
        <v>1.3825551538563068E-3</v>
      </c>
      <c r="S273" s="2"/>
      <c r="T273" s="2"/>
      <c r="U273" s="2"/>
      <c r="V273" s="19">
        <f t="shared" si="142"/>
        <v>0</v>
      </c>
      <c r="W273" s="2"/>
      <c r="X273" s="2">
        <f t="shared" si="143"/>
        <v>7374.8</v>
      </c>
      <c r="Y273" s="2"/>
      <c r="Z273" s="19">
        <f t="shared" si="144"/>
        <v>0</v>
      </c>
    </row>
    <row r="274" spans="1:26" s="24" customFormat="1" hidden="1" outlineLevel="1" x14ac:dyDescent="0.25">
      <c r="A274" s="46"/>
      <c r="B274" s="11" t="str">
        <f>CONCATENATE("          ", "4197", " - ", "NON-TAXABLE SALES-RETURNED CHE")</f>
        <v xml:space="preserve">          4197 - NON-TAXABLE SALES-RETURNED CHE</v>
      </c>
      <c r="C274" s="11"/>
      <c r="D274" s="2">
        <f>0</f>
        <v>0</v>
      </c>
      <c r="E274" s="2"/>
      <c r="F274" s="19">
        <f t="shared" si="137"/>
        <v>0</v>
      </c>
      <c r="G274" s="2"/>
      <c r="H274" s="2"/>
      <c r="I274" s="2"/>
      <c r="J274" s="19">
        <f t="shared" si="138"/>
        <v>0</v>
      </c>
      <c r="K274" s="2"/>
      <c r="L274" s="2">
        <f t="shared" si="139"/>
        <v>0</v>
      </c>
      <c r="M274" s="2"/>
      <c r="N274" s="19">
        <f t="shared" si="140"/>
        <v>0</v>
      </c>
      <c r="O274" s="11"/>
      <c r="P274" s="2">
        <f>--30</f>
        <v>30</v>
      </c>
      <c r="Q274" s="2"/>
      <c r="R274" s="19">
        <f t="shared" si="141"/>
        <v>5.6241056863493517E-6</v>
      </c>
      <c r="S274" s="2"/>
      <c r="T274" s="2"/>
      <c r="U274" s="2"/>
      <c r="V274" s="19">
        <f t="shared" si="142"/>
        <v>0</v>
      </c>
      <c r="W274" s="2"/>
      <c r="X274" s="2">
        <f t="shared" si="143"/>
        <v>30</v>
      </c>
      <c r="Y274" s="2"/>
      <c r="Z274" s="19">
        <f t="shared" si="144"/>
        <v>0</v>
      </c>
    </row>
    <row r="275" spans="1:26" s="24" customFormat="1" hidden="1" outlineLevel="1" x14ac:dyDescent="0.25">
      <c r="A275" s="46"/>
      <c r="B275" s="11" t="str">
        <f>CONCATENATE("          ", "4198", " - ", "NON-TAXABLE SALES-GRAD RENTALS")</f>
        <v xml:space="preserve">          4198 - NON-TAXABLE SALES-GRAD RENTALS</v>
      </c>
      <c r="C275" s="11"/>
      <c r="D275" s="2">
        <f>--30</f>
        <v>30</v>
      </c>
      <c r="E275" s="2"/>
      <c r="F275" s="19">
        <f t="shared" si="137"/>
        <v>2.131613081786222E-5</v>
      </c>
      <c r="G275" s="2"/>
      <c r="H275" s="2"/>
      <c r="I275" s="2"/>
      <c r="J275" s="19">
        <f t="shared" si="138"/>
        <v>0</v>
      </c>
      <c r="K275" s="2"/>
      <c r="L275" s="2">
        <f t="shared" si="139"/>
        <v>30</v>
      </c>
      <c r="M275" s="2"/>
      <c r="N275" s="19">
        <f t="shared" si="140"/>
        <v>0</v>
      </c>
      <c r="O275" s="11"/>
      <c r="P275" s="2">
        <f>--495</f>
        <v>495</v>
      </c>
      <c r="Q275" s="2"/>
      <c r="R275" s="19">
        <f t="shared" si="141"/>
        <v>9.2797743824764314E-5</v>
      </c>
      <c r="S275" s="2"/>
      <c r="T275" s="2"/>
      <c r="U275" s="2"/>
      <c r="V275" s="19">
        <f t="shared" si="142"/>
        <v>0</v>
      </c>
      <c r="W275" s="2"/>
      <c r="X275" s="2">
        <f t="shared" si="143"/>
        <v>495</v>
      </c>
      <c r="Y275" s="2"/>
      <c r="Z275" s="19">
        <f t="shared" si="144"/>
        <v>0</v>
      </c>
    </row>
    <row r="276" spans="1:26" s="24" customFormat="1" hidden="1" outlineLevel="1" x14ac:dyDescent="0.25">
      <c r="A276" s="46"/>
      <c r="B276" s="11" t="str">
        <f>CONCATENATE("          ", "4387", " - ", "SALES RETURN NON TAXABLE-COMPU")</f>
        <v xml:space="preserve">          4387 - SALES RETURN NON TAXABLE-COMPU</v>
      </c>
      <c r="C276" s="11"/>
      <c r="D276" s="2">
        <f>-2989.2</f>
        <v>-2989.2</v>
      </c>
      <c r="E276" s="2"/>
      <c r="F276" s="19">
        <f t="shared" si="137"/>
        <v>-2.1239392746917915E-3</v>
      </c>
      <c r="G276" s="2"/>
      <c r="H276" s="2"/>
      <c r="I276" s="2"/>
      <c r="J276" s="19">
        <f t="shared" si="138"/>
        <v>0</v>
      </c>
      <c r="K276" s="2"/>
      <c r="L276" s="2">
        <f t="shared" si="139"/>
        <v>-2989.2</v>
      </c>
      <c r="M276" s="2"/>
      <c r="N276" s="19">
        <f t="shared" si="140"/>
        <v>0</v>
      </c>
      <c r="O276" s="11"/>
      <c r="P276" s="2">
        <f>-6440.7</f>
        <v>-6440.7</v>
      </c>
      <c r="Q276" s="2"/>
      <c r="R276" s="19">
        <f t="shared" si="141"/>
        <v>-1.2074392498023423E-3</v>
      </c>
      <c r="S276" s="2"/>
      <c r="T276" s="2"/>
      <c r="U276" s="2"/>
      <c r="V276" s="19">
        <f t="shared" si="142"/>
        <v>0</v>
      </c>
      <c r="W276" s="2"/>
      <c r="X276" s="2">
        <f t="shared" si="143"/>
        <v>-6440.7</v>
      </c>
      <c r="Y276" s="2"/>
      <c r="Z276" s="19">
        <f t="shared" si="144"/>
        <v>0</v>
      </c>
    </row>
    <row r="277" spans="1:26" s="24" customFormat="1" hidden="1" outlineLevel="1" x14ac:dyDescent="0.25">
      <c r="A277" s="46"/>
      <c r="B277" s="11" t="str">
        <f>CONCATENATE("          ", "9150", " - ", "MISC. INCOME")</f>
        <v xml:space="preserve">          9150 - MISC. INCOME</v>
      </c>
      <c r="C277" s="11"/>
      <c r="D277" s="2">
        <f>--42471.15</f>
        <v>42471.15</v>
      </c>
      <c r="E277" s="2"/>
      <c r="F277" s="19">
        <f t="shared" si="137"/>
        <v>3.0177352979501634E-2</v>
      </c>
      <c r="G277" s="2"/>
      <c r="H277" s="2">
        <v>31250</v>
      </c>
      <c r="I277" s="2"/>
      <c r="J277" s="19">
        <f t="shared" si="138"/>
        <v>2.240256845411482E-2</v>
      </c>
      <c r="K277" s="2"/>
      <c r="L277" s="2">
        <f t="shared" si="139"/>
        <v>11221.150000000001</v>
      </c>
      <c r="M277" s="2"/>
      <c r="N277" s="19">
        <f t="shared" si="140"/>
        <v>0.35907680000000003</v>
      </c>
      <c r="O277" s="11"/>
      <c r="P277" s="2">
        <f>--138598.93</f>
        <v>138598.93</v>
      </c>
      <c r="Q277" s="2"/>
      <c r="R277" s="19">
        <f t="shared" si="141"/>
        <v>2.5983167677831192E-2</v>
      </c>
      <c r="S277" s="2"/>
      <c r="T277" s="2">
        <v>105325</v>
      </c>
      <c r="U277" s="2"/>
      <c r="V277" s="19">
        <f t="shared" si="142"/>
        <v>1.9501477702573673E-2</v>
      </c>
      <c r="W277" s="2"/>
      <c r="X277" s="2">
        <f t="shared" si="143"/>
        <v>33273.929999999993</v>
      </c>
      <c r="Y277" s="2"/>
      <c r="Z277" s="19">
        <f t="shared" si="144"/>
        <v>0.31591673391882263</v>
      </c>
    </row>
    <row r="278" spans="1:26" s="24" customFormat="1" hidden="1" outlineLevel="1" x14ac:dyDescent="0.25">
      <c r="A278" s="46"/>
      <c r="B278" s="11" t="str">
        <f>CONCATENATE("          ", "9151", " - ", "MISC. INCOME")</f>
        <v xml:space="preserve">          9151 - MISC. INCOME</v>
      </c>
      <c r="C278" s="11"/>
      <c r="D278" s="2">
        <f>--83458.02</f>
        <v>83458.02</v>
      </c>
      <c r="E278" s="2"/>
      <c r="F278" s="19">
        <f t="shared" si="137"/>
        <v>5.9300069070658719E-2</v>
      </c>
      <c r="G278" s="2"/>
      <c r="H278" s="2">
        <v>12850</v>
      </c>
      <c r="I278" s="2"/>
      <c r="J278" s="19">
        <f t="shared" si="138"/>
        <v>9.2119361483320138E-3</v>
      </c>
      <c r="K278" s="2"/>
      <c r="L278" s="2">
        <f t="shared" si="139"/>
        <v>70608.02</v>
      </c>
      <c r="M278" s="2"/>
      <c r="N278" s="19">
        <f t="shared" si="140"/>
        <v>5.4947875486381328</v>
      </c>
      <c r="O278" s="11"/>
      <c r="P278" s="2">
        <f>--83193.51</f>
        <v>83193.509999999995</v>
      </c>
      <c r="Q278" s="2"/>
      <c r="R278" s="19">
        <f t="shared" si="141"/>
        <v>1.5596303088612056E-2</v>
      </c>
      <c r="S278" s="2"/>
      <c r="T278" s="2">
        <v>26300</v>
      </c>
      <c r="U278" s="2"/>
      <c r="V278" s="19">
        <f t="shared" si="142"/>
        <v>4.8695833237853087E-3</v>
      </c>
      <c r="W278" s="2"/>
      <c r="X278" s="2">
        <f t="shared" si="143"/>
        <v>56893.509999999995</v>
      </c>
      <c r="Y278" s="2"/>
      <c r="Z278" s="19">
        <f t="shared" si="144"/>
        <v>2.1632513307984791</v>
      </c>
    </row>
    <row r="279" spans="1:26" s="24" customFormat="1" hidden="1" outlineLevel="1" x14ac:dyDescent="0.25">
      <c r="A279" s="46"/>
      <c r="B279" s="11" t="str">
        <f>CONCATENATE("          ", "9152", " - ", "MISC. INCOME")</f>
        <v xml:space="preserve">          9152 - MISC. INCOME</v>
      </c>
      <c r="C279" s="11"/>
      <c r="D279" s="2">
        <f>--633.59</f>
        <v>633.59</v>
      </c>
      <c r="E279" s="2"/>
      <c r="F279" s="19">
        <f t="shared" si="137"/>
        <v>4.5018957749631079E-4</v>
      </c>
      <c r="G279" s="2"/>
      <c r="H279" s="2"/>
      <c r="I279" s="2"/>
      <c r="J279" s="19">
        <f t="shared" si="138"/>
        <v>0</v>
      </c>
      <c r="K279" s="2"/>
      <c r="L279" s="2">
        <f t="shared" si="139"/>
        <v>633.59</v>
      </c>
      <c r="M279" s="2"/>
      <c r="N279" s="19">
        <f t="shared" si="140"/>
        <v>0</v>
      </c>
      <c r="O279" s="11"/>
      <c r="P279" s="2">
        <f>--641.02</f>
        <v>641.02</v>
      </c>
      <c r="Q279" s="2"/>
      <c r="R279" s="19">
        <f t="shared" si="141"/>
        <v>1.2017214090212206E-4</v>
      </c>
      <c r="S279" s="2"/>
      <c r="T279" s="2"/>
      <c r="U279" s="2"/>
      <c r="V279" s="19">
        <f t="shared" si="142"/>
        <v>0</v>
      </c>
      <c r="W279" s="2"/>
      <c r="X279" s="2">
        <f t="shared" si="143"/>
        <v>641.02</v>
      </c>
      <c r="Y279" s="2"/>
      <c r="Z279" s="19">
        <f t="shared" si="144"/>
        <v>0</v>
      </c>
    </row>
    <row r="280" spans="1:26" s="24" customFormat="1" hidden="1" outlineLevel="1" x14ac:dyDescent="0.25">
      <c r="A280" s="46"/>
      <c r="B280" s="11" t="str">
        <f>CONCATENATE("          ", "9160", " - ", "MISC. INCOME")</f>
        <v xml:space="preserve">          9160 - MISC. INCOME</v>
      </c>
      <c r="C280" s="11"/>
      <c r="D280" s="2">
        <f>0</f>
        <v>0</v>
      </c>
      <c r="E280" s="2"/>
      <c r="F280" s="19">
        <f t="shared" si="137"/>
        <v>0</v>
      </c>
      <c r="G280" s="2"/>
      <c r="H280" s="2">
        <v>91300</v>
      </c>
      <c r="I280" s="2"/>
      <c r="J280" s="19">
        <f t="shared" si="138"/>
        <v>6.5451343995541866E-2</v>
      </c>
      <c r="K280" s="2"/>
      <c r="L280" s="2">
        <f t="shared" si="139"/>
        <v>-91300</v>
      </c>
      <c r="M280" s="2"/>
      <c r="N280" s="19">
        <f t="shared" si="140"/>
        <v>-1</v>
      </c>
      <c r="O280" s="11"/>
      <c r="P280" s="2">
        <f>--21170</f>
        <v>21170</v>
      </c>
      <c r="Q280" s="2"/>
      <c r="R280" s="19">
        <f t="shared" si="141"/>
        <v>3.968743912667193E-3</v>
      </c>
      <c r="S280" s="2"/>
      <c r="T280" s="2">
        <v>131700</v>
      </c>
      <c r="U280" s="2"/>
      <c r="V280" s="19">
        <f t="shared" si="142"/>
        <v>2.4384947670818446E-2</v>
      </c>
      <c r="W280" s="2"/>
      <c r="X280" s="2">
        <f t="shared" si="143"/>
        <v>-110530</v>
      </c>
      <c r="Y280" s="2"/>
      <c r="Z280" s="19">
        <f t="shared" si="144"/>
        <v>-0.83925588458618072</v>
      </c>
    </row>
    <row r="281" spans="1:26" x14ac:dyDescent="0.25">
      <c r="A281" s="9"/>
      <c r="B281" s="10"/>
      <c r="C281" s="10"/>
      <c r="D281" s="3"/>
      <c r="E281" s="3"/>
      <c r="F281" s="8"/>
      <c r="G281" s="3"/>
      <c r="H281" s="3"/>
      <c r="I281" s="3"/>
      <c r="J281" s="8"/>
      <c r="K281" s="3"/>
      <c r="L281" s="3"/>
      <c r="M281" s="3"/>
      <c r="N281" s="8"/>
      <c r="O281" s="10"/>
      <c r="P281" s="3"/>
      <c r="Q281" s="3"/>
      <c r="R281" s="8"/>
      <c r="S281" s="3"/>
      <c r="T281" s="3"/>
      <c r="U281" s="3"/>
      <c r="V281" s="8"/>
      <c r="W281" s="3"/>
      <c r="X281" s="3"/>
      <c r="Y281" s="3"/>
      <c r="Z281" s="8"/>
    </row>
    <row r="282" spans="1:26" s="23" customFormat="1" x14ac:dyDescent="0.25">
      <c r="A282" s="10"/>
      <c r="B282" s="29" t="s">
        <v>3</v>
      </c>
      <c r="C282" s="29"/>
      <c r="D282" s="22">
        <f>+D175-D177+D271</f>
        <v>252930.99999999916</v>
      </c>
      <c r="E282" s="14"/>
      <c r="F282" s="20">
        <f>IF(D$12=0,0,D282/D$12)</f>
        <v>0.17971700946308969</v>
      </c>
      <c r="G282" s="14"/>
      <c r="H282" s="22">
        <f>+H175-H177+H271</f>
        <v>276519.76736775239</v>
      </c>
      <c r="I282" s="14"/>
      <c r="J282" s="20">
        <f>IF(H$12=0,0,H282/H$12)</f>
        <v>0.19823209655590332</v>
      </c>
      <c r="K282" s="15"/>
      <c r="L282" s="22">
        <f>+D282-H282</f>
        <v>-23588.767367753229</v>
      </c>
      <c r="M282" s="15"/>
      <c r="N282" s="20">
        <f>IF(H282=0,0,L282/H282)</f>
        <v>-8.5305899076581315E-2</v>
      </c>
      <c r="O282" s="28"/>
      <c r="P282" s="22">
        <f>+P175-P177+P271</f>
        <v>680321.20999999961</v>
      </c>
      <c r="Q282" s="14"/>
      <c r="R282" s="20">
        <f>IF(P$12=0,0,P282/P$12)</f>
        <v>0.12753994619016898</v>
      </c>
      <c r="S282" s="14"/>
      <c r="T282" s="22">
        <f>+T175-T177+T271</f>
        <v>846754.33396426938</v>
      </c>
      <c r="U282" s="14"/>
      <c r="V282" s="20">
        <f>IF(T$12=0,0,T282/T$12)</f>
        <v>0.15678101840362518</v>
      </c>
      <c r="W282" s="15"/>
      <c r="X282" s="22">
        <f>+P282-T282</f>
        <v>-166433.12396426976</v>
      </c>
      <c r="Y282" s="15"/>
      <c r="Z282" s="20">
        <f>IF(T282=0,0,X282/T282)</f>
        <v>-0.19655420384455069</v>
      </c>
    </row>
    <row r="283" spans="1:26" x14ac:dyDescent="0.25">
      <c r="A283" s="9"/>
      <c r="B283" s="10"/>
      <c r="C283" s="9"/>
      <c r="D283" s="3"/>
      <c r="E283" s="3"/>
      <c r="F283" s="8"/>
      <c r="G283" s="3"/>
      <c r="H283" s="3"/>
      <c r="I283" s="3"/>
      <c r="J283" s="8"/>
      <c r="K283" s="3"/>
      <c r="L283" s="3"/>
      <c r="M283" s="3"/>
      <c r="N283" s="8"/>
      <c r="P283" s="3"/>
      <c r="Q283" s="3"/>
      <c r="R283" s="8"/>
      <c r="S283" s="3"/>
      <c r="T283" s="3"/>
      <c r="U283" s="3"/>
      <c r="V283" s="8"/>
      <c r="W283" s="3"/>
      <c r="X283" s="3"/>
      <c r="Y283" s="3"/>
      <c r="Z283" s="8"/>
    </row>
    <row r="284" spans="1:26" s="23" customFormat="1" x14ac:dyDescent="0.25">
      <c r="A284" s="52"/>
      <c r="B284" s="10" t="s">
        <v>14</v>
      </c>
      <c r="C284" s="10"/>
      <c r="D284" s="4">
        <v>83361.84</v>
      </c>
      <c r="E284" s="4"/>
      <c r="F284" s="12">
        <f>IF(D$12=0,0,D284/D$12)</f>
        <v>5.9231729555256643E-2</v>
      </c>
      <c r="G284" s="4"/>
      <c r="H284" s="4">
        <v>32551</v>
      </c>
      <c r="I284" s="4"/>
      <c r="J284" s="12">
        <f>IF(H$12=0,0,H284/H$12)</f>
        <v>2.3335232183996531E-2</v>
      </c>
      <c r="K284" s="4"/>
      <c r="L284" s="4">
        <f>+D284-H284</f>
        <v>50810.84</v>
      </c>
      <c r="M284" s="4"/>
      <c r="N284" s="12">
        <f>IF(H284=0,0,L284/H284)</f>
        <v>1.5609609535805351</v>
      </c>
      <c r="O284" s="10"/>
      <c r="P284" s="4">
        <v>572961.75</v>
      </c>
      <c r="Q284" s="4"/>
      <c r="R284" s="12">
        <f>IF(P$12=0,0,P284/P$12)</f>
        <v>0.10741324787452253</v>
      </c>
      <c r="S284" s="4"/>
      <c r="T284" s="4">
        <v>683127</v>
      </c>
      <c r="U284" s="4"/>
      <c r="V284" s="12">
        <f>IF(T$12=0,0,T284/T$12)</f>
        <v>0.12648455692880176</v>
      </c>
      <c r="W284" s="4"/>
      <c r="X284" s="4">
        <f>+P284-T284</f>
        <v>-110165.25</v>
      </c>
      <c r="Y284" s="4"/>
      <c r="Z284" s="12">
        <f>IF(T284=0,0,X284/T284)</f>
        <v>-0.16126613353007566</v>
      </c>
    </row>
    <row r="285" spans="1:26" x14ac:dyDescent="0.25">
      <c r="A285" s="9"/>
      <c r="B285" s="10"/>
      <c r="C285" s="10"/>
      <c r="D285" s="3"/>
      <c r="E285" s="3"/>
      <c r="F285" s="8"/>
      <c r="G285" s="3"/>
      <c r="H285" s="3"/>
      <c r="I285" s="3"/>
      <c r="J285" s="8"/>
      <c r="K285" s="3"/>
      <c r="L285" s="3"/>
      <c r="M285" s="3"/>
      <c r="N285" s="8"/>
      <c r="O285" s="10"/>
      <c r="P285" s="3"/>
      <c r="Q285" s="3"/>
      <c r="R285" s="8"/>
      <c r="S285" s="3"/>
      <c r="T285" s="3"/>
      <c r="U285" s="3"/>
      <c r="V285" s="8"/>
      <c r="W285" s="3"/>
      <c r="X285" s="3"/>
      <c r="Y285" s="3"/>
      <c r="Z285" s="8"/>
    </row>
    <row r="286" spans="1:26" s="23" customFormat="1" ht="15.75" thickBot="1" x14ac:dyDescent="0.3">
      <c r="A286" s="10"/>
      <c r="B286" s="29" t="s">
        <v>4</v>
      </c>
      <c r="C286" s="29"/>
      <c r="D286" s="35">
        <f>+D282-D284</f>
        <v>169569.15999999916</v>
      </c>
      <c r="E286" s="14"/>
      <c r="F286" s="32">
        <f>IF(D$12=0,0,D286/D$12)</f>
        <v>0.12048527990783305</v>
      </c>
      <c r="G286" s="14"/>
      <c r="H286" s="35">
        <f>+H282-H284</f>
        <v>243968.76736775239</v>
      </c>
      <c r="I286" s="14"/>
      <c r="J286" s="32">
        <f>IF(H$12=0,0,H286/H$12)</f>
        <v>0.1748968643719068</v>
      </c>
      <c r="K286" s="15"/>
      <c r="L286" s="35">
        <f>D286-H286</f>
        <v>-74399.607367753226</v>
      </c>
      <c r="M286" s="15"/>
      <c r="N286" s="32">
        <f>IF(H286=0,0,L286/H286)</f>
        <v>-0.30495545872724411</v>
      </c>
      <c r="O286" s="28"/>
      <c r="P286" s="35">
        <f>+P282-P284</f>
        <v>107359.45999999961</v>
      </c>
      <c r="Q286" s="14"/>
      <c r="R286" s="32">
        <f>IF(P$12=0,0,P286/P$12)</f>
        <v>2.0126698315646455E-2</v>
      </c>
      <c r="S286" s="14"/>
      <c r="T286" s="35">
        <f>+T282-T284</f>
        <v>163627.33396426938</v>
      </c>
      <c r="U286" s="14"/>
      <c r="V286" s="32">
        <f>IF(T$12=0,0,T286/T$12)</f>
        <v>3.0296461474823407E-2</v>
      </c>
      <c r="W286" s="15"/>
      <c r="X286" s="35">
        <f>P286-T286</f>
        <v>-56267.873964269762</v>
      </c>
      <c r="Y286" s="15"/>
      <c r="Z286" s="32">
        <f>IF(T286=0,0,X286/T286)</f>
        <v>-0.34387820543819864</v>
      </c>
    </row>
    <row r="287" spans="1:26" ht="15.75" thickTop="1" x14ac:dyDescent="0.25">
      <c r="A287" s="9"/>
      <c r="B287" s="9"/>
      <c r="C287" s="9"/>
      <c r="D287" s="3"/>
      <c r="E287" s="3"/>
      <c r="F287" s="8"/>
      <c r="G287" s="3"/>
      <c r="H287" s="3"/>
      <c r="I287" s="3"/>
      <c r="J287" s="8"/>
      <c r="K287" s="3"/>
      <c r="L287" s="3"/>
      <c r="M287" s="3"/>
      <c r="N287" s="8"/>
      <c r="P287" s="3"/>
      <c r="Q287" s="3"/>
      <c r="R287" s="8"/>
      <c r="S287" s="3"/>
      <c r="T287" s="3"/>
      <c r="U287" s="3"/>
      <c r="V287" s="8"/>
      <c r="W287" s="3"/>
      <c r="X287" s="3"/>
      <c r="Y287" s="3"/>
      <c r="Z287" s="8"/>
    </row>
    <row r="288" spans="1:26" x14ac:dyDescent="0.25">
      <c r="A288" s="9"/>
      <c r="B288" s="9"/>
      <c r="C288" s="9"/>
      <c r="D288" s="3"/>
      <c r="E288" s="3"/>
      <c r="F288" s="8"/>
      <c r="G288" s="3"/>
      <c r="H288" s="3"/>
      <c r="I288" s="3"/>
      <c r="J288" s="8"/>
      <c r="K288" s="3"/>
      <c r="L288" s="3"/>
      <c r="M288" s="3"/>
      <c r="N288" s="8"/>
      <c r="P288" s="3"/>
      <c r="Q288" s="3"/>
      <c r="R288" s="8"/>
      <c r="S288" s="3"/>
      <c r="T288" s="3"/>
      <c r="U288" s="3"/>
      <c r="V288" s="8"/>
      <c r="W288" s="3"/>
      <c r="X288" s="3"/>
      <c r="Y288" s="3"/>
      <c r="Z288" s="8"/>
    </row>
    <row r="289" spans="1:26" s="23" customFormat="1" ht="15.75" thickBot="1" x14ac:dyDescent="0.3">
      <c r="A289" s="10"/>
      <c r="B289" s="29" t="s">
        <v>5</v>
      </c>
      <c r="C289" s="29"/>
      <c r="D289" s="30">
        <f>SUM(D286:D288)</f>
        <v>169569.15999999916</v>
      </c>
      <c r="E289" s="14"/>
      <c r="F289" s="31">
        <f>IF(D$12=0,0,D289/D$12)</f>
        <v>0.12048527990783305</v>
      </c>
      <c r="G289" s="14"/>
      <c r="H289" s="30">
        <f>SUM(H286:H288)</f>
        <v>243968.76736775239</v>
      </c>
      <c r="I289" s="14"/>
      <c r="J289" s="31">
        <f>IF(H$12=0,0,H289/H$12)</f>
        <v>0.1748968643719068</v>
      </c>
      <c r="K289" s="15"/>
      <c r="L289" s="30">
        <f>+D289-H289</f>
        <v>-74399.607367753226</v>
      </c>
      <c r="M289" s="15"/>
      <c r="N289" s="31">
        <f>IF(H289=0,0,L289/H289)</f>
        <v>-0.30495545872724411</v>
      </c>
      <c r="O289" s="28"/>
      <c r="P289" s="30">
        <f>SUM(P286:P288)</f>
        <v>107359.45999999961</v>
      </c>
      <c r="Q289" s="14"/>
      <c r="R289" s="31">
        <f>IF(P$12=0,0,P289/P$12)</f>
        <v>2.0126698315646455E-2</v>
      </c>
      <c r="S289" s="14"/>
      <c r="T289" s="30">
        <f>SUM(T286:T288)</f>
        <v>163627.33396426938</v>
      </c>
      <c r="U289" s="14"/>
      <c r="V289" s="31">
        <f>IF(T$12=0,0,T289/T$12)</f>
        <v>3.0296461474823407E-2</v>
      </c>
      <c r="W289" s="15"/>
      <c r="X289" s="30">
        <f>+P289-T289</f>
        <v>-56267.873964269762</v>
      </c>
      <c r="Y289" s="15"/>
      <c r="Z289" s="31">
        <f>IF(T289=0,0,X289/T289)</f>
        <v>-0.34387820543819864</v>
      </c>
    </row>
    <row r="290" spans="1:26" ht="15.75" thickTop="1" x14ac:dyDescent="0.25">
      <c r="A290" s="9"/>
      <c r="C290" s="9"/>
      <c r="D290" s="18"/>
      <c r="E290" s="18"/>
      <c r="G290" s="18"/>
      <c r="H290" s="18"/>
      <c r="I290" s="18"/>
      <c r="J290" s="43"/>
      <c r="K290" s="18"/>
      <c r="L290" s="18"/>
      <c r="M290" s="18"/>
      <c r="P290" s="18"/>
      <c r="Q290" s="18"/>
      <c r="R290" s="43"/>
      <c r="S290" s="18"/>
      <c r="T290" s="18"/>
      <c r="U290" s="18"/>
      <c r="V290" s="43"/>
      <c r="W290" s="18"/>
      <c r="X290" s="18"/>
    </row>
    <row r="291" spans="1:26" x14ac:dyDescent="0.25">
      <c r="A291" s="9"/>
      <c r="B291" s="53">
        <v>43756.451803784723</v>
      </c>
      <c r="D291" s="18"/>
      <c r="E291" s="18"/>
      <c r="G291" s="18"/>
      <c r="H291" s="18"/>
      <c r="I291" s="18"/>
      <c r="J291" s="43"/>
      <c r="K291" s="18"/>
      <c r="L291" s="18"/>
      <c r="M291" s="18"/>
      <c r="P291" s="18"/>
      <c r="Q291" s="18"/>
      <c r="R291" s="43"/>
      <c r="S291" s="18"/>
      <c r="T291" s="18"/>
      <c r="U291" s="18"/>
      <c r="V291" s="43"/>
      <c r="W291" s="18"/>
      <c r="X291" s="18"/>
    </row>
    <row r="292" spans="1:26" x14ac:dyDescent="0.25">
      <c r="A292" s="9"/>
      <c r="B292" s="55" t="s">
        <v>314</v>
      </c>
      <c r="D292" s="18"/>
      <c r="E292" s="18"/>
      <c r="G292" s="18"/>
      <c r="H292" s="18"/>
      <c r="I292" s="18"/>
      <c r="J292" s="43"/>
      <c r="K292" s="18"/>
      <c r="L292" s="18"/>
      <c r="M292" s="18"/>
      <c r="P292" s="18"/>
      <c r="Q292" s="18"/>
      <c r="R292" s="43"/>
      <c r="S292" s="18"/>
      <c r="T292" s="18"/>
      <c r="U292" s="18"/>
      <c r="V292" s="43"/>
      <c r="W292" s="18"/>
      <c r="X292" s="18"/>
    </row>
    <row r="293" spans="1:26" x14ac:dyDescent="0.25">
      <c r="A293" s="9"/>
      <c r="B293" s="56"/>
      <c r="D293" s="18"/>
      <c r="E293" s="18"/>
      <c r="G293" s="18"/>
      <c r="H293" s="18"/>
      <c r="I293" s="18"/>
      <c r="J293" s="43"/>
      <c r="K293" s="18"/>
      <c r="L293" s="18"/>
      <c r="M293" s="18"/>
      <c r="P293" s="18"/>
      <c r="Q293" s="18"/>
      <c r="R293" s="43"/>
      <c r="S293" s="18"/>
      <c r="T293" s="18"/>
      <c r="U293" s="18"/>
      <c r="V293" s="43"/>
      <c r="W293" s="18"/>
      <c r="X293" s="18"/>
    </row>
    <row r="294" spans="1:26" x14ac:dyDescent="0.25">
      <c r="D294" s="18"/>
      <c r="E294" s="18"/>
      <c r="G294" s="18"/>
      <c r="H294" s="18"/>
      <c r="I294" s="18"/>
      <c r="J294" s="43"/>
      <c r="K294" s="18"/>
      <c r="L294" s="18"/>
      <c r="M294" s="18"/>
      <c r="P294" s="18"/>
      <c r="Q294" s="18"/>
      <c r="R294" s="43"/>
      <c r="S294" s="18"/>
      <c r="T294" s="18"/>
      <c r="U294" s="18"/>
      <c r="V294" s="43"/>
      <c r="W294" s="18"/>
      <c r="X294" s="18"/>
    </row>
  </sheetData>
  <pageMargins left="0.25" right="0.25" top="0.75" bottom="0.75" header="0.3" footer="0.3"/>
  <pageSetup scale="55" fitToWidth="2"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str">
        <f>CONCATENATE("Period ",RIGHT(202003,2),", ",2020)</f>
        <v>Period 03, 2020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43736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tr">
        <f>CONCATENATE("Department ","301", " - ", "Bookstore")</f>
        <v>Department 301 - Bookstore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140051.46999999997</v>
      </c>
      <c r="E18" s="21"/>
      <c r="F18" s="33">
        <f t="shared" ref="F18:F28" si="0">IF(D$12=0,0,D18/D$12)</f>
        <v>0</v>
      </c>
      <c r="G18" s="21"/>
      <c r="H18" s="21">
        <f>SUM(OSRRefH22x_0)</f>
        <v>151399.41538311692</v>
      </c>
      <c r="I18" s="21"/>
      <c r="J18" s="33">
        <f t="shared" ref="J18:J28" si="1">IF(H$12=0,0,H18/H$12)</f>
        <v>0</v>
      </c>
      <c r="K18" s="4"/>
      <c r="L18" s="21">
        <f t="shared" ref="L18:L28" si="2">+D18-H18</f>
        <v>-11347.945383116952</v>
      </c>
      <c r="M18" s="4"/>
      <c r="N18" s="33">
        <f t="shared" ref="N18:N28" si="3">IF(H18=0,0,L18/H18)</f>
        <v>-7.4953693542349042E-2</v>
      </c>
      <c r="O18" s="10"/>
      <c r="P18" s="21">
        <f>SUM(OSRRefP22x_0)</f>
        <v>425579.06000000006</v>
      </c>
      <c r="Q18" s="21"/>
      <c r="R18" s="33">
        <f t="shared" ref="R18:R28" si="4">IF(P$12=0,0,P18/P$12)</f>
        <v>0</v>
      </c>
      <c r="S18" s="21"/>
      <c r="T18" s="21">
        <f>SUM(OSRRefT22x_0)</f>
        <v>472080.2137216925</v>
      </c>
      <c r="U18" s="21"/>
      <c r="V18" s="33">
        <f t="shared" ref="V18:V28" si="5">IF(T$12=0,0,T18/T$12)</f>
        <v>0</v>
      </c>
      <c r="W18" s="4"/>
      <c r="X18" s="21">
        <f t="shared" ref="X18:X28" si="6">+P18-T18</f>
        <v>-46501.153721692448</v>
      </c>
      <c r="Y18" s="4"/>
      <c r="Z18" s="33">
        <f t="shared" ref="Z18:Z28" si="7">IF(T18=0,0,X18/T18)</f>
        <v>-9.8502653511139265E-2</v>
      </c>
    </row>
    <row r="19" spans="1:26" s="26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15066.62</v>
      </c>
      <c r="E19" s="1"/>
      <c r="F19" s="5">
        <f t="shared" si="0"/>
        <v>0</v>
      </c>
      <c r="G19" s="1"/>
      <c r="H19" s="1">
        <f>SUM(OSRRefH22_0x_0)</f>
        <v>13454.714603886139</v>
      </c>
      <c r="I19" s="1"/>
      <c r="J19" s="5">
        <f t="shared" si="1"/>
        <v>0</v>
      </c>
      <c r="K19" s="1"/>
      <c r="L19" s="1">
        <f t="shared" si="2"/>
        <v>1611.9053961138616</v>
      </c>
      <c r="M19" s="1"/>
      <c r="N19" s="5">
        <f t="shared" si="3"/>
        <v>0.11980227329744277</v>
      </c>
      <c r="O19" s="13"/>
      <c r="P19" s="1">
        <f>SUM(OSRRefP22_0x_0)</f>
        <v>44429.96</v>
      </c>
      <c r="Q19" s="1"/>
      <c r="R19" s="5">
        <f t="shared" si="4"/>
        <v>0</v>
      </c>
      <c r="S19" s="1"/>
      <c r="T19" s="1">
        <f>SUM(OSRRefT22_0x_0)</f>
        <v>42978.097126692461</v>
      </c>
      <c r="U19" s="1"/>
      <c r="V19" s="5">
        <f t="shared" si="5"/>
        <v>0</v>
      </c>
      <c r="W19" s="1"/>
      <c r="X19" s="1">
        <f t="shared" si="6"/>
        <v>1451.8628733075384</v>
      </c>
      <c r="Y19" s="1"/>
      <c r="Z19" s="5">
        <f t="shared" si="7"/>
        <v>3.3781460101122721E-2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7">
        <v>2401.4699999999998</v>
      </c>
      <c r="E20" s="2"/>
      <c r="F20" s="6">
        <f t="shared" si="0"/>
        <v>0</v>
      </c>
      <c r="G20" s="2"/>
      <c r="H20" s="7">
        <v>2012.4276053169201</v>
      </c>
      <c r="I20" s="2"/>
      <c r="J20" s="6">
        <f t="shared" si="1"/>
        <v>0</v>
      </c>
      <c r="K20" s="2"/>
      <c r="L20" s="7">
        <f t="shared" si="2"/>
        <v>389.04239468307969</v>
      </c>
      <c r="M20" s="2"/>
      <c r="N20" s="6">
        <f t="shared" si="3"/>
        <v>0.1933199453511833</v>
      </c>
      <c r="O20" s="11"/>
      <c r="P20" s="7">
        <v>9019.52</v>
      </c>
      <c r="Q20" s="2"/>
      <c r="R20" s="6">
        <f t="shared" si="4"/>
        <v>0</v>
      </c>
      <c r="S20" s="2"/>
      <c r="T20" s="7">
        <v>7835.9589125924895</v>
      </c>
      <c r="U20" s="2"/>
      <c r="V20" s="6">
        <f t="shared" si="5"/>
        <v>0</v>
      </c>
      <c r="W20" s="2"/>
      <c r="X20" s="7">
        <f t="shared" si="6"/>
        <v>1183.561087407511</v>
      </c>
      <c r="Y20" s="2"/>
      <c r="Z20" s="6">
        <f t="shared" si="7"/>
        <v>0.15104227837457299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7">
        <v>1144.92</v>
      </c>
      <c r="E21" s="2"/>
      <c r="F21" s="6">
        <f t="shared" si="0"/>
        <v>0</v>
      </c>
      <c r="G21" s="2"/>
      <c r="H21" s="7">
        <v>978.04269046153911</v>
      </c>
      <c r="I21" s="2"/>
      <c r="J21" s="6">
        <f t="shared" si="1"/>
        <v>0</v>
      </c>
      <c r="K21" s="2"/>
      <c r="L21" s="7">
        <f t="shared" si="2"/>
        <v>166.87730953846096</v>
      </c>
      <c r="M21" s="2"/>
      <c r="N21" s="6">
        <f t="shared" si="3"/>
        <v>0.17062374798763788</v>
      </c>
      <c r="O21" s="11"/>
      <c r="P21" s="7">
        <v>2235.0100000000002</v>
      </c>
      <c r="Q21" s="2"/>
      <c r="R21" s="6">
        <f t="shared" si="4"/>
        <v>0</v>
      </c>
      <c r="S21" s="2"/>
      <c r="T21" s="7">
        <v>2879.4629627499999</v>
      </c>
      <c r="U21" s="2"/>
      <c r="V21" s="6">
        <f t="shared" si="5"/>
        <v>0</v>
      </c>
      <c r="W21" s="2"/>
      <c r="X21" s="7">
        <f t="shared" si="6"/>
        <v>-644.45296274999964</v>
      </c>
      <c r="Y21" s="2"/>
      <c r="Z21" s="6">
        <f t="shared" si="7"/>
        <v>-0.22381012400122063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7">
        <v>6083.47</v>
      </c>
      <c r="E22" s="2"/>
      <c r="F22" s="6">
        <f t="shared" si="0"/>
        <v>0</v>
      </c>
      <c r="G22" s="2"/>
      <c r="H22" s="7">
        <v>5680.25</v>
      </c>
      <c r="I22" s="2"/>
      <c r="J22" s="6">
        <f t="shared" si="1"/>
        <v>0</v>
      </c>
      <c r="K22" s="2"/>
      <c r="L22" s="7">
        <f t="shared" si="2"/>
        <v>403.22000000000025</v>
      </c>
      <c r="M22" s="2"/>
      <c r="N22" s="6">
        <f t="shared" si="3"/>
        <v>7.0986312222173359E-2</v>
      </c>
      <c r="O22" s="11"/>
      <c r="P22" s="7">
        <v>17029.41</v>
      </c>
      <c r="Q22" s="2"/>
      <c r="R22" s="6">
        <f t="shared" si="4"/>
        <v>0</v>
      </c>
      <c r="S22" s="2"/>
      <c r="T22" s="7">
        <v>17040.75</v>
      </c>
      <c r="U22" s="2"/>
      <c r="V22" s="6">
        <f t="shared" si="5"/>
        <v>0</v>
      </c>
      <c r="W22" s="2"/>
      <c r="X22" s="7">
        <f t="shared" si="6"/>
        <v>-11.340000000000146</v>
      </c>
      <c r="Y22" s="2"/>
      <c r="Z22" s="6">
        <f t="shared" si="7"/>
        <v>-6.6546366797236886E-4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7">
        <v>200.81</v>
      </c>
      <c r="E23" s="2"/>
      <c r="F23" s="6">
        <f t="shared" si="0"/>
        <v>0</v>
      </c>
      <c r="G23" s="2"/>
      <c r="H23" s="7">
        <v>133.83742079999999</v>
      </c>
      <c r="I23" s="2"/>
      <c r="J23" s="6">
        <f t="shared" si="1"/>
        <v>0</v>
      </c>
      <c r="K23" s="2"/>
      <c r="L23" s="7">
        <f t="shared" si="2"/>
        <v>66.972579200000013</v>
      </c>
      <c r="M23" s="2"/>
      <c r="N23" s="6">
        <f t="shared" si="3"/>
        <v>0.50040249430748163</v>
      </c>
      <c r="O23" s="11"/>
      <c r="P23" s="7">
        <v>431.6</v>
      </c>
      <c r="Q23" s="2"/>
      <c r="R23" s="6">
        <f t="shared" si="4"/>
        <v>0</v>
      </c>
      <c r="S23" s="2"/>
      <c r="T23" s="7">
        <v>394.03177384999998</v>
      </c>
      <c r="U23" s="2"/>
      <c r="V23" s="6">
        <f t="shared" si="5"/>
        <v>0</v>
      </c>
      <c r="W23" s="2"/>
      <c r="X23" s="7">
        <f t="shared" si="6"/>
        <v>37.568226150000044</v>
      </c>
      <c r="Y23" s="2"/>
      <c r="Z23" s="6">
        <f t="shared" si="7"/>
        <v>9.5343138912197256E-2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7">
        <v>1844.36</v>
      </c>
      <c r="E24" s="2"/>
      <c r="F24" s="6">
        <f t="shared" si="0"/>
        <v>0</v>
      </c>
      <c r="G24" s="2"/>
      <c r="H24" s="7">
        <v>1762.20433461538</v>
      </c>
      <c r="I24" s="2"/>
      <c r="J24" s="6">
        <f t="shared" si="1"/>
        <v>0</v>
      </c>
      <c r="K24" s="2"/>
      <c r="L24" s="7">
        <f t="shared" si="2"/>
        <v>82.155665384619851</v>
      </c>
      <c r="M24" s="2"/>
      <c r="N24" s="6">
        <f t="shared" si="3"/>
        <v>4.6620964306361895E-2</v>
      </c>
      <c r="O24" s="11"/>
      <c r="P24" s="7">
        <v>5304.64</v>
      </c>
      <c r="Q24" s="2"/>
      <c r="R24" s="6">
        <f t="shared" si="4"/>
        <v>0</v>
      </c>
      <c r="S24" s="2"/>
      <c r="T24" s="7">
        <v>5727.1640874999894</v>
      </c>
      <c r="U24" s="2"/>
      <c r="V24" s="6">
        <f t="shared" si="5"/>
        <v>0</v>
      </c>
      <c r="W24" s="2"/>
      <c r="X24" s="7">
        <f t="shared" si="6"/>
        <v>-422.52408749998904</v>
      </c>
      <c r="Y24" s="2"/>
      <c r="Z24" s="6">
        <f t="shared" si="7"/>
        <v>-7.3775446459126759E-2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5"/>
      <c r="B26" s="11" t="str">
        <f>CONCATENATE("          ", "6118", " - ", "VACATION")</f>
        <v xml:space="preserve">          6118 - VACATION</v>
      </c>
      <c r="C26" s="11"/>
      <c r="D26" s="7">
        <v>1864.04</v>
      </c>
      <c r="E26" s="2"/>
      <c r="F26" s="6">
        <f t="shared" si="0"/>
        <v>0</v>
      </c>
      <c r="G26" s="2"/>
      <c r="H26" s="7">
        <v>1238.8804038461501</v>
      </c>
      <c r="I26" s="2"/>
      <c r="J26" s="6">
        <f t="shared" si="1"/>
        <v>0</v>
      </c>
      <c r="K26" s="2"/>
      <c r="L26" s="7">
        <f t="shared" si="2"/>
        <v>625.15959615384986</v>
      </c>
      <c r="M26" s="2"/>
      <c r="N26" s="6">
        <f t="shared" si="3"/>
        <v>0.50461658301561529</v>
      </c>
      <c r="O26" s="11"/>
      <c r="P26" s="7">
        <v>5605.12</v>
      </c>
      <c r="Q26" s="2"/>
      <c r="R26" s="6">
        <f t="shared" si="4"/>
        <v>0</v>
      </c>
      <c r="S26" s="2"/>
      <c r="T26" s="7">
        <v>4026.3613124999897</v>
      </c>
      <c r="U26" s="2"/>
      <c r="V26" s="6">
        <f t="shared" si="5"/>
        <v>0</v>
      </c>
      <c r="W26" s="2"/>
      <c r="X26" s="7">
        <f t="shared" si="6"/>
        <v>1578.7586875000102</v>
      </c>
      <c r="Y26" s="2"/>
      <c r="Z26" s="6">
        <f t="shared" si="7"/>
        <v>0.39210556752537201</v>
      </c>
    </row>
    <row r="27" spans="1:26" s="24" customFormat="1" hidden="1" outlineLevel="2" x14ac:dyDescent="0.25">
      <c r="A27" s="25"/>
      <c r="B27" s="11" t="str">
        <f>CONCATENATE("          ", "6119", " - ", "SICK LEAVE")</f>
        <v xml:space="preserve">          6119 - SICK LEAVE</v>
      </c>
      <c r="C27" s="11"/>
      <c r="D27" s="7">
        <v>1128.19</v>
      </c>
      <c r="E27" s="2"/>
      <c r="F27" s="6">
        <f t="shared" si="0"/>
        <v>0</v>
      </c>
      <c r="G27" s="2"/>
      <c r="H27" s="7">
        <v>1149.07214884615</v>
      </c>
      <c r="I27" s="2"/>
      <c r="J27" s="6">
        <f t="shared" si="1"/>
        <v>0</v>
      </c>
      <c r="K27" s="2"/>
      <c r="L27" s="7">
        <f t="shared" si="2"/>
        <v>-20.882148846149903</v>
      </c>
      <c r="M27" s="2"/>
      <c r="N27" s="6">
        <f t="shared" si="3"/>
        <v>-1.817305281232243E-2</v>
      </c>
      <c r="O27" s="11"/>
      <c r="P27" s="7">
        <v>3574.09</v>
      </c>
      <c r="Q27" s="2"/>
      <c r="R27" s="6">
        <f t="shared" si="4"/>
        <v>0</v>
      </c>
      <c r="S27" s="2"/>
      <c r="T27" s="7">
        <v>3574.3680774999898</v>
      </c>
      <c r="U27" s="2"/>
      <c r="V27" s="6">
        <f t="shared" si="5"/>
        <v>0</v>
      </c>
      <c r="W27" s="2"/>
      <c r="X27" s="7">
        <f t="shared" si="6"/>
        <v>-0.27807749998964937</v>
      </c>
      <c r="Y27" s="2"/>
      <c r="Z27" s="6">
        <f t="shared" si="7"/>
        <v>-7.7797667716455302E-5</v>
      </c>
    </row>
    <row r="28" spans="1:26" s="24" customFormat="1" hidden="1" outlineLevel="2" x14ac:dyDescent="0.25">
      <c r="A28" s="25"/>
      <c r="B28" s="11" t="str">
        <f>CONCATENATE("          ", "6156", " - ", "EMPLOYEE MEALS")</f>
        <v xml:space="preserve">          6156 - EMPLOYEE MEALS</v>
      </c>
      <c r="C28" s="11"/>
      <c r="D28" s="7">
        <v>399.36</v>
      </c>
      <c r="E28" s="2"/>
      <c r="F28" s="6">
        <f t="shared" si="0"/>
        <v>0</v>
      </c>
      <c r="G28" s="2"/>
      <c r="H28" s="7">
        <v>500</v>
      </c>
      <c r="I28" s="2"/>
      <c r="J28" s="6">
        <f t="shared" si="1"/>
        <v>0</v>
      </c>
      <c r="K28" s="2"/>
      <c r="L28" s="7">
        <f t="shared" si="2"/>
        <v>-100.63999999999999</v>
      </c>
      <c r="M28" s="2"/>
      <c r="N28" s="6">
        <f t="shared" si="3"/>
        <v>-0.20127999999999996</v>
      </c>
      <c r="O28" s="11"/>
      <c r="P28" s="7">
        <v>1230.57</v>
      </c>
      <c r="Q28" s="2"/>
      <c r="R28" s="6">
        <f t="shared" si="4"/>
        <v>0</v>
      </c>
      <c r="S28" s="2"/>
      <c r="T28" s="7">
        <v>1500</v>
      </c>
      <c r="U28" s="2"/>
      <c r="V28" s="6">
        <f t="shared" si="5"/>
        <v>0</v>
      </c>
      <c r="W28" s="2"/>
      <c r="X28" s="7">
        <f t="shared" si="6"/>
        <v>-269.43000000000006</v>
      </c>
      <c r="Y28" s="2"/>
      <c r="Z28" s="6">
        <f t="shared" si="7"/>
        <v>-0.17962000000000003</v>
      </c>
    </row>
    <row r="29" spans="1:26" s="26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50504.520000000004</v>
      </c>
      <c r="E29" s="1"/>
      <c r="F29" s="5">
        <f t="shared" ref="F29:F39" si="8">IF(D$12=0,0,D29/D$12)</f>
        <v>0</v>
      </c>
      <c r="G29" s="1"/>
      <c r="H29" s="1">
        <f>SUM(OSRRefH22_1x_0)</f>
        <v>49252.70077923077</v>
      </c>
      <c r="I29" s="1"/>
      <c r="J29" s="5">
        <f t="shared" ref="J29:J39" si="9">IF(H$12=0,0,H29/H$12)</f>
        <v>0</v>
      </c>
      <c r="K29" s="1"/>
      <c r="L29" s="1">
        <f t="shared" ref="L29:L39" si="10">+D29-H29</f>
        <v>1251.8192207692337</v>
      </c>
      <c r="M29" s="1"/>
      <c r="N29" s="5">
        <f t="shared" ref="N29:N39" si="11">IF(H29=0,0,L29/H29)</f>
        <v>2.5416255372073114E-2</v>
      </c>
      <c r="O29" s="13"/>
      <c r="P29" s="1">
        <f>SUM(OSRRefP22_1x_0)</f>
        <v>165990.03999999998</v>
      </c>
      <c r="Q29" s="1"/>
      <c r="R29" s="5">
        <f t="shared" ref="R29:R39" si="12">IF(P$12=0,0,P29/P$12)</f>
        <v>0</v>
      </c>
      <c r="S29" s="1"/>
      <c r="T29" s="1">
        <f>SUM(OSRRefT22_1x_0)</f>
        <v>144341.11659500003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21648.92340499995</v>
      </c>
      <c r="Y29" s="1"/>
      <c r="Z29" s="5">
        <f t="shared" ref="Z29:Z39" si="15">IF(T29=0,0,X29/T29)</f>
        <v>0.14998445291055665</v>
      </c>
    </row>
    <row r="30" spans="1:26" s="24" customFormat="1" hidden="1" outlineLevel="2" x14ac:dyDescent="0.25">
      <c r="A30" s="25"/>
      <c r="B30" s="11" t="str">
        <f>CONCATENATE("          ", "6001", " - ", "ADMINISTRATIVE SALARIES")</f>
        <v xml:space="preserve">          6001 - ADMINISTRATIVE SALARIES</v>
      </c>
      <c r="C30" s="11"/>
      <c r="D30" s="7">
        <v>10717.14</v>
      </c>
      <c r="E30" s="2"/>
      <c r="F30" s="6">
        <f t="shared" si="8"/>
        <v>0</v>
      </c>
      <c r="G30" s="2"/>
      <c r="H30" s="7">
        <v>9645.4350000000013</v>
      </c>
      <c r="I30" s="2"/>
      <c r="J30" s="6">
        <f t="shared" si="9"/>
        <v>0</v>
      </c>
      <c r="K30" s="2"/>
      <c r="L30" s="7">
        <f t="shared" si="10"/>
        <v>1071.7049999999981</v>
      </c>
      <c r="M30" s="2"/>
      <c r="N30" s="6">
        <f t="shared" si="11"/>
        <v>0.11111007435123434</v>
      </c>
      <c r="O30" s="11"/>
      <c r="P30" s="7">
        <v>33758.700000000004</v>
      </c>
      <c r="Q30" s="2"/>
      <c r="R30" s="6">
        <f t="shared" si="12"/>
        <v>0</v>
      </c>
      <c r="S30" s="2"/>
      <c r="T30" s="7">
        <v>31347.663749999996</v>
      </c>
      <c r="U30" s="2"/>
      <c r="V30" s="6">
        <f t="shared" si="13"/>
        <v>0</v>
      </c>
      <c r="W30" s="2"/>
      <c r="X30" s="7">
        <f t="shared" si="14"/>
        <v>2411.0362500000083</v>
      </c>
      <c r="Y30" s="2"/>
      <c r="Z30" s="6">
        <f t="shared" si="15"/>
        <v>7.6912789075071306E-2</v>
      </c>
    </row>
    <row r="31" spans="1:26" s="24" customFormat="1" hidden="1" outlineLevel="2" x14ac:dyDescent="0.25">
      <c r="A31" s="25"/>
      <c r="B31" s="11" t="str">
        <f>CONCATENATE("          ", "6002", " - ", "STAFF SALARIES")</f>
        <v xml:space="preserve">          6002 - STAFF SALARIES</v>
      </c>
      <c r="C31" s="11"/>
      <c r="D31" s="7">
        <v>10127.67</v>
      </c>
      <c r="E31" s="2"/>
      <c r="F31" s="6">
        <f t="shared" si="8"/>
        <v>0</v>
      </c>
      <c r="G31" s="2"/>
      <c r="H31" s="7">
        <v>8796.2382692307692</v>
      </c>
      <c r="I31" s="2"/>
      <c r="J31" s="6">
        <f t="shared" si="9"/>
        <v>0</v>
      </c>
      <c r="K31" s="2"/>
      <c r="L31" s="7">
        <f t="shared" si="10"/>
        <v>1331.4317307692309</v>
      </c>
      <c r="M31" s="2"/>
      <c r="N31" s="6">
        <f t="shared" si="11"/>
        <v>0.1513637636927796</v>
      </c>
      <c r="O31" s="11"/>
      <c r="P31" s="7">
        <v>26866.99</v>
      </c>
      <c r="Q31" s="2"/>
      <c r="R31" s="6">
        <f t="shared" si="12"/>
        <v>0</v>
      </c>
      <c r="S31" s="2"/>
      <c r="T31" s="7">
        <v>28587.774375000041</v>
      </c>
      <c r="U31" s="2"/>
      <c r="V31" s="6">
        <f t="shared" si="13"/>
        <v>0</v>
      </c>
      <c r="W31" s="2"/>
      <c r="X31" s="7">
        <f t="shared" si="14"/>
        <v>-1720.7843750000393</v>
      </c>
      <c r="Y31" s="2"/>
      <c r="Z31" s="6">
        <f t="shared" si="15"/>
        <v>-6.0193016512151511E-2</v>
      </c>
    </row>
    <row r="32" spans="1:26" s="24" customFormat="1" hidden="1" outlineLevel="2" x14ac:dyDescent="0.25">
      <c r="A32" s="25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5"/>
      <c r="B33" s="11" t="str">
        <f>CONCATENATE("          ", "6004", " - ", "STAFF HOURLY")</f>
        <v xml:space="preserve">          6004 - STAFF HOURLY</v>
      </c>
      <c r="C33" s="11"/>
      <c r="D33" s="7">
        <v>-1647.01</v>
      </c>
      <c r="E33" s="2"/>
      <c r="F33" s="6">
        <f t="shared" si="8"/>
        <v>0</v>
      </c>
      <c r="G33" s="2"/>
      <c r="H33" s="7">
        <v>5631.0275099999999</v>
      </c>
      <c r="I33" s="2"/>
      <c r="J33" s="6">
        <f t="shared" si="9"/>
        <v>0</v>
      </c>
      <c r="K33" s="2"/>
      <c r="L33" s="7">
        <f t="shared" si="10"/>
        <v>-7278.0375100000001</v>
      </c>
      <c r="M33" s="2"/>
      <c r="N33" s="6">
        <f t="shared" si="11"/>
        <v>-1.2924883597309935</v>
      </c>
      <c r="O33" s="11"/>
      <c r="P33" s="7">
        <v>-1647.01</v>
      </c>
      <c r="Q33" s="2"/>
      <c r="R33" s="6">
        <f t="shared" si="12"/>
        <v>0</v>
      </c>
      <c r="S33" s="2"/>
      <c r="T33" s="7">
        <v>17785.678470000003</v>
      </c>
      <c r="U33" s="2"/>
      <c r="V33" s="6">
        <f t="shared" si="13"/>
        <v>0</v>
      </c>
      <c r="W33" s="2"/>
      <c r="X33" s="7">
        <f t="shared" si="14"/>
        <v>-19432.688470000001</v>
      </c>
      <c r="Y33" s="2"/>
      <c r="Z33" s="6">
        <f t="shared" si="15"/>
        <v>-1.0926031583657656</v>
      </c>
    </row>
    <row r="34" spans="1:26" s="24" customFormat="1" hidden="1" outlineLevel="2" x14ac:dyDescent="0.25">
      <c r="A34" s="25"/>
      <c r="B34" s="11" t="str">
        <f>CONCATENATE("          ", "6005", " - ", "TEMPORARY WAGES-HOURLY")</f>
        <v xml:space="preserve">          6005 - TEMPORARY WAGES-HOURLY</v>
      </c>
      <c r="C34" s="11"/>
      <c r="D34" s="7">
        <v>7680.09</v>
      </c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7680.09</v>
      </c>
      <c r="M34" s="2"/>
      <c r="N34" s="6">
        <f t="shared" si="11"/>
        <v>0</v>
      </c>
      <c r="O34" s="11"/>
      <c r="P34" s="7">
        <v>24167.57</v>
      </c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24167.57</v>
      </c>
      <c r="Y34" s="2"/>
      <c r="Z34" s="6">
        <f t="shared" si="15"/>
        <v>0</v>
      </c>
    </row>
    <row r="35" spans="1:26" s="24" customFormat="1" hidden="1" outlineLevel="2" x14ac:dyDescent="0.25">
      <c r="A35" s="25"/>
      <c r="B35" s="11" t="str">
        <f>CONCATENATE("          ", "6006", " - ", "TEMPORARY PART TIME")</f>
        <v xml:space="preserve">          6006 - TEMPORARY PART TIME</v>
      </c>
      <c r="C35" s="11"/>
      <c r="D35" s="7">
        <v>3108.88</v>
      </c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3108.88</v>
      </c>
      <c r="M35" s="2"/>
      <c r="N35" s="6">
        <f t="shared" si="11"/>
        <v>0</v>
      </c>
      <c r="O35" s="11"/>
      <c r="P35" s="7">
        <v>6836.01</v>
      </c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6836.01</v>
      </c>
      <c r="Y35" s="2"/>
      <c r="Z35" s="6">
        <f t="shared" si="15"/>
        <v>0</v>
      </c>
    </row>
    <row r="36" spans="1:26" s="24" customFormat="1" hidden="1" outlineLevel="2" x14ac:dyDescent="0.25">
      <c r="A36" s="25"/>
      <c r="B36" s="11" t="str">
        <f>CONCATENATE("          ", "6007", " - ", "STUDENT HOURLY")</f>
        <v xml:space="preserve">          6007 - STUDENT HOURLY</v>
      </c>
      <c r="C36" s="11"/>
      <c r="D36" s="7">
        <v>20268.75</v>
      </c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20268.75</v>
      </c>
      <c r="M36" s="2"/>
      <c r="N36" s="6">
        <f t="shared" si="11"/>
        <v>0</v>
      </c>
      <c r="O36" s="11"/>
      <c r="P36" s="7">
        <v>75455.78</v>
      </c>
      <c r="Q36" s="2"/>
      <c r="R36" s="6">
        <f t="shared" si="12"/>
        <v>0</v>
      </c>
      <c r="S36" s="2"/>
      <c r="T36" s="7">
        <v>17460</v>
      </c>
      <c r="U36" s="2"/>
      <c r="V36" s="6">
        <f t="shared" si="13"/>
        <v>0</v>
      </c>
      <c r="W36" s="2"/>
      <c r="X36" s="7">
        <f t="shared" si="14"/>
        <v>57995.78</v>
      </c>
      <c r="Y36" s="2"/>
      <c r="Z36" s="6">
        <f t="shared" si="15"/>
        <v>3.3216368843069874</v>
      </c>
    </row>
    <row r="37" spans="1:26" s="24" customFormat="1" hidden="1" outlineLevel="2" x14ac:dyDescent="0.25">
      <c r="A37" s="25"/>
      <c r="B37" s="11" t="str">
        <f>CONCATENATE("          ", "6008", " - ", "STUDENT HOURLY-FICA EXEMPT")</f>
        <v xml:space="preserve">          6008 - STUDENT HOURLY-FICA EXEMPT</v>
      </c>
      <c r="C37" s="11"/>
      <c r="D37" s="7">
        <v>249</v>
      </c>
      <c r="E37" s="2"/>
      <c r="F37" s="6">
        <f t="shared" si="8"/>
        <v>0</v>
      </c>
      <c r="G37" s="2"/>
      <c r="H37" s="7">
        <v>25180</v>
      </c>
      <c r="I37" s="2"/>
      <c r="J37" s="6">
        <f t="shared" si="9"/>
        <v>0</v>
      </c>
      <c r="K37" s="2"/>
      <c r="L37" s="7">
        <f t="shared" si="10"/>
        <v>-24931</v>
      </c>
      <c r="M37" s="2"/>
      <c r="N37" s="6">
        <f t="shared" si="11"/>
        <v>-0.99011119936457503</v>
      </c>
      <c r="O37" s="11"/>
      <c r="P37" s="7">
        <v>552</v>
      </c>
      <c r="Q37" s="2"/>
      <c r="R37" s="6">
        <f t="shared" si="12"/>
        <v>0</v>
      </c>
      <c r="S37" s="2"/>
      <c r="T37" s="7">
        <v>49160</v>
      </c>
      <c r="U37" s="2"/>
      <c r="V37" s="6">
        <f t="shared" si="13"/>
        <v>0</v>
      </c>
      <c r="W37" s="2"/>
      <c r="X37" s="7">
        <f t="shared" si="14"/>
        <v>-48608</v>
      </c>
      <c r="Y37" s="2"/>
      <c r="Z37" s="6">
        <f t="shared" si="15"/>
        <v>-0.98877135882831568</v>
      </c>
    </row>
    <row r="38" spans="1:26" s="24" customFormat="1" hidden="1" outlineLevel="2" x14ac:dyDescent="0.25">
      <c r="A38" s="25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5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6" customFormat="1" outlineLevel="1" collapsed="1" x14ac:dyDescent="0.25">
      <c r="A40" s="27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20.260000000000002</v>
      </c>
      <c r="E40" s="1"/>
      <c r="F40" s="5">
        <f t="shared" ref="F40:F49" si="16">IF(D$12=0,0,D40/D$12)</f>
        <v>0</v>
      </c>
      <c r="G40" s="1"/>
      <c r="H40" s="1">
        <f>SUM(OSRRefH22_2x_0)</f>
        <v>2700</v>
      </c>
      <c r="I40" s="1"/>
      <c r="J40" s="5">
        <f t="shared" ref="J40:J49" si="17">IF(H$12=0,0,H40/H$12)</f>
        <v>0</v>
      </c>
      <c r="K40" s="1"/>
      <c r="L40" s="1">
        <f t="shared" ref="L40:L49" si="18">+D40-H40</f>
        <v>-2679.74</v>
      </c>
      <c r="M40" s="1"/>
      <c r="N40" s="5">
        <f t="shared" ref="N40:N49" si="19">IF(H40=0,0,L40/H40)</f>
        <v>-0.99249629629629621</v>
      </c>
      <c r="O40" s="13"/>
      <c r="P40" s="1">
        <f>SUM(OSRRefP22_2x_0)</f>
        <v>796.05</v>
      </c>
      <c r="Q40" s="1"/>
      <c r="R40" s="5">
        <f t="shared" ref="R40:R49" si="20">IF(P$12=0,0,P40/P$12)</f>
        <v>0</v>
      </c>
      <c r="S40" s="1"/>
      <c r="T40" s="1">
        <f>SUM(OSRRefT22_2x_0)</f>
        <v>7600</v>
      </c>
      <c r="U40" s="1"/>
      <c r="V40" s="5">
        <f t="shared" ref="V40:V49" si="21">IF(T$12=0,0,T40/T$12)</f>
        <v>0</v>
      </c>
      <c r="W40" s="1"/>
      <c r="X40" s="1">
        <f t="shared" ref="X40:X49" si="22">+P40-T40</f>
        <v>-6803.95</v>
      </c>
      <c r="Y40" s="1"/>
      <c r="Z40" s="5">
        <f t="shared" ref="Z40:Z49" si="23">IF(T40=0,0,X40/T40)</f>
        <v>-0.89525657894736843</v>
      </c>
    </row>
    <row r="41" spans="1:26" s="24" customFormat="1" hidden="1" outlineLevel="2" x14ac:dyDescent="0.25">
      <c r="A41" s="25"/>
      <c r="B41" s="11" t="str">
        <f>CONCATENATE("          ", "6362", " - ", "ADVERTISING EXPENSE")</f>
        <v xml:space="preserve">          6362 - ADVERTISING EXPENSE</v>
      </c>
      <c r="C41" s="11"/>
      <c r="D41" s="7">
        <v>20.260000000000002</v>
      </c>
      <c r="E41" s="2"/>
      <c r="F41" s="6">
        <f t="shared" si="16"/>
        <v>0</v>
      </c>
      <c r="G41" s="2"/>
      <c r="H41" s="7">
        <v>2700</v>
      </c>
      <c r="I41" s="2"/>
      <c r="J41" s="6">
        <f t="shared" si="17"/>
        <v>0</v>
      </c>
      <c r="K41" s="2"/>
      <c r="L41" s="7">
        <f t="shared" si="18"/>
        <v>-2679.74</v>
      </c>
      <c r="M41" s="2"/>
      <c r="N41" s="6">
        <f t="shared" si="19"/>
        <v>-0.99249629629629621</v>
      </c>
      <c r="O41" s="11"/>
      <c r="P41" s="7">
        <v>796.05</v>
      </c>
      <c r="Q41" s="2"/>
      <c r="R41" s="6">
        <f t="shared" si="20"/>
        <v>0</v>
      </c>
      <c r="S41" s="2"/>
      <c r="T41" s="7">
        <v>7600</v>
      </c>
      <c r="U41" s="2"/>
      <c r="V41" s="6">
        <f t="shared" si="21"/>
        <v>0</v>
      </c>
      <c r="W41" s="2"/>
      <c r="X41" s="7">
        <f t="shared" si="22"/>
        <v>-6803.95</v>
      </c>
      <c r="Y41" s="2"/>
      <c r="Z41" s="6">
        <f t="shared" si="23"/>
        <v>-0.89525657894736843</v>
      </c>
    </row>
    <row r="42" spans="1:26" s="26" customFormat="1" outlineLevel="1" collapsed="1" x14ac:dyDescent="0.25">
      <c r="A42" s="27"/>
      <c r="B42" s="13" t="str">
        <f>CONCATENATE("     ","Bad Debts/Over/Short                              ")</f>
        <v xml:space="preserve">     Bad Debts/Over/Short                              </v>
      </c>
      <c r="C42" s="13"/>
      <c r="D42" s="1">
        <f>SUM(OSRRefD22_3x_0)</f>
        <v>-52.41</v>
      </c>
      <c r="E42" s="1"/>
      <c r="F42" s="5">
        <f t="shared" si="16"/>
        <v>0</v>
      </c>
      <c r="G42" s="1"/>
      <c r="H42" s="1">
        <f>SUM(OSRRefH22_3x_0)</f>
        <v>125</v>
      </c>
      <c r="I42" s="1"/>
      <c r="J42" s="5">
        <f t="shared" si="17"/>
        <v>0</v>
      </c>
      <c r="K42" s="1"/>
      <c r="L42" s="1">
        <f t="shared" si="18"/>
        <v>-177.41</v>
      </c>
      <c r="M42" s="1"/>
      <c r="N42" s="5">
        <f t="shared" si="19"/>
        <v>-1.4192799999999999</v>
      </c>
      <c r="O42" s="13"/>
      <c r="P42" s="1">
        <f>SUM(OSRRefP22_3x_0)</f>
        <v>-155.58000000000001</v>
      </c>
      <c r="Q42" s="1"/>
      <c r="R42" s="5">
        <f t="shared" si="20"/>
        <v>0</v>
      </c>
      <c r="S42" s="1"/>
      <c r="T42" s="1">
        <f>SUM(OSRRefT22_3x_0)</f>
        <v>375</v>
      </c>
      <c r="U42" s="1"/>
      <c r="V42" s="5">
        <f t="shared" si="21"/>
        <v>0</v>
      </c>
      <c r="W42" s="1"/>
      <c r="X42" s="1">
        <f t="shared" si="22"/>
        <v>-530.58000000000004</v>
      </c>
      <c r="Y42" s="1"/>
      <c r="Z42" s="5">
        <f t="shared" si="23"/>
        <v>-1.4148800000000001</v>
      </c>
    </row>
    <row r="43" spans="1:26" s="24" customFormat="1" hidden="1" outlineLevel="2" x14ac:dyDescent="0.25">
      <c r="A43" s="25"/>
      <c r="B43" s="11" t="str">
        <f>CONCATENATE("          ", "6272", " - ", "CASH (OVER/SHORT)")</f>
        <v xml:space="preserve">          6272 - CASH (OVER/SHORT)</v>
      </c>
      <c r="C43" s="11"/>
      <c r="D43" s="7">
        <v>-52.41</v>
      </c>
      <c r="E43" s="2"/>
      <c r="F43" s="6">
        <f t="shared" si="16"/>
        <v>0</v>
      </c>
      <c r="G43" s="2"/>
      <c r="H43" s="7">
        <v>125</v>
      </c>
      <c r="I43" s="2"/>
      <c r="J43" s="6">
        <f t="shared" si="17"/>
        <v>0</v>
      </c>
      <c r="K43" s="2"/>
      <c r="L43" s="7">
        <f t="shared" si="18"/>
        <v>-177.41</v>
      </c>
      <c r="M43" s="2"/>
      <c r="N43" s="6">
        <f t="shared" si="19"/>
        <v>-1.4192799999999999</v>
      </c>
      <c r="O43" s="11"/>
      <c r="P43" s="7">
        <v>-155.58000000000001</v>
      </c>
      <c r="Q43" s="2"/>
      <c r="R43" s="6">
        <f t="shared" si="20"/>
        <v>0</v>
      </c>
      <c r="S43" s="2"/>
      <c r="T43" s="7">
        <v>375</v>
      </c>
      <c r="U43" s="2"/>
      <c r="V43" s="6">
        <f t="shared" si="21"/>
        <v>0</v>
      </c>
      <c r="W43" s="2"/>
      <c r="X43" s="7">
        <f t="shared" si="22"/>
        <v>-530.58000000000004</v>
      </c>
      <c r="Y43" s="2"/>
      <c r="Z43" s="6">
        <f t="shared" si="23"/>
        <v>-1.4148800000000001</v>
      </c>
    </row>
    <row r="44" spans="1:26" s="26" customFormat="1" outlineLevel="1" collapsed="1" x14ac:dyDescent="0.25">
      <c r="A44" s="27"/>
      <c r="B44" s="13" t="str">
        <f>CONCATENATE("     ","Bank/card Fees                                    ")</f>
        <v xml:space="preserve">     Bank/card Fees                                    </v>
      </c>
      <c r="C44" s="13"/>
      <c r="D44" s="1">
        <f>SUM(OSRRefD22_4x_0)</f>
        <v>20260.43</v>
      </c>
      <c r="E44" s="1"/>
      <c r="F44" s="5">
        <f t="shared" si="16"/>
        <v>0</v>
      </c>
      <c r="G44" s="1"/>
      <c r="H44" s="1">
        <f>SUM(OSRRefH22_4x_0)</f>
        <v>28000</v>
      </c>
      <c r="I44" s="1"/>
      <c r="J44" s="5">
        <f t="shared" si="17"/>
        <v>0</v>
      </c>
      <c r="K44" s="1"/>
      <c r="L44" s="1">
        <f t="shared" si="18"/>
        <v>-7739.57</v>
      </c>
      <c r="M44" s="1"/>
      <c r="N44" s="5">
        <f t="shared" si="19"/>
        <v>-0.27641321428571425</v>
      </c>
      <c r="O44" s="13"/>
      <c r="P44" s="1">
        <f>SUM(OSRRefP22_4x_0)</f>
        <v>58234.28</v>
      </c>
      <c r="Q44" s="1"/>
      <c r="R44" s="5">
        <f t="shared" si="20"/>
        <v>0</v>
      </c>
      <c r="S44" s="1"/>
      <c r="T44" s="1">
        <f>SUM(OSRRefT22_4x_0)</f>
        <v>62400</v>
      </c>
      <c r="U44" s="1"/>
      <c r="V44" s="5">
        <f t="shared" si="21"/>
        <v>0</v>
      </c>
      <c r="W44" s="1"/>
      <c r="X44" s="1">
        <f t="shared" si="22"/>
        <v>-4165.7200000000012</v>
      </c>
      <c r="Y44" s="1"/>
      <c r="Z44" s="5">
        <f t="shared" si="23"/>
        <v>-6.675833333333335E-2</v>
      </c>
    </row>
    <row r="45" spans="1:26" s="24" customFormat="1" hidden="1" outlineLevel="2" x14ac:dyDescent="0.25">
      <c r="A45" s="25"/>
      <c r="B45" s="11" t="str">
        <f>CONCATENATE("          ", "6381", " - ", "BANK/CREDIT CARD FEES")</f>
        <v xml:space="preserve">          6381 - BANK/CREDIT CARD FEES</v>
      </c>
      <c r="C45" s="11"/>
      <c r="D45" s="7">
        <v>20260.43</v>
      </c>
      <c r="E45" s="2"/>
      <c r="F45" s="6">
        <f t="shared" si="16"/>
        <v>0</v>
      </c>
      <c r="G45" s="2"/>
      <c r="H45" s="7">
        <v>28000</v>
      </c>
      <c r="I45" s="2"/>
      <c r="J45" s="6">
        <f t="shared" si="17"/>
        <v>0</v>
      </c>
      <c r="K45" s="2"/>
      <c r="L45" s="7">
        <f t="shared" si="18"/>
        <v>-7739.57</v>
      </c>
      <c r="M45" s="2"/>
      <c r="N45" s="6">
        <f t="shared" si="19"/>
        <v>-0.27641321428571425</v>
      </c>
      <c r="O45" s="11"/>
      <c r="P45" s="7">
        <v>58234.28</v>
      </c>
      <c r="Q45" s="2"/>
      <c r="R45" s="6">
        <f t="shared" si="20"/>
        <v>0</v>
      </c>
      <c r="S45" s="2"/>
      <c r="T45" s="7">
        <v>62400</v>
      </c>
      <c r="U45" s="2"/>
      <c r="V45" s="6">
        <f t="shared" si="21"/>
        <v>0</v>
      </c>
      <c r="W45" s="2"/>
      <c r="X45" s="7">
        <f t="shared" si="22"/>
        <v>-4165.7200000000012</v>
      </c>
      <c r="Y45" s="2"/>
      <c r="Z45" s="6">
        <f t="shared" si="23"/>
        <v>-6.675833333333335E-2</v>
      </c>
    </row>
    <row r="46" spans="1:26" s="26" customFormat="1" outlineLevel="1" collapsed="1" x14ac:dyDescent="0.25">
      <c r="A46" s="27"/>
      <c r="B46" s="13" t="str">
        <f>CONCATENATE("     ","Depreciation                                      ")</f>
        <v xml:space="preserve">     Depreciation                                      </v>
      </c>
      <c r="C46" s="13"/>
      <c r="D46" s="1">
        <f>SUM(OSRRefD22_5x_0)</f>
        <v>29607.43</v>
      </c>
      <c r="E46" s="1"/>
      <c r="F46" s="5">
        <f t="shared" si="16"/>
        <v>0</v>
      </c>
      <c r="G46" s="1"/>
      <c r="H46" s="1">
        <f>SUM(OSRRefH22_5x_0)</f>
        <v>30202</v>
      </c>
      <c r="I46" s="1"/>
      <c r="J46" s="5">
        <f t="shared" si="17"/>
        <v>0</v>
      </c>
      <c r="K46" s="1"/>
      <c r="L46" s="1">
        <f t="shared" si="18"/>
        <v>-594.56999999999971</v>
      </c>
      <c r="M46" s="1"/>
      <c r="N46" s="5">
        <f t="shared" si="19"/>
        <v>-1.9686444606317452E-2</v>
      </c>
      <c r="O46" s="13"/>
      <c r="P46" s="1">
        <f>SUM(OSRRefP22_5x_0)</f>
        <v>88822.29</v>
      </c>
      <c r="Q46" s="1"/>
      <c r="R46" s="5">
        <f t="shared" si="20"/>
        <v>0</v>
      </c>
      <c r="S46" s="1"/>
      <c r="T46" s="1">
        <f>SUM(OSRRefT22_5x_0)</f>
        <v>90606</v>
      </c>
      <c r="U46" s="1"/>
      <c r="V46" s="5">
        <f t="shared" si="21"/>
        <v>0</v>
      </c>
      <c r="W46" s="1"/>
      <c r="X46" s="1">
        <f t="shared" si="22"/>
        <v>-1783.7100000000064</v>
      </c>
      <c r="Y46" s="1"/>
      <c r="Z46" s="5">
        <f t="shared" si="23"/>
        <v>-1.9686444606317532E-2</v>
      </c>
    </row>
    <row r="47" spans="1:26" s="24" customFormat="1" hidden="1" outlineLevel="2" x14ac:dyDescent="0.25">
      <c r="A47" s="25"/>
      <c r="B47" s="11" t="str">
        <f>CONCATENATE("          ", "6321", " - ", "BUILDING DEPRECIATION")</f>
        <v xml:space="preserve">          6321 - BUILDING DEPRECIATION</v>
      </c>
      <c r="C47" s="11"/>
      <c r="D47" s="7">
        <v>16396.52</v>
      </c>
      <c r="E47" s="2"/>
      <c r="F47" s="6">
        <f t="shared" si="16"/>
        <v>0</v>
      </c>
      <c r="G47" s="2"/>
      <c r="H47" s="7">
        <v>16453</v>
      </c>
      <c r="I47" s="2"/>
      <c r="J47" s="6">
        <f t="shared" si="17"/>
        <v>0</v>
      </c>
      <c r="K47" s="2"/>
      <c r="L47" s="7">
        <f t="shared" si="18"/>
        <v>-56.479999999999563</v>
      </c>
      <c r="M47" s="2"/>
      <c r="N47" s="6">
        <f t="shared" si="19"/>
        <v>-3.432808606333165E-3</v>
      </c>
      <c r="O47" s="11"/>
      <c r="P47" s="7">
        <v>49189.56</v>
      </c>
      <c r="Q47" s="2"/>
      <c r="R47" s="6">
        <f t="shared" si="20"/>
        <v>0</v>
      </c>
      <c r="S47" s="2"/>
      <c r="T47" s="7">
        <v>49359</v>
      </c>
      <c r="U47" s="2"/>
      <c r="V47" s="6">
        <f t="shared" si="21"/>
        <v>0</v>
      </c>
      <c r="W47" s="2"/>
      <c r="X47" s="7">
        <f t="shared" si="22"/>
        <v>-169.44000000000233</v>
      </c>
      <c r="Y47" s="2"/>
      <c r="Z47" s="6">
        <f t="shared" si="23"/>
        <v>-3.4328086063332387E-3</v>
      </c>
    </row>
    <row r="48" spans="1:26" s="24" customFormat="1" hidden="1" outlineLevel="2" x14ac:dyDescent="0.25">
      <c r="A48" s="25"/>
      <c r="B48" s="11" t="str">
        <f>CONCATENATE("          ", "6322", " - ", "EQUIPMENT DEPRECIATION EXPENSE")</f>
        <v xml:space="preserve">          6322 - EQUIPMENT DEPRECIATION EXPENSE</v>
      </c>
      <c r="C48" s="11"/>
      <c r="D48" s="7">
        <v>13210.91</v>
      </c>
      <c r="E48" s="2"/>
      <c r="F48" s="6">
        <f t="shared" si="16"/>
        <v>0</v>
      </c>
      <c r="G48" s="2"/>
      <c r="H48" s="7">
        <v>13049</v>
      </c>
      <c r="I48" s="2"/>
      <c r="J48" s="6">
        <f t="shared" si="17"/>
        <v>0</v>
      </c>
      <c r="K48" s="2"/>
      <c r="L48" s="7">
        <f t="shared" si="18"/>
        <v>161.90999999999985</v>
      </c>
      <c r="M48" s="2"/>
      <c r="N48" s="6">
        <f t="shared" si="19"/>
        <v>1.2407847344624098E-2</v>
      </c>
      <c r="O48" s="11"/>
      <c r="P48" s="7">
        <v>39632.729999999996</v>
      </c>
      <c r="Q48" s="2"/>
      <c r="R48" s="6">
        <f t="shared" si="20"/>
        <v>0</v>
      </c>
      <c r="S48" s="2"/>
      <c r="T48" s="7">
        <v>39147</v>
      </c>
      <c r="U48" s="2"/>
      <c r="V48" s="6">
        <f t="shared" si="21"/>
        <v>0</v>
      </c>
      <c r="W48" s="2"/>
      <c r="X48" s="7">
        <f t="shared" si="22"/>
        <v>485.72999999999593</v>
      </c>
      <c r="Y48" s="2"/>
      <c r="Z48" s="6">
        <f t="shared" si="23"/>
        <v>1.2407847344624004E-2</v>
      </c>
    </row>
    <row r="49" spans="1:26" s="24" customFormat="1" hidden="1" outlineLevel="2" x14ac:dyDescent="0.25">
      <c r="A49" s="25"/>
      <c r="B49" s="11" t="str">
        <f>CONCATENATE("          ", "6324", " - ", "FURNITURE + FIXT DEPRECIATION")</f>
        <v xml:space="preserve">          6324 - FURNITURE + FIXT DEPRECIATION</v>
      </c>
      <c r="C49" s="11"/>
      <c r="D49" s="7"/>
      <c r="E49" s="2"/>
      <c r="F49" s="6">
        <f t="shared" si="16"/>
        <v>0</v>
      </c>
      <c r="G49" s="2"/>
      <c r="H49" s="7">
        <v>700</v>
      </c>
      <c r="I49" s="2"/>
      <c r="J49" s="6">
        <f t="shared" si="17"/>
        <v>0</v>
      </c>
      <c r="K49" s="2"/>
      <c r="L49" s="7">
        <f t="shared" si="18"/>
        <v>-700</v>
      </c>
      <c r="M49" s="2"/>
      <c r="N49" s="6">
        <f t="shared" si="19"/>
        <v>-1</v>
      </c>
      <c r="O49" s="11"/>
      <c r="P49" s="7"/>
      <c r="Q49" s="2"/>
      <c r="R49" s="6">
        <f t="shared" si="20"/>
        <v>0</v>
      </c>
      <c r="S49" s="2"/>
      <c r="T49" s="7">
        <v>2100</v>
      </c>
      <c r="U49" s="2"/>
      <c r="V49" s="6">
        <f t="shared" si="21"/>
        <v>0</v>
      </c>
      <c r="W49" s="2"/>
      <c r="X49" s="7">
        <f t="shared" si="22"/>
        <v>-2100</v>
      </c>
      <c r="Y49" s="2"/>
      <c r="Z49" s="6">
        <f t="shared" si="23"/>
        <v>-1</v>
      </c>
    </row>
    <row r="50" spans="1:26" s="26" customFormat="1" outlineLevel="1" collapsed="1" x14ac:dyDescent="0.25">
      <c r="A50" s="27"/>
      <c r="B50" s="13" t="str">
        <f>CONCATENATE("     ","Discounts and Markdowns                           ")</f>
        <v xml:space="preserve">     Discounts and Markdowns                           </v>
      </c>
      <c r="C50" s="13"/>
      <c r="D50" s="1">
        <f>SUM(OSRRefD22_6x_0)</f>
        <v>-212.10000000000002</v>
      </c>
      <c r="E50" s="1"/>
      <c r="F50" s="5">
        <f t="shared" ref="F50:F52" si="24">IF(D$12=0,0,D50/D$12)</f>
        <v>0</v>
      </c>
      <c r="G50" s="1"/>
      <c r="H50" s="1">
        <f>SUM(OSRRefH22_6x_0)</f>
        <v>-400</v>
      </c>
      <c r="I50" s="1"/>
      <c r="J50" s="5">
        <f t="shared" ref="J50:J52" si="25">IF(H$12=0,0,H50/H$12)</f>
        <v>0</v>
      </c>
      <c r="K50" s="1"/>
      <c r="L50" s="1">
        <f t="shared" ref="L50:L52" si="26">+D50-H50</f>
        <v>187.89999999999998</v>
      </c>
      <c r="M50" s="1"/>
      <c r="N50" s="5">
        <f t="shared" ref="N50:N52" si="27">IF(H50=0,0,L50/H50)</f>
        <v>-0.46974999999999995</v>
      </c>
      <c r="O50" s="13"/>
      <c r="P50" s="1">
        <f>SUM(OSRRefP22_6x_0)</f>
        <v>-873.69</v>
      </c>
      <c r="Q50" s="1"/>
      <c r="R50" s="5">
        <f t="shared" ref="R50:R52" si="28">IF(P$12=0,0,P50/P$12)</f>
        <v>0</v>
      </c>
      <c r="S50" s="1"/>
      <c r="T50" s="1">
        <f>SUM(OSRRefT22_6x_0)</f>
        <v>-1200</v>
      </c>
      <c r="U50" s="1"/>
      <c r="V50" s="5">
        <f t="shared" ref="V50:V52" si="29">IF(T$12=0,0,T50/T$12)</f>
        <v>0</v>
      </c>
      <c r="W50" s="1"/>
      <c r="X50" s="1">
        <f t="shared" ref="X50:X52" si="30">+P50-T50</f>
        <v>326.30999999999995</v>
      </c>
      <c r="Y50" s="1"/>
      <c r="Z50" s="5">
        <f t="shared" ref="Z50:Z52" si="31">IF(T50=0,0,X50/T50)</f>
        <v>-0.27192499999999997</v>
      </c>
    </row>
    <row r="51" spans="1:26" s="24" customFormat="1" hidden="1" outlineLevel="2" x14ac:dyDescent="0.25">
      <c r="A51" s="25"/>
      <c r="B51" s="11" t="str">
        <f>CONCATENATE("          ", "6382", " - ", "DISCOUNTS/MARK DOWNS")</f>
        <v xml:space="preserve">          6382 - DISCOUNTS/MARK DOWNS</v>
      </c>
      <c r="C51" s="11"/>
      <c r="D51" s="7">
        <v>137.5</v>
      </c>
      <c r="E51" s="2"/>
      <c r="F51" s="6">
        <f t="shared" si="24"/>
        <v>0</v>
      </c>
      <c r="G51" s="2"/>
      <c r="H51" s="7">
        <v>-400</v>
      </c>
      <c r="I51" s="2"/>
      <c r="J51" s="6">
        <f t="shared" si="25"/>
        <v>0</v>
      </c>
      <c r="K51" s="2"/>
      <c r="L51" s="7">
        <f t="shared" si="26"/>
        <v>537.5</v>
      </c>
      <c r="M51" s="2"/>
      <c r="N51" s="6">
        <f t="shared" si="27"/>
        <v>-1.34375</v>
      </c>
      <c r="O51" s="11"/>
      <c r="P51" s="7">
        <v>189.5</v>
      </c>
      <c r="Q51" s="2"/>
      <c r="R51" s="6">
        <f t="shared" si="28"/>
        <v>0</v>
      </c>
      <c r="S51" s="2"/>
      <c r="T51" s="7">
        <v>-1200</v>
      </c>
      <c r="U51" s="2"/>
      <c r="V51" s="6">
        <f t="shared" si="29"/>
        <v>0</v>
      </c>
      <c r="W51" s="2"/>
      <c r="X51" s="7">
        <f t="shared" si="30"/>
        <v>1389.5</v>
      </c>
      <c r="Y51" s="2"/>
      <c r="Z51" s="6">
        <f t="shared" si="31"/>
        <v>-1.1579166666666667</v>
      </c>
    </row>
    <row r="52" spans="1:26" s="24" customFormat="1" hidden="1" outlineLevel="2" x14ac:dyDescent="0.25">
      <c r="A52" s="25"/>
      <c r="B52" s="11" t="str">
        <f>CONCATENATE("          ", "9175", " - ", "EARNED DISCOUNTS")</f>
        <v xml:space="preserve">          9175 - EARNED DISCOUNTS</v>
      </c>
      <c r="C52" s="11"/>
      <c r="D52" s="7">
        <v>-349.6</v>
      </c>
      <c r="E52" s="2"/>
      <c r="F52" s="6">
        <f t="shared" si="24"/>
        <v>0</v>
      </c>
      <c r="G52" s="2"/>
      <c r="H52" s="7"/>
      <c r="I52" s="2"/>
      <c r="J52" s="6">
        <f t="shared" si="25"/>
        <v>0</v>
      </c>
      <c r="K52" s="2"/>
      <c r="L52" s="7">
        <f t="shared" si="26"/>
        <v>-349.6</v>
      </c>
      <c r="M52" s="2"/>
      <c r="N52" s="6">
        <f t="shared" si="27"/>
        <v>0</v>
      </c>
      <c r="O52" s="11"/>
      <c r="P52" s="7">
        <v>-1063.19</v>
      </c>
      <c r="Q52" s="2"/>
      <c r="R52" s="6">
        <f t="shared" si="28"/>
        <v>0</v>
      </c>
      <c r="S52" s="2"/>
      <c r="T52" s="7"/>
      <c r="U52" s="2"/>
      <c r="V52" s="6">
        <f t="shared" si="29"/>
        <v>0</v>
      </c>
      <c r="W52" s="2"/>
      <c r="X52" s="7">
        <f t="shared" si="30"/>
        <v>-1063.19</v>
      </c>
      <c r="Y52" s="2"/>
      <c r="Z52" s="6">
        <f t="shared" si="31"/>
        <v>0</v>
      </c>
    </row>
    <row r="53" spans="1:26" s="26" customFormat="1" outlineLevel="1" collapsed="1" x14ac:dyDescent="0.25">
      <c r="A53" s="27"/>
      <c r="B53" s="13" t="str">
        <f>CONCATENATE("     ","Donations                                         ")</f>
        <v xml:space="preserve">     Donations                                         </v>
      </c>
      <c r="C53" s="13"/>
      <c r="D53" s="1">
        <f>SUM(OSRRefD22_7x_0)</f>
        <v>1608.36</v>
      </c>
      <c r="E53" s="1"/>
      <c r="F53" s="5">
        <f t="shared" ref="F53:F55" si="32">IF(D$12=0,0,D53/D$12)</f>
        <v>0</v>
      </c>
      <c r="G53" s="1"/>
      <c r="H53" s="1">
        <f>SUM(OSRRefH22_7x_0)</f>
        <v>1000</v>
      </c>
      <c r="I53" s="1"/>
      <c r="J53" s="5">
        <f t="shared" ref="J53:J55" si="33">IF(H$12=0,0,H53/H$12)</f>
        <v>0</v>
      </c>
      <c r="K53" s="1"/>
      <c r="L53" s="1">
        <f t="shared" ref="L53:L55" si="34">+D53-H53</f>
        <v>608.3599999999999</v>
      </c>
      <c r="M53" s="1"/>
      <c r="N53" s="5">
        <f t="shared" ref="N53:N55" si="35">IF(H53=0,0,L53/H53)</f>
        <v>0.6083599999999999</v>
      </c>
      <c r="O53" s="13"/>
      <c r="P53" s="1">
        <f>SUM(OSRRefP22_7x_0)</f>
        <v>5225.34</v>
      </c>
      <c r="Q53" s="1"/>
      <c r="R53" s="5">
        <f t="shared" ref="R53:R55" si="36">IF(P$12=0,0,P53/P$12)</f>
        <v>0</v>
      </c>
      <c r="S53" s="1"/>
      <c r="T53" s="1">
        <f>SUM(OSRRefT22_7x_0)</f>
        <v>3000</v>
      </c>
      <c r="U53" s="1"/>
      <c r="V53" s="5">
        <f t="shared" ref="V53:V55" si="37">IF(T$12=0,0,T53/T$12)</f>
        <v>0</v>
      </c>
      <c r="W53" s="1"/>
      <c r="X53" s="1">
        <f t="shared" ref="X53:X55" si="38">+P53-T53</f>
        <v>2225.34</v>
      </c>
      <c r="Y53" s="1"/>
      <c r="Z53" s="5">
        <f t="shared" ref="Z53:Z55" si="39">IF(T53=0,0,X53/T53)</f>
        <v>0.74177999999999999</v>
      </c>
    </row>
    <row r="54" spans="1:26" s="24" customFormat="1" hidden="1" outlineLevel="2" x14ac:dyDescent="0.25">
      <c r="A54" s="25"/>
      <c r="B54" s="11" t="str">
        <f>CONCATENATE("          ", "6395", " - ", "DONATION-OFF CAMPUS")</f>
        <v xml:space="preserve">          6395 - DONATION-OFF CAMPUS</v>
      </c>
      <c r="C54" s="11"/>
      <c r="D54" s="7"/>
      <c r="E54" s="2"/>
      <c r="F54" s="6">
        <f t="shared" si="32"/>
        <v>0</v>
      </c>
      <c r="G54" s="2"/>
      <c r="H54" s="7">
        <v>1000</v>
      </c>
      <c r="I54" s="2"/>
      <c r="J54" s="6">
        <f t="shared" si="33"/>
        <v>0</v>
      </c>
      <c r="K54" s="2"/>
      <c r="L54" s="7">
        <f t="shared" si="34"/>
        <v>-1000</v>
      </c>
      <c r="M54" s="2"/>
      <c r="N54" s="6">
        <f t="shared" si="35"/>
        <v>-1</v>
      </c>
      <c r="O54" s="11"/>
      <c r="P54" s="7"/>
      <c r="Q54" s="2"/>
      <c r="R54" s="6">
        <f t="shared" si="36"/>
        <v>0</v>
      </c>
      <c r="S54" s="2"/>
      <c r="T54" s="7">
        <v>3000</v>
      </c>
      <c r="U54" s="2"/>
      <c r="V54" s="6">
        <f t="shared" si="37"/>
        <v>0</v>
      </c>
      <c r="W54" s="2"/>
      <c r="X54" s="7">
        <f t="shared" si="38"/>
        <v>-3000</v>
      </c>
      <c r="Y54" s="2"/>
      <c r="Z54" s="6">
        <f t="shared" si="39"/>
        <v>-1</v>
      </c>
    </row>
    <row r="55" spans="1:26" s="24" customFormat="1" hidden="1" outlineLevel="2" x14ac:dyDescent="0.25">
      <c r="A55" s="25"/>
      <c r="B55" s="11" t="str">
        <f>CONCATENATE("          ", "6399", " - ", "DONATION-ON CAMPUS")</f>
        <v xml:space="preserve">          6399 - DONATION-ON CAMPUS</v>
      </c>
      <c r="C55" s="11"/>
      <c r="D55" s="7">
        <v>1608.36</v>
      </c>
      <c r="E55" s="2"/>
      <c r="F55" s="6">
        <f t="shared" si="32"/>
        <v>0</v>
      </c>
      <c r="G55" s="2"/>
      <c r="H55" s="7"/>
      <c r="I55" s="2"/>
      <c r="J55" s="6">
        <f t="shared" si="33"/>
        <v>0</v>
      </c>
      <c r="K55" s="2"/>
      <c r="L55" s="7">
        <f t="shared" si="34"/>
        <v>1608.36</v>
      </c>
      <c r="M55" s="2"/>
      <c r="N55" s="6">
        <f t="shared" si="35"/>
        <v>0</v>
      </c>
      <c r="O55" s="11"/>
      <c r="P55" s="7">
        <v>5225.34</v>
      </c>
      <c r="Q55" s="2"/>
      <c r="R55" s="6">
        <f t="shared" si="36"/>
        <v>0</v>
      </c>
      <c r="S55" s="2"/>
      <c r="T55" s="7"/>
      <c r="U55" s="2"/>
      <c r="V55" s="6">
        <f t="shared" si="37"/>
        <v>0</v>
      </c>
      <c r="W55" s="2"/>
      <c r="X55" s="7">
        <f t="shared" si="38"/>
        <v>5225.34</v>
      </c>
      <c r="Y55" s="2"/>
      <c r="Z55" s="6">
        <f t="shared" si="39"/>
        <v>0</v>
      </c>
    </row>
    <row r="56" spans="1:26" s="26" customFormat="1" outlineLevel="1" collapsed="1" x14ac:dyDescent="0.25">
      <c r="A56" s="27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SUM(OSRRefD22_8x_0)</f>
        <v>134.26</v>
      </c>
      <c r="E56" s="1"/>
      <c r="F56" s="5">
        <f t="shared" ref="F56:F73" si="40">IF(D$12=0,0,D56/D$12)</f>
        <v>0</v>
      </c>
      <c r="G56" s="1"/>
      <c r="H56" s="1">
        <f>SUM(OSRRefH22_8x_0)</f>
        <v>200</v>
      </c>
      <c r="I56" s="1"/>
      <c r="J56" s="5">
        <f t="shared" ref="J56:J73" si="41">IF(H$12=0,0,H56/H$12)</f>
        <v>0</v>
      </c>
      <c r="K56" s="1"/>
      <c r="L56" s="1">
        <f t="shared" ref="L56:L73" si="42">+D56-H56</f>
        <v>-65.740000000000009</v>
      </c>
      <c r="M56" s="1"/>
      <c r="N56" s="5">
        <f t="shared" ref="N56:N73" si="43">IF(H56=0,0,L56/H56)</f>
        <v>-0.32870000000000005</v>
      </c>
      <c r="O56" s="13"/>
      <c r="P56" s="1">
        <f>SUM(OSRRefP22_8x_0)</f>
        <v>451.22</v>
      </c>
      <c r="Q56" s="1"/>
      <c r="R56" s="5">
        <f t="shared" ref="R56:R73" si="44">IF(P$12=0,0,P56/P$12)</f>
        <v>0</v>
      </c>
      <c r="S56" s="1"/>
      <c r="T56" s="1">
        <f>SUM(OSRRefT22_8x_0)</f>
        <v>600</v>
      </c>
      <c r="U56" s="1"/>
      <c r="V56" s="5">
        <f t="shared" ref="V56:V73" si="45">IF(T$12=0,0,T56/T$12)</f>
        <v>0</v>
      </c>
      <c r="W56" s="1"/>
      <c r="X56" s="1">
        <f t="shared" ref="X56:X73" si="46">+P56-T56</f>
        <v>-148.77999999999997</v>
      </c>
      <c r="Y56" s="1"/>
      <c r="Z56" s="5">
        <f t="shared" ref="Z56:Z73" si="47">IF(T56=0,0,X56/T56)</f>
        <v>-0.24796666666666661</v>
      </c>
    </row>
    <row r="57" spans="1:26" s="24" customFormat="1" hidden="1" outlineLevel="2" x14ac:dyDescent="0.25">
      <c r="A57" s="25"/>
      <c r="B57" s="11" t="str">
        <f>CONCATENATE("          ", "6277", " - ", "EMPLOYEE APPRECIATION")</f>
        <v xml:space="preserve">          6277 - EMPLOYEE APPRECIATION</v>
      </c>
      <c r="C57" s="11"/>
      <c r="D57" s="7">
        <v>134.26</v>
      </c>
      <c r="E57" s="2"/>
      <c r="F57" s="6">
        <f t="shared" si="40"/>
        <v>0</v>
      </c>
      <c r="G57" s="2"/>
      <c r="H57" s="7">
        <v>200</v>
      </c>
      <c r="I57" s="2"/>
      <c r="J57" s="6">
        <f t="shared" si="41"/>
        <v>0</v>
      </c>
      <c r="K57" s="2"/>
      <c r="L57" s="7">
        <f t="shared" si="42"/>
        <v>-65.740000000000009</v>
      </c>
      <c r="M57" s="2"/>
      <c r="N57" s="6">
        <f t="shared" si="43"/>
        <v>-0.32870000000000005</v>
      </c>
      <c r="O57" s="11"/>
      <c r="P57" s="7">
        <v>451.22</v>
      </c>
      <c r="Q57" s="2"/>
      <c r="R57" s="6">
        <f t="shared" si="44"/>
        <v>0</v>
      </c>
      <c r="S57" s="2"/>
      <c r="T57" s="7">
        <v>600</v>
      </c>
      <c r="U57" s="2"/>
      <c r="V57" s="6">
        <f t="shared" si="45"/>
        <v>0</v>
      </c>
      <c r="W57" s="2"/>
      <c r="X57" s="7">
        <f t="shared" si="46"/>
        <v>-148.77999999999997</v>
      </c>
      <c r="Y57" s="2"/>
      <c r="Z57" s="6">
        <f t="shared" si="47"/>
        <v>-0.24796666666666661</v>
      </c>
    </row>
    <row r="58" spans="1:26" s="26" customFormat="1" outlineLevel="1" collapsed="1" x14ac:dyDescent="0.25">
      <c r="A58" s="27"/>
      <c r="B58" s="13" t="str">
        <f>CONCATENATE("     ","Freight out/Postage                               ")</f>
        <v xml:space="preserve">     Freight out/Postage                               </v>
      </c>
      <c r="C58" s="13"/>
      <c r="D58" s="1">
        <f>SUM(OSRRefD22_9x_0)</f>
        <v>0</v>
      </c>
      <c r="E58" s="1"/>
      <c r="F58" s="5">
        <f t="shared" si="40"/>
        <v>0</v>
      </c>
      <c r="G58" s="1"/>
      <c r="H58" s="1">
        <f>SUM(OSRRefH22_9x_0)</f>
        <v>30</v>
      </c>
      <c r="I58" s="1"/>
      <c r="J58" s="5">
        <f t="shared" si="41"/>
        <v>0</v>
      </c>
      <c r="K58" s="1"/>
      <c r="L58" s="1">
        <f t="shared" si="42"/>
        <v>-30</v>
      </c>
      <c r="M58" s="1"/>
      <c r="N58" s="5">
        <f t="shared" si="43"/>
        <v>-1</v>
      </c>
      <c r="O58" s="13"/>
      <c r="P58" s="1">
        <f>SUM(OSRRefP22_9x_0)</f>
        <v>0</v>
      </c>
      <c r="Q58" s="1"/>
      <c r="R58" s="5">
        <f t="shared" si="44"/>
        <v>0</v>
      </c>
      <c r="S58" s="1"/>
      <c r="T58" s="1">
        <f>SUM(OSRRefT22_9x_0)</f>
        <v>90</v>
      </c>
      <c r="U58" s="1"/>
      <c r="V58" s="5">
        <f t="shared" si="45"/>
        <v>0</v>
      </c>
      <c r="W58" s="1"/>
      <c r="X58" s="1">
        <f t="shared" si="46"/>
        <v>-90</v>
      </c>
      <c r="Y58" s="1"/>
      <c r="Z58" s="5">
        <f t="shared" si="47"/>
        <v>-1</v>
      </c>
    </row>
    <row r="59" spans="1:26" s="24" customFormat="1" hidden="1" outlineLevel="2" x14ac:dyDescent="0.25">
      <c r="A59" s="25"/>
      <c r="B59" s="11" t="str">
        <f>CONCATENATE("          ", "6307", " - ", "POSTAGE")</f>
        <v xml:space="preserve">          6307 - POSTAGE</v>
      </c>
      <c r="C59" s="11"/>
      <c r="D59" s="7"/>
      <c r="E59" s="2"/>
      <c r="F59" s="6">
        <f t="shared" si="40"/>
        <v>0</v>
      </c>
      <c r="G59" s="2"/>
      <c r="H59" s="7">
        <v>30</v>
      </c>
      <c r="I59" s="2"/>
      <c r="J59" s="6">
        <f t="shared" si="41"/>
        <v>0</v>
      </c>
      <c r="K59" s="2"/>
      <c r="L59" s="7">
        <f t="shared" si="42"/>
        <v>-30</v>
      </c>
      <c r="M59" s="2"/>
      <c r="N59" s="6">
        <f t="shared" si="43"/>
        <v>-1</v>
      </c>
      <c r="O59" s="11"/>
      <c r="P59" s="7"/>
      <c r="Q59" s="2"/>
      <c r="R59" s="6">
        <f t="shared" si="44"/>
        <v>0</v>
      </c>
      <c r="S59" s="2"/>
      <c r="T59" s="7">
        <v>90</v>
      </c>
      <c r="U59" s="2"/>
      <c r="V59" s="6">
        <f t="shared" si="45"/>
        <v>0</v>
      </c>
      <c r="W59" s="2"/>
      <c r="X59" s="7">
        <f t="shared" si="46"/>
        <v>-90</v>
      </c>
      <c r="Y59" s="2"/>
      <c r="Z59" s="6">
        <f t="shared" si="47"/>
        <v>-1</v>
      </c>
    </row>
    <row r="60" spans="1:26" s="26" customFormat="1" outlineLevel="1" collapsed="1" x14ac:dyDescent="0.25">
      <c r="A60" s="27"/>
      <c r="B60" s="13" t="str">
        <f>CONCATENATE("     ","General                                           ")</f>
        <v xml:space="preserve">     General                                           </v>
      </c>
      <c r="C60" s="13"/>
      <c r="D60" s="1">
        <f>SUM(OSRRefD22_10x_0)</f>
        <v>53.67</v>
      </c>
      <c r="E60" s="1"/>
      <c r="F60" s="5">
        <f t="shared" si="40"/>
        <v>0</v>
      </c>
      <c r="G60" s="1"/>
      <c r="H60" s="1">
        <f>SUM(OSRRefH22_10x_0)</f>
        <v>100</v>
      </c>
      <c r="I60" s="1"/>
      <c r="J60" s="5">
        <f t="shared" si="41"/>
        <v>0</v>
      </c>
      <c r="K60" s="1"/>
      <c r="L60" s="1">
        <f t="shared" si="42"/>
        <v>-46.33</v>
      </c>
      <c r="M60" s="1"/>
      <c r="N60" s="5">
        <f t="shared" si="43"/>
        <v>-0.46329999999999999</v>
      </c>
      <c r="O60" s="13"/>
      <c r="P60" s="1">
        <f>SUM(OSRRefP22_10x_0)</f>
        <v>-14984.3</v>
      </c>
      <c r="Q60" s="1"/>
      <c r="R60" s="5">
        <f t="shared" si="44"/>
        <v>0</v>
      </c>
      <c r="S60" s="1"/>
      <c r="T60" s="1">
        <f>SUM(OSRRefT22_10x_0)</f>
        <v>300</v>
      </c>
      <c r="U60" s="1"/>
      <c r="V60" s="5">
        <f t="shared" si="45"/>
        <v>0</v>
      </c>
      <c r="W60" s="1"/>
      <c r="X60" s="1">
        <f t="shared" si="46"/>
        <v>-15284.3</v>
      </c>
      <c r="Y60" s="1"/>
      <c r="Z60" s="5">
        <f t="shared" si="47"/>
        <v>-50.947666666666663</v>
      </c>
    </row>
    <row r="61" spans="1:26" s="24" customFormat="1" hidden="1" outlineLevel="2" x14ac:dyDescent="0.25">
      <c r="A61" s="25"/>
      <c r="B61" s="11" t="str">
        <f>CONCATENATE("          ", "6279", " - ", "GENERAL EXPENSE")</f>
        <v xml:space="preserve">          6279 - GENERAL EXPENSE</v>
      </c>
      <c r="C61" s="11"/>
      <c r="D61" s="7">
        <v>53.67</v>
      </c>
      <c r="E61" s="2"/>
      <c r="F61" s="6">
        <f t="shared" si="40"/>
        <v>0</v>
      </c>
      <c r="G61" s="2"/>
      <c r="H61" s="7">
        <v>100</v>
      </c>
      <c r="I61" s="2"/>
      <c r="J61" s="6">
        <f t="shared" si="41"/>
        <v>0</v>
      </c>
      <c r="K61" s="2"/>
      <c r="L61" s="7">
        <f t="shared" si="42"/>
        <v>-46.33</v>
      </c>
      <c r="M61" s="2"/>
      <c r="N61" s="6">
        <f t="shared" si="43"/>
        <v>-0.46329999999999999</v>
      </c>
      <c r="O61" s="11"/>
      <c r="P61" s="7">
        <v>-14984.3</v>
      </c>
      <c r="Q61" s="2"/>
      <c r="R61" s="6">
        <f t="shared" si="44"/>
        <v>0</v>
      </c>
      <c r="S61" s="2"/>
      <c r="T61" s="7">
        <v>300</v>
      </c>
      <c r="U61" s="2"/>
      <c r="V61" s="6">
        <f t="shared" si="45"/>
        <v>0</v>
      </c>
      <c r="W61" s="2"/>
      <c r="X61" s="7">
        <f t="shared" si="46"/>
        <v>-15284.3</v>
      </c>
      <c r="Y61" s="2"/>
      <c r="Z61" s="6">
        <f t="shared" si="47"/>
        <v>-50.947666666666663</v>
      </c>
    </row>
    <row r="62" spans="1:26" s="26" customFormat="1" outlineLevel="1" collapsed="1" x14ac:dyDescent="0.25">
      <c r="A62" s="27"/>
      <c r="B62" s="13" t="str">
        <f>CONCATENATE("     ","Insurance                                         ")</f>
        <v xml:space="preserve">     Insurance                                         </v>
      </c>
      <c r="C62" s="13"/>
      <c r="D62" s="1">
        <f>SUM(OSRRefD22_11x_0)</f>
        <v>3883.56</v>
      </c>
      <c r="E62" s="1"/>
      <c r="F62" s="5">
        <f t="shared" si="40"/>
        <v>0</v>
      </c>
      <c r="G62" s="1"/>
      <c r="H62" s="1">
        <f>SUM(OSRRefH22_11x_0)</f>
        <v>3660</v>
      </c>
      <c r="I62" s="1"/>
      <c r="J62" s="5">
        <f t="shared" si="41"/>
        <v>0</v>
      </c>
      <c r="K62" s="1"/>
      <c r="L62" s="1">
        <f t="shared" si="42"/>
        <v>223.55999999999995</v>
      </c>
      <c r="M62" s="1"/>
      <c r="N62" s="5">
        <f t="shared" si="43"/>
        <v>6.1081967213114742E-2</v>
      </c>
      <c r="O62" s="13"/>
      <c r="P62" s="1">
        <f>SUM(OSRRefP22_11x_0)</f>
        <v>11650.68</v>
      </c>
      <c r="Q62" s="1"/>
      <c r="R62" s="5">
        <f t="shared" si="44"/>
        <v>0</v>
      </c>
      <c r="S62" s="1"/>
      <c r="T62" s="1">
        <f>SUM(OSRRefT22_11x_0)</f>
        <v>10980</v>
      </c>
      <c r="U62" s="1"/>
      <c r="V62" s="5">
        <f t="shared" si="45"/>
        <v>0</v>
      </c>
      <c r="W62" s="1"/>
      <c r="X62" s="1">
        <f t="shared" si="46"/>
        <v>670.68000000000029</v>
      </c>
      <c r="Y62" s="1"/>
      <c r="Z62" s="5">
        <f t="shared" si="47"/>
        <v>6.1081967213114784E-2</v>
      </c>
    </row>
    <row r="63" spans="1:26" s="24" customFormat="1" hidden="1" outlineLevel="2" x14ac:dyDescent="0.25">
      <c r="A63" s="25"/>
      <c r="B63" s="11" t="str">
        <f>CONCATENATE("          ", "6314", " - ", "LIABILITY INSURANCE")</f>
        <v xml:space="preserve">          6314 - LIABILITY INSURANCE</v>
      </c>
      <c r="C63" s="11"/>
      <c r="D63" s="7">
        <v>3883.56</v>
      </c>
      <c r="E63" s="2"/>
      <c r="F63" s="6">
        <f t="shared" si="40"/>
        <v>0</v>
      </c>
      <c r="G63" s="2"/>
      <c r="H63" s="7">
        <v>3660</v>
      </c>
      <c r="I63" s="2"/>
      <c r="J63" s="6">
        <f t="shared" si="41"/>
        <v>0</v>
      </c>
      <c r="K63" s="2"/>
      <c r="L63" s="7">
        <f t="shared" si="42"/>
        <v>223.55999999999995</v>
      </c>
      <c r="M63" s="2"/>
      <c r="N63" s="6">
        <f t="shared" si="43"/>
        <v>6.1081967213114742E-2</v>
      </c>
      <c r="O63" s="11"/>
      <c r="P63" s="7">
        <v>11650.68</v>
      </c>
      <c r="Q63" s="2"/>
      <c r="R63" s="6">
        <f t="shared" si="44"/>
        <v>0</v>
      </c>
      <c r="S63" s="2"/>
      <c r="T63" s="7">
        <v>10980</v>
      </c>
      <c r="U63" s="2"/>
      <c r="V63" s="6">
        <f t="shared" si="45"/>
        <v>0</v>
      </c>
      <c r="W63" s="2"/>
      <c r="X63" s="7">
        <f t="shared" si="46"/>
        <v>670.68000000000029</v>
      </c>
      <c r="Y63" s="2"/>
      <c r="Z63" s="6">
        <f t="shared" si="47"/>
        <v>6.1081967213114784E-2</v>
      </c>
    </row>
    <row r="64" spans="1:26" s="26" customFormat="1" outlineLevel="1" collapsed="1" x14ac:dyDescent="0.25">
      <c r="A64" s="27"/>
      <c r="B64" s="13" t="str">
        <f>CONCATENATE("     ","Inventory Adjustment                              ")</f>
        <v xml:space="preserve">     Inventory Adjustment                              </v>
      </c>
      <c r="C64" s="13"/>
      <c r="D64" s="1">
        <f>SUM(OSRRefD22_12x_0)</f>
        <v>0</v>
      </c>
      <c r="E64" s="1"/>
      <c r="F64" s="5">
        <f t="shared" si="40"/>
        <v>0</v>
      </c>
      <c r="G64" s="1"/>
      <c r="H64" s="1">
        <f>SUM(OSRRefH22_12x_0)</f>
        <v>0</v>
      </c>
      <c r="I64" s="1"/>
      <c r="J64" s="5">
        <f t="shared" si="41"/>
        <v>0</v>
      </c>
      <c r="K64" s="1"/>
      <c r="L64" s="1">
        <f t="shared" si="42"/>
        <v>0</v>
      </c>
      <c r="M64" s="1"/>
      <c r="N64" s="5">
        <f t="shared" si="43"/>
        <v>0</v>
      </c>
      <c r="O64" s="13"/>
      <c r="P64" s="1">
        <f>SUM(OSRRefP22_12x_0)</f>
        <v>0</v>
      </c>
      <c r="Q64" s="1"/>
      <c r="R64" s="5">
        <f t="shared" si="44"/>
        <v>0</v>
      </c>
      <c r="S64" s="1"/>
      <c r="T64" s="1">
        <f>SUM(OSRRefT22_12x_0)</f>
        <v>0</v>
      </c>
      <c r="U64" s="1"/>
      <c r="V64" s="5">
        <f t="shared" si="45"/>
        <v>0</v>
      </c>
      <c r="W64" s="1"/>
      <c r="X64" s="1">
        <f t="shared" si="46"/>
        <v>0</v>
      </c>
      <c r="Y64" s="1"/>
      <c r="Z64" s="5">
        <f t="shared" si="47"/>
        <v>0</v>
      </c>
    </row>
    <row r="65" spans="1:26" s="24" customFormat="1" hidden="1" outlineLevel="2" x14ac:dyDescent="0.25">
      <c r="A65" s="25"/>
      <c r="B65" s="11" t="str">
        <f>CONCATENATE("          ", "6408", " - ", "INVENTORY ADJUSTMENT")</f>
        <v xml:space="preserve">          6408 - INVENTORY ADJUSTMENT</v>
      </c>
      <c r="C65" s="11"/>
      <c r="D65" s="7"/>
      <c r="E65" s="2"/>
      <c r="F65" s="6">
        <f t="shared" si="40"/>
        <v>0</v>
      </c>
      <c r="G65" s="2"/>
      <c r="H65" s="7">
        <v>0</v>
      </c>
      <c r="I65" s="2"/>
      <c r="J65" s="6">
        <f t="shared" si="41"/>
        <v>0</v>
      </c>
      <c r="K65" s="2"/>
      <c r="L65" s="7">
        <f t="shared" si="42"/>
        <v>0</v>
      </c>
      <c r="M65" s="2"/>
      <c r="N65" s="6">
        <f t="shared" si="43"/>
        <v>0</v>
      </c>
      <c r="O65" s="11"/>
      <c r="P65" s="7"/>
      <c r="Q65" s="2"/>
      <c r="R65" s="6">
        <f t="shared" si="44"/>
        <v>0</v>
      </c>
      <c r="S65" s="2"/>
      <c r="T65" s="7">
        <v>0</v>
      </c>
      <c r="U65" s="2"/>
      <c r="V65" s="6">
        <f t="shared" si="45"/>
        <v>0</v>
      </c>
      <c r="W65" s="2"/>
      <c r="X65" s="7">
        <f t="shared" si="46"/>
        <v>0</v>
      </c>
      <c r="Y65" s="2"/>
      <c r="Z65" s="6">
        <f t="shared" si="47"/>
        <v>0</v>
      </c>
    </row>
    <row r="66" spans="1:26" s="26" customFormat="1" outlineLevel="1" collapsed="1" x14ac:dyDescent="0.25">
      <c r="A66" s="27"/>
      <c r="B66" s="13" t="str">
        <f>CONCATENATE("     ","Professional Services                             ")</f>
        <v xml:space="preserve">     Professional Services                             </v>
      </c>
      <c r="C66" s="13"/>
      <c r="D66" s="1">
        <f>SUM(OSRRefD22_13x_0)</f>
        <v>0</v>
      </c>
      <c r="E66" s="1"/>
      <c r="F66" s="5">
        <f t="shared" si="40"/>
        <v>0</v>
      </c>
      <c r="G66" s="1"/>
      <c r="H66" s="1">
        <f>SUM(OSRRefH22_13x_0)</f>
        <v>900</v>
      </c>
      <c r="I66" s="1"/>
      <c r="J66" s="5">
        <f t="shared" si="41"/>
        <v>0</v>
      </c>
      <c r="K66" s="1"/>
      <c r="L66" s="1">
        <f t="shared" si="42"/>
        <v>-900</v>
      </c>
      <c r="M66" s="1"/>
      <c r="N66" s="5">
        <f t="shared" si="43"/>
        <v>-1</v>
      </c>
      <c r="O66" s="13"/>
      <c r="P66" s="1">
        <f>SUM(OSRRefP22_13x_0)</f>
        <v>4658.41</v>
      </c>
      <c r="Q66" s="1"/>
      <c r="R66" s="5">
        <f t="shared" si="44"/>
        <v>0</v>
      </c>
      <c r="S66" s="1"/>
      <c r="T66" s="1">
        <f>SUM(OSRRefT22_13x_0)</f>
        <v>2700</v>
      </c>
      <c r="U66" s="1"/>
      <c r="V66" s="5">
        <f t="shared" si="45"/>
        <v>0</v>
      </c>
      <c r="W66" s="1"/>
      <c r="X66" s="1">
        <f t="shared" si="46"/>
        <v>1958.4099999999999</v>
      </c>
      <c r="Y66" s="1"/>
      <c r="Z66" s="5">
        <f t="shared" si="47"/>
        <v>0.725337037037037</v>
      </c>
    </row>
    <row r="67" spans="1:26" s="24" customFormat="1" hidden="1" outlineLevel="2" x14ac:dyDescent="0.25">
      <c r="A67" s="25"/>
      <c r="B67" s="11" t="str">
        <f>CONCATENATE("          ", "6336", " - ", "PROFESSIONAL SERVICES")</f>
        <v xml:space="preserve">          6336 - PROFESSIONAL SERVICES</v>
      </c>
      <c r="C67" s="11"/>
      <c r="D67" s="7"/>
      <c r="E67" s="2"/>
      <c r="F67" s="6">
        <f t="shared" si="40"/>
        <v>0</v>
      </c>
      <c r="G67" s="2"/>
      <c r="H67" s="7">
        <v>900</v>
      </c>
      <c r="I67" s="2"/>
      <c r="J67" s="6">
        <f t="shared" si="41"/>
        <v>0</v>
      </c>
      <c r="K67" s="2"/>
      <c r="L67" s="7">
        <f t="shared" si="42"/>
        <v>-900</v>
      </c>
      <c r="M67" s="2"/>
      <c r="N67" s="6">
        <f t="shared" si="43"/>
        <v>-1</v>
      </c>
      <c r="O67" s="11"/>
      <c r="P67" s="7">
        <v>4658.41</v>
      </c>
      <c r="Q67" s="2"/>
      <c r="R67" s="6">
        <f t="shared" si="44"/>
        <v>0</v>
      </c>
      <c r="S67" s="2"/>
      <c r="T67" s="7">
        <v>2700</v>
      </c>
      <c r="U67" s="2"/>
      <c r="V67" s="6">
        <f t="shared" si="45"/>
        <v>0</v>
      </c>
      <c r="W67" s="2"/>
      <c r="X67" s="7">
        <f t="shared" si="46"/>
        <v>1958.4099999999999</v>
      </c>
      <c r="Y67" s="2"/>
      <c r="Z67" s="6">
        <f t="shared" si="47"/>
        <v>0.725337037037037</v>
      </c>
    </row>
    <row r="68" spans="1:26" s="26" customFormat="1" outlineLevel="1" collapsed="1" x14ac:dyDescent="0.25">
      <c r="A68" s="27"/>
      <c r="B68" s="13" t="str">
        <f>CONCATENATE("     ","Rent                                              ")</f>
        <v xml:space="preserve">     Rent                                              </v>
      </c>
      <c r="C68" s="13"/>
      <c r="D68" s="1">
        <f>SUM(OSRRefD22_14x_0)</f>
        <v>-800</v>
      </c>
      <c r="E68" s="1"/>
      <c r="F68" s="5">
        <f t="shared" si="40"/>
        <v>0</v>
      </c>
      <c r="G68" s="1"/>
      <c r="H68" s="1">
        <f>SUM(OSRRefH22_14x_0)</f>
        <v>-800</v>
      </c>
      <c r="I68" s="1"/>
      <c r="J68" s="5">
        <f t="shared" si="41"/>
        <v>0</v>
      </c>
      <c r="K68" s="1"/>
      <c r="L68" s="1">
        <f t="shared" si="42"/>
        <v>0</v>
      </c>
      <c r="M68" s="1"/>
      <c r="N68" s="5">
        <f t="shared" si="43"/>
        <v>0</v>
      </c>
      <c r="O68" s="13"/>
      <c r="P68" s="1">
        <f>SUM(OSRRefP22_14x_0)</f>
        <v>-2400</v>
      </c>
      <c r="Q68" s="1"/>
      <c r="R68" s="5">
        <f t="shared" si="44"/>
        <v>0</v>
      </c>
      <c r="S68" s="1"/>
      <c r="T68" s="1">
        <f>SUM(OSRRefT22_14x_0)</f>
        <v>-2400</v>
      </c>
      <c r="U68" s="1"/>
      <c r="V68" s="5">
        <f t="shared" si="45"/>
        <v>0</v>
      </c>
      <c r="W68" s="1"/>
      <c r="X68" s="1">
        <f t="shared" si="46"/>
        <v>0</v>
      </c>
      <c r="Y68" s="1"/>
      <c r="Z68" s="5">
        <f t="shared" si="47"/>
        <v>0</v>
      </c>
    </row>
    <row r="69" spans="1:26" s="24" customFormat="1" hidden="1" outlineLevel="2" x14ac:dyDescent="0.25">
      <c r="A69" s="25"/>
      <c r="B69" s="11" t="str">
        <f>CONCATENATE("          ", "6273", " - ", "RENT")</f>
        <v xml:space="preserve">          6273 - RENT</v>
      </c>
      <c r="C69" s="11"/>
      <c r="D69" s="7">
        <v>-800</v>
      </c>
      <c r="E69" s="2"/>
      <c r="F69" s="6">
        <f t="shared" si="40"/>
        <v>0</v>
      </c>
      <c r="G69" s="2"/>
      <c r="H69" s="7">
        <v>-800</v>
      </c>
      <c r="I69" s="2"/>
      <c r="J69" s="6">
        <f t="shared" si="41"/>
        <v>0</v>
      </c>
      <c r="K69" s="2"/>
      <c r="L69" s="7">
        <f t="shared" si="42"/>
        <v>0</v>
      </c>
      <c r="M69" s="2"/>
      <c r="N69" s="6">
        <f t="shared" si="43"/>
        <v>0</v>
      </c>
      <c r="O69" s="11"/>
      <c r="P69" s="7">
        <v>-2400</v>
      </c>
      <c r="Q69" s="2"/>
      <c r="R69" s="6">
        <f t="shared" si="44"/>
        <v>0</v>
      </c>
      <c r="S69" s="2"/>
      <c r="T69" s="7">
        <v>-2400</v>
      </c>
      <c r="U69" s="2"/>
      <c r="V69" s="6">
        <f t="shared" si="45"/>
        <v>0</v>
      </c>
      <c r="W69" s="2"/>
      <c r="X69" s="7">
        <f t="shared" si="46"/>
        <v>0</v>
      </c>
      <c r="Y69" s="2"/>
      <c r="Z69" s="6">
        <f t="shared" si="47"/>
        <v>0</v>
      </c>
    </row>
    <row r="70" spans="1:26" s="26" customFormat="1" outlineLevel="1" collapsed="1" x14ac:dyDescent="0.25">
      <c r="A70" s="27"/>
      <c r="B70" s="13" t="str">
        <f>CONCATENATE("     ","Repair and Maintenance                            ")</f>
        <v xml:space="preserve">     Repair and Maintenance                            </v>
      </c>
      <c r="C70" s="13"/>
      <c r="D70" s="1">
        <f>SUM(OSRRefD22_15x_0)</f>
        <v>3994.06</v>
      </c>
      <c r="E70" s="1"/>
      <c r="F70" s="5">
        <f t="shared" si="40"/>
        <v>0</v>
      </c>
      <c r="G70" s="1"/>
      <c r="H70" s="1">
        <f>SUM(OSRRefH22_15x_0)</f>
        <v>7000</v>
      </c>
      <c r="I70" s="1"/>
      <c r="J70" s="5">
        <f t="shared" si="41"/>
        <v>0</v>
      </c>
      <c r="K70" s="1"/>
      <c r="L70" s="1">
        <f t="shared" si="42"/>
        <v>-3005.94</v>
      </c>
      <c r="M70" s="1"/>
      <c r="N70" s="5">
        <f t="shared" si="43"/>
        <v>-0.42942000000000002</v>
      </c>
      <c r="O70" s="13"/>
      <c r="P70" s="1">
        <f>SUM(OSRRefP22_15x_0)</f>
        <v>29812.42</v>
      </c>
      <c r="Q70" s="1"/>
      <c r="R70" s="5">
        <f t="shared" si="44"/>
        <v>0</v>
      </c>
      <c r="S70" s="1"/>
      <c r="T70" s="1">
        <f>SUM(OSRRefT22_15x_0)</f>
        <v>63285</v>
      </c>
      <c r="U70" s="1"/>
      <c r="V70" s="5">
        <f t="shared" si="45"/>
        <v>0</v>
      </c>
      <c r="W70" s="1"/>
      <c r="X70" s="1">
        <f t="shared" si="46"/>
        <v>-33472.58</v>
      </c>
      <c r="Y70" s="1"/>
      <c r="Z70" s="5">
        <f t="shared" si="47"/>
        <v>-0.52891806905269811</v>
      </c>
    </row>
    <row r="71" spans="1:26" s="24" customFormat="1" hidden="1" outlineLevel="2" x14ac:dyDescent="0.25">
      <c r="A71" s="25"/>
      <c r="B71" s="11" t="str">
        <f>CONCATENATE("          ", "6371", " - ", "COMPUTER SOFTWARE MAINTENANCE")</f>
        <v xml:space="preserve">          6371 - COMPUTER SOFTWARE MAINTENANCE</v>
      </c>
      <c r="C71" s="11"/>
      <c r="D71" s="7">
        <v>3662.15</v>
      </c>
      <c r="E71" s="2"/>
      <c r="F71" s="6">
        <f t="shared" si="40"/>
        <v>0</v>
      </c>
      <c r="G71" s="2"/>
      <c r="H71" s="7"/>
      <c r="I71" s="2"/>
      <c r="J71" s="6">
        <f t="shared" si="41"/>
        <v>0</v>
      </c>
      <c r="K71" s="2"/>
      <c r="L71" s="7">
        <f t="shared" si="42"/>
        <v>3662.15</v>
      </c>
      <c r="M71" s="2"/>
      <c r="N71" s="6">
        <f t="shared" si="43"/>
        <v>0</v>
      </c>
      <c r="O71" s="11"/>
      <c r="P71" s="7">
        <v>12150.4</v>
      </c>
      <c r="Q71" s="2"/>
      <c r="R71" s="6">
        <f t="shared" si="44"/>
        <v>0</v>
      </c>
      <c r="S71" s="2"/>
      <c r="T71" s="7">
        <v>48535</v>
      </c>
      <c r="U71" s="2"/>
      <c r="V71" s="6">
        <f t="shared" si="45"/>
        <v>0</v>
      </c>
      <c r="W71" s="2"/>
      <c r="X71" s="7">
        <f t="shared" si="46"/>
        <v>-36384.6</v>
      </c>
      <c r="Y71" s="2"/>
      <c r="Z71" s="6">
        <f t="shared" si="47"/>
        <v>-0.74965694859379828</v>
      </c>
    </row>
    <row r="72" spans="1:26" s="24" customFormat="1" hidden="1" outlineLevel="2" x14ac:dyDescent="0.25">
      <c r="A72" s="25"/>
      <c r="B72" s="11" t="str">
        <f>CONCATENATE("          ", "6373", " - ", "MAINTENANCE CONTRACTS")</f>
        <v xml:space="preserve">          6373 - MAINTENANCE CONTRACTS</v>
      </c>
      <c r="C72" s="11"/>
      <c r="D72" s="7"/>
      <c r="E72" s="2"/>
      <c r="F72" s="6">
        <f t="shared" si="40"/>
        <v>0</v>
      </c>
      <c r="G72" s="2"/>
      <c r="H72" s="7"/>
      <c r="I72" s="2"/>
      <c r="J72" s="6">
        <f t="shared" si="41"/>
        <v>0</v>
      </c>
      <c r="K72" s="2"/>
      <c r="L72" s="7">
        <f t="shared" si="42"/>
        <v>0</v>
      </c>
      <c r="M72" s="2"/>
      <c r="N72" s="6">
        <f t="shared" si="43"/>
        <v>0</v>
      </c>
      <c r="O72" s="11"/>
      <c r="P72" s="7">
        <v>516</v>
      </c>
      <c r="Q72" s="2"/>
      <c r="R72" s="6">
        <f t="shared" si="44"/>
        <v>0</v>
      </c>
      <c r="S72" s="2"/>
      <c r="T72" s="7"/>
      <c r="U72" s="2"/>
      <c r="V72" s="6">
        <f t="shared" si="45"/>
        <v>0</v>
      </c>
      <c r="W72" s="2"/>
      <c r="X72" s="7">
        <f t="shared" si="46"/>
        <v>516</v>
      </c>
      <c r="Y72" s="2"/>
      <c r="Z72" s="6">
        <f t="shared" si="47"/>
        <v>0</v>
      </c>
    </row>
    <row r="73" spans="1:26" s="24" customFormat="1" hidden="1" outlineLevel="2" x14ac:dyDescent="0.25">
      <c r="A73" s="25"/>
      <c r="B73" s="11" t="str">
        <f>CONCATENATE("          ", "6375", " - ", "OUTSIDE REPAIRS &amp; MAINTENANCE")</f>
        <v xml:space="preserve">          6375 - OUTSIDE REPAIRS &amp; MAINTENANCE</v>
      </c>
      <c r="C73" s="11"/>
      <c r="D73" s="7">
        <v>331.91</v>
      </c>
      <c r="E73" s="2"/>
      <c r="F73" s="6">
        <f t="shared" si="40"/>
        <v>0</v>
      </c>
      <c r="G73" s="2"/>
      <c r="H73" s="7">
        <v>7000</v>
      </c>
      <c r="I73" s="2"/>
      <c r="J73" s="6">
        <f t="shared" si="41"/>
        <v>0</v>
      </c>
      <c r="K73" s="2"/>
      <c r="L73" s="7">
        <f t="shared" si="42"/>
        <v>-6668.09</v>
      </c>
      <c r="M73" s="2"/>
      <c r="N73" s="6">
        <f t="shared" si="43"/>
        <v>-0.95258428571428577</v>
      </c>
      <c r="O73" s="11"/>
      <c r="P73" s="7">
        <v>17146.02</v>
      </c>
      <c r="Q73" s="2"/>
      <c r="R73" s="6">
        <f t="shared" si="44"/>
        <v>0</v>
      </c>
      <c r="S73" s="2"/>
      <c r="T73" s="7">
        <v>14750</v>
      </c>
      <c r="U73" s="2"/>
      <c r="V73" s="6">
        <f t="shared" si="45"/>
        <v>0</v>
      </c>
      <c r="W73" s="2"/>
      <c r="X73" s="7">
        <f t="shared" si="46"/>
        <v>2396.0200000000004</v>
      </c>
      <c r="Y73" s="2"/>
      <c r="Z73" s="6">
        <f t="shared" si="47"/>
        <v>0.16244203389830511</v>
      </c>
    </row>
    <row r="74" spans="1:26" s="26" customFormat="1" outlineLevel="1" collapsed="1" x14ac:dyDescent="0.25">
      <c r="A74" s="27"/>
      <c r="B74" s="13" t="str">
        <f>CONCATENATE("     ","Services                                          ")</f>
        <v xml:space="preserve">     Services                                          </v>
      </c>
      <c r="C74" s="13"/>
      <c r="D74" s="1">
        <f>SUM(OSRRefD22_16x_0)</f>
        <v>3447.04</v>
      </c>
      <c r="E74" s="1"/>
      <c r="F74" s="5">
        <f t="shared" ref="F74:F77" si="48">IF(D$12=0,0,D74/D$12)</f>
        <v>0</v>
      </c>
      <c r="G74" s="1"/>
      <c r="H74" s="1">
        <f>SUM(OSRRefH22_16x_0)</f>
        <v>4100</v>
      </c>
      <c r="I74" s="1"/>
      <c r="J74" s="5">
        <f t="shared" ref="J74:J77" si="49">IF(H$12=0,0,H74/H$12)</f>
        <v>0</v>
      </c>
      <c r="K74" s="1"/>
      <c r="L74" s="1">
        <f t="shared" ref="L74:L77" si="50">+D74-H74</f>
        <v>-652.96</v>
      </c>
      <c r="M74" s="1"/>
      <c r="N74" s="5">
        <f t="shared" ref="N74:N77" si="51">IF(H74=0,0,L74/H74)</f>
        <v>-0.15925853658536587</v>
      </c>
      <c r="O74" s="13"/>
      <c r="P74" s="1">
        <f>SUM(OSRRefP22_16x_0)</f>
        <v>11807.12</v>
      </c>
      <c r="Q74" s="1"/>
      <c r="R74" s="5">
        <f t="shared" ref="R74:R77" si="52">IF(P$12=0,0,P74/P$12)</f>
        <v>0</v>
      </c>
      <c r="S74" s="1"/>
      <c r="T74" s="1">
        <f>SUM(OSRRefT22_16x_0)</f>
        <v>12300</v>
      </c>
      <c r="U74" s="1"/>
      <c r="V74" s="5">
        <f t="shared" ref="V74:V77" si="53">IF(T$12=0,0,T74/T$12)</f>
        <v>0</v>
      </c>
      <c r="W74" s="1"/>
      <c r="X74" s="1">
        <f t="shared" ref="X74:X77" si="54">+P74-T74</f>
        <v>-492.8799999999992</v>
      </c>
      <c r="Y74" s="1"/>
      <c r="Z74" s="5">
        <f t="shared" ref="Z74:Z77" si="55">IF(T74=0,0,X74/T74)</f>
        <v>-4.0071544715447091E-2</v>
      </c>
    </row>
    <row r="75" spans="1:26" s="24" customFormat="1" hidden="1" outlineLevel="2" x14ac:dyDescent="0.25">
      <c r="A75" s="25"/>
      <c r="B75" s="11" t="str">
        <f>CONCATENATE("          ", "6282", " - ", "JANITORIAL/EXTERMINATOR EXPENS")</f>
        <v xml:space="preserve">          6282 - JANITORIAL/EXTERMINATOR EXPENS</v>
      </c>
      <c r="C75" s="11"/>
      <c r="D75" s="7">
        <v>222.5</v>
      </c>
      <c r="E75" s="2"/>
      <c r="F75" s="6">
        <f t="shared" si="48"/>
        <v>0</v>
      </c>
      <c r="G75" s="2"/>
      <c r="H75" s="7"/>
      <c r="I75" s="2"/>
      <c r="J75" s="6">
        <f t="shared" si="49"/>
        <v>0</v>
      </c>
      <c r="K75" s="2"/>
      <c r="L75" s="7">
        <f t="shared" si="50"/>
        <v>222.5</v>
      </c>
      <c r="M75" s="2"/>
      <c r="N75" s="6">
        <f t="shared" si="51"/>
        <v>0</v>
      </c>
      <c r="O75" s="11"/>
      <c r="P75" s="7">
        <v>667.5</v>
      </c>
      <c r="Q75" s="2"/>
      <c r="R75" s="6">
        <f t="shared" si="52"/>
        <v>0</v>
      </c>
      <c r="S75" s="2"/>
      <c r="T75" s="7"/>
      <c r="U75" s="2"/>
      <c r="V75" s="6">
        <f t="shared" si="53"/>
        <v>0</v>
      </c>
      <c r="W75" s="2"/>
      <c r="X75" s="7">
        <f t="shared" si="54"/>
        <v>667.5</v>
      </c>
      <c r="Y75" s="2"/>
      <c r="Z75" s="6">
        <f t="shared" si="55"/>
        <v>0</v>
      </c>
    </row>
    <row r="76" spans="1:26" s="24" customFormat="1" hidden="1" outlineLevel="2" x14ac:dyDescent="0.25">
      <c r="A76" s="25"/>
      <c r="B76" s="11" t="str">
        <f>CONCATENATE("          ", "6283", " - ", "PLANT SERVICE")</f>
        <v xml:space="preserve">          6283 - PLANT SERVICE</v>
      </c>
      <c r="C76" s="11"/>
      <c r="D76" s="7">
        <v>121.11</v>
      </c>
      <c r="E76" s="2"/>
      <c r="F76" s="6">
        <f t="shared" si="48"/>
        <v>0</v>
      </c>
      <c r="G76" s="2"/>
      <c r="H76" s="7"/>
      <c r="I76" s="2"/>
      <c r="J76" s="6">
        <f t="shared" si="49"/>
        <v>0</v>
      </c>
      <c r="K76" s="2"/>
      <c r="L76" s="7">
        <f t="shared" si="50"/>
        <v>121.11</v>
      </c>
      <c r="M76" s="2"/>
      <c r="N76" s="6">
        <f t="shared" si="51"/>
        <v>0</v>
      </c>
      <c r="O76" s="11"/>
      <c r="P76" s="7">
        <v>363.33</v>
      </c>
      <c r="Q76" s="2"/>
      <c r="R76" s="6">
        <f t="shared" si="52"/>
        <v>0</v>
      </c>
      <c r="S76" s="2"/>
      <c r="T76" s="7"/>
      <c r="U76" s="2"/>
      <c r="V76" s="6">
        <f t="shared" si="53"/>
        <v>0</v>
      </c>
      <c r="W76" s="2"/>
      <c r="X76" s="7">
        <f t="shared" si="54"/>
        <v>363.33</v>
      </c>
      <c r="Y76" s="2"/>
      <c r="Z76" s="6">
        <f t="shared" si="55"/>
        <v>0</v>
      </c>
    </row>
    <row r="77" spans="1:26" s="24" customFormat="1" hidden="1" outlineLevel="2" x14ac:dyDescent="0.25">
      <c r="A77" s="25"/>
      <c r="B77" s="11" t="str">
        <f>CONCATENATE("          ", "6285", " - ", "JANITORIAL SERVICES")</f>
        <v xml:space="preserve">          6285 - JANITORIAL SERVICES</v>
      </c>
      <c r="C77" s="11"/>
      <c r="D77" s="7">
        <v>3103.43</v>
      </c>
      <c r="E77" s="2"/>
      <c r="F77" s="6">
        <f t="shared" si="48"/>
        <v>0</v>
      </c>
      <c r="G77" s="2"/>
      <c r="H77" s="7">
        <v>4100</v>
      </c>
      <c r="I77" s="2"/>
      <c r="J77" s="6">
        <f t="shared" si="49"/>
        <v>0</v>
      </c>
      <c r="K77" s="2"/>
      <c r="L77" s="7">
        <f t="shared" si="50"/>
        <v>-996.57000000000016</v>
      </c>
      <c r="M77" s="2"/>
      <c r="N77" s="6">
        <f t="shared" si="51"/>
        <v>-0.24306585365853661</v>
      </c>
      <c r="O77" s="11"/>
      <c r="P77" s="7">
        <v>10776.29</v>
      </c>
      <c r="Q77" s="2"/>
      <c r="R77" s="6">
        <f t="shared" si="52"/>
        <v>0</v>
      </c>
      <c r="S77" s="2"/>
      <c r="T77" s="7">
        <v>12300</v>
      </c>
      <c r="U77" s="2"/>
      <c r="V77" s="6">
        <f t="shared" si="53"/>
        <v>0</v>
      </c>
      <c r="W77" s="2"/>
      <c r="X77" s="7">
        <f t="shared" si="54"/>
        <v>-1523.7099999999991</v>
      </c>
      <c r="Y77" s="2"/>
      <c r="Z77" s="6">
        <f t="shared" si="55"/>
        <v>-0.12387886178861782</v>
      </c>
    </row>
    <row r="78" spans="1:26" s="26" customFormat="1" outlineLevel="1" collapsed="1" x14ac:dyDescent="0.25">
      <c r="A78" s="27"/>
      <c r="B78" s="13" t="str">
        <f>CONCATENATE("     ","Subscriptions &amp; Dues                              ")</f>
        <v xml:space="preserve">     Subscriptions &amp; Dues                              </v>
      </c>
      <c r="C78" s="13"/>
      <c r="D78" s="1">
        <f>SUM(OSRRefD22_17x_0)</f>
        <v>159.97999999999999</v>
      </c>
      <c r="E78" s="1"/>
      <c r="F78" s="5">
        <f t="shared" ref="F78:F80" si="56">IF(D$12=0,0,D78/D$12)</f>
        <v>0</v>
      </c>
      <c r="G78" s="1"/>
      <c r="H78" s="1">
        <f>SUM(OSRRefH22_17x_0)</f>
        <v>1000</v>
      </c>
      <c r="I78" s="1"/>
      <c r="J78" s="5">
        <f t="shared" ref="J78:J80" si="57">IF(H$12=0,0,H78/H$12)</f>
        <v>0</v>
      </c>
      <c r="K78" s="1"/>
      <c r="L78" s="1">
        <f t="shared" ref="L78:L80" si="58">+D78-H78</f>
        <v>-840.02</v>
      </c>
      <c r="M78" s="1"/>
      <c r="N78" s="5">
        <f t="shared" ref="N78:N80" si="59">IF(H78=0,0,L78/H78)</f>
        <v>-0.84001999999999999</v>
      </c>
      <c r="O78" s="13"/>
      <c r="P78" s="1">
        <f>SUM(OSRRefP22_17x_0)</f>
        <v>479.94</v>
      </c>
      <c r="Q78" s="1"/>
      <c r="R78" s="5">
        <f t="shared" ref="R78:R80" si="60">IF(P$12=0,0,P78/P$12)</f>
        <v>0</v>
      </c>
      <c r="S78" s="1"/>
      <c r="T78" s="1">
        <f>SUM(OSRRefT22_17x_0)</f>
        <v>1400</v>
      </c>
      <c r="U78" s="1"/>
      <c r="V78" s="5">
        <f t="shared" ref="V78:V80" si="61">IF(T$12=0,0,T78/T$12)</f>
        <v>0</v>
      </c>
      <c r="W78" s="1"/>
      <c r="X78" s="1">
        <f t="shared" ref="X78:X80" si="62">+P78-T78</f>
        <v>-920.06</v>
      </c>
      <c r="Y78" s="1"/>
      <c r="Z78" s="5">
        <f t="shared" ref="Z78:Z80" si="63">IF(T78=0,0,X78/T78)</f>
        <v>-0.65718571428571426</v>
      </c>
    </row>
    <row r="79" spans="1:26" s="24" customFormat="1" hidden="1" outlineLevel="2" x14ac:dyDescent="0.25">
      <c r="A79" s="25"/>
      <c r="B79" s="11" t="str">
        <f>CONCATENATE("          ", "6258", " - ", "MEMBERSHIP DUES")</f>
        <v xml:space="preserve">          6258 - MEMBERSHIP DUES</v>
      </c>
      <c r="C79" s="11"/>
      <c r="D79" s="7"/>
      <c r="E79" s="2"/>
      <c r="F79" s="6">
        <f t="shared" si="56"/>
        <v>0</v>
      </c>
      <c r="G79" s="2"/>
      <c r="H79" s="7">
        <v>1000</v>
      </c>
      <c r="I79" s="2"/>
      <c r="J79" s="6">
        <f t="shared" si="57"/>
        <v>0</v>
      </c>
      <c r="K79" s="2"/>
      <c r="L79" s="7">
        <f t="shared" si="58"/>
        <v>-1000</v>
      </c>
      <c r="M79" s="2"/>
      <c r="N79" s="6">
        <f t="shared" si="59"/>
        <v>-1</v>
      </c>
      <c r="O79" s="11"/>
      <c r="P79" s="7"/>
      <c r="Q79" s="2"/>
      <c r="R79" s="6">
        <f t="shared" si="60"/>
        <v>0</v>
      </c>
      <c r="S79" s="2"/>
      <c r="T79" s="7">
        <v>1400</v>
      </c>
      <c r="U79" s="2"/>
      <c r="V79" s="6">
        <f t="shared" si="61"/>
        <v>0</v>
      </c>
      <c r="W79" s="2"/>
      <c r="X79" s="7">
        <f t="shared" si="62"/>
        <v>-1400</v>
      </c>
      <c r="Y79" s="2"/>
      <c r="Z79" s="6">
        <f t="shared" si="63"/>
        <v>-1</v>
      </c>
    </row>
    <row r="80" spans="1:26" s="24" customFormat="1" hidden="1" outlineLevel="2" x14ac:dyDescent="0.25">
      <c r="A80" s="25"/>
      <c r="B80" s="11" t="str">
        <f>CONCATENATE("          ", "6275", " - ", "SUBSCRIPTIONS")</f>
        <v xml:space="preserve">          6275 - SUBSCRIPTIONS</v>
      </c>
      <c r="C80" s="11"/>
      <c r="D80" s="7">
        <v>159.97999999999999</v>
      </c>
      <c r="E80" s="2"/>
      <c r="F80" s="6">
        <f t="shared" si="56"/>
        <v>0</v>
      </c>
      <c r="G80" s="2"/>
      <c r="H80" s="7"/>
      <c r="I80" s="2"/>
      <c r="J80" s="6">
        <f t="shared" si="57"/>
        <v>0</v>
      </c>
      <c r="K80" s="2"/>
      <c r="L80" s="7">
        <f t="shared" si="58"/>
        <v>159.97999999999999</v>
      </c>
      <c r="M80" s="2"/>
      <c r="N80" s="6">
        <f t="shared" si="59"/>
        <v>0</v>
      </c>
      <c r="O80" s="11"/>
      <c r="P80" s="7">
        <v>479.94</v>
      </c>
      <c r="Q80" s="2"/>
      <c r="R80" s="6">
        <f t="shared" si="60"/>
        <v>0</v>
      </c>
      <c r="S80" s="2"/>
      <c r="T80" s="7"/>
      <c r="U80" s="2"/>
      <c r="V80" s="6">
        <f t="shared" si="61"/>
        <v>0</v>
      </c>
      <c r="W80" s="2"/>
      <c r="X80" s="7">
        <f t="shared" si="62"/>
        <v>479.94</v>
      </c>
      <c r="Y80" s="2"/>
      <c r="Z80" s="6">
        <f t="shared" si="63"/>
        <v>0</v>
      </c>
    </row>
    <row r="81" spans="1:26" s="26" customFormat="1" outlineLevel="1" collapsed="1" x14ac:dyDescent="0.25">
      <c r="A81" s="27"/>
      <c r="B81" s="13" t="str">
        <f>CONCATENATE("     ","Supplies                                          ")</f>
        <v xml:space="preserve">     Supplies                                          </v>
      </c>
      <c r="C81" s="13"/>
      <c r="D81" s="1">
        <f>SUM(OSRRefD22_18x_0)</f>
        <v>10909.33</v>
      </c>
      <c r="E81" s="1"/>
      <c r="F81" s="5">
        <f t="shared" ref="F81:F87" si="64">IF(D$12=0,0,D81/D$12)</f>
        <v>0</v>
      </c>
      <c r="G81" s="1"/>
      <c r="H81" s="1">
        <f>SUM(OSRRefH22_18x_0)</f>
        <v>4250</v>
      </c>
      <c r="I81" s="1"/>
      <c r="J81" s="5">
        <f t="shared" ref="J81:J87" si="65">IF(H$12=0,0,H81/H$12)</f>
        <v>0</v>
      </c>
      <c r="K81" s="1"/>
      <c r="L81" s="1">
        <f t="shared" ref="L81:L87" si="66">+D81-H81</f>
        <v>6659.33</v>
      </c>
      <c r="M81" s="1"/>
      <c r="N81" s="5">
        <f t="shared" ref="N81:N87" si="67">IF(H81=0,0,L81/H81)</f>
        <v>1.5669011764705882</v>
      </c>
      <c r="O81" s="13"/>
      <c r="P81" s="1">
        <f>SUM(OSRRefP22_18x_0)</f>
        <v>6661.48</v>
      </c>
      <c r="Q81" s="1"/>
      <c r="R81" s="5">
        <f t="shared" ref="R81:R87" si="68">IF(P$12=0,0,P81/P$12)</f>
        <v>0</v>
      </c>
      <c r="S81" s="1"/>
      <c r="T81" s="1">
        <f>SUM(OSRRefT22_18x_0)</f>
        <v>12850</v>
      </c>
      <c r="U81" s="1"/>
      <c r="V81" s="5">
        <f t="shared" ref="V81:V87" si="69">IF(T$12=0,0,T81/T$12)</f>
        <v>0</v>
      </c>
      <c r="W81" s="1"/>
      <c r="X81" s="1">
        <f t="shared" ref="X81:X87" si="70">+P81-T81</f>
        <v>-6188.52</v>
      </c>
      <c r="Y81" s="1"/>
      <c r="Z81" s="5">
        <f t="shared" ref="Z81:Z87" si="71">IF(T81=0,0,X81/T81)</f>
        <v>-0.48159688715953308</v>
      </c>
    </row>
    <row r="82" spans="1:26" s="24" customFormat="1" hidden="1" outlineLevel="2" x14ac:dyDescent="0.25">
      <c r="A82" s="25"/>
      <c r="B82" s="11" t="str">
        <f>CONCATENATE("          ", "6234", " - ", "EXPENDABLE SUPPLIES &amp; EQUIPMEN")</f>
        <v xml:space="preserve">          6234 - EXPENDABLE SUPPLIES &amp; EQUIPMEN</v>
      </c>
      <c r="C82" s="11"/>
      <c r="D82" s="7"/>
      <c r="E82" s="2"/>
      <c r="F82" s="6">
        <f t="shared" si="64"/>
        <v>0</v>
      </c>
      <c r="G82" s="2"/>
      <c r="H82" s="7"/>
      <c r="I82" s="2"/>
      <c r="J82" s="6">
        <f t="shared" si="65"/>
        <v>0</v>
      </c>
      <c r="K82" s="2"/>
      <c r="L82" s="7">
        <f t="shared" si="66"/>
        <v>0</v>
      </c>
      <c r="M82" s="2"/>
      <c r="N82" s="6">
        <f t="shared" si="67"/>
        <v>0</v>
      </c>
      <c r="O82" s="11"/>
      <c r="P82" s="7">
        <v>714.78</v>
      </c>
      <c r="Q82" s="2"/>
      <c r="R82" s="6">
        <f t="shared" si="68"/>
        <v>0</v>
      </c>
      <c r="S82" s="2"/>
      <c r="T82" s="7"/>
      <c r="U82" s="2"/>
      <c r="V82" s="6">
        <f t="shared" si="69"/>
        <v>0</v>
      </c>
      <c r="W82" s="2"/>
      <c r="X82" s="7">
        <f t="shared" si="70"/>
        <v>714.78</v>
      </c>
      <c r="Y82" s="2"/>
      <c r="Z82" s="6">
        <f t="shared" si="71"/>
        <v>0</v>
      </c>
    </row>
    <row r="83" spans="1:26" s="24" customFormat="1" hidden="1" outlineLevel="2" x14ac:dyDescent="0.25">
      <c r="A83" s="25"/>
      <c r="B83" s="11" t="str">
        <f>CONCATENATE("          ", "6237", " - ", "JANITORIAL SUPPLIES")</f>
        <v xml:space="preserve">          6237 - JANITORIAL SUPPLIES</v>
      </c>
      <c r="C83" s="11"/>
      <c r="D83" s="7">
        <v>883.55</v>
      </c>
      <c r="E83" s="2"/>
      <c r="F83" s="6">
        <f t="shared" si="64"/>
        <v>0</v>
      </c>
      <c r="G83" s="2"/>
      <c r="H83" s="7"/>
      <c r="I83" s="2"/>
      <c r="J83" s="6">
        <f t="shared" si="65"/>
        <v>0</v>
      </c>
      <c r="K83" s="2"/>
      <c r="L83" s="7">
        <f t="shared" si="66"/>
        <v>883.55</v>
      </c>
      <c r="M83" s="2"/>
      <c r="N83" s="6">
        <f t="shared" si="67"/>
        <v>0</v>
      </c>
      <c r="O83" s="11"/>
      <c r="P83" s="7">
        <v>1658.95</v>
      </c>
      <c r="Q83" s="2"/>
      <c r="R83" s="6">
        <f t="shared" si="68"/>
        <v>0</v>
      </c>
      <c r="S83" s="2"/>
      <c r="T83" s="7"/>
      <c r="U83" s="2"/>
      <c r="V83" s="6">
        <f t="shared" si="69"/>
        <v>0</v>
      </c>
      <c r="W83" s="2"/>
      <c r="X83" s="7">
        <f t="shared" si="70"/>
        <v>1658.95</v>
      </c>
      <c r="Y83" s="2"/>
      <c r="Z83" s="6">
        <f t="shared" si="71"/>
        <v>0</v>
      </c>
    </row>
    <row r="84" spans="1:26" s="24" customFormat="1" hidden="1" outlineLevel="2" x14ac:dyDescent="0.25">
      <c r="A84" s="25"/>
      <c r="B84" s="11" t="str">
        <f>CONCATENATE("          ", "6241", " - ", "OFFICE EXPENSE")</f>
        <v xml:space="preserve">          6241 - OFFICE EXPENSE</v>
      </c>
      <c r="C84" s="11"/>
      <c r="D84" s="7">
        <v>1658.61</v>
      </c>
      <c r="E84" s="2"/>
      <c r="F84" s="6">
        <f t="shared" si="64"/>
        <v>0</v>
      </c>
      <c r="G84" s="2"/>
      <c r="H84" s="7"/>
      <c r="I84" s="2"/>
      <c r="J84" s="6">
        <f t="shared" si="65"/>
        <v>0</v>
      </c>
      <c r="K84" s="2"/>
      <c r="L84" s="7">
        <f t="shared" si="66"/>
        <v>1658.61</v>
      </c>
      <c r="M84" s="2"/>
      <c r="N84" s="6">
        <f t="shared" si="67"/>
        <v>0</v>
      </c>
      <c r="O84" s="11"/>
      <c r="P84" s="7">
        <v>4250.9399999999996</v>
      </c>
      <c r="Q84" s="2"/>
      <c r="R84" s="6">
        <f t="shared" si="68"/>
        <v>0</v>
      </c>
      <c r="S84" s="2"/>
      <c r="T84" s="7"/>
      <c r="U84" s="2"/>
      <c r="V84" s="6">
        <f t="shared" si="69"/>
        <v>0</v>
      </c>
      <c r="W84" s="2"/>
      <c r="X84" s="7">
        <f t="shared" si="70"/>
        <v>4250.9399999999996</v>
      </c>
      <c r="Y84" s="2"/>
      <c r="Z84" s="6">
        <f t="shared" si="71"/>
        <v>0</v>
      </c>
    </row>
    <row r="85" spans="1:26" s="24" customFormat="1" hidden="1" outlineLevel="2" x14ac:dyDescent="0.25">
      <c r="A85" s="25"/>
      <c r="B85" s="11" t="str">
        <f>CONCATENATE("          ", "6245", " - ", "PRINTING")</f>
        <v xml:space="preserve">          6245 - PRINTING</v>
      </c>
      <c r="C85" s="11"/>
      <c r="D85" s="7"/>
      <c r="E85" s="2"/>
      <c r="F85" s="6">
        <f t="shared" si="64"/>
        <v>0</v>
      </c>
      <c r="G85" s="2"/>
      <c r="H85" s="7"/>
      <c r="I85" s="2"/>
      <c r="J85" s="6">
        <f t="shared" si="65"/>
        <v>0</v>
      </c>
      <c r="K85" s="2"/>
      <c r="L85" s="7">
        <f t="shared" si="66"/>
        <v>0</v>
      </c>
      <c r="M85" s="2"/>
      <c r="N85" s="6">
        <f t="shared" si="67"/>
        <v>0</v>
      </c>
      <c r="O85" s="11"/>
      <c r="P85" s="7">
        <v>19.73</v>
      </c>
      <c r="Q85" s="2"/>
      <c r="R85" s="6">
        <f t="shared" si="68"/>
        <v>0</v>
      </c>
      <c r="S85" s="2"/>
      <c r="T85" s="7"/>
      <c r="U85" s="2"/>
      <c r="V85" s="6">
        <f t="shared" si="69"/>
        <v>0</v>
      </c>
      <c r="W85" s="2"/>
      <c r="X85" s="7">
        <f t="shared" si="70"/>
        <v>19.73</v>
      </c>
      <c r="Y85" s="2"/>
      <c r="Z85" s="6">
        <f t="shared" si="71"/>
        <v>0</v>
      </c>
    </row>
    <row r="86" spans="1:26" s="24" customFormat="1" hidden="1" outlineLevel="2" x14ac:dyDescent="0.25">
      <c r="A86" s="25"/>
      <c r="B86" s="11" t="str">
        <f>CONCATENATE("          ", "6247", " - ", "STORE SUPPLIES")</f>
        <v xml:space="preserve">          6247 - STORE SUPPLIES</v>
      </c>
      <c r="C86" s="11"/>
      <c r="D86" s="7">
        <v>8367.17</v>
      </c>
      <c r="E86" s="2"/>
      <c r="F86" s="6">
        <f t="shared" si="64"/>
        <v>0</v>
      </c>
      <c r="G86" s="2"/>
      <c r="H86" s="7">
        <v>3250</v>
      </c>
      <c r="I86" s="2"/>
      <c r="J86" s="6">
        <f t="shared" si="65"/>
        <v>0</v>
      </c>
      <c r="K86" s="2"/>
      <c r="L86" s="7">
        <f t="shared" si="66"/>
        <v>5117.17</v>
      </c>
      <c r="M86" s="2"/>
      <c r="N86" s="6">
        <f t="shared" si="67"/>
        <v>1.5745138461538462</v>
      </c>
      <c r="O86" s="11"/>
      <c r="P86" s="7">
        <v>17.079999999999998</v>
      </c>
      <c r="Q86" s="2"/>
      <c r="R86" s="6">
        <f t="shared" si="68"/>
        <v>0</v>
      </c>
      <c r="S86" s="2"/>
      <c r="T86" s="7">
        <v>9850</v>
      </c>
      <c r="U86" s="2"/>
      <c r="V86" s="6">
        <f t="shared" si="69"/>
        <v>0</v>
      </c>
      <c r="W86" s="2"/>
      <c r="X86" s="7">
        <f t="shared" si="70"/>
        <v>-9832.92</v>
      </c>
      <c r="Y86" s="2"/>
      <c r="Z86" s="6">
        <f t="shared" si="71"/>
        <v>-0.99826598984771575</v>
      </c>
    </row>
    <row r="87" spans="1:26" s="24" customFormat="1" hidden="1" outlineLevel="2" x14ac:dyDescent="0.25">
      <c r="A87" s="25"/>
      <c r="B87" s="11" t="str">
        <f>CONCATENATE("          ", "6248", " - ", "UNIFORMS")</f>
        <v xml:space="preserve">          6248 - UNIFORMS</v>
      </c>
      <c r="C87" s="11"/>
      <c r="D87" s="7"/>
      <c r="E87" s="2"/>
      <c r="F87" s="6">
        <f t="shared" si="64"/>
        <v>0</v>
      </c>
      <c r="G87" s="2"/>
      <c r="H87" s="7">
        <v>1000</v>
      </c>
      <c r="I87" s="2"/>
      <c r="J87" s="6">
        <f t="shared" si="65"/>
        <v>0</v>
      </c>
      <c r="K87" s="2"/>
      <c r="L87" s="7">
        <f t="shared" si="66"/>
        <v>-1000</v>
      </c>
      <c r="M87" s="2"/>
      <c r="N87" s="6">
        <f t="shared" si="67"/>
        <v>-1</v>
      </c>
      <c r="O87" s="11"/>
      <c r="P87" s="7"/>
      <c r="Q87" s="2"/>
      <c r="R87" s="6">
        <f t="shared" si="68"/>
        <v>0</v>
      </c>
      <c r="S87" s="2"/>
      <c r="T87" s="7">
        <v>3000</v>
      </c>
      <c r="U87" s="2"/>
      <c r="V87" s="6">
        <f t="shared" si="69"/>
        <v>0</v>
      </c>
      <c r="W87" s="2"/>
      <c r="X87" s="7">
        <f t="shared" si="70"/>
        <v>-3000</v>
      </c>
      <c r="Y87" s="2"/>
      <c r="Z87" s="6">
        <f t="shared" si="71"/>
        <v>-1</v>
      </c>
    </row>
    <row r="88" spans="1:26" s="26" customFormat="1" outlineLevel="1" collapsed="1" x14ac:dyDescent="0.25">
      <c r="A88" s="27"/>
      <c r="B88" s="13" t="str">
        <f>CONCATENATE("     ","Telephone/Data Lines                              ")</f>
        <v xml:space="preserve">     Telephone/Data Lines                              </v>
      </c>
      <c r="C88" s="13"/>
      <c r="D88" s="1">
        <f>SUM(OSRRefD22_19x_0)</f>
        <v>699.06</v>
      </c>
      <c r="E88" s="1"/>
      <c r="F88" s="5">
        <f t="shared" ref="F88:F94" si="72">IF(D$12=0,0,D88/D$12)</f>
        <v>0</v>
      </c>
      <c r="G88" s="1"/>
      <c r="H88" s="1">
        <f>SUM(OSRRefH22_19x_0)</f>
        <v>500</v>
      </c>
      <c r="I88" s="1"/>
      <c r="J88" s="5">
        <f t="shared" ref="J88:J94" si="73">IF(H$12=0,0,H88/H$12)</f>
        <v>0</v>
      </c>
      <c r="K88" s="1"/>
      <c r="L88" s="1">
        <f t="shared" ref="L88:L94" si="74">+D88-H88</f>
        <v>199.05999999999995</v>
      </c>
      <c r="M88" s="1"/>
      <c r="N88" s="5">
        <f t="shared" ref="N88:N94" si="75">IF(H88=0,0,L88/H88)</f>
        <v>0.39811999999999992</v>
      </c>
      <c r="O88" s="13"/>
      <c r="P88" s="1">
        <f>SUM(OSRRefP22_19x_0)</f>
        <v>1604.08</v>
      </c>
      <c r="Q88" s="1"/>
      <c r="R88" s="5">
        <f t="shared" ref="R88:R94" si="76">IF(P$12=0,0,P88/P$12)</f>
        <v>0</v>
      </c>
      <c r="S88" s="1"/>
      <c r="T88" s="1">
        <f>SUM(OSRRefT22_19x_0)</f>
        <v>1500</v>
      </c>
      <c r="U88" s="1"/>
      <c r="V88" s="5">
        <f t="shared" ref="V88:V94" si="77">IF(T$12=0,0,T88/T$12)</f>
        <v>0</v>
      </c>
      <c r="W88" s="1"/>
      <c r="X88" s="1">
        <f t="shared" ref="X88:X94" si="78">+P88-T88</f>
        <v>104.07999999999993</v>
      </c>
      <c r="Y88" s="1"/>
      <c r="Z88" s="5">
        <f t="shared" ref="Z88:Z94" si="79">IF(T88=0,0,X88/T88)</f>
        <v>6.9386666666666624E-2</v>
      </c>
    </row>
    <row r="89" spans="1:26" s="24" customFormat="1" hidden="1" outlineLevel="2" x14ac:dyDescent="0.25">
      <c r="A89" s="25"/>
      <c r="B89" s="11" t="str">
        <f>CONCATENATE("          ", "6309", " - ", "TELEPHONE")</f>
        <v xml:space="preserve">          6309 - TELEPHONE</v>
      </c>
      <c r="C89" s="11"/>
      <c r="D89" s="7">
        <v>699.06</v>
      </c>
      <c r="E89" s="2"/>
      <c r="F89" s="6">
        <f t="shared" si="72"/>
        <v>0</v>
      </c>
      <c r="G89" s="2"/>
      <c r="H89" s="7">
        <v>500</v>
      </c>
      <c r="I89" s="2"/>
      <c r="J89" s="6">
        <f t="shared" si="73"/>
        <v>0</v>
      </c>
      <c r="K89" s="2"/>
      <c r="L89" s="7">
        <f t="shared" si="74"/>
        <v>199.05999999999995</v>
      </c>
      <c r="M89" s="2"/>
      <c r="N89" s="6">
        <f t="shared" si="75"/>
        <v>0.39811999999999992</v>
      </c>
      <c r="O89" s="11"/>
      <c r="P89" s="7">
        <v>1604.08</v>
      </c>
      <c r="Q89" s="2"/>
      <c r="R89" s="6">
        <f t="shared" si="76"/>
        <v>0</v>
      </c>
      <c r="S89" s="2"/>
      <c r="T89" s="7">
        <v>1500</v>
      </c>
      <c r="U89" s="2"/>
      <c r="V89" s="6">
        <f t="shared" si="77"/>
        <v>0</v>
      </c>
      <c r="W89" s="2"/>
      <c r="X89" s="7">
        <f t="shared" si="78"/>
        <v>104.07999999999993</v>
      </c>
      <c r="Y89" s="2"/>
      <c r="Z89" s="6">
        <f t="shared" si="79"/>
        <v>6.9386666666666624E-2</v>
      </c>
    </row>
    <row r="90" spans="1:26" s="26" customFormat="1" outlineLevel="1" collapsed="1" x14ac:dyDescent="0.25">
      <c r="A90" s="27"/>
      <c r="B90" s="13" t="str">
        <f>CONCATENATE("     ","Training                                          ")</f>
        <v xml:space="preserve">     Training                                          </v>
      </c>
      <c r="C90" s="13"/>
      <c r="D90" s="1">
        <f>SUM(OSRRefD22_20x_0)</f>
        <v>-5000</v>
      </c>
      <c r="E90" s="1"/>
      <c r="F90" s="5">
        <f t="shared" si="72"/>
        <v>0</v>
      </c>
      <c r="G90" s="1"/>
      <c r="H90" s="1">
        <f>SUM(OSRRefH22_20x_0)</f>
        <v>1125</v>
      </c>
      <c r="I90" s="1"/>
      <c r="J90" s="5">
        <f t="shared" si="73"/>
        <v>0</v>
      </c>
      <c r="K90" s="1"/>
      <c r="L90" s="1">
        <f t="shared" si="74"/>
        <v>-6125</v>
      </c>
      <c r="M90" s="1"/>
      <c r="N90" s="5">
        <f t="shared" si="75"/>
        <v>-5.4444444444444446</v>
      </c>
      <c r="O90" s="13"/>
      <c r="P90" s="1">
        <f>SUM(OSRRefP22_20x_0)</f>
        <v>1671.56</v>
      </c>
      <c r="Q90" s="1"/>
      <c r="R90" s="5">
        <f t="shared" si="76"/>
        <v>0</v>
      </c>
      <c r="S90" s="1"/>
      <c r="T90" s="1">
        <f>SUM(OSRRefT22_20x_0)</f>
        <v>3375</v>
      </c>
      <c r="U90" s="1"/>
      <c r="V90" s="5">
        <f t="shared" si="77"/>
        <v>0</v>
      </c>
      <c r="W90" s="1"/>
      <c r="X90" s="1">
        <f t="shared" si="78"/>
        <v>-1703.44</v>
      </c>
      <c r="Y90" s="1"/>
      <c r="Z90" s="5">
        <f t="shared" si="79"/>
        <v>-0.50472296296296293</v>
      </c>
    </row>
    <row r="91" spans="1:26" s="24" customFormat="1" hidden="1" outlineLevel="2" x14ac:dyDescent="0.25">
      <c r="A91" s="25"/>
      <c r="B91" s="11" t="str">
        <f>CONCATENATE("          ", "6376", " - ", "TRAINING")</f>
        <v xml:space="preserve">          6376 - TRAINING</v>
      </c>
      <c r="C91" s="11"/>
      <c r="D91" s="7">
        <v>-5000</v>
      </c>
      <c r="E91" s="2"/>
      <c r="F91" s="6">
        <f t="shared" si="72"/>
        <v>0</v>
      </c>
      <c r="G91" s="2"/>
      <c r="H91" s="7">
        <v>1125</v>
      </c>
      <c r="I91" s="2"/>
      <c r="J91" s="6">
        <f t="shared" si="73"/>
        <v>0</v>
      </c>
      <c r="K91" s="2"/>
      <c r="L91" s="7">
        <f t="shared" si="74"/>
        <v>-6125</v>
      </c>
      <c r="M91" s="2"/>
      <c r="N91" s="6">
        <f t="shared" si="75"/>
        <v>-5.4444444444444446</v>
      </c>
      <c r="O91" s="11"/>
      <c r="P91" s="7">
        <v>1671.56</v>
      </c>
      <c r="Q91" s="2"/>
      <c r="R91" s="6">
        <f t="shared" si="76"/>
        <v>0</v>
      </c>
      <c r="S91" s="2"/>
      <c r="T91" s="7">
        <v>3375</v>
      </c>
      <c r="U91" s="2"/>
      <c r="V91" s="6">
        <f t="shared" si="77"/>
        <v>0</v>
      </c>
      <c r="W91" s="2"/>
      <c r="X91" s="7">
        <f t="shared" si="78"/>
        <v>-1703.44</v>
      </c>
      <c r="Y91" s="2"/>
      <c r="Z91" s="6">
        <f t="shared" si="79"/>
        <v>-0.50472296296296293</v>
      </c>
    </row>
    <row r="92" spans="1:26" s="26" customFormat="1" outlineLevel="1" collapsed="1" x14ac:dyDescent="0.25">
      <c r="A92" s="27"/>
      <c r="B92" s="13" t="str">
        <f>CONCATENATE("     ","Travel                                            ")</f>
        <v xml:space="preserve">     Travel                                            </v>
      </c>
      <c r="C92" s="13"/>
      <c r="D92" s="1">
        <f>SUM(OSRRefD22_21x_0)</f>
        <v>174.39999999999998</v>
      </c>
      <c r="E92" s="1"/>
      <c r="F92" s="5">
        <f t="shared" si="72"/>
        <v>0</v>
      </c>
      <c r="G92" s="1"/>
      <c r="H92" s="1">
        <f>SUM(OSRRefH22_21x_0)</f>
        <v>0</v>
      </c>
      <c r="I92" s="1"/>
      <c r="J92" s="5">
        <f t="shared" si="73"/>
        <v>0</v>
      </c>
      <c r="K92" s="1"/>
      <c r="L92" s="1">
        <f t="shared" si="74"/>
        <v>174.39999999999998</v>
      </c>
      <c r="M92" s="1"/>
      <c r="N92" s="5">
        <f t="shared" si="75"/>
        <v>0</v>
      </c>
      <c r="O92" s="13"/>
      <c r="P92" s="1">
        <f>SUM(OSRRefP22_21x_0)</f>
        <v>511.76</v>
      </c>
      <c r="Q92" s="1"/>
      <c r="R92" s="5">
        <f t="shared" si="76"/>
        <v>0</v>
      </c>
      <c r="S92" s="1"/>
      <c r="T92" s="1">
        <f>SUM(OSRRefT22_21x_0)</f>
        <v>0</v>
      </c>
      <c r="U92" s="1"/>
      <c r="V92" s="5">
        <f t="shared" si="77"/>
        <v>0</v>
      </c>
      <c r="W92" s="1"/>
      <c r="X92" s="1">
        <f t="shared" si="78"/>
        <v>511.76</v>
      </c>
      <c r="Y92" s="1"/>
      <c r="Z92" s="5">
        <f t="shared" si="79"/>
        <v>0</v>
      </c>
    </row>
    <row r="93" spans="1:26" s="24" customFormat="1" hidden="1" outlineLevel="2" x14ac:dyDescent="0.25">
      <c r="A93" s="25"/>
      <c r="B93" s="11" t="str">
        <f>CONCATENATE("          ", "6292", " - ", "TRAVEL/CONFERENCE")</f>
        <v xml:space="preserve">          6292 - TRAVEL/CONFERENCE</v>
      </c>
      <c r="C93" s="11"/>
      <c r="D93" s="7">
        <v>91.13</v>
      </c>
      <c r="E93" s="2"/>
      <c r="F93" s="6">
        <f t="shared" si="72"/>
        <v>0</v>
      </c>
      <c r="G93" s="2"/>
      <c r="H93" s="7"/>
      <c r="I93" s="2"/>
      <c r="J93" s="6">
        <f t="shared" si="73"/>
        <v>0</v>
      </c>
      <c r="K93" s="2"/>
      <c r="L93" s="7">
        <f t="shared" si="74"/>
        <v>91.13</v>
      </c>
      <c r="M93" s="2"/>
      <c r="N93" s="6">
        <f t="shared" si="75"/>
        <v>0</v>
      </c>
      <c r="O93" s="11"/>
      <c r="P93" s="7">
        <v>341.77</v>
      </c>
      <c r="Q93" s="2"/>
      <c r="R93" s="6">
        <f t="shared" si="76"/>
        <v>0</v>
      </c>
      <c r="S93" s="2"/>
      <c r="T93" s="7"/>
      <c r="U93" s="2"/>
      <c r="V93" s="6">
        <f t="shared" si="77"/>
        <v>0</v>
      </c>
      <c r="W93" s="2"/>
      <c r="X93" s="7">
        <f t="shared" si="78"/>
        <v>341.77</v>
      </c>
      <c r="Y93" s="2"/>
      <c r="Z93" s="6">
        <f t="shared" si="79"/>
        <v>0</v>
      </c>
    </row>
    <row r="94" spans="1:26" s="24" customFormat="1" hidden="1" outlineLevel="2" x14ac:dyDescent="0.25">
      <c r="A94" s="25"/>
      <c r="B94" s="11" t="str">
        <f>CONCATENATE("          ", "6298", " - ", "VEHICLE MILEAGE")</f>
        <v xml:space="preserve">          6298 - VEHICLE MILEAGE</v>
      </c>
      <c r="C94" s="11"/>
      <c r="D94" s="7">
        <v>83.27</v>
      </c>
      <c r="E94" s="2"/>
      <c r="F94" s="6">
        <f t="shared" si="72"/>
        <v>0</v>
      </c>
      <c r="G94" s="2"/>
      <c r="H94" s="7"/>
      <c r="I94" s="2"/>
      <c r="J94" s="6">
        <f t="shared" si="73"/>
        <v>0</v>
      </c>
      <c r="K94" s="2"/>
      <c r="L94" s="7">
        <f t="shared" si="74"/>
        <v>83.27</v>
      </c>
      <c r="M94" s="2"/>
      <c r="N94" s="6">
        <f t="shared" si="75"/>
        <v>0</v>
      </c>
      <c r="O94" s="11"/>
      <c r="P94" s="7">
        <v>169.99</v>
      </c>
      <c r="Q94" s="2"/>
      <c r="R94" s="6">
        <f t="shared" si="76"/>
        <v>0</v>
      </c>
      <c r="S94" s="2"/>
      <c r="T94" s="7"/>
      <c r="U94" s="2"/>
      <c r="V94" s="6">
        <f t="shared" si="77"/>
        <v>0</v>
      </c>
      <c r="W94" s="2"/>
      <c r="X94" s="7">
        <f t="shared" si="78"/>
        <v>169.99</v>
      </c>
      <c r="Y94" s="2"/>
      <c r="Z94" s="6">
        <f t="shared" si="79"/>
        <v>0</v>
      </c>
    </row>
    <row r="95" spans="1:26" s="26" customFormat="1" outlineLevel="1" collapsed="1" x14ac:dyDescent="0.25">
      <c r="A95" s="27"/>
      <c r="B95" s="13" t="str">
        <f>CONCATENATE("     ","Utilities                                         ")</f>
        <v xml:space="preserve">     Utilities                                         </v>
      </c>
      <c r="C95" s="13"/>
      <c r="D95" s="1">
        <f>SUM(OSRRefD22_22x_0)</f>
        <v>5593</v>
      </c>
      <c r="E95" s="1"/>
      <c r="F95" s="5">
        <f t="shared" ref="F95:F96" si="80">IF(D$12=0,0,D95/D$12)</f>
        <v>0</v>
      </c>
      <c r="G95" s="1"/>
      <c r="H95" s="1">
        <f>SUM(OSRRefH22_22x_0)</f>
        <v>5000</v>
      </c>
      <c r="I95" s="1"/>
      <c r="J95" s="5">
        <f t="shared" ref="J95:J96" si="81">IF(H$12=0,0,H95/H$12)</f>
        <v>0</v>
      </c>
      <c r="K95" s="1"/>
      <c r="L95" s="1">
        <f t="shared" ref="L95:L96" si="82">+D95-H95</f>
        <v>593</v>
      </c>
      <c r="M95" s="1"/>
      <c r="N95" s="5">
        <f t="shared" ref="N95:N96" si="83">IF(H95=0,0,L95/H95)</f>
        <v>0.1186</v>
      </c>
      <c r="O95" s="13"/>
      <c r="P95" s="1">
        <f>SUM(OSRRefP22_22x_0)</f>
        <v>11186</v>
      </c>
      <c r="Q95" s="1"/>
      <c r="R95" s="5">
        <f t="shared" ref="R95:R96" si="84">IF(P$12=0,0,P95/P$12)</f>
        <v>0</v>
      </c>
      <c r="S95" s="1"/>
      <c r="T95" s="1">
        <f>SUM(OSRRefT22_22x_0)</f>
        <v>15000</v>
      </c>
      <c r="U95" s="1"/>
      <c r="V95" s="5">
        <f t="shared" ref="V95:V96" si="85">IF(T$12=0,0,T95/T$12)</f>
        <v>0</v>
      </c>
      <c r="W95" s="1"/>
      <c r="X95" s="1">
        <f t="shared" ref="X95:X96" si="86">+P95-T95</f>
        <v>-3814</v>
      </c>
      <c r="Y95" s="1"/>
      <c r="Z95" s="5">
        <f t="shared" ref="Z95:Z96" si="87">IF(T95=0,0,X95/T95)</f>
        <v>-0.25426666666666664</v>
      </c>
    </row>
    <row r="96" spans="1:26" s="24" customFormat="1" hidden="1" outlineLevel="2" x14ac:dyDescent="0.25">
      <c r="A96" s="25"/>
      <c r="B96" s="11" t="str">
        <f>CONCATENATE("          ", "6274", " - ", "UTILITIES")</f>
        <v xml:space="preserve">          6274 - UTILITIES</v>
      </c>
      <c r="C96" s="11"/>
      <c r="D96" s="7">
        <v>5593</v>
      </c>
      <c r="E96" s="2"/>
      <c r="F96" s="6">
        <f t="shared" si="80"/>
        <v>0</v>
      </c>
      <c r="G96" s="2"/>
      <c r="H96" s="7">
        <v>5000</v>
      </c>
      <c r="I96" s="2"/>
      <c r="J96" s="6">
        <f t="shared" si="81"/>
        <v>0</v>
      </c>
      <c r="K96" s="2"/>
      <c r="L96" s="7">
        <f t="shared" si="82"/>
        <v>593</v>
      </c>
      <c r="M96" s="2"/>
      <c r="N96" s="6">
        <f t="shared" si="83"/>
        <v>0.1186</v>
      </c>
      <c r="O96" s="11"/>
      <c r="P96" s="7">
        <v>11186</v>
      </c>
      <c r="Q96" s="2"/>
      <c r="R96" s="6">
        <f t="shared" si="84"/>
        <v>0</v>
      </c>
      <c r="S96" s="2"/>
      <c r="T96" s="7">
        <v>15000</v>
      </c>
      <c r="U96" s="2"/>
      <c r="V96" s="6">
        <f t="shared" si="85"/>
        <v>0</v>
      </c>
      <c r="W96" s="2"/>
      <c r="X96" s="7">
        <f t="shared" si="86"/>
        <v>-3814</v>
      </c>
      <c r="Y96" s="2"/>
      <c r="Z96" s="6">
        <f t="shared" si="87"/>
        <v>-0.25426666666666664</v>
      </c>
    </row>
    <row r="97" spans="1:26" s="63" customFormat="1" x14ac:dyDescent="0.25">
      <c r="A97" s="36"/>
      <c r="B97" s="36"/>
      <c r="C97" s="36"/>
      <c r="D97" s="1"/>
      <c r="E97" s="1"/>
      <c r="F97" s="5"/>
      <c r="G97" s="1"/>
      <c r="H97" s="1"/>
      <c r="I97" s="1"/>
      <c r="J97" s="5"/>
      <c r="K97" s="1"/>
      <c r="L97" s="1"/>
      <c r="M97" s="1"/>
      <c r="N97" s="5"/>
      <c r="O97" s="36"/>
      <c r="P97" s="1"/>
      <c r="Q97" s="1"/>
      <c r="R97" s="5"/>
      <c r="S97" s="1"/>
      <c r="T97" s="1"/>
      <c r="U97" s="1"/>
      <c r="V97" s="5"/>
      <c r="W97" s="1"/>
      <c r="X97" s="1"/>
      <c r="Y97" s="1"/>
      <c r="Z97" s="5"/>
    </row>
    <row r="98" spans="1:26" s="23" customFormat="1" collapsed="1" x14ac:dyDescent="0.25">
      <c r="A98" s="10"/>
      <c r="B98" s="28" t="s">
        <v>0</v>
      </c>
      <c r="C98" s="10"/>
      <c r="D98" s="4">
        <f>SUM(OSRRefD25x_0)</f>
        <v>14984.380000000001</v>
      </c>
      <c r="E98" s="4"/>
      <c r="F98" s="12">
        <f t="shared" ref="F98:F101" si="88">IF(D$12=0,0,D98/D$12)</f>
        <v>0</v>
      </c>
      <c r="G98" s="4"/>
      <c r="H98" s="4">
        <f>SUM(OSRRefH25x_0)</f>
        <v>24000</v>
      </c>
      <c r="I98" s="4"/>
      <c r="J98" s="12">
        <f t="shared" ref="J98:J101" si="89">IF(H$12=0,0,H98/H$12)</f>
        <v>0</v>
      </c>
      <c r="K98" s="4"/>
      <c r="L98" s="4">
        <f t="shared" ref="L98:L101" si="90">+D98-H98</f>
        <v>-9015.619999999999</v>
      </c>
      <c r="M98" s="4"/>
      <c r="N98" s="12">
        <f t="shared" ref="N98:N101" si="91">IF(H98=0,0,L98/H98)</f>
        <v>-0.37565083333333327</v>
      </c>
      <c r="O98" s="10"/>
      <c r="P98" s="4">
        <f>SUM(OSRRefP25x_0)</f>
        <v>69634.3</v>
      </c>
      <c r="Q98" s="4"/>
      <c r="R98" s="12">
        <f t="shared" ref="R98:R101" si="92">IF(P$12=0,0,P98/P$12)</f>
        <v>0</v>
      </c>
      <c r="S98" s="4"/>
      <c r="T98" s="4">
        <f>SUM(OSRRefT25x_0)</f>
        <v>72000</v>
      </c>
      <c r="U98" s="4"/>
      <c r="V98" s="12">
        <f t="shared" ref="V98:V101" si="93">IF(T$12=0,0,T98/T$12)</f>
        <v>0</v>
      </c>
      <c r="W98" s="4"/>
      <c r="X98" s="4">
        <f t="shared" ref="X98:X101" si="94">+P98-T98</f>
        <v>-2365.6999999999971</v>
      </c>
      <c r="Y98" s="4"/>
      <c r="Z98" s="12">
        <f t="shared" ref="Z98:Z101" si="95">IF(T98=0,0,X98/T98)</f>
        <v>-3.2856944444444404E-2</v>
      </c>
    </row>
    <row r="99" spans="1:26" s="24" customFormat="1" hidden="1" outlineLevel="1" x14ac:dyDescent="0.25">
      <c r="A99" s="46"/>
      <c r="B99" s="11" t="str">
        <f>CONCATENATE("          ", "9150", " - ", "MISC. INCOME")</f>
        <v xml:space="preserve">          9150 - MISC. INCOME</v>
      </c>
      <c r="C99" s="11"/>
      <c r="D99" s="2">
        <f>--19202.56</f>
        <v>19202.560000000001</v>
      </c>
      <c r="E99" s="2"/>
      <c r="F99" s="19">
        <f t="shared" si="88"/>
        <v>0</v>
      </c>
      <c r="G99" s="2"/>
      <c r="H99" s="2">
        <v>21500</v>
      </c>
      <c r="I99" s="2"/>
      <c r="J99" s="19">
        <f t="shared" si="89"/>
        <v>0</v>
      </c>
      <c r="K99" s="2"/>
      <c r="L99" s="2">
        <f t="shared" si="90"/>
        <v>-2297.4399999999987</v>
      </c>
      <c r="M99" s="2"/>
      <c r="N99" s="19">
        <f t="shared" si="91"/>
        <v>-0.1068576744186046</v>
      </c>
      <c r="O99" s="11"/>
      <c r="P99" s="2">
        <f>--74116.99</f>
        <v>74116.990000000005</v>
      </c>
      <c r="Q99" s="2"/>
      <c r="R99" s="19">
        <f t="shared" si="92"/>
        <v>0</v>
      </c>
      <c r="S99" s="2"/>
      <c r="T99" s="2">
        <v>64500</v>
      </c>
      <c r="U99" s="2"/>
      <c r="V99" s="19">
        <f t="shared" si="93"/>
        <v>0</v>
      </c>
      <c r="W99" s="2"/>
      <c r="X99" s="2">
        <f t="shared" si="94"/>
        <v>9616.9900000000052</v>
      </c>
      <c r="Y99" s="2"/>
      <c r="Z99" s="19">
        <f t="shared" si="95"/>
        <v>0.14910062015503883</v>
      </c>
    </row>
    <row r="100" spans="1:26" s="24" customFormat="1" hidden="1" outlineLevel="1" x14ac:dyDescent="0.25">
      <c r="A100" s="46"/>
      <c r="B100" s="11" t="str">
        <f>CONCATENATE("          ", "9151", " - ", "MISC. INCOME")</f>
        <v xml:space="preserve">          9151 - MISC. INCOME</v>
      </c>
      <c r="C100" s="11"/>
      <c r="D100" s="2">
        <f>-4218.18</f>
        <v>-4218.18</v>
      </c>
      <c r="E100" s="2"/>
      <c r="F100" s="19">
        <f t="shared" si="88"/>
        <v>0</v>
      </c>
      <c r="G100" s="2"/>
      <c r="H100" s="2">
        <v>500</v>
      </c>
      <c r="I100" s="2"/>
      <c r="J100" s="19">
        <f t="shared" si="89"/>
        <v>0</v>
      </c>
      <c r="K100" s="2"/>
      <c r="L100" s="2">
        <f t="shared" si="90"/>
        <v>-4718.18</v>
      </c>
      <c r="M100" s="2"/>
      <c r="N100" s="19">
        <f t="shared" si="91"/>
        <v>-9.4363600000000005</v>
      </c>
      <c r="O100" s="11"/>
      <c r="P100" s="2">
        <f>-4482.69</f>
        <v>-4482.6899999999996</v>
      </c>
      <c r="Q100" s="2"/>
      <c r="R100" s="19">
        <f t="shared" si="92"/>
        <v>0</v>
      </c>
      <c r="S100" s="2"/>
      <c r="T100" s="2">
        <v>1500</v>
      </c>
      <c r="U100" s="2"/>
      <c r="V100" s="19">
        <f t="shared" si="93"/>
        <v>0</v>
      </c>
      <c r="W100" s="2"/>
      <c r="X100" s="2">
        <f t="shared" si="94"/>
        <v>-5982.69</v>
      </c>
      <c r="Y100" s="2"/>
      <c r="Z100" s="19">
        <f t="shared" si="95"/>
        <v>-3.9884599999999999</v>
      </c>
    </row>
    <row r="101" spans="1:26" s="24" customFormat="1" hidden="1" outlineLevel="1" x14ac:dyDescent="0.25">
      <c r="A101" s="46"/>
      <c r="B101" s="11" t="str">
        <f>CONCATENATE("          ", "9160", " - ", "MISC. INCOME")</f>
        <v xml:space="preserve">          9160 - MISC. INCOME</v>
      </c>
      <c r="C101" s="11"/>
      <c r="D101" s="2">
        <f>0</f>
        <v>0</v>
      </c>
      <c r="E101" s="2"/>
      <c r="F101" s="19">
        <f t="shared" si="88"/>
        <v>0</v>
      </c>
      <c r="G101" s="2"/>
      <c r="H101" s="2">
        <v>2000</v>
      </c>
      <c r="I101" s="2"/>
      <c r="J101" s="19">
        <f t="shared" si="89"/>
        <v>0</v>
      </c>
      <c r="K101" s="2"/>
      <c r="L101" s="2">
        <f t="shared" si="90"/>
        <v>-2000</v>
      </c>
      <c r="M101" s="2"/>
      <c r="N101" s="19">
        <f t="shared" si="91"/>
        <v>-1</v>
      </c>
      <c r="O101" s="11"/>
      <c r="P101" s="2">
        <f>0</f>
        <v>0</v>
      </c>
      <c r="Q101" s="2"/>
      <c r="R101" s="19">
        <f t="shared" si="92"/>
        <v>0</v>
      </c>
      <c r="S101" s="2"/>
      <c r="T101" s="2">
        <v>6000</v>
      </c>
      <c r="U101" s="2"/>
      <c r="V101" s="19">
        <f t="shared" si="93"/>
        <v>0</v>
      </c>
      <c r="W101" s="2"/>
      <c r="X101" s="2">
        <f t="shared" si="94"/>
        <v>-6000</v>
      </c>
      <c r="Y101" s="2"/>
      <c r="Z101" s="19">
        <f t="shared" si="95"/>
        <v>-1</v>
      </c>
    </row>
    <row r="102" spans="1:26" x14ac:dyDescent="0.25">
      <c r="A102" s="9"/>
      <c r="B102" s="10"/>
      <c r="C102" s="10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O102" s="10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x14ac:dyDescent="0.25">
      <c r="A103" s="10"/>
      <c r="B103" s="29" t="s">
        <v>3</v>
      </c>
      <c r="C103" s="29"/>
      <c r="D103" s="22">
        <f>+D16-D18+D98</f>
        <v>-125067.08999999997</v>
      </c>
      <c r="E103" s="14"/>
      <c r="F103" s="20">
        <f>IF(D$12=0,0,D103/D$12)</f>
        <v>0</v>
      </c>
      <c r="G103" s="14"/>
      <c r="H103" s="22">
        <f>+H16-H18+H98</f>
        <v>-127399.41538311692</v>
      </c>
      <c r="I103" s="14"/>
      <c r="J103" s="20">
        <f>IF(H$12=0,0,H103/H$12)</f>
        <v>0</v>
      </c>
      <c r="K103" s="15"/>
      <c r="L103" s="22">
        <f>+D103-H103</f>
        <v>2332.3253831169568</v>
      </c>
      <c r="M103" s="15"/>
      <c r="N103" s="20">
        <f>IF(H103=0,0,L103/H103)</f>
        <v>-1.8307190626449598E-2</v>
      </c>
      <c r="O103" s="28"/>
      <c r="P103" s="22">
        <f>+P16-P18+P98</f>
        <v>-355944.76000000007</v>
      </c>
      <c r="Q103" s="14"/>
      <c r="R103" s="20">
        <f>IF(P$12=0,0,P103/P$12)</f>
        <v>0</v>
      </c>
      <c r="S103" s="14"/>
      <c r="T103" s="22">
        <f>+T16-T18+T98</f>
        <v>-400080.2137216925</v>
      </c>
      <c r="U103" s="14"/>
      <c r="V103" s="20">
        <f>IF(T$12=0,0,T103/T$12)</f>
        <v>0</v>
      </c>
      <c r="W103" s="15"/>
      <c r="X103" s="22">
        <f>+P103-T103</f>
        <v>44135.453721692436</v>
      </c>
      <c r="Y103" s="15"/>
      <c r="Z103" s="20">
        <f>IF(T103=0,0,X103/T103)</f>
        <v>-0.11031651205924008</v>
      </c>
    </row>
    <row r="104" spans="1:26" x14ac:dyDescent="0.25">
      <c r="A104" s="9"/>
      <c r="B104" s="10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x14ac:dyDescent="0.25">
      <c r="A105" s="52"/>
      <c r="B105" s="10" t="s">
        <v>14</v>
      </c>
      <c r="C105" s="10"/>
      <c r="D105" s="4"/>
      <c r="E105" s="4"/>
      <c r="F105" s="12">
        <f>IF(D$12=0,0,D105/D$12)</f>
        <v>0</v>
      </c>
      <c r="G105" s="4"/>
      <c r="H105" s="4"/>
      <c r="I105" s="4"/>
      <c r="J105" s="12">
        <f>IF(H$12=0,0,H105/H$12)</f>
        <v>0</v>
      </c>
      <c r="K105" s="4"/>
      <c r="L105" s="4">
        <f>+D105-H105</f>
        <v>0</v>
      </c>
      <c r="M105" s="4"/>
      <c r="N105" s="12">
        <f>IF(H105=0,0,L105/H105)</f>
        <v>0</v>
      </c>
      <c r="O105" s="10"/>
      <c r="P105" s="4"/>
      <c r="Q105" s="4"/>
      <c r="R105" s="12">
        <f>IF(P$12=0,0,P105/P$12)</f>
        <v>0</v>
      </c>
      <c r="S105" s="4"/>
      <c r="T105" s="4"/>
      <c r="U105" s="4"/>
      <c r="V105" s="12">
        <f>IF(T$12=0,0,T105/T$12)</f>
        <v>0</v>
      </c>
      <c r="W105" s="4"/>
      <c r="X105" s="4">
        <f>+P105-T105</f>
        <v>0</v>
      </c>
      <c r="Y105" s="4"/>
      <c r="Z105" s="12">
        <f>IF(T105=0,0,X105/T105)</f>
        <v>0</v>
      </c>
    </row>
    <row r="106" spans="1:26" x14ac:dyDescent="0.25">
      <c r="A106" s="9"/>
      <c r="B106" s="10"/>
      <c r="C106" s="10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O106" s="10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ht="15.75" thickBot="1" x14ac:dyDescent="0.3">
      <c r="A107" s="10"/>
      <c r="B107" s="29" t="s">
        <v>4</v>
      </c>
      <c r="C107" s="29"/>
      <c r="D107" s="35">
        <f>+D103-D105</f>
        <v>-125067.08999999997</v>
      </c>
      <c r="E107" s="14"/>
      <c r="F107" s="32">
        <f>IF(D$12=0,0,D107/D$12)</f>
        <v>0</v>
      </c>
      <c r="G107" s="14"/>
      <c r="H107" s="35">
        <f>+H103-H105</f>
        <v>-127399.41538311692</v>
      </c>
      <c r="I107" s="14"/>
      <c r="J107" s="32">
        <f>IF(H$12=0,0,H107/H$12)</f>
        <v>0</v>
      </c>
      <c r="K107" s="15"/>
      <c r="L107" s="35">
        <f>D107-H107</f>
        <v>2332.3253831169568</v>
      </c>
      <c r="M107" s="15"/>
      <c r="N107" s="32">
        <f>IF(H107=0,0,L107/H107)</f>
        <v>-1.8307190626449598E-2</v>
      </c>
      <c r="O107" s="28"/>
      <c r="P107" s="35">
        <f>+P103-P105</f>
        <v>-355944.76000000007</v>
      </c>
      <c r="Q107" s="14"/>
      <c r="R107" s="32">
        <f>IF(P$12=0,0,P107/P$12)</f>
        <v>0</v>
      </c>
      <c r="S107" s="14"/>
      <c r="T107" s="35">
        <f>+T103-T105</f>
        <v>-400080.2137216925</v>
      </c>
      <c r="U107" s="14"/>
      <c r="V107" s="32">
        <f>IF(T$12=0,0,T107/T$12)</f>
        <v>0</v>
      </c>
      <c r="W107" s="15"/>
      <c r="X107" s="35">
        <f>P107-T107</f>
        <v>44135.453721692436</v>
      </c>
      <c r="Y107" s="15"/>
      <c r="Z107" s="32">
        <f>IF(T107=0,0,X107/T107)</f>
        <v>-0.11031651205924008</v>
      </c>
    </row>
    <row r="108" spans="1:26" ht="15.75" thickTop="1" x14ac:dyDescent="0.25">
      <c r="A108" s="9"/>
      <c r="B108" s="9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x14ac:dyDescent="0.25">
      <c r="A109" s="9"/>
      <c r="B109" s="9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ht="15.75" thickBot="1" x14ac:dyDescent="0.3">
      <c r="A110" s="10"/>
      <c r="B110" s="29" t="s">
        <v>5</v>
      </c>
      <c r="C110" s="29"/>
      <c r="D110" s="30">
        <f>SUM(D107:D109)</f>
        <v>-125067.08999999997</v>
      </c>
      <c r="E110" s="14"/>
      <c r="F110" s="31">
        <f>IF(D$12=0,0,D110/D$12)</f>
        <v>0</v>
      </c>
      <c r="G110" s="14"/>
      <c r="H110" s="30">
        <f>SUM(H107:H109)</f>
        <v>-127399.41538311692</v>
      </c>
      <c r="I110" s="14"/>
      <c r="J110" s="31">
        <f>IF(H$12=0,0,H110/H$12)</f>
        <v>0</v>
      </c>
      <c r="K110" s="15"/>
      <c r="L110" s="30">
        <f>+D110-H110</f>
        <v>2332.3253831169568</v>
      </c>
      <c r="M110" s="15"/>
      <c r="N110" s="31">
        <f>IF(H110=0,0,L110/H110)</f>
        <v>-1.8307190626449598E-2</v>
      </c>
      <c r="O110" s="28"/>
      <c r="P110" s="30">
        <f>SUM(P107:P109)</f>
        <v>-355944.76000000007</v>
      </c>
      <c r="Q110" s="14"/>
      <c r="R110" s="31">
        <f>IF(P$12=0,0,P110/P$12)</f>
        <v>0</v>
      </c>
      <c r="S110" s="14"/>
      <c r="T110" s="30">
        <f>SUM(T107:T109)</f>
        <v>-400080.2137216925</v>
      </c>
      <c r="U110" s="14"/>
      <c r="V110" s="31">
        <f>IF(T$12=0,0,T110/T$12)</f>
        <v>0</v>
      </c>
      <c r="W110" s="15"/>
      <c r="X110" s="30">
        <f>+P110-T110</f>
        <v>44135.453721692436</v>
      </c>
      <c r="Y110" s="15"/>
      <c r="Z110" s="31">
        <f>IF(T110=0,0,X110/T110)</f>
        <v>-0.11031651205924008</v>
      </c>
    </row>
    <row r="111" spans="1:26" ht="15.75" thickTop="1" x14ac:dyDescent="0.25">
      <c r="A111" s="9"/>
      <c r="C111" s="9"/>
      <c r="D111" s="18"/>
      <c r="E111" s="18"/>
      <c r="G111" s="18"/>
      <c r="H111" s="18"/>
      <c r="I111" s="18"/>
      <c r="J111" s="43"/>
      <c r="K111" s="18"/>
      <c r="L111" s="18"/>
      <c r="M111" s="18"/>
      <c r="P111" s="18"/>
      <c r="Q111" s="18"/>
      <c r="R111" s="43"/>
      <c r="S111" s="18"/>
      <c r="T111" s="18"/>
      <c r="U111" s="18"/>
      <c r="V111" s="43"/>
      <c r="W111" s="18"/>
      <c r="X111" s="18"/>
    </row>
    <row r="112" spans="1:26" x14ac:dyDescent="0.25">
      <c r="A112" s="9"/>
      <c r="B112" s="53">
        <v>43756.452184872687</v>
      </c>
      <c r="D112" s="18"/>
      <c r="E112" s="18"/>
      <c r="G112" s="18"/>
      <c r="H112" s="18"/>
      <c r="I112" s="18"/>
      <c r="J112" s="43"/>
      <c r="K112" s="18"/>
      <c r="L112" s="18"/>
      <c r="M112" s="18"/>
      <c r="P112" s="18"/>
      <c r="Q112" s="18"/>
      <c r="R112" s="43"/>
      <c r="S112" s="18"/>
      <c r="T112" s="18"/>
      <c r="U112" s="18"/>
      <c r="V112" s="43"/>
      <c r="W112" s="18"/>
      <c r="X112" s="18"/>
    </row>
    <row r="113" spans="1:24" x14ac:dyDescent="0.25">
      <c r="A113" s="9"/>
      <c r="B113" s="55" t="s">
        <v>314</v>
      </c>
      <c r="D113" s="18"/>
      <c r="E113" s="18"/>
      <c r="G113" s="18"/>
      <c r="H113" s="18"/>
      <c r="I113" s="18"/>
      <c r="J113" s="43"/>
      <c r="K113" s="18"/>
      <c r="L113" s="18"/>
      <c r="M113" s="18"/>
      <c r="P113" s="18"/>
      <c r="Q113" s="18"/>
      <c r="R113" s="43"/>
      <c r="S113" s="18"/>
      <c r="T113" s="18"/>
      <c r="U113" s="18"/>
      <c r="V113" s="43"/>
      <c r="W113" s="18"/>
      <c r="X113" s="18"/>
    </row>
    <row r="114" spans="1:24" x14ac:dyDescent="0.25">
      <c r="A114" s="9"/>
      <c r="B114" s="56"/>
      <c r="D114" s="18"/>
      <c r="E114" s="18"/>
      <c r="G114" s="18"/>
      <c r="H114" s="18"/>
      <c r="I114" s="18"/>
      <c r="J114" s="43"/>
      <c r="K114" s="18"/>
      <c r="L114" s="18"/>
      <c r="M114" s="18"/>
      <c r="P114" s="18"/>
      <c r="Q114" s="18"/>
      <c r="R114" s="43"/>
      <c r="S114" s="18"/>
      <c r="T114" s="18"/>
      <c r="U114" s="18"/>
      <c r="V114" s="43"/>
      <c r="W114" s="18"/>
      <c r="X114" s="18"/>
    </row>
    <row r="115" spans="1:24" x14ac:dyDescent="0.25">
      <c r="D115" s="18"/>
      <c r="E115" s="18"/>
      <c r="G115" s="18"/>
      <c r="H115" s="18"/>
      <c r="I115" s="18"/>
      <c r="J115" s="43"/>
      <c r="K115" s="18"/>
      <c r="L115" s="18"/>
      <c r="M115" s="18"/>
      <c r="P115" s="18"/>
      <c r="Q115" s="18"/>
      <c r="R115" s="43"/>
      <c r="S115" s="18"/>
      <c r="T115" s="18"/>
      <c r="U115" s="18"/>
      <c r="V115" s="43"/>
      <c r="W115" s="18"/>
      <c r="X115" s="18"/>
    </row>
  </sheetData>
  <pageMargins left="0.25" right="0.25" top="0.75" bottom="0.75" header="0.3" footer="0.3"/>
  <pageSetup scale="55" fitToWidth="2" orientation="landscape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str">
        <f>CONCATENATE("Period ",RIGHT(202003,2),", ",2020)</f>
        <v>Period 03, 2020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43736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tr">
        <f>CONCATENATE("Department ","306", " - ", "Warehouse")</f>
        <v>Department 306 - Warehouse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38445.409999999996</v>
      </c>
      <c r="E18" s="21"/>
      <c r="F18" s="33">
        <f t="shared" ref="F18:F28" si="0">IF(D$12=0,0,D18/D$12)</f>
        <v>0</v>
      </c>
      <c r="G18" s="21"/>
      <c r="H18" s="21">
        <f>SUM(OSRRefH22x_0)</f>
        <v>45095.665867635995</v>
      </c>
      <c r="I18" s="21"/>
      <c r="J18" s="33">
        <f t="shared" ref="J18:J28" si="1">IF(H$12=0,0,H18/H$12)</f>
        <v>0</v>
      </c>
      <c r="K18" s="4"/>
      <c r="L18" s="21">
        <f t="shared" ref="L18:L28" si="2">+D18-H18</f>
        <v>-6650.2558676359986</v>
      </c>
      <c r="M18" s="4"/>
      <c r="N18" s="33">
        <f t="shared" ref="N18:N28" si="3">IF(H18=0,0,L18/H18)</f>
        <v>-0.14746995614070124</v>
      </c>
      <c r="O18" s="10"/>
      <c r="P18" s="21">
        <f>SUM(OSRRefP22x_0)</f>
        <v>149863.49000000002</v>
      </c>
      <c r="Q18" s="21"/>
      <c r="R18" s="33">
        <f t="shared" ref="R18:R28" si="4">IF(P$12=0,0,P18/P$12)</f>
        <v>0</v>
      </c>
      <c r="S18" s="21"/>
      <c r="T18" s="21">
        <f>SUM(OSRRefT22x_0)</f>
        <v>164856.271022317</v>
      </c>
      <c r="U18" s="21"/>
      <c r="V18" s="33">
        <f t="shared" ref="V18:V28" si="5">IF(T$12=0,0,T18/T$12)</f>
        <v>0</v>
      </c>
      <c r="W18" s="4"/>
      <c r="X18" s="21">
        <f t="shared" ref="X18:X28" si="6">+P18-T18</f>
        <v>-14992.78102231698</v>
      </c>
      <c r="Y18" s="4"/>
      <c r="Z18" s="33">
        <f t="shared" ref="Z18:Z28" si="7">IF(T18=0,0,X18/T18)</f>
        <v>-9.0944559945113468E-2</v>
      </c>
    </row>
    <row r="19" spans="1:26" s="26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5633.09</v>
      </c>
      <c r="E19" s="1"/>
      <c r="F19" s="5">
        <f t="shared" si="0"/>
        <v>0</v>
      </c>
      <c r="G19" s="1"/>
      <c r="H19" s="1">
        <f>SUM(OSRRefH22_0x_0)</f>
        <v>4400.8907596360004</v>
      </c>
      <c r="I19" s="1"/>
      <c r="J19" s="5">
        <f t="shared" si="1"/>
        <v>0</v>
      </c>
      <c r="K19" s="1"/>
      <c r="L19" s="1">
        <f t="shared" si="2"/>
        <v>1232.1992403639997</v>
      </c>
      <c r="M19" s="1"/>
      <c r="N19" s="5">
        <f t="shared" si="3"/>
        <v>0.27998859950477739</v>
      </c>
      <c r="O19" s="13"/>
      <c r="P19" s="1">
        <f>SUM(OSRRefP22_0x_0)</f>
        <v>21327.910000000007</v>
      </c>
      <c r="Q19" s="1"/>
      <c r="R19" s="5">
        <f t="shared" si="4"/>
        <v>0</v>
      </c>
      <c r="S19" s="1"/>
      <c r="T19" s="1">
        <f>SUM(OSRRefT22_0x_0)</f>
        <v>18097.376921317002</v>
      </c>
      <c r="U19" s="1"/>
      <c r="V19" s="5">
        <f t="shared" si="5"/>
        <v>0</v>
      </c>
      <c r="W19" s="1"/>
      <c r="X19" s="1">
        <f t="shared" si="6"/>
        <v>3230.5330786830054</v>
      </c>
      <c r="Y19" s="1"/>
      <c r="Z19" s="5">
        <f t="shared" si="7"/>
        <v>0.17850836022969396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7">
        <v>1016.39</v>
      </c>
      <c r="E20" s="2"/>
      <c r="F20" s="6">
        <f t="shared" si="0"/>
        <v>0</v>
      </c>
      <c r="G20" s="2"/>
      <c r="H20" s="7">
        <v>886.113104916</v>
      </c>
      <c r="I20" s="2"/>
      <c r="J20" s="6">
        <f t="shared" si="1"/>
        <v>0</v>
      </c>
      <c r="K20" s="2"/>
      <c r="L20" s="7">
        <f t="shared" si="2"/>
        <v>130.27689508399999</v>
      </c>
      <c r="M20" s="2"/>
      <c r="N20" s="6">
        <f t="shared" si="3"/>
        <v>0.14702061662472504</v>
      </c>
      <c r="O20" s="11"/>
      <c r="P20" s="7">
        <v>6790.63</v>
      </c>
      <c r="Q20" s="2"/>
      <c r="R20" s="6">
        <f t="shared" si="4"/>
        <v>0</v>
      </c>
      <c r="S20" s="2"/>
      <c r="T20" s="7">
        <v>6410.9043934770007</v>
      </c>
      <c r="U20" s="2"/>
      <c r="V20" s="6">
        <f t="shared" si="5"/>
        <v>0</v>
      </c>
      <c r="W20" s="2"/>
      <c r="X20" s="7">
        <f t="shared" si="6"/>
        <v>379.72560652299944</v>
      </c>
      <c r="Y20" s="2"/>
      <c r="Z20" s="6">
        <f t="shared" si="7"/>
        <v>5.9231207208356527E-2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7">
        <v>855.44</v>
      </c>
      <c r="E21" s="2"/>
      <c r="F21" s="6">
        <f t="shared" si="0"/>
        <v>0</v>
      </c>
      <c r="G21" s="2"/>
      <c r="H21" s="7">
        <v>773.32160680000004</v>
      </c>
      <c r="I21" s="2"/>
      <c r="J21" s="6">
        <f t="shared" si="1"/>
        <v>0</v>
      </c>
      <c r="K21" s="2"/>
      <c r="L21" s="7">
        <f t="shared" si="2"/>
        <v>82.118393200000014</v>
      </c>
      <c r="M21" s="2"/>
      <c r="N21" s="6">
        <f t="shared" si="3"/>
        <v>0.10618918762635562</v>
      </c>
      <c r="O21" s="11"/>
      <c r="P21" s="7">
        <v>2364.3200000000002</v>
      </c>
      <c r="Q21" s="2"/>
      <c r="R21" s="6">
        <f t="shared" si="4"/>
        <v>0</v>
      </c>
      <c r="S21" s="2"/>
      <c r="T21" s="7">
        <v>2771.3555971000001</v>
      </c>
      <c r="U21" s="2"/>
      <c r="V21" s="6">
        <f t="shared" si="5"/>
        <v>0</v>
      </c>
      <c r="W21" s="2"/>
      <c r="X21" s="7">
        <f t="shared" si="6"/>
        <v>-407.0355970999999</v>
      </c>
      <c r="Y21" s="2"/>
      <c r="Z21" s="6">
        <f t="shared" si="7"/>
        <v>-0.14687238170588063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7">
        <v>1949.27</v>
      </c>
      <c r="E22" s="2"/>
      <c r="F22" s="6">
        <f t="shared" si="0"/>
        <v>0</v>
      </c>
      <c r="G22" s="2"/>
      <c r="H22" s="7">
        <v>663</v>
      </c>
      <c r="I22" s="2"/>
      <c r="J22" s="6">
        <f t="shared" si="1"/>
        <v>0</v>
      </c>
      <c r="K22" s="2"/>
      <c r="L22" s="7">
        <f t="shared" si="2"/>
        <v>1286.27</v>
      </c>
      <c r="M22" s="2"/>
      <c r="N22" s="6">
        <f t="shared" si="3"/>
        <v>1.9400754147812971</v>
      </c>
      <c r="O22" s="11"/>
      <c r="P22" s="7">
        <v>5847.81</v>
      </c>
      <c r="Q22" s="2"/>
      <c r="R22" s="6">
        <f t="shared" si="4"/>
        <v>0</v>
      </c>
      <c r="S22" s="2"/>
      <c r="T22" s="7">
        <v>1989</v>
      </c>
      <c r="U22" s="2"/>
      <c r="V22" s="6">
        <f t="shared" si="5"/>
        <v>0</v>
      </c>
      <c r="W22" s="2"/>
      <c r="X22" s="7">
        <f t="shared" si="6"/>
        <v>3858.8100000000004</v>
      </c>
      <c r="Y22" s="2"/>
      <c r="Z22" s="6">
        <f t="shared" si="7"/>
        <v>1.9400754147812973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7">
        <v>117.06</v>
      </c>
      <c r="E23" s="2"/>
      <c r="F23" s="6">
        <f t="shared" si="0"/>
        <v>0</v>
      </c>
      <c r="G23" s="2"/>
      <c r="H23" s="7">
        <v>105.82295671999999</v>
      </c>
      <c r="I23" s="2"/>
      <c r="J23" s="6">
        <f t="shared" si="1"/>
        <v>0</v>
      </c>
      <c r="K23" s="2"/>
      <c r="L23" s="7">
        <f t="shared" si="2"/>
        <v>11.237043280000009</v>
      </c>
      <c r="M23" s="2"/>
      <c r="N23" s="6">
        <f t="shared" si="3"/>
        <v>0.10618719820626847</v>
      </c>
      <c r="O23" s="11"/>
      <c r="P23" s="7">
        <v>315.75</v>
      </c>
      <c r="Q23" s="2"/>
      <c r="R23" s="6">
        <f t="shared" si="4"/>
        <v>0</v>
      </c>
      <c r="S23" s="2"/>
      <c r="T23" s="7">
        <v>379.23813433999999</v>
      </c>
      <c r="U23" s="2"/>
      <c r="V23" s="6">
        <f t="shared" si="5"/>
        <v>0</v>
      </c>
      <c r="W23" s="2"/>
      <c r="X23" s="7">
        <f t="shared" si="6"/>
        <v>-63.488134339999988</v>
      </c>
      <c r="Y23" s="2"/>
      <c r="Z23" s="6">
        <f t="shared" si="7"/>
        <v>-0.16740967901471823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7">
        <v>691.3</v>
      </c>
      <c r="E24" s="2"/>
      <c r="F24" s="6">
        <f t="shared" si="0"/>
        <v>0</v>
      </c>
      <c r="G24" s="2"/>
      <c r="H24" s="7">
        <v>698.13399919999995</v>
      </c>
      <c r="I24" s="2"/>
      <c r="J24" s="6">
        <f t="shared" si="1"/>
        <v>0</v>
      </c>
      <c r="K24" s="2"/>
      <c r="L24" s="7">
        <f t="shared" si="2"/>
        <v>-6.8339991999999938</v>
      </c>
      <c r="M24" s="2"/>
      <c r="N24" s="6">
        <f t="shared" si="3"/>
        <v>-9.7889505565280522E-3</v>
      </c>
      <c r="O24" s="11"/>
      <c r="P24" s="7">
        <v>2073.9</v>
      </c>
      <c r="Q24" s="2"/>
      <c r="R24" s="6">
        <f t="shared" si="4"/>
        <v>0</v>
      </c>
      <c r="S24" s="2"/>
      <c r="T24" s="7">
        <v>2268.9354974000003</v>
      </c>
      <c r="U24" s="2"/>
      <c r="V24" s="6">
        <f t="shared" si="5"/>
        <v>0</v>
      </c>
      <c r="W24" s="2"/>
      <c r="X24" s="7">
        <f t="shared" si="6"/>
        <v>-195.03549740000017</v>
      </c>
      <c r="Y24" s="2"/>
      <c r="Z24" s="6">
        <f t="shared" si="7"/>
        <v>-8.5959031282949044E-2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5"/>
      <c r="B26" s="11" t="str">
        <f>CONCATENATE("          ", "6118", " - ", "VACATION")</f>
        <v xml:space="preserve">          6118 - VACATION</v>
      </c>
      <c r="C26" s="11"/>
      <c r="D26" s="7">
        <v>280.8</v>
      </c>
      <c r="E26" s="2"/>
      <c r="F26" s="6">
        <f t="shared" si="0"/>
        <v>0</v>
      </c>
      <c r="G26" s="2"/>
      <c r="H26" s="7">
        <v>606.64860399999998</v>
      </c>
      <c r="I26" s="2"/>
      <c r="J26" s="6">
        <f t="shared" si="1"/>
        <v>0</v>
      </c>
      <c r="K26" s="2"/>
      <c r="L26" s="7">
        <f t="shared" si="2"/>
        <v>-325.84860399999997</v>
      </c>
      <c r="M26" s="2"/>
      <c r="N26" s="6">
        <f t="shared" si="3"/>
        <v>-0.53712907579690072</v>
      </c>
      <c r="O26" s="11"/>
      <c r="P26" s="7">
        <v>1044.6500000000001</v>
      </c>
      <c r="Q26" s="2"/>
      <c r="R26" s="6">
        <f t="shared" si="4"/>
        <v>0</v>
      </c>
      <c r="S26" s="2"/>
      <c r="T26" s="7">
        <v>1971.6079630000002</v>
      </c>
      <c r="U26" s="2"/>
      <c r="V26" s="6">
        <f t="shared" si="5"/>
        <v>0</v>
      </c>
      <c r="W26" s="2"/>
      <c r="X26" s="7">
        <f t="shared" si="6"/>
        <v>-926.95796300000006</v>
      </c>
      <c r="Y26" s="2"/>
      <c r="Z26" s="6">
        <f t="shared" si="7"/>
        <v>-0.47015328624943276</v>
      </c>
    </row>
    <row r="27" spans="1:26" s="24" customFormat="1" hidden="1" outlineLevel="2" x14ac:dyDescent="0.25">
      <c r="A27" s="25"/>
      <c r="B27" s="11" t="str">
        <f>CONCATENATE("          ", "6119", " - ", "SICK LEAVE")</f>
        <v xml:space="preserve">          6119 - SICK LEAVE</v>
      </c>
      <c r="C27" s="11"/>
      <c r="D27" s="7">
        <v>374.44</v>
      </c>
      <c r="E27" s="2"/>
      <c r="F27" s="6">
        <f t="shared" si="0"/>
        <v>0</v>
      </c>
      <c r="G27" s="2"/>
      <c r="H27" s="7">
        <v>667.85048800000004</v>
      </c>
      <c r="I27" s="2"/>
      <c r="J27" s="6">
        <f t="shared" si="1"/>
        <v>0</v>
      </c>
      <c r="K27" s="2"/>
      <c r="L27" s="7">
        <f t="shared" si="2"/>
        <v>-293.41048800000004</v>
      </c>
      <c r="M27" s="2"/>
      <c r="N27" s="6">
        <f t="shared" si="3"/>
        <v>-0.43933558973456949</v>
      </c>
      <c r="O27" s="11"/>
      <c r="P27" s="7">
        <v>2001.95</v>
      </c>
      <c r="Q27" s="2"/>
      <c r="R27" s="6">
        <f t="shared" si="4"/>
        <v>0</v>
      </c>
      <c r="S27" s="2"/>
      <c r="T27" s="7">
        <v>2306.3353360000001</v>
      </c>
      <c r="U27" s="2"/>
      <c r="V27" s="6">
        <f t="shared" si="5"/>
        <v>0</v>
      </c>
      <c r="W27" s="2"/>
      <c r="X27" s="7">
        <f t="shared" si="6"/>
        <v>-304.38533600000005</v>
      </c>
      <c r="Y27" s="2"/>
      <c r="Z27" s="6">
        <f t="shared" si="7"/>
        <v>-0.13197791806282244</v>
      </c>
    </row>
    <row r="28" spans="1:26" s="24" customFormat="1" hidden="1" outlineLevel="2" x14ac:dyDescent="0.25">
      <c r="A28" s="25"/>
      <c r="B28" s="11" t="str">
        <f>CONCATENATE("          ", "6156", " - ", "EMPLOYEE MEALS")</f>
        <v xml:space="preserve">          6156 - EMPLOYEE MEALS</v>
      </c>
      <c r="C28" s="11"/>
      <c r="D28" s="7">
        <v>348.39</v>
      </c>
      <c r="E28" s="2"/>
      <c r="F28" s="6">
        <f t="shared" si="0"/>
        <v>0</v>
      </c>
      <c r="G28" s="2"/>
      <c r="H28" s="7"/>
      <c r="I28" s="2"/>
      <c r="J28" s="6">
        <f t="shared" si="1"/>
        <v>0</v>
      </c>
      <c r="K28" s="2"/>
      <c r="L28" s="7">
        <f t="shared" si="2"/>
        <v>348.39</v>
      </c>
      <c r="M28" s="2"/>
      <c r="N28" s="6">
        <f t="shared" si="3"/>
        <v>0</v>
      </c>
      <c r="O28" s="11"/>
      <c r="P28" s="7">
        <v>888.9</v>
      </c>
      <c r="Q28" s="2"/>
      <c r="R28" s="6">
        <f t="shared" si="4"/>
        <v>0</v>
      </c>
      <c r="S28" s="2"/>
      <c r="T28" s="7"/>
      <c r="U28" s="2"/>
      <c r="V28" s="6">
        <f t="shared" si="5"/>
        <v>0</v>
      </c>
      <c r="W28" s="2"/>
      <c r="X28" s="7">
        <f t="shared" si="6"/>
        <v>888.9</v>
      </c>
      <c r="Y28" s="2"/>
      <c r="Z28" s="6">
        <f t="shared" si="7"/>
        <v>0</v>
      </c>
    </row>
    <row r="29" spans="1:26" s="26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32421.310000000005</v>
      </c>
      <c r="E29" s="1"/>
      <c r="F29" s="5">
        <f t="shared" ref="F29:F39" si="8">IF(D$12=0,0,D29/D$12)</f>
        <v>0</v>
      </c>
      <c r="G29" s="1"/>
      <c r="H29" s="1">
        <f>SUM(OSRRefH22_1x_0)</f>
        <v>39769.775108000002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-7348.4651079999967</v>
      </c>
      <c r="M29" s="1"/>
      <c r="N29" s="5">
        <f t="shared" ref="N29:N39" si="11">IF(H29=0,0,L29/H29)</f>
        <v>-0.18477512352142508</v>
      </c>
      <c r="O29" s="13"/>
      <c r="P29" s="1">
        <f>SUM(OSRRefP22_1x_0)</f>
        <v>127643.68999999999</v>
      </c>
      <c r="Q29" s="1"/>
      <c r="R29" s="5">
        <f t="shared" ref="R29:R39" si="12">IF(P$12=0,0,P29/P$12)</f>
        <v>0</v>
      </c>
      <c r="S29" s="1"/>
      <c r="T29" s="1">
        <f>SUM(OSRRefT22_1x_0)</f>
        <v>142833.89410100001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-15190.204101000025</v>
      </c>
      <c r="Y29" s="1"/>
      <c r="Z29" s="5">
        <f t="shared" ref="Z29:Z39" si="15">IF(T29=0,0,X29/T29)</f>
        <v>-0.10634873603781188</v>
      </c>
    </row>
    <row r="30" spans="1:26" s="24" customFormat="1" hidden="1" outlineLevel="2" x14ac:dyDescent="0.25">
      <c r="A30" s="25"/>
      <c r="B30" s="11" t="str">
        <f>CONCATENATE("          ", "6001", " - ", "ADMINISTRATIVE SALARIES")</f>
        <v xml:space="preserve">          6001 - ADMINISTRATIVE SALARIES</v>
      </c>
      <c r="C30" s="11"/>
      <c r="D30" s="7"/>
      <c r="E30" s="2"/>
      <c r="F30" s="6">
        <f t="shared" si="8"/>
        <v>0</v>
      </c>
      <c r="G30" s="2"/>
      <c r="H30" s="7">
        <v>3807.2751079999994</v>
      </c>
      <c r="I30" s="2"/>
      <c r="J30" s="6">
        <f t="shared" si="9"/>
        <v>0</v>
      </c>
      <c r="K30" s="2"/>
      <c r="L30" s="7">
        <f t="shared" si="10"/>
        <v>-3807.2751079999994</v>
      </c>
      <c r="M30" s="2"/>
      <c r="N30" s="6">
        <f t="shared" si="11"/>
        <v>-1</v>
      </c>
      <c r="O30" s="11"/>
      <c r="P30" s="7"/>
      <c r="Q30" s="2"/>
      <c r="R30" s="6">
        <f t="shared" si="12"/>
        <v>0</v>
      </c>
      <c r="S30" s="2"/>
      <c r="T30" s="7">
        <v>12373.644101</v>
      </c>
      <c r="U30" s="2"/>
      <c r="V30" s="6">
        <f t="shared" si="13"/>
        <v>0</v>
      </c>
      <c r="W30" s="2"/>
      <c r="X30" s="7">
        <f t="shared" si="14"/>
        <v>-12373.644101</v>
      </c>
      <c r="Y30" s="2"/>
      <c r="Z30" s="6">
        <f t="shared" si="15"/>
        <v>-1</v>
      </c>
    </row>
    <row r="31" spans="1:26" s="24" customFormat="1" hidden="1" outlineLevel="2" x14ac:dyDescent="0.25">
      <c r="A31" s="25"/>
      <c r="B31" s="11" t="str">
        <f>CONCATENATE("          ", "6002", " - ", "STAFF SALARIES")</f>
        <v xml:space="preserve">          6002 - STAFF SALARIES</v>
      </c>
      <c r="C31" s="11"/>
      <c r="D31" s="7">
        <v>8117.84</v>
      </c>
      <c r="E31" s="2"/>
      <c r="F31" s="6">
        <f t="shared" si="8"/>
        <v>0</v>
      </c>
      <c r="G31" s="2"/>
      <c r="H31" s="7">
        <v>3379.2</v>
      </c>
      <c r="I31" s="2"/>
      <c r="J31" s="6">
        <f t="shared" si="9"/>
        <v>0</v>
      </c>
      <c r="K31" s="2"/>
      <c r="L31" s="7">
        <f t="shared" si="10"/>
        <v>4738.6400000000003</v>
      </c>
      <c r="M31" s="2"/>
      <c r="N31" s="6">
        <f t="shared" si="11"/>
        <v>1.4022964015151518</v>
      </c>
      <c r="O31" s="11"/>
      <c r="P31" s="7">
        <v>25614.52</v>
      </c>
      <c r="Q31" s="2"/>
      <c r="R31" s="6">
        <f t="shared" si="12"/>
        <v>0</v>
      </c>
      <c r="S31" s="2"/>
      <c r="T31" s="7">
        <v>10982.4</v>
      </c>
      <c r="U31" s="2"/>
      <c r="V31" s="6">
        <f t="shared" si="13"/>
        <v>0</v>
      </c>
      <c r="W31" s="2"/>
      <c r="X31" s="7">
        <f t="shared" si="14"/>
        <v>14632.12</v>
      </c>
      <c r="Y31" s="2"/>
      <c r="Z31" s="6">
        <f t="shared" si="15"/>
        <v>1.3323244463869466</v>
      </c>
    </row>
    <row r="32" spans="1:26" s="24" customFormat="1" hidden="1" outlineLevel="2" x14ac:dyDescent="0.25">
      <c r="A32" s="25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5"/>
      <c r="B33" s="11" t="str">
        <f>CONCATENATE("          ", "6004", " - ", "STAFF HOURLY")</f>
        <v xml:space="preserve">          6004 - STAFF HOURLY</v>
      </c>
      <c r="C33" s="11"/>
      <c r="D33" s="7"/>
      <c r="E33" s="2"/>
      <c r="F33" s="6">
        <f t="shared" si="8"/>
        <v>0</v>
      </c>
      <c r="G33" s="2"/>
      <c r="H33" s="7">
        <v>3460.8</v>
      </c>
      <c r="I33" s="2"/>
      <c r="J33" s="6">
        <f t="shared" si="9"/>
        <v>0</v>
      </c>
      <c r="K33" s="2"/>
      <c r="L33" s="7">
        <f t="shared" si="10"/>
        <v>-3460.8</v>
      </c>
      <c r="M33" s="2"/>
      <c r="N33" s="6">
        <f t="shared" si="11"/>
        <v>-1</v>
      </c>
      <c r="O33" s="11"/>
      <c r="P33" s="7"/>
      <c r="Q33" s="2"/>
      <c r="R33" s="6">
        <f t="shared" si="12"/>
        <v>0</v>
      </c>
      <c r="S33" s="2"/>
      <c r="T33" s="7">
        <v>11247.6</v>
      </c>
      <c r="U33" s="2"/>
      <c r="V33" s="6">
        <f t="shared" si="13"/>
        <v>0</v>
      </c>
      <c r="W33" s="2"/>
      <c r="X33" s="7">
        <f t="shared" si="14"/>
        <v>-11247.6</v>
      </c>
      <c r="Y33" s="2"/>
      <c r="Z33" s="6">
        <f t="shared" si="15"/>
        <v>-1</v>
      </c>
    </row>
    <row r="34" spans="1:26" s="24" customFormat="1" hidden="1" outlineLevel="2" x14ac:dyDescent="0.25">
      <c r="A34" s="25"/>
      <c r="B34" s="11" t="str">
        <f>CONCATENATE("          ", "6005", " - ", "TEMPORARY WAGES-HOURLY")</f>
        <v xml:space="preserve">          6005 - TEMPORARY WAGES-HOURLY</v>
      </c>
      <c r="C34" s="11"/>
      <c r="D34" s="7">
        <v>2292.7399999999998</v>
      </c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2292.7399999999998</v>
      </c>
      <c r="M34" s="2"/>
      <c r="N34" s="6">
        <f t="shared" si="11"/>
        <v>0</v>
      </c>
      <c r="O34" s="11"/>
      <c r="P34" s="7">
        <v>7519.68</v>
      </c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7519.68</v>
      </c>
      <c r="Y34" s="2"/>
      <c r="Z34" s="6">
        <f t="shared" si="15"/>
        <v>0</v>
      </c>
    </row>
    <row r="35" spans="1:26" s="24" customFormat="1" hidden="1" outlineLevel="2" x14ac:dyDescent="0.25">
      <c r="A35" s="25"/>
      <c r="B35" s="11" t="str">
        <f>CONCATENATE("          ", "6006", " - ", "TEMPORARY PART TIME")</f>
        <v xml:space="preserve">          6006 - TEMPORARY PART TIME</v>
      </c>
      <c r="C35" s="11"/>
      <c r="D35" s="7">
        <v>2833.5</v>
      </c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2833.5</v>
      </c>
      <c r="M35" s="2"/>
      <c r="N35" s="6">
        <f t="shared" si="11"/>
        <v>0</v>
      </c>
      <c r="O35" s="11"/>
      <c r="P35" s="7">
        <v>7297.5</v>
      </c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7297.5</v>
      </c>
      <c r="Y35" s="2"/>
      <c r="Z35" s="6">
        <f t="shared" si="15"/>
        <v>0</v>
      </c>
    </row>
    <row r="36" spans="1:26" s="24" customFormat="1" hidden="1" outlineLevel="2" x14ac:dyDescent="0.25">
      <c r="A36" s="25"/>
      <c r="B36" s="11" t="str">
        <f>CONCATENATE("          ", "6007", " - ", "STUDENT HOURLY")</f>
        <v xml:space="preserve">          6007 - STUDENT HOURLY</v>
      </c>
      <c r="C36" s="11"/>
      <c r="D36" s="7">
        <v>17764.230000000003</v>
      </c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17764.230000000003</v>
      </c>
      <c r="M36" s="2"/>
      <c r="N36" s="6">
        <f t="shared" si="11"/>
        <v>0</v>
      </c>
      <c r="O36" s="11"/>
      <c r="P36" s="7">
        <v>84334.989999999991</v>
      </c>
      <c r="Q36" s="2"/>
      <c r="R36" s="6">
        <f t="shared" si="12"/>
        <v>0</v>
      </c>
      <c r="S36" s="2"/>
      <c r="T36" s="7">
        <v>46139.25</v>
      </c>
      <c r="U36" s="2"/>
      <c r="V36" s="6">
        <f t="shared" si="13"/>
        <v>0</v>
      </c>
      <c r="W36" s="2"/>
      <c r="X36" s="7">
        <f t="shared" si="14"/>
        <v>38195.739999999991</v>
      </c>
      <c r="Y36" s="2"/>
      <c r="Z36" s="6">
        <f t="shared" si="15"/>
        <v>0.82783616985538322</v>
      </c>
    </row>
    <row r="37" spans="1:26" s="24" customFormat="1" hidden="1" outlineLevel="2" x14ac:dyDescent="0.25">
      <c r="A37" s="25"/>
      <c r="B37" s="11" t="str">
        <f>CONCATENATE("          ", "6008", " - ", "STUDENT HOURLY-FICA EXEMPT")</f>
        <v xml:space="preserve">          6008 - STUDENT HOURLY-FICA EXEMPT</v>
      </c>
      <c r="C37" s="11"/>
      <c r="D37" s="7">
        <v>1413</v>
      </c>
      <c r="E37" s="2"/>
      <c r="F37" s="6">
        <f t="shared" si="8"/>
        <v>0</v>
      </c>
      <c r="G37" s="2"/>
      <c r="H37" s="7">
        <v>29122.5</v>
      </c>
      <c r="I37" s="2"/>
      <c r="J37" s="6">
        <f t="shared" si="9"/>
        <v>0</v>
      </c>
      <c r="K37" s="2"/>
      <c r="L37" s="7">
        <f t="shared" si="10"/>
        <v>-27709.5</v>
      </c>
      <c r="M37" s="2"/>
      <c r="N37" s="6">
        <f t="shared" si="11"/>
        <v>-0.95148081380375993</v>
      </c>
      <c r="O37" s="11"/>
      <c r="P37" s="7">
        <v>2877</v>
      </c>
      <c r="Q37" s="2"/>
      <c r="R37" s="6">
        <f t="shared" si="12"/>
        <v>0</v>
      </c>
      <c r="S37" s="2"/>
      <c r="T37" s="7">
        <v>62091.000000000007</v>
      </c>
      <c r="U37" s="2"/>
      <c r="V37" s="6">
        <f t="shared" si="13"/>
        <v>0</v>
      </c>
      <c r="W37" s="2"/>
      <c r="X37" s="7">
        <f t="shared" si="14"/>
        <v>-59214.000000000007</v>
      </c>
      <c r="Y37" s="2"/>
      <c r="Z37" s="6">
        <f t="shared" si="15"/>
        <v>-0.95366478233560414</v>
      </c>
    </row>
    <row r="38" spans="1:26" s="24" customFormat="1" hidden="1" outlineLevel="2" x14ac:dyDescent="0.25">
      <c r="A38" s="25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5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6" customFormat="1" outlineLevel="1" collapsed="1" x14ac:dyDescent="0.25">
      <c r="A40" s="27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0</v>
      </c>
      <c r="E40" s="1"/>
      <c r="F40" s="5">
        <f t="shared" ref="F40:F50" si="16">IF(D$12=0,0,D40/D$12)</f>
        <v>0</v>
      </c>
      <c r="G40" s="1"/>
      <c r="H40" s="1">
        <f>SUM(OSRRefH22_2x_0)</f>
        <v>0</v>
      </c>
      <c r="I40" s="1"/>
      <c r="J40" s="5">
        <f t="shared" ref="J40:J50" si="17">IF(H$12=0,0,H40/H$12)</f>
        <v>0</v>
      </c>
      <c r="K40" s="1"/>
      <c r="L40" s="1">
        <f t="shared" ref="L40:L50" si="18">+D40-H40</f>
        <v>0</v>
      </c>
      <c r="M40" s="1"/>
      <c r="N40" s="5">
        <f t="shared" ref="N40:N50" si="19">IF(H40=0,0,L40/H40)</f>
        <v>0</v>
      </c>
      <c r="O40" s="13"/>
      <c r="P40" s="1">
        <f>SUM(OSRRefP22_2x_0)</f>
        <v>138</v>
      </c>
      <c r="Q40" s="1"/>
      <c r="R40" s="5">
        <f t="shared" ref="R40:R50" si="20">IF(P$12=0,0,P40/P$12)</f>
        <v>0</v>
      </c>
      <c r="S40" s="1"/>
      <c r="T40" s="1">
        <f>SUM(OSRRefT22_2x_0)</f>
        <v>400</v>
      </c>
      <c r="U40" s="1"/>
      <c r="V40" s="5">
        <f t="shared" ref="V40:V50" si="21">IF(T$12=0,0,T40/T$12)</f>
        <v>0</v>
      </c>
      <c r="W40" s="1"/>
      <c r="X40" s="1">
        <f t="shared" ref="X40:X50" si="22">+P40-T40</f>
        <v>-262</v>
      </c>
      <c r="Y40" s="1"/>
      <c r="Z40" s="5">
        <f t="shared" ref="Z40:Z50" si="23">IF(T40=0,0,X40/T40)</f>
        <v>-0.65500000000000003</v>
      </c>
    </row>
    <row r="41" spans="1:26" s="24" customFormat="1" hidden="1" outlineLevel="2" x14ac:dyDescent="0.25">
      <c r="A41" s="25"/>
      <c r="B41" s="11" t="str">
        <f>CONCATENATE("          ", "6362", " - ", "ADVERTISING EXPENSE")</f>
        <v xml:space="preserve">          6362 - ADVERTISING EXPENSE</v>
      </c>
      <c r="C41" s="11"/>
      <c r="D41" s="7"/>
      <c r="E41" s="2"/>
      <c r="F41" s="6">
        <f t="shared" si="16"/>
        <v>0</v>
      </c>
      <c r="G41" s="2"/>
      <c r="H41" s="7"/>
      <c r="I41" s="2"/>
      <c r="J41" s="6">
        <f t="shared" si="17"/>
        <v>0</v>
      </c>
      <c r="K41" s="2"/>
      <c r="L41" s="7">
        <f t="shared" si="18"/>
        <v>0</v>
      </c>
      <c r="M41" s="2"/>
      <c r="N41" s="6">
        <f t="shared" si="19"/>
        <v>0</v>
      </c>
      <c r="O41" s="11"/>
      <c r="P41" s="7">
        <v>138</v>
      </c>
      <c r="Q41" s="2"/>
      <c r="R41" s="6">
        <f t="shared" si="20"/>
        <v>0</v>
      </c>
      <c r="S41" s="2"/>
      <c r="T41" s="7">
        <v>400</v>
      </c>
      <c r="U41" s="2"/>
      <c r="V41" s="6">
        <f t="shared" si="21"/>
        <v>0</v>
      </c>
      <c r="W41" s="2"/>
      <c r="X41" s="7">
        <f t="shared" si="22"/>
        <v>-262</v>
      </c>
      <c r="Y41" s="2"/>
      <c r="Z41" s="6">
        <f t="shared" si="23"/>
        <v>-0.65500000000000003</v>
      </c>
    </row>
    <row r="42" spans="1:26" s="26" customFormat="1" outlineLevel="1" collapsed="1" x14ac:dyDescent="0.25">
      <c r="A42" s="27"/>
      <c r="B42" s="13" t="str">
        <f>CONCATENATE("     ","Employees' Appreciation                           ")</f>
        <v xml:space="preserve">     Employees' Appreciation                           </v>
      </c>
      <c r="C42" s="13"/>
      <c r="D42" s="1">
        <f>SUM(OSRRefD22_3x_0)</f>
        <v>0</v>
      </c>
      <c r="E42" s="1"/>
      <c r="F42" s="5">
        <f t="shared" si="16"/>
        <v>0</v>
      </c>
      <c r="G42" s="1"/>
      <c r="H42" s="1">
        <f>SUM(OSRRefH22_3x_0)</f>
        <v>50</v>
      </c>
      <c r="I42" s="1"/>
      <c r="J42" s="5">
        <f t="shared" si="17"/>
        <v>0</v>
      </c>
      <c r="K42" s="1"/>
      <c r="L42" s="1">
        <f t="shared" si="18"/>
        <v>-50</v>
      </c>
      <c r="M42" s="1"/>
      <c r="N42" s="5">
        <f t="shared" si="19"/>
        <v>-1</v>
      </c>
      <c r="O42" s="13"/>
      <c r="P42" s="1">
        <f>SUM(OSRRefP22_3x_0)</f>
        <v>0</v>
      </c>
      <c r="Q42" s="1"/>
      <c r="R42" s="5">
        <f t="shared" si="20"/>
        <v>0</v>
      </c>
      <c r="S42" s="1"/>
      <c r="T42" s="1">
        <f>SUM(OSRRefT22_3x_0)</f>
        <v>150</v>
      </c>
      <c r="U42" s="1"/>
      <c r="V42" s="5">
        <f t="shared" si="21"/>
        <v>0</v>
      </c>
      <c r="W42" s="1"/>
      <c r="X42" s="1">
        <f t="shared" si="22"/>
        <v>-150</v>
      </c>
      <c r="Y42" s="1"/>
      <c r="Z42" s="5">
        <f t="shared" si="23"/>
        <v>-1</v>
      </c>
    </row>
    <row r="43" spans="1:26" s="24" customFormat="1" hidden="1" outlineLevel="2" x14ac:dyDescent="0.25">
      <c r="A43" s="25"/>
      <c r="B43" s="11" t="str">
        <f>CONCATENATE("          ", "6277", " - ", "EMPLOYEE APPRECIATION")</f>
        <v xml:space="preserve">          6277 - EMPLOYEE APPRECIATION</v>
      </c>
      <c r="C43" s="11"/>
      <c r="D43" s="7"/>
      <c r="E43" s="2"/>
      <c r="F43" s="6">
        <f t="shared" si="16"/>
        <v>0</v>
      </c>
      <c r="G43" s="2"/>
      <c r="H43" s="7">
        <v>50</v>
      </c>
      <c r="I43" s="2"/>
      <c r="J43" s="6">
        <f t="shared" si="17"/>
        <v>0</v>
      </c>
      <c r="K43" s="2"/>
      <c r="L43" s="7">
        <f t="shared" si="18"/>
        <v>-50</v>
      </c>
      <c r="M43" s="2"/>
      <c r="N43" s="6">
        <f t="shared" si="19"/>
        <v>-1</v>
      </c>
      <c r="O43" s="11"/>
      <c r="P43" s="7"/>
      <c r="Q43" s="2"/>
      <c r="R43" s="6">
        <f t="shared" si="20"/>
        <v>0</v>
      </c>
      <c r="S43" s="2"/>
      <c r="T43" s="7">
        <v>150</v>
      </c>
      <c r="U43" s="2"/>
      <c r="V43" s="6">
        <f t="shared" si="21"/>
        <v>0</v>
      </c>
      <c r="W43" s="2"/>
      <c r="X43" s="7">
        <f t="shared" si="22"/>
        <v>-150</v>
      </c>
      <c r="Y43" s="2"/>
      <c r="Z43" s="6">
        <f t="shared" si="23"/>
        <v>-1</v>
      </c>
    </row>
    <row r="44" spans="1:26" s="26" customFormat="1" outlineLevel="1" collapsed="1" x14ac:dyDescent="0.25">
      <c r="A44" s="27"/>
      <c r="B44" s="13" t="str">
        <f>CONCATENATE("     ","Equipment Rental                                  ")</f>
        <v xml:space="preserve">     Equipment Rental                                  </v>
      </c>
      <c r="C44" s="13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125</v>
      </c>
      <c r="I44" s="1"/>
      <c r="J44" s="5">
        <f t="shared" si="17"/>
        <v>0</v>
      </c>
      <c r="K44" s="1"/>
      <c r="L44" s="1">
        <f t="shared" si="18"/>
        <v>-125</v>
      </c>
      <c r="M44" s="1"/>
      <c r="N44" s="5">
        <f t="shared" si="19"/>
        <v>-1</v>
      </c>
      <c r="O44" s="13"/>
      <c r="P44" s="1">
        <f>SUM(OSRRefP22_4x_0)</f>
        <v>0</v>
      </c>
      <c r="Q44" s="1"/>
      <c r="R44" s="5">
        <f t="shared" si="20"/>
        <v>0</v>
      </c>
      <c r="S44" s="1"/>
      <c r="T44" s="1">
        <f>SUM(OSRRefT22_4x_0)</f>
        <v>375</v>
      </c>
      <c r="U44" s="1"/>
      <c r="V44" s="5">
        <f t="shared" si="21"/>
        <v>0</v>
      </c>
      <c r="W44" s="1"/>
      <c r="X44" s="1">
        <f t="shared" si="22"/>
        <v>-375</v>
      </c>
      <c r="Y44" s="1"/>
      <c r="Z44" s="5">
        <f t="shared" si="23"/>
        <v>-1</v>
      </c>
    </row>
    <row r="45" spans="1:26" s="24" customFormat="1" hidden="1" outlineLevel="2" x14ac:dyDescent="0.25">
      <c r="A45" s="25"/>
      <c r="B45" s="11" t="str">
        <f>CONCATENATE("          ", "6351", " - ", "EQUIPMENT RENTAL")</f>
        <v xml:space="preserve">          6351 - EQUIPMENT RENTAL</v>
      </c>
      <c r="C45" s="11"/>
      <c r="D45" s="7"/>
      <c r="E45" s="2"/>
      <c r="F45" s="6">
        <f t="shared" si="16"/>
        <v>0</v>
      </c>
      <c r="G45" s="2"/>
      <c r="H45" s="7">
        <v>125</v>
      </c>
      <c r="I45" s="2"/>
      <c r="J45" s="6">
        <f t="shared" si="17"/>
        <v>0</v>
      </c>
      <c r="K45" s="2"/>
      <c r="L45" s="7">
        <f t="shared" si="18"/>
        <v>-125</v>
      </c>
      <c r="M45" s="2"/>
      <c r="N45" s="6">
        <f t="shared" si="19"/>
        <v>-1</v>
      </c>
      <c r="O45" s="11"/>
      <c r="P45" s="7"/>
      <c r="Q45" s="2"/>
      <c r="R45" s="6">
        <f t="shared" si="20"/>
        <v>0</v>
      </c>
      <c r="S45" s="2"/>
      <c r="T45" s="7">
        <v>375</v>
      </c>
      <c r="U45" s="2"/>
      <c r="V45" s="6">
        <f t="shared" si="21"/>
        <v>0</v>
      </c>
      <c r="W45" s="2"/>
      <c r="X45" s="7">
        <f t="shared" si="22"/>
        <v>-375</v>
      </c>
      <c r="Y45" s="2"/>
      <c r="Z45" s="6">
        <f t="shared" si="23"/>
        <v>-1</v>
      </c>
    </row>
    <row r="46" spans="1:26" s="26" customFormat="1" outlineLevel="1" collapsed="1" x14ac:dyDescent="0.25">
      <c r="A46" s="27"/>
      <c r="B46" s="13" t="str">
        <f>CONCATENATE("     ","Freight out/Postage                               ")</f>
        <v xml:space="preserve">     Freight out/Postage                               </v>
      </c>
      <c r="C46" s="13"/>
      <c r="D46" s="1">
        <f>SUM(OSRRefD22_5x_0)</f>
        <v>0</v>
      </c>
      <c r="E46" s="1"/>
      <c r="F46" s="5">
        <f t="shared" si="16"/>
        <v>0</v>
      </c>
      <c r="G46" s="1"/>
      <c r="H46" s="1">
        <f>SUM(OSRRefH22_5x_0)</f>
        <v>10</v>
      </c>
      <c r="I46" s="1"/>
      <c r="J46" s="5">
        <f t="shared" si="17"/>
        <v>0</v>
      </c>
      <c r="K46" s="1"/>
      <c r="L46" s="1">
        <f t="shared" si="18"/>
        <v>-10</v>
      </c>
      <c r="M46" s="1"/>
      <c r="N46" s="5">
        <f t="shared" si="19"/>
        <v>-1</v>
      </c>
      <c r="O46" s="13"/>
      <c r="P46" s="1">
        <f>SUM(OSRRefP22_5x_0)</f>
        <v>0</v>
      </c>
      <c r="Q46" s="1"/>
      <c r="R46" s="5">
        <f t="shared" si="20"/>
        <v>0</v>
      </c>
      <c r="S46" s="1"/>
      <c r="T46" s="1">
        <f>SUM(OSRRefT22_5x_0)</f>
        <v>30</v>
      </c>
      <c r="U46" s="1"/>
      <c r="V46" s="5">
        <f t="shared" si="21"/>
        <v>0</v>
      </c>
      <c r="W46" s="1"/>
      <c r="X46" s="1">
        <f t="shared" si="22"/>
        <v>-30</v>
      </c>
      <c r="Y46" s="1"/>
      <c r="Z46" s="5">
        <f t="shared" si="23"/>
        <v>-1</v>
      </c>
    </row>
    <row r="47" spans="1:26" s="24" customFormat="1" hidden="1" outlineLevel="2" x14ac:dyDescent="0.25">
      <c r="A47" s="25"/>
      <c r="B47" s="11" t="str">
        <f>CONCATENATE("          ", "6307", " - ", "POSTAGE")</f>
        <v xml:space="preserve">          6307 - POSTAGE</v>
      </c>
      <c r="C47" s="11"/>
      <c r="D47" s="7"/>
      <c r="E47" s="2"/>
      <c r="F47" s="6">
        <f t="shared" si="16"/>
        <v>0</v>
      </c>
      <c r="G47" s="2"/>
      <c r="H47" s="7">
        <v>10</v>
      </c>
      <c r="I47" s="2"/>
      <c r="J47" s="6">
        <f t="shared" si="17"/>
        <v>0</v>
      </c>
      <c r="K47" s="2"/>
      <c r="L47" s="7">
        <f t="shared" si="18"/>
        <v>-10</v>
      </c>
      <c r="M47" s="2"/>
      <c r="N47" s="6">
        <f t="shared" si="19"/>
        <v>-1</v>
      </c>
      <c r="O47" s="11"/>
      <c r="P47" s="7"/>
      <c r="Q47" s="2"/>
      <c r="R47" s="6">
        <f t="shared" si="20"/>
        <v>0</v>
      </c>
      <c r="S47" s="2"/>
      <c r="T47" s="7">
        <v>30</v>
      </c>
      <c r="U47" s="2"/>
      <c r="V47" s="6">
        <f t="shared" si="21"/>
        <v>0</v>
      </c>
      <c r="W47" s="2"/>
      <c r="X47" s="7">
        <f t="shared" si="22"/>
        <v>-30</v>
      </c>
      <c r="Y47" s="2"/>
      <c r="Z47" s="6">
        <f t="shared" si="23"/>
        <v>-1</v>
      </c>
    </row>
    <row r="48" spans="1:26" s="26" customFormat="1" outlineLevel="1" collapsed="1" x14ac:dyDescent="0.25">
      <c r="A48" s="27"/>
      <c r="B48" s="13" t="str">
        <f>CONCATENATE("     ","Repair and Maintenance                            ")</f>
        <v xml:space="preserve">     Repair and Maintenance                            </v>
      </c>
      <c r="C48" s="13"/>
      <c r="D48" s="1">
        <f>SUM(OSRRefD22_6x_0)</f>
        <v>14.56</v>
      </c>
      <c r="E48" s="1"/>
      <c r="F48" s="5">
        <f t="shared" si="16"/>
        <v>0</v>
      </c>
      <c r="G48" s="1"/>
      <c r="H48" s="1">
        <f>SUM(OSRRefH22_6x_0)</f>
        <v>125</v>
      </c>
      <c r="I48" s="1"/>
      <c r="J48" s="5">
        <f t="shared" si="17"/>
        <v>0</v>
      </c>
      <c r="K48" s="1"/>
      <c r="L48" s="1">
        <f t="shared" si="18"/>
        <v>-110.44</v>
      </c>
      <c r="M48" s="1"/>
      <c r="N48" s="5">
        <f t="shared" si="19"/>
        <v>-0.88351999999999997</v>
      </c>
      <c r="O48" s="13"/>
      <c r="P48" s="1">
        <f>SUM(OSRRefP22_6x_0)</f>
        <v>14.56</v>
      </c>
      <c r="Q48" s="1"/>
      <c r="R48" s="5">
        <f t="shared" si="20"/>
        <v>0</v>
      </c>
      <c r="S48" s="1"/>
      <c r="T48" s="1">
        <f>SUM(OSRRefT22_6x_0)</f>
        <v>375</v>
      </c>
      <c r="U48" s="1"/>
      <c r="V48" s="5">
        <f t="shared" si="21"/>
        <v>0</v>
      </c>
      <c r="W48" s="1"/>
      <c r="X48" s="1">
        <f t="shared" si="22"/>
        <v>-360.44</v>
      </c>
      <c r="Y48" s="1"/>
      <c r="Z48" s="5">
        <f t="shared" si="23"/>
        <v>-0.96117333333333332</v>
      </c>
    </row>
    <row r="49" spans="1:26" s="24" customFormat="1" hidden="1" outlineLevel="2" x14ac:dyDescent="0.25">
      <c r="A49" s="25"/>
      <c r="B49" s="11" t="str">
        <f>CONCATENATE("          ", "6373", " - ", "MAINTENANCE CONTRACTS")</f>
        <v xml:space="preserve">          6373 - MAINTENANCE CONTRACTS</v>
      </c>
      <c r="C49" s="11"/>
      <c r="D49" s="7">
        <v>14.56</v>
      </c>
      <c r="E49" s="2"/>
      <c r="F49" s="6">
        <f t="shared" si="16"/>
        <v>0</v>
      </c>
      <c r="G49" s="2"/>
      <c r="H49" s="7"/>
      <c r="I49" s="2"/>
      <c r="J49" s="6">
        <f t="shared" si="17"/>
        <v>0</v>
      </c>
      <c r="K49" s="2"/>
      <c r="L49" s="7">
        <f t="shared" si="18"/>
        <v>14.56</v>
      </c>
      <c r="M49" s="2"/>
      <c r="N49" s="6">
        <f t="shared" si="19"/>
        <v>0</v>
      </c>
      <c r="O49" s="11"/>
      <c r="P49" s="7">
        <v>14.56</v>
      </c>
      <c r="Q49" s="2"/>
      <c r="R49" s="6">
        <f t="shared" si="20"/>
        <v>0</v>
      </c>
      <c r="S49" s="2"/>
      <c r="T49" s="7"/>
      <c r="U49" s="2"/>
      <c r="V49" s="6">
        <f t="shared" si="21"/>
        <v>0</v>
      </c>
      <c r="W49" s="2"/>
      <c r="X49" s="7">
        <f t="shared" si="22"/>
        <v>14.56</v>
      </c>
      <c r="Y49" s="2"/>
      <c r="Z49" s="6">
        <f t="shared" si="23"/>
        <v>0</v>
      </c>
    </row>
    <row r="50" spans="1:26" s="24" customFormat="1" hidden="1" outlineLevel="2" x14ac:dyDescent="0.25">
      <c r="A50" s="25"/>
      <c r="B50" s="11" t="str">
        <f>CONCATENATE("          ", "6375", " - ", "OUTSIDE REPAIRS &amp; MAINTENANCE")</f>
        <v xml:space="preserve">          6375 - OUTSIDE REPAIRS &amp; MAINTENANCE</v>
      </c>
      <c r="C50" s="11"/>
      <c r="D50" s="7"/>
      <c r="E50" s="2"/>
      <c r="F50" s="6">
        <f t="shared" si="16"/>
        <v>0</v>
      </c>
      <c r="G50" s="2"/>
      <c r="H50" s="7">
        <v>125</v>
      </c>
      <c r="I50" s="2"/>
      <c r="J50" s="6">
        <f t="shared" si="17"/>
        <v>0</v>
      </c>
      <c r="K50" s="2"/>
      <c r="L50" s="7">
        <f t="shared" si="18"/>
        <v>-125</v>
      </c>
      <c r="M50" s="2"/>
      <c r="N50" s="6">
        <f t="shared" si="19"/>
        <v>-1</v>
      </c>
      <c r="O50" s="11"/>
      <c r="P50" s="7"/>
      <c r="Q50" s="2"/>
      <c r="R50" s="6">
        <f t="shared" si="20"/>
        <v>0</v>
      </c>
      <c r="S50" s="2"/>
      <c r="T50" s="7">
        <v>375</v>
      </c>
      <c r="U50" s="2"/>
      <c r="V50" s="6">
        <f t="shared" si="21"/>
        <v>0</v>
      </c>
      <c r="W50" s="2"/>
      <c r="X50" s="7">
        <f t="shared" si="22"/>
        <v>-375</v>
      </c>
      <c r="Y50" s="2"/>
      <c r="Z50" s="6">
        <f t="shared" si="23"/>
        <v>-1</v>
      </c>
    </row>
    <row r="51" spans="1:26" s="26" customFormat="1" outlineLevel="1" collapsed="1" x14ac:dyDescent="0.25">
      <c r="A51" s="27"/>
      <c r="B51" s="13" t="str">
        <f>CONCATENATE("     ","Supplies                                          ")</f>
        <v xml:space="preserve">     Supplies                                          </v>
      </c>
      <c r="C51" s="13"/>
      <c r="D51" s="1">
        <f>SUM(OSRRefD22_7x_0)</f>
        <v>161.44999999999999</v>
      </c>
      <c r="E51" s="1"/>
      <c r="F51" s="5">
        <f t="shared" ref="F51:F54" si="24">IF(D$12=0,0,D51/D$12)</f>
        <v>0</v>
      </c>
      <c r="G51" s="1"/>
      <c r="H51" s="1">
        <f>SUM(OSRRefH22_7x_0)</f>
        <v>450</v>
      </c>
      <c r="I51" s="1"/>
      <c r="J51" s="5">
        <f t="shared" ref="J51:J54" si="25">IF(H$12=0,0,H51/H$12)</f>
        <v>0</v>
      </c>
      <c r="K51" s="1"/>
      <c r="L51" s="1">
        <f t="shared" ref="L51:L54" si="26">+D51-H51</f>
        <v>-288.55</v>
      </c>
      <c r="M51" s="1"/>
      <c r="N51" s="5">
        <f t="shared" ref="N51:N54" si="27">IF(H51=0,0,L51/H51)</f>
        <v>-0.64122222222222225</v>
      </c>
      <c r="O51" s="13"/>
      <c r="P51" s="1">
        <f>SUM(OSRRefP22_7x_0)</f>
        <v>296.48</v>
      </c>
      <c r="Q51" s="1"/>
      <c r="R51" s="5">
        <f t="shared" ref="R51:R54" si="28">IF(P$12=0,0,P51/P$12)</f>
        <v>0</v>
      </c>
      <c r="S51" s="1"/>
      <c r="T51" s="1">
        <f>SUM(OSRRefT22_7x_0)</f>
        <v>2100</v>
      </c>
      <c r="U51" s="1"/>
      <c r="V51" s="5">
        <f t="shared" ref="V51:V54" si="29">IF(T$12=0,0,T51/T$12)</f>
        <v>0</v>
      </c>
      <c r="W51" s="1"/>
      <c r="X51" s="1">
        <f t="shared" ref="X51:X54" si="30">+P51-T51</f>
        <v>-1803.52</v>
      </c>
      <c r="Y51" s="1"/>
      <c r="Z51" s="5">
        <f t="shared" ref="Z51:Z54" si="31">IF(T51=0,0,X51/T51)</f>
        <v>-0.85881904761904759</v>
      </c>
    </row>
    <row r="52" spans="1:26" s="24" customFormat="1" hidden="1" outlineLevel="2" x14ac:dyDescent="0.25">
      <c r="A52" s="25"/>
      <c r="B52" s="11" t="str">
        <f>CONCATENATE("          ", "6241", " - ", "OFFICE EXPENSE")</f>
        <v xml:space="preserve">          6241 - OFFICE EXPENSE</v>
      </c>
      <c r="C52" s="11"/>
      <c r="D52" s="7">
        <v>8.81</v>
      </c>
      <c r="E52" s="2"/>
      <c r="F52" s="6">
        <f t="shared" si="24"/>
        <v>0</v>
      </c>
      <c r="G52" s="2"/>
      <c r="H52" s="7">
        <v>150</v>
      </c>
      <c r="I52" s="2"/>
      <c r="J52" s="6">
        <f t="shared" si="25"/>
        <v>0</v>
      </c>
      <c r="K52" s="2"/>
      <c r="L52" s="7">
        <f t="shared" si="26"/>
        <v>-141.19</v>
      </c>
      <c r="M52" s="2"/>
      <c r="N52" s="6">
        <f t="shared" si="27"/>
        <v>-0.9412666666666667</v>
      </c>
      <c r="O52" s="11"/>
      <c r="P52" s="7">
        <v>143.84</v>
      </c>
      <c r="Q52" s="2"/>
      <c r="R52" s="6">
        <f t="shared" si="28"/>
        <v>0</v>
      </c>
      <c r="S52" s="2"/>
      <c r="T52" s="7">
        <v>700</v>
      </c>
      <c r="U52" s="2"/>
      <c r="V52" s="6">
        <f t="shared" si="29"/>
        <v>0</v>
      </c>
      <c r="W52" s="2"/>
      <c r="X52" s="7">
        <f t="shared" si="30"/>
        <v>-556.16</v>
      </c>
      <c r="Y52" s="2"/>
      <c r="Z52" s="6">
        <f t="shared" si="31"/>
        <v>-0.79451428571428562</v>
      </c>
    </row>
    <row r="53" spans="1:26" s="24" customFormat="1" hidden="1" outlineLevel="2" x14ac:dyDescent="0.25">
      <c r="A53" s="25"/>
      <c r="B53" s="11" t="str">
        <f>CONCATENATE("          ", "6243", " - ", "PAPER SUPPLIES")</f>
        <v xml:space="preserve">          6243 - PAPER SUPPLIES</v>
      </c>
      <c r="C53" s="11"/>
      <c r="D53" s="7"/>
      <c r="E53" s="2"/>
      <c r="F53" s="6">
        <f t="shared" si="24"/>
        <v>0</v>
      </c>
      <c r="G53" s="2"/>
      <c r="H53" s="7"/>
      <c r="I53" s="2"/>
      <c r="J53" s="6">
        <f t="shared" si="25"/>
        <v>0</v>
      </c>
      <c r="K53" s="2"/>
      <c r="L53" s="7">
        <f t="shared" si="26"/>
        <v>0</v>
      </c>
      <c r="M53" s="2"/>
      <c r="N53" s="6">
        <f t="shared" si="27"/>
        <v>0</v>
      </c>
      <c r="O53" s="11"/>
      <c r="P53" s="7"/>
      <c r="Q53" s="2"/>
      <c r="R53" s="6">
        <f t="shared" si="28"/>
        <v>0</v>
      </c>
      <c r="S53" s="2"/>
      <c r="T53" s="7">
        <v>500</v>
      </c>
      <c r="U53" s="2"/>
      <c r="V53" s="6">
        <f t="shared" si="29"/>
        <v>0</v>
      </c>
      <c r="W53" s="2"/>
      <c r="X53" s="7">
        <f t="shared" si="30"/>
        <v>-500</v>
      </c>
      <c r="Y53" s="2"/>
      <c r="Z53" s="6">
        <f t="shared" si="31"/>
        <v>-1</v>
      </c>
    </row>
    <row r="54" spans="1:26" s="24" customFormat="1" hidden="1" outlineLevel="2" x14ac:dyDescent="0.25">
      <c r="A54" s="25"/>
      <c r="B54" s="11" t="str">
        <f>CONCATENATE("          ", "6247", " - ", "STORE SUPPLIES")</f>
        <v xml:space="preserve">          6247 - STORE SUPPLIES</v>
      </c>
      <c r="C54" s="11"/>
      <c r="D54" s="7">
        <v>152.63999999999999</v>
      </c>
      <c r="E54" s="2"/>
      <c r="F54" s="6">
        <f t="shared" si="24"/>
        <v>0</v>
      </c>
      <c r="G54" s="2"/>
      <c r="H54" s="7">
        <v>300</v>
      </c>
      <c r="I54" s="2"/>
      <c r="J54" s="6">
        <f t="shared" si="25"/>
        <v>0</v>
      </c>
      <c r="K54" s="2"/>
      <c r="L54" s="7">
        <f t="shared" si="26"/>
        <v>-147.36000000000001</v>
      </c>
      <c r="M54" s="2"/>
      <c r="N54" s="6">
        <f t="shared" si="27"/>
        <v>-0.49120000000000003</v>
      </c>
      <c r="O54" s="11"/>
      <c r="P54" s="7">
        <v>152.63999999999999</v>
      </c>
      <c r="Q54" s="2"/>
      <c r="R54" s="6">
        <f t="shared" si="28"/>
        <v>0</v>
      </c>
      <c r="S54" s="2"/>
      <c r="T54" s="7">
        <v>900</v>
      </c>
      <c r="U54" s="2"/>
      <c r="V54" s="6">
        <f t="shared" si="29"/>
        <v>0</v>
      </c>
      <c r="W54" s="2"/>
      <c r="X54" s="7">
        <f t="shared" si="30"/>
        <v>-747.36</v>
      </c>
      <c r="Y54" s="2"/>
      <c r="Z54" s="6">
        <f t="shared" si="31"/>
        <v>-0.83040000000000003</v>
      </c>
    </row>
    <row r="55" spans="1:26" s="26" customFormat="1" outlineLevel="1" collapsed="1" x14ac:dyDescent="0.25">
      <c r="A55" s="27"/>
      <c r="B55" s="13" t="str">
        <f>CONCATENATE("     ","Telephone/Data Lines                              ")</f>
        <v xml:space="preserve">     Telephone/Data Lines                              </v>
      </c>
      <c r="C55" s="13"/>
      <c r="D55" s="1">
        <f>SUM(OSRRefD22_8x_0)</f>
        <v>215</v>
      </c>
      <c r="E55" s="1"/>
      <c r="F55" s="5">
        <f t="shared" ref="F55:F56" si="32">IF(D$12=0,0,D55/D$12)</f>
        <v>0</v>
      </c>
      <c r="G55" s="1"/>
      <c r="H55" s="1">
        <f>SUM(OSRRefH22_8x_0)</f>
        <v>165</v>
      </c>
      <c r="I55" s="1"/>
      <c r="J55" s="5">
        <f t="shared" ref="J55:J56" si="33">IF(H$12=0,0,H55/H$12)</f>
        <v>0</v>
      </c>
      <c r="K55" s="1"/>
      <c r="L55" s="1">
        <f t="shared" ref="L55:L56" si="34">+D55-H55</f>
        <v>50</v>
      </c>
      <c r="M55" s="1"/>
      <c r="N55" s="5">
        <f t="shared" ref="N55:N56" si="35">IF(H55=0,0,L55/H55)</f>
        <v>0.30303030303030304</v>
      </c>
      <c r="O55" s="13"/>
      <c r="P55" s="1">
        <f>SUM(OSRRefP22_8x_0)</f>
        <v>442.85</v>
      </c>
      <c r="Q55" s="1"/>
      <c r="R55" s="5">
        <f t="shared" ref="R55:R56" si="36">IF(P$12=0,0,P55/P$12)</f>
        <v>0</v>
      </c>
      <c r="S55" s="1"/>
      <c r="T55" s="1">
        <f>SUM(OSRRefT22_8x_0)</f>
        <v>495</v>
      </c>
      <c r="U55" s="1"/>
      <c r="V55" s="5">
        <f t="shared" ref="V55:V56" si="37">IF(T$12=0,0,T55/T$12)</f>
        <v>0</v>
      </c>
      <c r="W55" s="1"/>
      <c r="X55" s="1">
        <f t="shared" ref="X55:X56" si="38">+P55-T55</f>
        <v>-52.149999999999977</v>
      </c>
      <c r="Y55" s="1"/>
      <c r="Z55" s="5">
        <f t="shared" ref="Z55:Z56" si="39">IF(T55=0,0,X55/T55)</f>
        <v>-0.10535353535353531</v>
      </c>
    </row>
    <row r="56" spans="1:26" s="24" customFormat="1" hidden="1" outlineLevel="2" x14ac:dyDescent="0.25">
      <c r="A56" s="25"/>
      <c r="B56" s="11" t="str">
        <f>CONCATENATE("          ", "6309", " - ", "TELEPHONE")</f>
        <v xml:space="preserve">          6309 - TELEPHONE</v>
      </c>
      <c r="C56" s="11"/>
      <c r="D56" s="7">
        <v>215</v>
      </c>
      <c r="E56" s="2"/>
      <c r="F56" s="6">
        <f t="shared" si="32"/>
        <v>0</v>
      </c>
      <c r="G56" s="2"/>
      <c r="H56" s="7">
        <v>165</v>
      </c>
      <c r="I56" s="2"/>
      <c r="J56" s="6">
        <f t="shared" si="33"/>
        <v>0</v>
      </c>
      <c r="K56" s="2"/>
      <c r="L56" s="7">
        <f t="shared" si="34"/>
        <v>50</v>
      </c>
      <c r="M56" s="2"/>
      <c r="N56" s="6">
        <f t="shared" si="35"/>
        <v>0.30303030303030304</v>
      </c>
      <c r="O56" s="11"/>
      <c r="P56" s="7">
        <v>442.85</v>
      </c>
      <c r="Q56" s="2"/>
      <c r="R56" s="6">
        <f t="shared" si="36"/>
        <v>0</v>
      </c>
      <c r="S56" s="2"/>
      <c r="T56" s="7">
        <v>495</v>
      </c>
      <c r="U56" s="2"/>
      <c r="V56" s="6">
        <f t="shared" si="37"/>
        <v>0</v>
      </c>
      <c r="W56" s="2"/>
      <c r="X56" s="7">
        <f t="shared" si="38"/>
        <v>-52.149999999999977</v>
      </c>
      <c r="Y56" s="2"/>
      <c r="Z56" s="6">
        <f t="shared" si="39"/>
        <v>-0.10535353535353531</v>
      </c>
    </row>
    <row r="57" spans="1:26" s="63" customFormat="1" x14ac:dyDescent="0.25">
      <c r="A57" s="36"/>
      <c r="B57" s="36"/>
      <c r="C57" s="36"/>
      <c r="D57" s="1"/>
      <c r="E57" s="1"/>
      <c r="F57" s="5"/>
      <c r="G57" s="1"/>
      <c r="H57" s="1"/>
      <c r="I57" s="1"/>
      <c r="J57" s="5"/>
      <c r="K57" s="1"/>
      <c r="L57" s="1"/>
      <c r="M57" s="1"/>
      <c r="N57" s="5"/>
      <c r="O57" s="36"/>
      <c r="P57" s="1"/>
      <c r="Q57" s="1"/>
      <c r="R57" s="5"/>
      <c r="S57" s="1"/>
      <c r="T57" s="1"/>
      <c r="U57" s="1"/>
      <c r="V57" s="5"/>
      <c r="W57" s="1"/>
      <c r="X57" s="1"/>
      <c r="Y57" s="1"/>
      <c r="Z57" s="5"/>
    </row>
    <row r="58" spans="1:26" s="23" customFormat="1" x14ac:dyDescent="0.25">
      <c r="A58" s="10"/>
      <c r="B58" s="28" t="s">
        <v>0</v>
      </c>
      <c r="C58" s="10"/>
      <c r="D58" s="4">
        <f>SUM(0)</f>
        <v>0</v>
      </c>
      <c r="E58" s="4"/>
      <c r="F58" s="12">
        <f>IF(D$12=0,0,D58/D$12)</f>
        <v>0</v>
      </c>
      <c r="G58" s="4"/>
      <c r="H58" s="4">
        <f>SUM(0)</f>
        <v>0</v>
      </c>
      <c r="I58" s="4"/>
      <c r="J58" s="12">
        <f>IF(H$12=0,0,H58/H$12)</f>
        <v>0</v>
      </c>
      <c r="K58" s="4"/>
      <c r="L58" s="4">
        <f>+D58-H58</f>
        <v>0</v>
      </c>
      <c r="M58" s="4"/>
      <c r="N58" s="12">
        <f>IF(H58=0,0,L58/H58)</f>
        <v>0</v>
      </c>
      <c r="O58" s="10"/>
      <c r="P58" s="4">
        <f>SUM(0)</f>
        <v>0</v>
      </c>
      <c r="Q58" s="4"/>
      <c r="R58" s="12">
        <f>IF(P$12=0,0,P58/P$12)</f>
        <v>0</v>
      </c>
      <c r="S58" s="4"/>
      <c r="T58" s="4">
        <f>SUM(0)</f>
        <v>0</v>
      </c>
      <c r="U58" s="4"/>
      <c r="V58" s="12">
        <f>IF(T$12=0,0,T58/T$12)</f>
        <v>0</v>
      </c>
      <c r="W58" s="4"/>
      <c r="X58" s="4">
        <f>+P58-T58</f>
        <v>0</v>
      </c>
      <c r="Y58" s="4"/>
      <c r="Z58" s="12">
        <f>IF(T58=0,0,X58/T58)</f>
        <v>0</v>
      </c>
    </row>
    <row r="59" spans="1:26" x14ac:dyDescent="0.25">
      <c r="A59" s="9"/>
      <c r="B59" s="10"/>
      <c r="C59" s="10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O59" s="10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25">
      <c r="A60" s="10"/>
      <c r="B60" s="29" t="s">
        <v>3</v>
      </c>
      <c r="C60" s="29"/>
      <c r="D60" s="22">
        <f>+D16-D18+D58</f>
        <v>-38445.409999999996</v>
      </c>
      <c r="E60" s="14"/>
      <c r="F60" s="20">
        <f>IF(D$12=0,0,D60/D$12)</f>
        <v>0</v>
      </c>
      <c r="G60" s="14"/>
      <c r="H60" s="22">
        <f>+H16-H18+H58</f>
        <v>-45095.665867635995</v>
      </c>
      <c r="I60" s="14"/>
      <c r="J60" s="20">
        <f>IF(H$12=0,0,H60/H$12)</f>
        <v>0</v>
      </c>
      <c r="K60" s="15"/>
      <c r="L60" s="22">
        <f>+D60-H60</f>
        <v>6650.2558676359986</v>
      </c>
      <c r="M60" s="15"/>
      <c r="N60" s="20">
        <f>IF(H60=0,0,L60/H60)</f>
        <v>-0.14746995614070124</v>
      </c>
      <c r="O60" s="28"/>
      <c r="P60" s="22">
        <f>+P16-P18+P58</f>
        <v>-149863.49000000002</v>
      </c>
      <c r="Q60" s="14"/>
      <c r="R60" s="20">
        <f>IF(P$12=0,0,P60/P$12)</f>
        <v>0</v>
      </c>
      <c r="S60" s="14"/>
      <c r="T60" s="22">
        <f>+T16-T18+T58</f>
        <v>-164856.271022317</v>
      </c>
      <c r="U60" s="14"/>
      <c r="V60" s="20">
        <f>IF(T$12=0,0,T60/T$12)</f>
        <v>0</v>
      </c>
      <c r="W60" s="15"/>
      <c r="X60" s="22">
        <f>+P60-T60</f>
        <v>14992.78102231698</v>
      </c>
      <c r="Y60" s="15"/>
      <c r="Z60" s="20">
        <f>IF(T60=0,0,X60/T60)</f>
        <v>-9.0944559945113468E-2</v>
      </c>
    </row>
    <row r="61" spans="1:26" x14ac:dyDescent="0.25">
      <c r="A61" s="9"/>
      <c r="B61" s="10"/>
      <c r="C61" s="9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25">
      <c r="A62" s="52"/>
      <c r="B62" s="10" t="s">
        <v>14</v>
      </c>
      <c r="C62" s="10"/>
      <c r="D62" s="4"/>
      <c r="E62" s="4"/>
      <c r="F62" s="12">
        <f>IF(D$12=0,0,D62/D$12)</f>
        <v>0</v>
      </c>
      <c r="G62" s="4"/>
      <c r="H62" s="4"/>
      <c r="I62" s="4"/>
      <c r="J62" s="12">
        <f>IF(H$12=0,0,H62/H$12)</f>
        <v>0</v>
      </c>
      <c r="K62" s="4"/>
      <c r="L62" s="4">
        <f>+D62-H62</f>
        <v>0</v>
      </c>
      <c r="M62" s="4"/>
      <c r="N62" s="12">
        <f>IF(H62=0,0,L62/H62)</f>
        <v>0</v>
      </c>
      <c r="O62" s="10"/>
      <c r="P62" s="4"/>
      <c r="Q62" s="4"/>
      <c r="R62" s="12">
        <f>IF(P$12=0,0,P62/P$12)</f>
        <v>0</v>
      </c>
      <c r="S62" s="4"/>
      <c r="T62" s="4"/>
      <c r="U62" s="4"/>
      <c r="V62" s="12">
        <f>IF(T$12=0,0,T62/T$12)</f>
        <v>0</v>
      </c>
      <c r="W62" s="4"/>
      <c r="X62" s="4">
        <f>+P62-T62</f>
        <v>0</v>
      </c>
      <c r="Y62" s="4"/>
      <c r="Z62" s="12">
        <f>IF(T62=0,0,X62/T62)</f>
        <v>0</v>
      </c>
    </row>
    <row r="63" spans="1:26" x14ac:dyDescent="0.25">
      <c r="A63" s="9"/>
      <c r="B63" s="10"/>
      <c r="C63" s="10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O63" s="10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ht="15.75" thickBot="1" x14ac:dyDescent="0.3">
      <c r="A64" s="10"/>
      <c r="B64" s="29" t="s">
        <v>4</v>
      </c>
      <c r="C64" s="29"/>
      <c r="D64" s="35">
        <f>+D60-D62</f>
        <v>-38445.409999999996</v>
      </c>
      <c r="E64" s="14"/>
      <c r="F64" s="32">
        <f>IF(D$12=0,0,D64/D$12)</f>
        <v>0</v>
      </c>
      <c r="G64" s="14"/>
      <c r="H64" s="35">
        <f>+H60-H62</f>
        <v>-45095.665867635995</v>
      </c>
      <c r="I64" s="14"/>
      <c r="J64" s="32">
        <f>IF(H$12=0,0,H64/H$12)</f>
        <v>0</v>
      </c>
      <c r="K64" s="15"/>
      <c r="L64" s="35">
        <f>D64-H64</f>
        <v>6650.2558676359986</v>
      </c>
      <c r="M64" s="15"/>
      <c r="N64" s="32">
        <f>IF(H64=0,0,L64/H64)</f>
        <v>-0.14746995614070124</v>
      </c>
      <c r="O64" s="28"/>
      <c r="P64" s="35">
        <f>+P60-P62</f>
        <v>-149863.49000000002</v>
      </c>
      <c r="Q64" s="14"/>
      <c r="R64" s="32">
        <f>IF(P$12=0,0,P64/P$12)</f>
        <v>0</v>
      </c>
      <c r="S64" s="14"/>
      <c r="T64" s="35">
        <f>+T60-T62</f>
        <v>-164856.271022317</v>
      </c>
      <c r="U64" s="14"/>
      <c r="V64" s="32">
        <f>IF(T$12=0,0,T64/T$12)</f>
        <v>0</v>
      </c>
      <c r="W64" s="15"/>
      <c r="X64" s="35">
        <f>P64-T64</f>
        <v>14992.78102231698</v>
      </c>
      <c r="Y64" s="15"/>
      <c r="Z64" s="32">
        <f>IF(T64=0,0,X64/T64)</f>
        <v>-9.0944559945113468E-2</v>
      </c>
    </row>
    <row r="65" spans="1:26" ht="15.75" thickTop="1" x14ac:dyDescent="0.25">
      <c r="A65" s="9"/>
      <c r="B65" s="9"/>
      <c r="C65" s="9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x14ac:dyDescent="0.25">
      <c r="A66" s="9"/>
      <c r="B66" s="9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ht="15.75" thickBot="1" x14ac:dyDescent="0.3">
      <c r="A67" s="10"/>
      <c r="B67" s="29" t="s">
        <v>5</v>
      </c>
      <c r="C67" s="29"/>
      <c r="D67" s="30">
        <f>SUM(D64:D66)</f>
        <v>-38445.409999999996</v>
      </c>
      <c r="E67" s="14"/>
      <c r="F67" s="31">
        <f>IF(D$12=0,0,D67/D$12)</f>
        <v>0</v>
      </c>
      <c r="G67" s="14"/>
      <c r="H67" s="30">
        <f>SUM(H64:H66)</f>
        <v>-45095.665867635995</v>
      </c>
      <c r="I67" s="14"/>
      <c r="J67" s="31">
        <f>IF(H$12=0,0,H67/H$12)</f>
        <v>0</v>
      </c>
      <c r="K67" s="15"/>
      <c r="L67" s="30">
        <f>+D67-H67</f>
        <v>6650.2558676359986</v>
      </c>
      <c r="M67" s="15"/>
      <c r="N67" s="31">
        <f>IF(H67=0,0,L67/H67)</f>
        <v>-0.14746995614070124</v>
      </c>
      <c r="O67" s="28"/>
      <c r="P67" s="30">
        <f>SUM(P64:P66)</f>
        <v>-149863.49000000002</v>
      </c>
      <c r="Q67" s="14"/>
      <c r="R67" s="31">
        <f>IF(P$12=0,0,P67/P$12)</f>
        <v>0</v>
      </c>
      <c r="S67" s="14"/>
      <c r="T67" s="30">
        <f>SUM(T64:T66)</f>
        <v>-164856.271022317</v>
      </c>
      <c r="U67" s="14"/>
      <c r="V67" s="31">
        <f>IF(T$12=0,0,T67/T$12)</f>
        <v>0</v>
      </c>
      <c r="W67" s="15"/>
      <c r="X67" s="30">
        <f>+P67-T67</f>
        <v>14992.78102231698</v>
      </c>
      <c r="Y67" s="15"/>
      <c r="Z67" s="31">
        <f>IF(T67=0,0,X67/T67)</f>
        <v>-9.0944559945113468E-2</v>
      </c>
    </row>
    <row r="68" spans="1:26" ht="15.75" thickTop="1" x14ac:dyDescent="0.25">
      <c r="A68" s="9"/>
      <c r="C68" s="9"/>
      <c r="D68" s="18"/>
      <c r="E68" s="18"/>
      <c r="G68" s="18"/>
      <c r="H68" s="18"/>
      <c r="I68" s="18"/>
      <c r="J68" s="43"/>
      <c r="K68" s="18"/>
      <c r="L68" s="18"/>
      <c r="M68" s="18"/>
      <c r="P68" s="18"/>
      <c r="Q68" s="18"/>
      <c r="R68" s="43"/>
      <c r="S68" s="18"/>
      <c r="T68" s="18"/>
      <c r="U68" s="18"/>
      <c r="V68" s="43"/>
      <c r="W68" s="18"/>
      <c r="X68" s="18"/>
    </row>
    <row r="69" spans="1:26" x14ac:dyDescent="0.25">
      <c r="A69" s="9"/>
      <c r="B69" s="53">
        <v>43756.452242280095</v>
      </c>
      <c r="D69" s="18"/>
      <c r="E69" s="18"/>
      <c r="G69" s="18"/>
      <c r="H69" s="18"/>
      <c r="I69" s="18"/>
      <c r="J69" s="43"/>
      <c r="K69" s="18"/>
      <c r="L69" s="18"/>
      <c r="M69" s="18"/>
      <c r="P69" s="18"/>
      <c r="Q69" s="18"/>
      <c r="R69" s="43"/>
      <c r="S69" s="18"/>
      <c r="T69" s="18"/>
      <c r="U69" s="18"/>
      <c r="V69" s="43"/>
      <c r="W69" s="18"/>
      <c r="X69" s="18"/>
    </row>
    <row r="70" spans="1:26" x14ac:dyDescent="0.25">
      <c r="A70" s="9"/>
      <c r="B70" s="55" t="s">
        <v>314</v>
      </c>
      <c r="D70" s="18"/>
      <c r="E70" s="18"/>
      <c r="G70" s="18"/>
      <c r="H70" s="18"/>
      <c r="I70" s="18"/>
      <c r="J70" s="43"/>
      <c r="K70" s="18"/>
      <c r="L70" s="18"/>
      <c r="M70" s="18"/>
      <c r="P70" s="18"/>
      <c r="Q70" s="18"/>
      <c r="R70" s="43"/>
      <c r="S70" s="18"/>
      <c r="T70" s="18"/>
      <c r="U70" s="18"/>
      <c r="V70" s="43"/>
      <c r="W70" s="18"/>
      <c r="X70" s="18"/>
    </row>
    <row r="71" spans="1:26" x14ac:dyDescent="0.25">
      <c r="A71" s="9"/>
      <c r="B71" s="56"/>
      <c r="D71" s="18"/>
      <c r="E71" s="18"/>
      <c r="G71" s="18"/>
      <c r="H71" s="18"/>
      <c r="I71" s="18"/>
      <c r="J71" s="43"/>
      <c r="K71" s="18"/>
      <c r="L71" s="18"/>
      <c r="M71" s="18"/>
      <c r="P71" s="18"/>
      <c r="Q71" s="18"/>
      <c r="R71" s="43"/>
      <c r="S71" s="18"/>
      <c r="T71" s="18"/>
      <c r="U71" s="18"/>
      <c r="V71" s="43"/>
      <c r="W71" s="18"/>
      <c r="X71" s="18"/>
    </row>
    <row r="72" spans="1:26" x14ac:dyDescent="0.25">
      <c r="D72" s="18"/>
      <c r="E72" s="18"/>
      <c r="G72" s="18"/>
      <c r="H72" s="18"/>
      <c r="I72" s="18"/>
      <c r="J72" s="43"/>
      <c r="K72" s="18"/>
      <c r="L72" s="18"/>
      <c r="M72" s="18"/>
      <c r="P72" s="18"/>
      <c r="Q72" s="18"/>
      <c r="R72" s="43"/>
      <c r="S72" s="18"/>
      <c r="T72" s="18"/>
      <c r="U72" s="18"/>
      <c r="V72" s="43"/>
      <c r="W72" s="18"/>
      <c r="X72" s="18"/>
    </row>
  </sheetData>
  <pageMargins left="0.25" right="0.25" top="0.75" bottom="0.75" header="0.3" footer="0.3"/>
  <pageSetup scale="55" fitToWidth="2" orientation="landscape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3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str">
        <f>CONCATENATE("Period ",RIGHT(202003,2),", ",2020)</f>
        <v>Period 03, 2020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43736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">
        <v>306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138627.93999999994</v>
      </c>
      <c r="E12" s="4"/>
      <c r="F12" s="12"/>
      <c r="G12" s="4"/>
      <c r="H12" s="4">
        <f>SUM(OSRRefH13x_0)</f>
        <v>153973</v>
      </c>
      <c r="I12" s="4"/>
      <c r="J12" s="12"/>
      <c r="K12" s="4"/>
      <c r="L12" s="4">
        <f t="shared" ref="L12:L46" si="0">+D12-H12</f>
        <v>-15345.060000000056</v>
      </c>
      <c r="M12" s="4"/>
      <c r="N12" s="12">
        <f t="shared" ref="N12:N46" si="1">IF(H12=0,0,L12/H12)</f>
        <v>-9.9660719736577558E-2</v>
      </c>
      <c r="O12" s="10"/>
      <c r="P12" s="4">
        <f>SUM(OSRRefP13x_0)</f>
        <v>290728.94999999995</v>
      </c>
      <c r="Q12" s="4"/>
      <c r="R12" s="12"/>
      <c r="S12" s="4"/>
      <c r="T12" s="4">
        <f>SUM(OSRRefT13x_0)</f>
        <v>316748</v>
      </c>
      <c r="U12" s="4"/>
      <c r="V12" s="12"/>
      <c r="W12" s="4"/>
      <c r="X12" s="4">
        <f t="shared" ref="X12:X46" si="2">+P12-T12</f>
        <v>-26019.050000000047</v>
      </c>
      <c r="Y12" s="4"/>
      <c r="Z12" s="12">
        <f t="shared" ref="Z12:Z46" si="3">IF(T12=0,0,X12/T12)</f>
        <v>-8.2144322931794508E-2</v>
      </c>
    </row>
    <row r="13" spans="1:26" s="24" customFormat="1" hidden="1" outlineLevel="1" x14ac:dyDescent="0.25">
      <c r="A13" s="46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130015</v>
      </c>
      <c r="I13" s="2"/>
      <c r="J13" s="19"/>
      <c r="K13" s="2"/>
      <c r="L13" s="2">
        <f t="shared" si="0"/>
        <v>-130015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279477</v>
      </c>
      <c r="U13" s="2"/>
      <c r="V13" s="19"/>
      <c r="W13" s="2"/>
      <c r="X13" s="2">
        <f t="shared" si="2"/>
        <v>-279477</v>
      </c>
      <c r="Y13" s="2"/>
      <c r="Z13" s="19">
        <f t="shared" si="3"/>
        <v>-1</v>
      </c>
    </row>
    <row r="14" spans="1:26" s="24" customFormat="1" hidden="1" outlineLevel="1" x14ac:dyDescent="0.25">
      <c r="A14" s="46"/>
      <c r="B14" s="11" t="str">
        <f>CONCATENATE("          ", "4017", " - ", "TAXABLE SALES-DORM/HOUSEWARES")</f>
        <v xml:space="preserve">          4017 - TAXABLE SALES-DORM/HOUSEWARES</v>
      </c>
      <c r="C14" s="11"/>
      <c r="D14" s="2">
        <f>--65.39</f>
        <v>65.39</v>
      </c>
      <c r="E14" s="2"/>
      <c r="F14" s="19"/>
      <c r="G14" s="2"/>
      <c r="H14" s="2"/>
      <c r="I14" s="2"/>
      <c r="J14" s="19"/>
      <c r="K14" s="2"/>
      <c r="L14" s="2">
        <f t="shared" si="0"/>
        <v>65.39</v>
      </c>
      <c r="M14" s="2"/>
      <c r="N14" s="19">
        <f t="shared" si="1"/>
        <v>0</v>
      </c>
      <c r="O14" s="11"/>
      <c r="P14" s="2">
        <f>--222.69</f>
        <v>222.69</v>
      </c>
      <c r="Q14" s="2"/>
      <c r="R14" s="19"/>
      <c r="S14" s="2"/>
      <c r="T14" s="2"/>
      <c r="U14" s="2"/>
      <c r="V14" s="19"/>
      <c r="W14" s="2"/>
      <c r="X14" s="2">
        <f t="shared" si="2"/>
        <v>222.69</v>
      </c>
      <c r="Y14" s="2"/>
      <c r="Z14" s="19">
        <f t="shared" si="3"/>
        <v>0</v>
      </c>
    </row>
    <row r="15" spans="1:26" s="24" customFormat="1" hidden="1" outlineLevel="1" x14ac:dyDescent="0.25">
      <c r="A15" s="46"/>
      <c r="B15" s="11" t="str">
        <f>CONCATENATE("          ", "4019", " - ", "TAXABLE SALES-BOOK RELATED")</f>
        <v xml:space="preserve">          4019 - TAXABLE SALES-BOOK RELATED</v>
      </c>
      <c r="C15" s="11"/>
      <c r="D15" s="2">
        <f>0</f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--14.95</f>
        <v>14.95</v>
      </c>
      <c r="Q15" s="2"/>
      <c r="R15" s="19"/>
      <c r="S15" s="2"/>
      <c r="T15" s="2"/>
      <c r="U15" s="2"/>
      <c r="V15" s="19"/>
      <c r="W15" s="2"/>
      <c r="X15" s="2">
        <f t="shared" si="2"/>
        <v>14.95</v>
      </c>
      <c r="Y15" s="2"/>
      <c r="Z15" s="19">
        <f t="shared" si="3"/>
        <v>0</v>
      </c>
    </row>
    <row r="16" spans="1:26" s="24" customFormat="1" hidden="1" outlineLevel="1" x14ac:dyDescent="0.25">
      <c r="A16" s="46"/>
      <c r="B16" s="11" t="str">
        <f>CONCATENATE("          ", "4025", " - ", "TAXABLE SALES-TEST FORMS")</f>
        <v xml:space="preserve">          4025 - TAXABLE SALES-TEST FORMS</v>
      </c>
      <c r="C16" s="11"/>
      <c r="D16" s="2">
        <f>--11837.54</f>
        <v>11837.54</v>
      </c>
      <c r="E16" s="2"/>
      <c r="F16" s="19"/>
      <c r="G16" s="2"/>
      <c r="H16" s="2"/>
      <c r="I16" s="2"/>
      <c r="J16" s="19"/>
      <c r="K16" s="2"/>
      <c r="L16" s="2">
        <f t="shared" si="0"/>
        <v>11837.54</v>
      </c>
      <c r="M16" s="2"/>
      <c r="N16" s="19">
        <f t="shared" si="1"/>
        <v>0</v>
      </c>
      <c r="O16" s="11"/>
      <c r="P16" s="2">
        <f>--16296.07</f>
        <v>16296.07</v>
      </c>
      <c r="Q16" s="2"/>
      <c r="R16" s="19"/>
      <c r="S16" s="2"/>
      <c r="T16" s="2"/>
      <c r="U16" s="2"/>
      <c r="V16" s="19"/>
      <c r="W16" s="2"/>
      <c r="X16" s="2">
        <f t="shared" si="2"/>
        <v>16296.07</v>
      </c>
      <c r="Y16" s="2"/>
      <c r="Z16" s="19">
        <f t="shared" si="3"/>
        <v>0</v>
      </c>
    </row>
    <row r="17" spans="1:26" s="24" customFormat="1" hidden="1" outlineLevel="1" x14ac:dyDescent="0.25">
      <c r="A17" s="46"/>
      <c r="B17" s="11" t="str">
        <f>CONCATENATE("          ", "4026", " - ", "TAXABLE SALES-WRITING INSTRUME")</f>
        <v xml:space="preserve">          4026 - TAXABLE SALES-WRITING INSTRUME</v>
      </c>
      <c r="C17" s="11"/>
      <c r="D17" s="2">
        <f>--11703.6</f>
        <v>11703.6</v>
      </c>
      <c r="E17" s="2"/>
      <c r="F17" s="19"/>
      <c r="G17" s="2"/>
      <c r="H17" s="2"/>
      <c r="I17" s="2"/>
      <c r="J17" s="19"/>
      <c r="K17" s="2"/>
      <c r="L17" s="2">
        <f t="shared" si="0"/>
        <v>11703.6</v>
      </c>
      <c r="M17" s="2"/>
      <c r="N17" s="19">
        <f t="shared" si="1"/>
        <v>0</v>
      </c>
      <c r="O17" s="11"/>
      <c r="P17" s="2">
        <f>--24415.58</f>
        <v>24415.58</v>
      </c>
      <c r="Q17" s="2"/>
      <c r="R17" s="19"/>
      <c r="S17" s="2"/>
      <c r="T17" s="2"/>
      <c r="U17" s="2"/>
      <c r="V17" s="19"/>
      <c r="W17" s="2"/>
      <c r="X17" s="2">
        <f t="shared" si="2"/>
        <v>24415.58</v>
      </c>
      <c r="Y17" s="2"/>
      <c r="Z17" s="19">
        <f t="shared" si="3"/>
        <v>0</v>
      </c>
    </row>
    <row r="18" spans="1:26" s="24" customFormat="1" hidden="1" outlineLevel="1" x14ac:dyDescent="0.25">
      <c r="A18" s="46"/>
      <c r="B18" s="11" t="str">
        <f>CONCATENATE("          ", "4027", " - ", "TAXABLE SALES-SCHOOL SUPPLIES")</f>
        <v xml:space="preserve">          4027 - TAXABLE SALES-SCHOOL SUPPLIES</v>
      </c>
      <c r="C18" s="11"/>
      <c r="D18" s="2">
        <f>--44213.86</f>
        <v>44213.86</v>
      </c>
      <c r="E18" s="2"/>
      <c r="F18" s="19"/>
      <c r="G18" s="2"/>
      <c r="H18" s="2"/>
      <c r="I18" s="2"/>
      <c r="J18" s="19"/>
      <c r="K18" s="2"/>
      <c r="L18" s="2">
        <f t="shared" si="0"/>
        <v>44213.86</v>
      </c>
      <c r="M18" s="2"/>
      <c r="N18" s="19">
        <f t="shared" si="1"/>
        <v>0</v>
      </c>
      <c r="O18" s="11"/>
      <c r="P18" s="2">
        <f>--123272.68</f>
        <v>123272.68</v>
      </c>
      <c r="Q18" s="2"/>
      <c r="R18" s="19"/>
      <c r="S18" s="2"/>
      <c r="T18" s="2"/>
      <c r="U18" s="2"/>
      <c r="V18" s="19"/>
      <c r="W18" s="2"/>
      <c r="X18" s="2">
        <f t="shared" si="2"/>
        <v>123272.68</v>
      </c>
      <c r="Y18" s="2"/>
      <c r="Z18" s="19">
        <f t="shared" si="3"/>
        <v>0</v>
      </c>
    </row>
    <row r="19" spans="1:26" s="24" customFormat="1" hidden="1" outlineLevel="1" x14ac:dyDescent="0.25">
      <c r="A19" s="46"/>
      <c r="B19" s="11" t="str">
        <f>CONCATENATE("          ", "4028", " - ", "TAXABLE SALES-ART/TECH")</f>
        <v xml:space="preserve">          4028 - TAXABLE SALES-ART/TECH</v>
      </c>
      <c r="C19" s="11"/>
      <c r="D19" s="2">
        <f>--51812.13</f>
        <v>51812.13</v>
      </c>
      <c r="E19" s="2"/>
      <c r="F19" s="19"/>
      <c r="G19" s="2"/>
      <c r="H19" s="2"/>
      <c r="I19" s="2"/>
      <c r="J19" s="19"/>
      <c r="K19" s="2"/>
      <c r="L19" s="2">
        <f t="shared" si="0"/>
        <v>51812.13</v>
      </c>
      <c r="M19" s="2"/>
      <c r="N19" s="19">
        <f t="shared" si="1"/>
        <v>0</v>
      </c>
      <c r="O19" s="11"/>
      <c r="P19" s="2">
        <f>--100727.68</f>
        <v>100727.67999999999</v>
      </c>
      <c r="Q19" s="2"/>
      <c r="R19" s="19"/>
      <c r="S19" s="2"/>
      <c r="T19" s="2"/>
      <c r="U19" s="2"/>
      <c r="V19" s="19"/>
      <c r="W19" s="2"/>
      <c r="X19" s="2">
        <f t="shared" si="2"/>
        <v>100727.67999999999</v>
      </c>
      <c r="Y19" s="2"/>
      <c r="Z19" s="19">
        <f t="shared" si="3"/>
        <v>0</v>
      </c>
    </row>
    <row r="20" spans="1:26" s="24" customFormat="1" hidden="1" outlineLevel="1" x14ac:dyDescent="0.25">
      <c r="A20" s="46"/>
      <c r="B20" s="11" t="str">
        <f>CONCATENATE("          ", "4031", " - ", "TAXABLE SALES-FOOD")</f>
        <v xml:space="preserve">          4031 - TAXABLE SALES-FOOD</v>
      </c>
      <c r="C20" s="11"/>
      <c r="D20" s="2">
        <f>--88.48</f>
        <v>88.48</v>
      </c>
      <c r="E20" s="2"/>
      <c r="F20" s="19"/>
      <c r="G20" s="2"/>
      <c r="H20" s="2"/>
      <c r="I20" s="2"/>
      <c r="J20" s="19"/>
      <c r="K20" s="2"/>
      <c r="L20" s="2">
        <f t="shared" si="0"/>
        <v>88.48</v>
      </c>
      <c r="M20" s="2"/>
      <c r="N20" s="19">
        <f t="shared" si="1"/>
        <v>0</v>
      </c>
      <c r="O20" s="11"/>
      <c r="P20" s="2">
        <f>--120.82</f>
        <v>120.82</v>
      </c>
      <c r="Q20" s="2"/>
      <c r="R20" s="19"/>
      <c r="S20" s="2"/>
      <c r="T20" s="2"/>
      <c r="U20" s="2"/>
      <c r="V20" s="19"/>
      <c r="W20" s="2"/>
      <c r="X20" s="2">
        <f t="shared" si="2"/>
        <v>120.82</v>
      </c>
      <c r="Y20" s="2"/>
      <c r="Z20" s="19">
        <f t="shared" si="3"/>
        <v>0</v>
      </c>
    </row>
    <row r="21" spans="1:26" s="24" customFormat="1" hidden="1" outlineLevel="1" x14ac:dyDescent="0.25">
      <c r="A21" s="46"/>
      <c r="B21" s="11" t="str">
        <f>CONCATENATE("          ", "4032", " - ", "TAXABLE SALES-JUICE")</f>
        <v xml:space="preserve">          4032 - TAXABLE SALES-JUICE</v>
      </c>
      <c r="C21" s="11"/>
      <c r="D21" s="2">
        <f>--17.54</f>
        <v>17.54</v>
      </c>
      <c r="E21" s="2"/>
      <c r="F21" s="19"/>
      <c r="G21" s="2"/>
      <c r="H21" s="2"/>
      <c r="I21" s="2"/>
      <c r="J21" s="19"/>
      <c r="K21" s="2"/>
      <c r="L21" s="2">
        <f t="shared" si="0"/>
        <v>17.54</v>
      </c>
      <c r="M21" s="2"/>
      <c r="N21" s="19">
        <f t="shared" si="1"/>
        <v>0</v>
      </c>
      <c r="O21" s="11"/>
      <c r="P21" s="2">
        <f>--21.35</f>
        <v>21.35</v>
      </c>
      <c r="Q21" s="2"/>
      <c r="R21" s="19"/>
      <c r="S21" s="2"/>
      <c r="T21" s="2"/>
      <c r="U21" s="2"/>
      <c r="V21" s="19"/>
      <c r="W21" s="2"/>
      <c r="X21" s="2">
        <f t="shared" si="2"/>
        <v>21.35</v>
      </c>
      <c r="Y21" s="2"/>
      <c r="Z21" s="19">
        <f t="shared" si="3"/>
        <v>0</v>
      </c>
    </row>
    <row r="22" spans="1:26" s="24" customFormat="1" hidden="1" outlineLevel="1" x14ac:dyDescent="0.25">
      <c r="A22" s="46"/>
      <c r="B22" s="11" t="str">
        <f>CONCATENATE("          ", "4033", " - ", "TAXABLE SALES-CANDY")</f>
        <v xml:space="preserve">          4033 - TAXABLE SALES-CANDY</v>
      </c>
      <c r="C22" s="11"/>
      <c r="D22" s="2">
        <f>--27.97</f>
        <v>27.97</v>
      </c>
      <c r="E22" s="2"/>
      <c r="F22" s="19"/>
      <c r="G22" s="2"/>
      <c r="H22" s="2"/>
      <c r="I22" s="2"/>
      <c r="J22" s="19"/>
      <c r="K22" s="2"/>
      <c r="L22" s="2">
        <f t="shared" si="0"/>
        <v>27.97</v>
      </c>
      <c r="M22" s="2"/>
      <c r="N22" s="19">
        <f t="shared" si="1"/>
        <v>0</v>
      </c>
      <c r="O22" s="11"/>
      <c r="P22" s="2">
        <f>--40.97</f>
        <v>40.97</v>
      </c>
      <c r="Q22" s="2"/>
      <c r="R22" s="19"/>
      <c r="S22" s="2"/>
      <c r="T22" s="2"/>
      <c r="U22" s="2"/>
      <c r="V22" s="19"/>
      <c r="W22" s="2"/>
      <c r="X22" s="2">
        <f t="shared" si="2"/>
        <v>40.97</v>
      </c>
      <c r="Y22" s="2"/>
      <c r="Z22" s="19">
        <f t="shared" si="3"/>
        <v>0</v>
      </c>
    </row>
    <row r="23" spans="1:26" s="24" customFormat="1" hidden="1" outlineLevel="1" x14ac:dyDescent="0.25">
      <c r="A23" s="46"/>
      <c r="B23" s="11" t="str">
        <f>CONCATENATE("          ", "4034", " - ", "TAXABLE SALES-SODA")</f>
        <v xml:space="preserve">          4034 - TAXABLE SALES-SODA</v>
      </c>
      <c r="C23" s="11"/>
      <c r="D23" s="2">
        <f>--1544.01</f>
        <v>1544.01</v>
      </c>
      <c r="E23" s="2"/>
      <c r="F23" s="19"/>
      <c r="G23" s="2"/>
      <c r="H23" s="2"/>
      <c r="I23" s="2"/>
      <c r="J23" s="19"/>
      <c r="K23" s="2"/>
      <c r="L23" s="2">
        <f t="shared" si="0"/>
        <v>1544.01</v>
      </c>
      <c r="M23" s="2"/>
      <c r="N23" s="19">
        <f t="shared" si="1"/>
        <v>0</v>
      </c>
      <c r="O23" s="11"/>
      <c r="P23" s="2">
        <f>--1859.55</f>
        <v>1859.55</v>
      </c>
      <c r="Q23" s="2"/>
      <c r="R23" s="19"/>
      <c r="S23" s="2"/>
      <c r="T23" s="2"/>
      <c r="U23" s="2"/>
      <c r="V23" s="19"/>
      <c r="W23" s="2"/>
      <c r="X23" s="2">
        <f t="shared" si="2"/>
        <v>1859.55</v>
      </c>
      <c r="Y23" s="2"/>
      <c r="Z23" s="19">
        <f t="shared" si="3"/>
        <v>0</v>
      </c>
    </row>
    <row r="24" spans="1:26" s="24" customFormat="1" hidden="1" outlineLevel="1" x14ac:dyDescent="0.25">
      <c r="A24" s="46"/>
      <c r="B24" s="11" t="str">
        <f>CONCATENATE("          ", "4035", " - ", "TAXABLE SALES-HEALTH &amp; BEAUTY")</f>
        <v xml:space="preserve">          4035 - TAXABLE SALES-HEALTH &amp; BEAUTY</v>
      </c>
      <c r="C24" s="11"/>
      <c r="D24" s="2">
        <f>--339.98</f>
        <v>339.98</v>
      </c>
      <c r="E24" s="2"/>
      <c r="F24" s="19"/>
      <c r="G24" s="2"/>
      <c r="H24" s="2"/>
      <c r="I24" s="2"/>
      <c r="J24" s="19"/>
      <c r="K24" s="2"/>
      <c r="L24" s="2">
        <f t="shared" si="0"/>
        <v>339.98</v>
      </c>
      <c r="M24" s="2"/>
      <c r="N24" s="19">
        <f t="shared" si="1"/>
        <v>0</v>
      </c>
      <c r="O24" s="11"/>
      <c r="P24" s="2">
        <f>--438.43</f>
        <v>438.43</v>
      </c>
      <c r="Q24" s="2"/>
      <c r="R24" s="19"/>
      <c r="S24" s="2"/>
      <c r="T24" s="2"/>
      <c r="U24" s="2"/>
      <c r="V24" s="19"/>
      <c r="W24" s="2"/>
      <c r="X24" s="2">
        <f t="shared" si="2"/>
        <v>438.43</v>
      </c>
      <c r="Y24" s="2"/>
      <c r="Z24" s="19">
        <f t="shared" si="3"/>
        <v>0</v>
      </c>
    </row>
    <row r="25" spans="1:26" s="24" customFormat="1" hidden="1" outlineLevel="1" x14ac:dyDescent="0.25">
      <c r="A25" s="46"/>
      <c r="B25" s="11" t="str">
        <f>CONCATENATE("          ", "4037", " - ", "TAXABLE SALES-WATER")</f>
        <v xml:space="preserve">          4037 - TAXABLE SALES-WATER</v>
      </c>
      <c r="C25" s="11"/>
      <c r="D25" s="2">
        <f>--131.98</f>
        <v>131.97999999999999</v>
      </c>
      <c r="E25" s="2"/>
      <c r="F25" s="19"/>
      <c r="G25" s="2"/>
      <c r="H25" s="2"/>
      <c r="I25" s="2"/>
      <c r="J25" s="19"/>
      <c r="K25" s="2"/>
      <c r="L25" s="2">
        <f t="shared" si="0"/>
        <v>131.97999999999999</v>
      </c>
      <c r="M25" s="2"/>
      <c r="N25" s="19">
        <f t="shared" si="1"/>
        <v>0</v>
      </c>
      <c r="O25" s="11"/>
      <c r="P25" s="2">
        <f>--174.15</f>
        <v>174.15</v>
      </c>
      <c r="Q25" s="2"/>
      <c r="R25" s="19"/>
      <c r="S25" s="2"/>
      <c r="T25" s="2"/>
      <c r="U25" s="2"/>
      <c r="V25" s="19"/>
      <c r="W25" s="2"/>
      <c r="X25" s="2">
        <f t="shared" si="2"/>
        <v>174.15</v>
      </c>
      <c r="Y25" s="2"/>
      <c r="Z25" s="19">
        <f t="shared" si="3"/>
        <v>0</v>
      </c>
    </row>
    <row r="26" spans="1:26" s="24" customFormat="1" hidden="1" outlineLevel="1" x14ac:dyDescent="0.25">
      <c r="A26" s="46"/>
      <c r="B26" s="11" t="str">
        <f>CONCATENATE("          ", "4081", " - ", "TAXABLE SALES-ELECTRONICS")</f>
        <v xml:space="preserve">          4081 - TAXABLE SALES-ELECTRONICS</v>
      </c>
      <c r="C26" s="11"/>
      <c r="D26" s="2">
        <f>--650.56</f>
        <v>650.55999999999995</v>
      </c>
      <c r="E26" s="2"/>
      <c r="F26" s="19"/>
      <c r="G26" s="2"/>
      <c r="H26" s="2"/>
      <c r="I26" s="2"/>
      <c r="J26" s="19"/>
      <c r="K26" s="2"/>
      <c r="L26" s="2">
        <f t="shared" si="0"/>
        <v>650.55999999999995</v>
      </c>
      <c r="M26" s="2"/>
      <c r="N26" s="19">
        <f t="shared" si="1"/>
        <v>0</v>
      </c>
      <c r="O26" s="11"/>
      <c r="P26" s="2">
        <f>--919.42</f>
        <v>919.42</v>
      </c>
      <c r="Q26" s="2"/>
      <c r="R26" s="19"/>
      <c r="S26" s="2"/>
      <c r="T26" s="2"/>
      <c r="U26" s="2"/>
      <c r="V26" s="19"/>
      <c r="W26" s="2"/>
      <c r="X26" s="2">
        <f t="shared" si="2"/>
        <v>919.42</v>
      </c>
      <c r="Y26" s="2"/>
      <c r="Z26" s="19">
        <f t="shared" si="3"/>
        <v>0</v>
      </c>
    </row>
    <row r="27" spans="1:26" s="24" customFormat="1" hidden="1" outlineLevel="1" x14ac:dyDescent="0.25">
      <c r="A27" s="46"/>
      <c r="B27" s="11" t="str">
        <f>CONCATENATE("          ", "4082", " - ", "TAXABLE SALES-COMPUTER HARDWAR")</f>
        <v xml:space="preserve">          4082 - TAXABLE SALES-COMPUTER HARDWAR</v>
      </c>
      <c r="C27" s="11"/>
      <c r="D27" s="2">
        <f>--124</f>
        <v>124</v>
      </c>
      <c r="E27" s="2"/>
      <c r="F27" s="19"/>
      <c r="G27" s="2"/>
      <c r="H27" s="2"/>
      <c r="I27" s="2"/>
      <c r="J27" s="19"/>
      <c r="K27" s="2"/>
      <c r="L27" s="2">
        <f t="shared" si="0"/>
        <v>124</v>
      </c>
      <c r="M27" s="2"/>
      <c r="N27" s="19">
        <f t="shared" si="1"/>
        <v>0</v>
      </c>
      <c r="O27" s="11"/>
      <c r="P27" s="2">
        <f>--162</f>
        <v>162</v>
      </c>
      <c r="Q27" s="2"/>
      <c r="R27" s="19"/>
      <c r="S27" s="2"/>
      <c r="T27" s="2"/>
      <c r="U27" s="2"/>
      <c r="V27" s="19"/>
      <c r="W27" s="2"/>
      <c r="X27" s="2">
        <f t="shared" si="2"/>
        <v>162</v>
      </c>
      <c r="Y27" s="2"/>
      <c r="Z27" s="19">
        <f t="shared" si="3"/>
        <v>0</v>
      </c>
    </row>
    <row r="28" spans="1:26" s="24" customFormat="1" hidden="1" outlineLevel="1" x14ac:dyDescent="0.25">
      <c r="A28" s="46"/>
      <c r="B28" s="11" t="str">
        <f>CONCATENATE("          ", "4083", " - ", "TAXABLE SALES-COMPUTER EQUIPME")</f>
        <v xml:space="preserve">          4083 - TAXABLE SALES-COMPUTER EQUIPME</v>
      </c>
      <c r="C28" s="11"/>
      <c r="D28" s="2">
        <f>--269.82</f>
        <v>269.82</v>
      </c>
      <c r="E28" s="2"/>
      <c r="F28" s="19"/>
      <c r="G28" s="2"/>
      <c r="H28" s="2"/>
      <c r="I28" s="2"/>
      <c r="J28" s="19"/>
      <c r="K28" s="2"/>
      <c r="L28" s="2">
        <f t="shared" si="0"/>
        <v>269.82</v>
      </c>
      <c r="M28" s="2"/>
      <c r="N28" s="19">
        <f t="shared" si="1"/>
        <v>0</v>
      </c>
      <c r="O28" s="11"/>
      <c r="P28" s="2">
        <f>--299.8</f>
        <v>299.8</v>
      </c>
      <c r="Q28" s="2"/>
      <c r="R28" s="19"/>
      <c r="S28" s="2"/>
      <c r="T28" s="2"/>
      <c r="U28" s="2"/>
      <c r="V28" s="19"/>
      <c r="W28" s="2"/>
      <c r="X28" s="2">
        <f t="shared" si="2"/>
        <v>299.8</v>
      </c>
      <c r="Y28" s="2"/>
      <c r="Z28" s="19">
        <f t="shared" si="3"/>
        <v>0</v>
      </c>
    </row>
    <row r="29" spans="1:26" s="24" customFormat="1" hidden="1" outlineLevel="1" x14ac:dyDescent="0.25">
      <c r="A29" s="46"/>
      <c r="B29" s="11" t="str">
        <f>CONCATENATE("          ", "4086", " - ", "TAXABLE SALES-COMPUTER SUPPLIE")</f>
        <v xml:space="preserve">          4086 - TAXABLE SALES-COMPUTER SUPPLIE</v>
      </c>
      <c r="C29" s="11"/>
      <c r="D29" s="2">
        <f>--344.87</f>
        <v>344.87</v>
      </c>
      <c r="E29" s="2"/>
      <c r="F29" s="19"/>
      <c r="G29" s="2"/>
      <c r="H29" s="2"/>
      <c r="I29" s="2"/>
      <c r="J29" s="19"/>
      <c r="K29" s="2"/>
      <c r="L29" s="2">
        <f t="shared" si="0"/>
        <v>344.87</v>
      </c>
      <c r="M29" s="2"/>
      <c r="N29" s="19">
        <f t="shared" si="1"/>
        <v>0</v>
      </c>
      <c r="O29" s="11"/>
      <c r="P29" s="2">
        <f>--453.82</f>
        <v>453.82</v>
      </c>
      <c r="Q29" s="2"/>
      <c r="R29" s="19"/>
      <c r="S29" s="2"/>
      <c r="T29" s="2"/>
      <c r="U29" s="2"/>
      <c r="V29" s="19"/>
      <c r="W29" s="2"/>
      <c r="X29" s="2">
        <f t="shared" si="2"/>
        <v>453.82</v>
      </c>
      <c r="Y29" s="2"/>
      <c r="Z29" s="19">
        <f t="shared" si="3"/>
        <v>0</v>
      </c>
    </row>
    <row r="30" spans="1:26" s="24" customFormat="1" hidden="1" outlineLevel="1" x14ac:dyDescent="0.25">
      <c r="A30" s="46"/>
      <c r="B30" s="11" t="str">
        <f>CONCATENATE("          ", "4100", " - ", "NON-TAXABLE SALES")</f>
        <v xml:space="preserve">          4100 - NON-TAXABLE SALES</v>
      </c>
      <c r="C30" s="11"/>
      <c r="D30" s="2">
        <f>0</f>
        <v>0</v>
      </c>
      <c r="E30" s="2"/>
      <c r="F30" s="19"/>
      <c r="G30" s="2"/>
      <c r="H30" s="2">
        <v>23958</v>
      </c>
      <c r="I30" s="2"/>
      <c r="J30" s="19"/>
      <c r="K30" s="2"/>
      <c r="L30" s="2">
        <f t="shared" si="0"/>
        <v>-23958</v>
      </c>
      <c r="M30" s="2"/>
      <c r="N30" s="19">
        <f t="shared" si="1"/>
        <v>-1</v>
      </c>
      <c r="O30" s="11"/>
      <c r="P30" s="2">
        <f>0</f>
        <v>0</v>
      </c>
      <c r="Q30" s="2"/>
      <c r="R30" s="19"/>
      <c r="S30" s="2"/>
      <c r="T30" s="2">
        <v>37271</v>
      </c>
      <c r="U30" s="2"/>
      <c r="V30" s="19"/>
      <c r="W30" s="2"/>
      <c r="X30" s="2">
        <f t="shared" si="2"/>
        <v>-37271</v>
      </c>
      <c r="Y30" s="2"/>
      <c r="Z30" s="19">
        <f t="shared" si="3"/>
        <v>-1</v>
      </c>
    </row>
    <row r="31" spans="1:26" s="24" customFormat="1" hidden="1" outlineLevel="1" x14ac:dyDescent="0.25">
      <c r="A31" s="46"/>
      <c r="B31" s="11" t="str">
        <f>CONCATENATE("          ", "4125", " - ", "NON-TAXABLE SALES-TEST FORMS")</f>
        <v xml:space="preserve">          4125 - NON-TAXABLE SALES-TEST FORMS</v>
      </c>
      <c r="C31" s="11"/>
      <c r="D31" s="2">
        <f>--42.03</f>
        <v>42.03</v>
      </c>
      <c r="E31" s="2"/>
      <c r="F31" s="19"/>
      <c r="G31" s="2"/>
      <c r="H31" s="2"/>
      <c r="I31" s="2"/>
      <c r="J31" s="19"/>
      <c r="K31" s="2"/>
      <c r="L31" s="2">
        <f t="shared" si="0"/>
        <v>42.03</v>
      </c>
      <c r="M31" s="2"/>
      <c r="N31" s="19">
        <f t="shared" si="1"/>
        <v>0</v>
      </c>
      <c r="O31" s="11"/>
      <c r="P31" s="2">
        <f>--124.18</f>
        <v>124.18</v>
      </c>
      <c r="Q31" s="2"/>
      <c r="R31" s="19"/>
      <c r="S31" s="2"/>
      <c r="T31" s="2"/>
      <c r="U31" s="2"/>
      <c r="V31" s="19"/>
      <c r="W31" s="2"/>
      <c r="X31" s="2">
        <f t="shared" si="2"/>
        <v>124.18</v>
      </c>
      <c r="Y31" s="2"/>
      <c r="Z31" s="19">
        <f t="shared" si="3"/>
        <v>0</v>
      </c>
    </row>
    <row r="32" spans="1:26" s="24" customFormat="1" hidden="1" outlineLevel="1" x14ac:dyDescent="0.25">
      <c r="A32" s="46"/>
      <c r="B32" s="11" t="str">
        <f>CONCATENATE("          ", "4126", " - ", "NON-TAXABLE SALES-WRITING INST")</f>
        <v xml:space="preserve">          4126 - NON-TAXABLE SALES-WRITING INST</v>
      </c>
      <c r="C32" s="11"/>
      <c r="D32" s="2">
        <f>--332.14</f>
        <v>332.14</v>
      </c>
      <c r="E32" s="2"/>
      <c r="F32" s="19"/>
      <c r="G32" s="2"/>
      <c r="H32" s="2"/>
      <c r="I32" s="2"/>
      <c r="J32" s="19"/>
      <c r="K32" s="2"/>
      <c r="L32" s="2">
        <f t="shared" si="0"/>
        <v>332.14</v>
      </c>
      <c r="M32" s="2"/>
      <c r="N32" s="19">
        <f t="shared" si="1"/>
        <v>0</v>
      </c>
      <c r="O32" s="11"/>
      <c r="P32" s="2">
        <f>--1343.26</f>
        <v>1343.26</v>
      </c>
      <c r="Q32" s="2"/>
      <c r="R32" s="19"/>
      <c r="S32" s="2"/>
      <c r="T32" s="2"/>
      <c r="U32" s="2"/>
      <c r="V32" s="19"/>
      <c r="W32" s="2"/>
      <c r="X32" s="2">
        <f t="shared" si="2"/>
        <v>1343.26</v>
      </c>
      <c r="Y32" s="2"/>
      <c r="Z32" s="19">
        <f t="shared" si="3"/>
        <v>0</v>
      </c>
    </row>
    <row r="33" spans="1:26" s="24" customFormat="1" hidden="1" outlineLevel="1" x14ac:dyDescent="0.25">
      <c r="A33" s="46"/>
      <c r="B33" s="11" t="str">
        <f>CONCATENATE("          ", "4127", " - ", "NON-TAXABLE SALES-SCHOOL SUPPL")</f>
        <v xml:space="preserve">          4127 - NON-TAXABLE SALES-SCHOOL SUPPL</v>
      </c>
      <c r="C33" s="11"/>
      <c r="D33" s="2">
        <f>--547.21</f>
        <v>547.21</v>
      </c>
      <c r="E33" s="2"/>
      <c r="F33" s="19"/>
      <c r="G33" s="2"/>
      <c r="H33" s="2"/>
      <c r="I33" s="2"/>
      <c r="J33" s="19"/>
      <c r="K33" s="2"/>
      <c r="L33" s="2">
        <f t="shared" si="0"/>
        <v>547.21</v>
      </c>
      <c r="M33" s="2"/>
      <c r="N33" s="19">
        <f t="shared" si="1"/>
        <v>0</v>
      </c>
      <c r="O33" s="11"/>
      <c r="P33" s="2">
        <f>--2417.49</f>
        <v>2417.4899999999998</v>
      </c>
      <c r="Q33" s="2"/>
      <c r="R33" s="19"/>
      <c r="S33" s="2"/>
      <c r="T33" s="2"/>
      <c r="U33" s="2"/>
      <c r="V33" s="19"/>
      <c r="W33" s="2"/>
      <c r="X33" s="2">
        <f t="shared" si="2"/>
        <v>2417.4899999999998</v>
      </c>
      <c r="Y33" s="2"/>
      <c r="Z33" s="19">
        <f t="shared" si="3"/>
        <v>0</v>
      </c>
    </row>
    <row r="34" spans="1:26" s="24" customFormat="1" hidden="1" outlineLevel="1" x14ac:dyDescent="0.25">
      <c r="A34" s="46"/>
      <c r="B34" s="11" t="str">
        <f>CONCATENATE("          ", "4128", " - ", "NON-TAXABLE SALES-ART/TECH")</f>
        <v xml:space="preserve">          4128 - NON-TAXABLE SALES-ART/TECH</v>
      </c>
      <c r="C34" s="11"/>
      <c r="D34" s="2">
        <f>--132.8</f>
        <v>132.80000000000001</v>
      </c>
      <c r="E34" s="2"/>
      <c r="F34" s="19"/>
      <c r="G34" s="2"/>
      <c r="H34" s="2"/>
      <c r="I34" s="2"/>
      <c r="J34" s="19"/>
      <c r="K34" s="2"/>
      <c r="L34" s="2">
        <f t="shared" si="0"/>
        <v>132.80000000000001</v>
      </c>
      <c r="M34" s="2"/>
      <c r="N34" s="19">
        <f t="shared" si="1"/>
        <v>0</v>
      </c>
      <c r="O34" s="11"/>
      <c r="P34" s="2">
        <f>--262.9</f>
        <v>262.89999999999998</v>
      </c>
      <c r="Q34" s="2"/>
      <c r="R34" s="19"/>
      <c r="S34" s="2"/>
      <c r="T34" s="2"/>
      <c r="U34" s="2"/>
      <c r="V34" s="19"/>
      <c r="W34" s="2"/>
      <c r="X34" s="2">
        <f t="shared" si="2"/>
        <v>262.89999999999998</v>
      </c>
      <c r="Y34" s="2"/>
      <c r="Z34" s="19">
        <f t="shared" si="3"/>
        <v>0</v>
      </c>
    </row>
    <row r="35" spans="1:26" s="24" customFormat="1" hidden="1" outlineLevel="1" x14ac:dyDescent="0.25">
      <c r="A35" s="46"/>
      <c r="B35" s="11" t="str">
        <f>CONCATENATE("          ", "4131", " - ", "NON-TAXABLE SALES-FOOD")</f>
        <v xml:space="preserve">          4131 - NON-TAXABLE SALES-FOOD</v>
      </c>
      <c r="C35" s="11"/>
      <c r="D35" s="2">
        <f>--10548.09</f>
        <v>10548.09</v>
      </c>
      <c r="E35" s="2"/>
      <c r="F35" s="19"/>
      <c r="G35" s="2"/>
      <c r="H35" s="2"/>
      <c r="I35" s="2"/>
      <c r="J35" s="19"/>
      <c r="K35" s="2"/>
      <c r="L35" s="2">
        <f t="shared" si="0"/>
        <v>10548.09</v>
      </c>
      <c r="M35" s="2"/>
      <c r="N35" s="19">
        <f t="shared" si="1"/>
        <v>0</v>
      </c>
      <c r="O35" s="11"/>
      <c r="P35" s="2">
        <f>--13265.29</f>
        <v>13265.29</v>
      </c>
      <c r="Q35" s="2"/>
      <c r="R35" s="19"/>
      <c r="S35" s="2"/>
      <c r="T35" s="2"/>
      <c r="U35" s="2"/>
      <c r="V35" s="19"/>
      <c r="W35" s="2"/>
      <c r="X35" s="2">
        <f t="shared" si="2"/>
        <v>13265.29</v>
      </c>
      <c r="Y35" s="2"/>
      <c r="Z35" s="19">
        <f t="shared" si="3"/>
        <v>0</v>
      </c>
    </row>
    <row r="36" spans="1:26" s="24" customFormat="1" hidden="1" outlineLevel="1" x14ac:dyDescent="0.25">
      <c r="A36" s="46"/>
      <c r="B36" s="11" t="str">
        <f>CONCATENATE("          ", "4132", " - ", "NON-TAXABLE SALES-JUICE")</f>
        <v xml:space="preserve">          4132 - NON-TAXABLE SALES-JUICE</v>
      </c>
      <c r="C36" s="11"/>
      <c r="D36" s="2">
        <f>--3051.46</f>
        <v>3051.46</v>
      </c>
      <c r="E36" s="2"/>
      <c r="F36" s="19"/>
      <c r="G36" s="2"/>
      <c r="H36" s="2"/>
      <c r="I36" s="2"/>
      <c r="J36" s="19"/>
      <c r="K36" s="2"/>
      <c r="L36" s="2">
        <f t="shared" si="0"/>
        <v>3051.46</v>
      </c>
      <c r="M36" s="2"/>
      <c r="N36" s="19">
        <f t="shared" si="1"/>
        <v>0</v>
      </c>
      <c r="O36" s="11"/>
      <c r="P36" s="2">
        <f>--3810.37</f>
        <v>3810.37</v>
      </c>
      <c r="Q36" s="2"/>
      <c r="R36" s="19"/>
      <c r="S36" s="2"/>
      <c r="T36" s="2"/>
      <c r="U36" s="2"/>
      <c r="V36" s="19"/>
      <c r="W36" s="2"/>
      <c r="X36" s="2">
        <f t="shared" si="2"/>
        <v>3810.37</v>
      </c>
      <c r="Y36" s="2"/>
      <c r="Z36" s="19">
        <f t="shared" si="3"/>
        <v>0</v>
      </c>
    </row>
    <row r="37" spans="1:26" s="24" customFormat="1" hidden="1" outlineLevel="1" x14ac:dyDescent="0.25">
      <c r="A37" s="46"/>
      <c r="B37" s="11" t="str">
        <f>CONCATENATE("          ", "4133", " - ", "NON-TAXABLE SALES-CANDY")</f>
        <v xml:space="preserve">          4133 - NON-TAXABLE SALES-CANDY</v>
      </c>
      <c r="C37" s="11"/>
      <c r="D37" s="2">
        <f>--3292.63</f>
        <v>3292.63</v>
      </c>
      <c r="E37" s="2"/>
      <c r="F37" s="19"/>
      <c r="G37" s="2"/>
      <c r="H37" s="2"/>
      <c r="I37" s="2"/>
      <c r="J37" s="19"/>
      <c r="K37" s="2"/>
      <c r="L37" s="2">
        <f t="shared" si="0"/>
        <v>3292.63</v>
      </c>
      <c r="M37" s="2"/>
      <c r="N37" s="19">
        <f t="shared" si="1"/>
        <v>0</v>
      </c>
      <c r="O37" s="11"/>
      <c r="P37" s="2">
        <f>--4664.98</f>
        <v>4664.9799999999996</v>
      </c>
      <c r="Q37" s="2"/>
      <c r="R37" s="19"/>
      <c r="S37" s="2"/>
      <c r="T37" s="2"/>
      <c r="U37" s="2"/>
      <c r="V37" s="19"/>
      <c r="W37" s="2"/>
      <c r="X37" s="2">
        <f t="shared" si="2"/>
        <v>4664.9799999999996</v>
      </c>
      <c r="Y37" s="2"/>
      <c r="Z37" s="19">
        <f t="shared" si="3"/>
        <v>0</v>
      </c>
    </row>
    <row r="38" spans="1:26" s="24" customFormat="1" hidden="1" outlineLevel="1" x14ac:dyDescent="0.25">
      <c r="A38" s="46"/>
      <c r="B38" s="11" t="str">
        <f>CONCATENATE("          ", "4135", " - ", "NON-TAXABLE SALES")</f>
        <v xml:space="preserve">          4135 - NON-TAXABLE SALES</v>
      </c>
      <c r="C38" s="11"/>
      <c r="D38" s="2">
        <f>--32.31</f>
        <v>32.31</v>
      </c>
      <c r="E38" s="2"/>
      <c r="F38" s="19"/>
      <c r="G38" s="2"/>
      <c r="H38" s="2"/>
      <c r="I38" s="2"/>
      <c r="J38" s="19"/>
      <c r="K38" s="2"/>
      <c r="L38" s="2">
        <f t="shared" si="0"/>
        <v>32.31</v>
      </c>
      <c r="M38" s="2"/>
      <c r="N38" s="19">
        <f t="shared" si="1"/>
        <v>0</v>
      </c>
      <c r="O38" s="11"/>
      <c r="P38" s="2">
        <f>--86.06</f>
        <v>86.06</v>
      </c>
      <c r="Q38" s="2"/>
      <c r="R38" s="19"/>
      <c r="S38" s="2"/>
      <c r="T38" s="2"/>
      <c r="U38" s="2"/>
      <c r="V38" s="19"/>
      <c r="W38" s="2"/>
      <c r="X38" s="2">
        <f t="shared" si="2"/>
        <v>86.06</v>
      </c>
      <c r="Y38" s="2"/>
      <c r="Z38" s="19">
        <f t="shared" si="3"/>
        <v>0</v>
      </c>
    </row>
    <row r="39" spans="1:26" s="24" customFormat="1" hidden="1" outlineLevel="1" x14ac:dyDescent="0.25">
      <c r="A39" s="46"/>
      <c r="B39" s="11" t="str">
        <f>CONCATENATE("          ", "4137", " - ", "NON-TAXABLE SALES-WATER")</f>
        <v xml:space="preserve">          4137 - NON-TAXABLE SALES-WATER</v>
      </c>
      <c r="C39" s="11"/>
      <c r="D39" s="2">
        <f>--1614.65</f>
        <v>1614.65</v>
      </c>
      <c r="E39" s="2"/>
      <c r="F39" s="19"/>
      <c r="G39" s="2"/>
      <c r="H39" s="2"/>
      <c r="I39" s="2"/>
      <c r="J39" s="19"/>
      <c r="K39" s="2"/>
      <c r="L39" s="2">
        <f t="shared" si="0"/>
        <v>1614.65</v>
      </c>
      <c r="M39" s="2"/>
      <c r="N39" s="19">
        <f t="shared" si="1"/>
        <v>0</v>
      </c>
      <c r="O39" s="11"/>
      <c r="P39" s="2">
        <f>--2167.37</f>
        <v>2167.37</v>
      </c>
      <c r="Q39" s="2"/>
      <c r="R39" s="19"/>
      <c r="S39" s="2"/>
      <c r="T39" s="2"/>
      <c r="U39" s="2"/>
      <c r="V39" s="19"/>
      <c r="W39" s="2"/>
      <c r="X39" s="2">
        <f t="shared" si="2"/>
        <v>2167.37</v>
      </c>
      <c r="Y39" s="2"/>
      <c r="Z39" s="19">
        <f t="shared" si="3"/>
        <v>0</v>
      </c>
    </row>
    <row r="40" spans="1:26" s="24" customFormat="1" hidden="1" outlineLevel="1" x14ac:dyDescent="0.25">
      <c r="A40" s="46"/>
      <c r="B40" s="11" t="str">
        <f>CONCATENATE("          ", "4186", " - ", "NON-TAXABLE SALES-COMPUTER SUP")</f>
        <v xml:space="preserve">          4186 - NON-TAXABLE SALES-COMPUTER SUP</v>
      </c>
      <c r="C40" s="11"/>
      <c r="D40" s="2">
        <f>-34.98</f>
        <v>-34.979999999999997</v>
      </c>
      <c r="E40" s="2"/>
      <c r="F40" s="19"/>
      <c r="G40" s="2"/>
      <c r="H40" s="2"/>
      <c r="I40" s="2"/>
      <c r="J40" s="19"/>
      <c r="K40" s="2"/>
      <c r="L40" s="2">
        <f t="shared" si="0"/>
        <v>-34.979999999999997</v>
      </c>
      <c r="M40" s="2"/>
      <c r="N40" s="19">
        <f t="shared" si="1"/>
        <v>0</v>
      </c>
      <c r="O40" s="11"/>
      <c r="P40" s="2">
        <f>-34.98</f>
        <v>-34.979999999999997</v>
      </c>
      <c r="Q40" s="2"/>
      <c r="R40" s="19"/>
      <c r="S40" s="2"/>
      <c r="T40" s="2"/>
      <c r="U40" s="2"/>
      <c r="V40" s="19"/>
      <c r="W40" s="2"/>
      <c r="X40" s="2">
        <f t="shared" si="2"/>
        <v>-34.979999999999997</v>
      </c>
      <c r="Y40" s="2"/>
      <c r="Z40" s="19">
        <f t="shared" si="3"/>
        <v>0</v>
      </c>
    </row>
    <row r="41" spans="1:26" s="24" customFormat="1" hidden="1" outlineLevel="1" x14ac:dyDescent="0.25">
      <c r="A41" s="46"/>
      <c r="B41" s="11" t="str">
        <f>CONCATENATE("          ", "4225", " - ", "SALES RETURN TAXABLE-TEST FORM")</f>
        <v xml:space="preserve">          4225 - SALES RETURN TAXABLE-TEST FORM</v>
      </c>
      <c r="C41" s="11"/>
      <c r="D41" s="2">
        <f>-20.41</f>
        <v>-20.41</v>
      </c>
      <c r="E41" s="2"/>
      <c r="F41" s="19"/>
      <c r="G41" s="2"/>
      <c r="H41" s="2"/>
      <c r="I41" s="2"/>
      <c r="J41" s="19"/>
      <c r="K41" s="2"/>
      <c r="L41" s="2">
        <f t="shared" si="0"/>
        <v>-20.41</v>
      </c>
      <c r="M41" s="2"/>
      <c r="N41" s="19">
        <f t="shared" si="1"/>
        <v>0</v>
      </c>
      <c r="O41" s="11"/>
      <c r="P41" s="2">
        <f>-33.1</f>
        <v>-33.1</v>
      </c>
      <c r="Q41" s="2"/>
      <c r="R41" s="19"/>
      <c r="S41" s="2"/>
      <c r="T41" s="2"/>
      <c r="U41" s="2"/>
      <c r="V41" s="19"/>
      <c r="W41" s="2"/>
      <c r="X41" s="2">
        <f t="shared" si="2"/>
        <v>-33.1</v>
      </c>
      <c r="Y41" s="2"/>
      <c r="Z41" s="19">
        <f t="shared" si="3"/>
        <v>0</v>
      </c>
    </row>
    <row r="42" spans="1:26" s="24" customFormat="1" hidden="1" outlineLevel="1" x14ac:dyDescent="0.25">
      <c r="A42" s="46"/>
      <c r="B42" s="11" t="str">
        <f>CONCATENATE("          ", "4226", " - ", "SALES RETURN TAXABLE-WRITING I")</f>
        <v xml:space="preserve">          4226 - SALES RETURN TAXABLE-WRITING I</v>
      </c>
      <c r="C42" s="11"/>
      <c r="D42" s="2">
        <f>-184.86</f>
        <v>-184.86</v>
      </c>
      <c r="E42" s="2"/>
      <c r="F42" s="19"/>
      <c r="G42" s="2"/>
      <c r="H42" s="2"/>
      <c r="I42" s="2"/>
      <c r="J42" s="19"/>
      <c r="K42" s="2"/>
      <c r="L42" s="2">
        <f t="shared" si="0"/>
        <v>-184.86</v>
      </c>
      <c r="M42" s="2"/>
      <c r="N42" s="19">
        <f t="shared" si="1"/>
        <v>0</v>
      </c>
      <c r="O42" s="11"/>
      <c r="P42" s="2">
        <f>-309.07</f>
        <v>-309.07</v>
      </c>
      <c r="Q42" s="2"/>
      <c r="R42" s="19"/>
      <c r="S42" s="2"/>
      <c r="T42" s="2"/>
      <c r="U42" s="2"/>
      <c r="V42" s="19"/>
      <c r="W42" s="2"/>
      <c r="X42" s="2">
        <f t="shared" si="2"/>
        <v>-309.07</v>
      </c>
      <c r="Y42" s="2"/>
      <c r="Z42" s="19">
        <f t="shared" si="3"/>
        <v>0</v>
      </c>
    </row>
    <row r="43" spans="1:26" s="24" customFormat="1" hidden="1" outlineLevel="1" x14ac:dyDescent="0.25">
      <c r="A43" s="46"/>
      <c r="B43" s="11" t="str">
        <f>CONCATENATE("          ", "4227", " - ", "SALES RETURN TAXABLE-SCHOOL SU")</f>
        <v xml:space="preserve">          4227 - SALES RETURN TAXABLE-SCHOOL SU</v>
      </c>
      <c r="C43" s="11"/>
      <c r="D43" s="2">
        <f>-2805.04</f>
        <v>-2805.04</v>
      </c>
      <c r="E43" s="2"/>
      <c r="F43" s="19"/>
      <c r="G43" s="2"/>
      <c r="H43" s="2"/>
      <c r="I43" s="2"/>
      <c r="J43" s="19"/>
      <c r="K43" s="2"/>
      <c r="L43" s="2">
        <f t="shared" si="0"/>
        <v>-2805.04</v>
      </c>
      <c r="M43" s="2"/>
      <c r="N43" s="19">
        <f t="shared" si="1"/>
        <v>0</v>
      </c>
      <c r="O43" s="11"/>
      <c r="P43" s="2">
        <f>-4501.63</f>
        <v>-4501.63</v>
      </c>
      <c r="Q43" s="2"/>
      <c r="R43" s="19"/>
      <c r="S43" s="2"/>
      <c r="T43" s="2"/>
      <c r="U43" s="2"/>
      <c r="V43" s="19"/>
      <c r="W43" s="2"/>
      <c r="X43" s="2">
        <f t="shared" si="2"/>
        <v>-4501.63</v>
      </c>
      <c r="Y43" s="2"/>
      <c r="Z43" s="19">
        <f t="shared" si="3"/>
        <v>0</v>
      </c>
    </row>
    <row r="44" spans="1:26" s="24" customFormat="1" hidden="1" outlineLevel="1" x14ac:dyDescent="0.25">
      <c r="A44" s="46"/>
      <c r="B44" s="11" t="str">
        <f>CONCATENATE("          ", "4228", " - ", "SALES RETURN TAXABLE-ART/TECH")</f>
        <v xml:space="preserve">          4228 - SALES RETURN TAXABLE-ART/TECH</v>
      </c>
      <c r="C44" s="11"/>
      <c r="D44" s="2">
        <f>-1058.54</f>
        <v>-1058.54</v>
      </c>
      <c r="E44" s="2"/>
      <c r="F44" s="19"/>
      <c r="G44" s="2"/>
      <c r="H44" s="2"/>
      <c r="I44" s="2"/>
      <c r="J44" s="19"/>
      <c r="K44" s="2"/>
      <c r="L44" s="2">
        <f t="shared" si="0"/>
        <v>-1058.54</v>
      </c>
      <c r="M44" s="2"/>
      <c r="N44" s="19">
        <f t="shared" si="1"/>
        <v>0</v>
      </c>
      <c r="O44" s="11"/>
      <c r="P44" s="2">
        <f>-1927.27</f>
        <v>-1927.27</v>
      </c>
      <c r="Q44" s="2"/>
      <c r="R44" s="19"/>
      <c r="S44" s="2"/>
      <c r="T44" s="2"/>
      <c r="U44" s="2"/>
      <c r="V44" s="19"/>
      <c r="W44" s="2"/>
      <c r="X44" s="2">
        <f t="shared" si="2"/>
        <v>-1927.27</v>
      </c>
      <c r="Y44" s="2"/>
      <c r="Z44" s="19">
        <f t="shared" si="3"/>
        <v>0</v>
      </c>
    </row>
    <row r="45" spans="1:26" s="24" customFormat="1" hidden="1" outlineLevel="1" x14ac:dyDescent="0.25">
      <c r="A45" s="46"/>
      <c r="B45" s="11" t="str">
        <f>CONCATENATE("          ", "4281", " - ", "SALES RETURN TAXABLE-ELECTRONI")</f>
        <v xml:space="preserve">          4281 - SALES RETURN TAXABLE-ELECTRONI</v>
      </c>
      <c r="C45" s="11"/>
      <c r="D45" s="2">
        <f>-24.99</f>
        <v>-24.99</v>
      </c>
      <c r="E45" s="2"/>
      <c r="F45" s="19"/>
      <c r="G45" s="2"/>
      <c r="H45" s="2"/>
      <c r="I45" s="2"/>
      <c r="J45" s="19"/>
      <c r="K45" s="2"/>
      <c r="L45" s="2">
        <f t="shared" si="0"/>
        <v>-24.99</v>
      </c>
      <c r="M45" s="2"/>
      <c r="N45" s="19">
        <f t="shared" si="1"/>
        <v>0</v>
      </c>
      <c r="O45" s="11"/>
      <c r="P45" s="2">
        <f>-24.99</f>
        <v>-24.99</v>
      </c>
      <c r="Q45" s="2"/>
      <c r="R45" s="19"/>
      <c r="S45" s="2"/>
      <c r="T45" s="2"/>
      <c r="U45" s="2"/>
      <c r="V45" s="19"/>
      <c r="W45" s="2"/>
      <c r="X45" s="2">
        <f t="shared" si="2"/>
        <v>-24.99</v>
      </c>
      <c r="Y45" s="2"/>
      <c r="Z45" s="19">
        <f t="shared" si="3"/>
        <v>0</v>
      </c>
    </row>
    <row r="46" spans="1:26" s="24" customFormat="1" hidden="1" outlineLevel="1" x14ac:dyDescent="0.25">
      <c r="A46" s="46"/>
      <c r="B46" s="11" t="str">
        <f>CONCATENATE("          ", "4327", " - ", "SALES RETURN NON TAXABLE-SCHOO")</f>
        <v xml:space="preserve">          4327 - SALES RETURN NON TAXABLE-SCHOO</v>
      </c>
      <c r="C46" s="11"/>
      <c r="D46" s="2">
        <f>-8.29</f>
        <v>-8.2899999999999991</v>
      </c>
      <c r="E46" s="2"/>
      <c r="F46" s="19"/>
      <c r="G46" s="2"/>
      <c r="H46" s="2"/>
      <c r="I46" s="2"/>
      <c r="J46" s="19"/>
      <c r="K46" s="2"/>
      <c r="L46" s="2">
        <f t="shared" si="0"/>
        <v>-8.2899999999999991</v>
      </c>
      <c r="M46" s="2"/>
      <c r="N46" s="19">
        <f t="shared" si="1"/>
        <v>0</v>
      </c>
      <c r="O46" s="11"/>
      <c r="P46" s="2">
        <f>-21.87</f>
        <v>-21.87</v>
      </c>
      <c r="Q46" s="2"/>
      <c r="R46" s="19"/>
      <c r="S46" s="2"/>
      <c r="T46" s="2"/>
      <c r="U46" s="2"/>
      <c r="V46" s="19"/>
      <c r="W46" s="2"/>
      <c r="X46" s="2">
        <f t="shared" si="2"/>
        <v>-21.87</v>
      </c>
      <c r="Y46" s="2"/>
      <c r="Z46" s="19">
        <f t="shared" si="3"/>
        <v>0</v>
      </c>
    </row>
    <row r="47" spans="1:26" x14ac:dyDescent="0.25">
      <c r="A47" s="9"/>
      <c r="B47" s="10"/>
      <c r="C47" s="9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collapsed="1" x14ac:dyDescent="0.25">
      <c r="A48" s="10"/>
      <c r="B48" s="28" t="s">
        <v>8</v>
      </c>
      <c r="C48" s="10"/>
      <c r="D48" s="4">
        <f>SUM(OSRRefD16x_0)</f>
        <v>69876.12000000001</v>
      </c>
      <c r="E48" s="4"/>
      <c r="F48" s="12">
        <f t="shared" ref="F48:F70" si="4">IF(D$12=0,0,D48/D$12)</f>
        <v>0.50405509884948185</v>
      </c>
      <c r="G48" s="4"/>
      <c r="H48" s="4">
        <f>SUM(OSRRefH16x_0)</f>
        <v>72912</v>
      </c>
      <c r="I48" s="4"/>
      <c r="J48" s="12">
        <f t="shared" ref="J48:J70" si="5">IF(H$12=0,0,H48/H$12)</f>
        <v>0.4735375682749573</v>
      </c>
      <c r="K48" s="4"/>
      <c r="L48" s="4">
        <f t="shared" ref="L48:L70" si="6">+D48-H48</f>
        <v>-3035.8799999999901</v>
      </c>
      <c r="M48" s="4"/>
      <c r="N48" s="12">
        <f t="shared" ref="N48:N70" si="7">IF(H48=0,0,L48/H48)</f>
        <v>-4.1637590520078864E-2</v>
      </c>
      <c r="O48" s="10"/>
      <c r="P48" s="4">
        <f>SUM(OSRRefP16x_0)</f>
        <v>141951.89999999997</v>
      </c>
      <c r="Q48" s="4"/>
      <c r="R48" s="12">
        <f t="shared" ref="R48:R70" si="8">IF(P$12=0,0,P48/P$12)</f>
        <v>0.48826200486742027</v>
      </c>
      <c r="S48" s="4"/>
      <c r="T48" s="4">
        <f>SUM(OSRRefT16x_0)</f>
        <v>151154</v>
      </c>
      <c r="U48" s="4"/>
      <c r="V48" s="12">
        <f t="shared" ref="V48:V70" si="9">IF(T$12=0,0,T48/T$12)</f>
        <v>0.47720585449631886</v>
      </c>
      <c r="W48" s="4"/>
      <c r="X48" s="4">
        <f t="shared" ref="X48:X70" si="10">+P48-T48</f>
        <v>-9202.1000000000349</v>
      </c>
      <c r="Y48" s="4"/>
      <c r="Z48" s="12">
        <f t="shared" ref="Z48:Z70" si="11">IF(T48=0,0,X48/T48)</f>
        <v>-6.087897111555126E-2</v>
      </c>
    </row>
    <row r="49" spans="1:26" s="24" customFormat="1" hidden="1" outlineLevel="1" x14ac:dyDescent="0.25">
      <c r="A49" s="46"/>
      <c r="B49" s="11" t="str">
        <f>CONCATENATE("          ", "5000", " - ", "PURCHASES @ COST")</f>
        <v xml:space="preserve">          5000 - PURCHASES @ COST</v>
      </c>
      <c r="C49" s="11"/>
      <c r="D49" s="2"/>
      <c r="E49" s="2"/>
      <c r="F49" s="19">
        <f t="shared" si="4"/>
        <v>0</v>
      </c>
      <c r="G49" s="2"/>
      <c r="H49" s="2">
        <v>72912</v>
      </c>
      <c r="I49" s="2"/>
      <c r="J49" s="19">
        <f t="shared" si="5"/>
        <v>0.4735375682749573</v>
      </c>
      <c r="K49" s="2"/>
      <c r="L49" s="2">
        <f t="shared" si="6"/>
        <v>-72912</v>
      </c>
      <c r="M49" s="2"/>
      <c r="N49" s="19">
        <f t="shared" si="7"/>
        <v>-1</v>
      </c>
      <c r="O49" s="11"/>
      <c r="P49" s="2"/>
      <c r="Q49" s="2"/>
      <c r="R49" s="19">
        <f t="shared" si="8"/>
        <v>0</v>
      </c>
      <c r="S49" s="2"/>
      <c r="T49" s="2">
        <v>151154</v>
      </c>
      <c r="U49" s="2"/>
      <c r="V49" s="19">
        <f t="shared" si="9"/>
        <v>0.47720585449631886</v>
      </c>
      <c r="W49" s="2"/>
      <c r="X49" s="2">
        <f t="shared" si="10"/>
        <v>-151154</v>
      </c>
      <c r="Y49" s="2"/>
      <c r="Z49" s="19">
        <f t="shared" si="11"/>
        <v>-1</v>
      </c>
    </row>
    <row r="50" spans="1:26" s="24" customFormat="1" hidden="1" outlineLevel="1" x14ac:dyDescent="0.25">
      <c r="A50" s="46"/>
      <c r="B50" s="11" t="str">
        <f>CONCATENATE("          ", "5017", " - ", "PURCHASES @ COST-DORM/HOUSEWAR")</f>
        <v xml:space="preserve">          5017 - PURCHASES @ COST-DORM/HOUSEWAR</v>
      </c>
      <c r="C50" s="11"/>
      <c r="D50" s="2">
        <v>-139.86000000000001</v>
      </c>
      <c r="E50" s="2"/>
      <c r="F50" s="19">
        <f t="shared" si="4"/>
        <v>-1.0088875301760964E-3</v>
      </c>
      <c r="G50" s="2"/>
      <c r="H50" s="2"/>
      <c r="I50" s="2"/>
      <c r="J50" s="19">
        <f t="shared" si="5"/>
        <v>0</v>
      </c>
      <c r="K50" s="2"/>
      <c r="L50" s="2">
        <f t="shared" si="6"/>
        <v>-139.86000000000001</v>
      </c>
      <c r="M50" s="2"/>
      <c r="N50" s="19">
        <f t="shared" si="7"/>
        <v>0</v>
      </c>
      <c r="O50" s="11"/>
      <c r="P50" s="2">
        <v>0</v>
      </c>
      <c r="Q50" s="2"/>
      <c r="R50" s="19">
        <f t="shared" si="8"/>
        <v>0</v>
      </c>
      <c r="S50" s="2"/>
      <c r="T50" s="2"/>
      <c r="U50" s="2"/>
      <c r="V50" s="19">
        <f t="shared" si="9"/>
        <v>0</v>
      </c>
      <c r="W50" s="2"/>
      <c r="X50" s="2">
        <f t="shared" si="10"/>
        <v>0</v>
      </c>
      <c r="Y50" s="2"/>
      <c r="Z50" s="19">
        <f t="shared" si="11"/>
        <v>0</v>
      </c>
    </row>
    <row r="51" spans="1:26" s="24" customFormat="1" hidden="1" outlineLevel="1" x14ac:dyDescent="0.25">
      <c r="A51" s="46"/>
      <c r="B51" s="11" t="str">
        <f>CONCATENATE("          ", "5025", " - ", "PURCHASES @ COST-TEST FORMS")</f>
        <v xml:space="preserve">          5025 - PURCHASES @ COST-TEST FORMS</v>
      </c>
      <c r="C51" s="11"/>
      <c r="D51" s="2">
        <v>1495.25</v>
      </c>
      <c r="E51" s="2"/>
      <c r="F51" s="19">
        <f t="shared" si="4"/>
        <v>1.0786065204460231E-2</v>
      </c>
      <c r="G51" s="2"/>
      <c r="H51" s="2"/>
      <c r="I51" s="2"/>
      <c r="J51" s="19">
        <f t="shared" si="5"/>
        <v>0</v>
      </c>
      <c r="K51" s="2"/>
      <c r="L51" s="2">
        <f t="shared" si="6"/>
        <v>1495.25</v>
      </c>
      <c r="M51" s="2"/>
      <c r="N51" s="19">
        <f t="shared" si="7"/>
        <v>0</v>
      </c>
      <c r="O51" s="11"/>
      <c r="P51" s="2">
        <v>3252.39</v>
      </c>
      <c r="Q51" s="2"/>
      <c r="R51" s="19">
        <f t="shared" si="8"/>
        <v>1.1187018011106222E-2</v>
      </c>
      <c r="S51" s="2"/>
      <c r="T51" s="2"/>
      <c r="U51" s="2"/>
      <c r="V51" s="19">
        <f t="shared" si="9"/>
        <v>0</v>
      </c>
      <c r="W51" s="2"/>
      <c r="X51" s="2">
        <f t="shared" si="10"/>
        <v>3252.39</v>
      </c>
      <c r="Y51" s="2"/>
      <c r="Z51" s="19">
        <f t="shared" si="11"/>
        <v>0</v>
      </c>
    </row>
    <row r="52" spans="1:26" s="24" customFormat="1" hidden="1" outlineLevel="1" x14ac:dyDescent="0.25">
      <c r="A52" s="46"/>
      <c r="B52" s="11" t="str">
        <f>CONCATENATE("          ", "5026", " - ", "PURCHASES @ COST-WRITING INSTR")</f>
        <v xml:space="preserve">          5026 - PURCHASES @ COST-WRITING INSTR</v>
      </c>
      <c r="C52" s="11"/>
      <c r="D52" s="2">
        <v>2262.16</v>
      </c>
      <c r="E52" s="2"/>
      <c r="F52" s="19">
        <f t="shared" si="4"/>
        <v>1.6318211177342754E-2</v>
      </c>
      <c r="G52" s="2"/>
      <c r="H52" s="2"/>
      <c r="I52" s="2"/>
      <c r="J52" s="19">
        <f t="shared" si="5"/>
        <v>0</v>
      </c>
      <c r="K52" s="2"/>
      <c r="L52" s="2">
        <f t="shared" si="6"/>
        <v>2262.16</v>
      </c>
      <c r="M52" s="2"/>
      <c r="N52" s="19">
        <f t="shared" si="7"/>
        <v>0</v>
      </c>
      <c r="O52" s="11"/>
      <c r="P52" s="2">
        <v>14852.310000000001</v>
      </c>
      <c r="Q52" s="2"/>
      <c r="R52" s="19">
        <f t="shared" si="8"/>
        <v>5.1086450111005467E-2</v>
      </c>
      <c r="S52" s="2"/>
      <c r="T52" s="2"/>
      <c r="U52" s="2"/>
      <c r="V52" s="19">
        <f t="shared" si="9"/>
        <v>0</v>
      </c>
      <c r="W52" s="2"/>
      <c r="X52" s="2">
        <f t="shared" si="10"/>
        <v>14852.310000000001</v>
      </c>
      <c r="Y52" s="2"/>
      <c r="Z52" s="19">
        <f t="shared" si="11"/>
        <v>0</v>
      </c>
    </row>
    <row r="53" spans="1:26" s="24" customFormat="1" hidden="1" outlineLevel="1" x14ac:dyDescent="0.25">
      <c r="A53" s="46"/>
      <c r="B53" s="11" t="str">
        <f>CONCATENATE("          ", "5027", " - ", "PURCHASES @ COST-SCHOOL SUPPLI")</f>
        <v xml:space="preserve">          5027 - PURCHASES @ COST-SCHOOL SUPPLI</v>
      </c>
      <c r="C53" s="11"/>
      <c r="D53" s="2">
        <v>12691.01</v>
      </c>
      <c r="E53" s="2"/>
      <c r="F53" s="19">
        <f t="shared" si="4"/>
        <v>9.1547273947805943E-2</v>
      </c>
      <c r="G53" s="2"/>
      <c r="H53" s="2"/>
      <c r="I53" s="2"/>
      <c r="J53" s="19">
        <f t="shared" si="5"/>
        <v>0</v>
      </c>
      <c r="K53" s="2"/>
      <c r="L53" s="2">
        <f t="shared" si="6"/>
        <v>12691.01</v>
      </c>
      <c r="M53" s="2"/>
      <c r="N53" s="19">
        <f t="shared" si="7"/>
        <v>0</v>
      </c>
      <c r="O53" s="11"/>
      <c r="P53" s="2">
        <v>62154.22</v>
      </c>
      <c r="Q53" s="2"/>
      <c r="R53" s="19">
        <f t="shared" si="8"/>
        <v>0.21378751582874705</v>
      </c>
      <c r="S53" s="2"/>
      <c r="T53" s="2"/>
      <c r="U53" s="2"/>
      <c r="V53" s="19">
        <f t="shared" si="9"/>
        <v>0</v>
      </c>
      <c r="W53" s="2"/>
      <c r="X53" s="2">
        <f t="shared" si="10"/>
        <v>62154.22</v>
      </c>
      <c r="Y53" s="2"/>
      <c r="Z53" s="19">
        <f t="shared" si="11"/>
        <v>0</v>
      </c>
    </row>
    <row r="54" spans="1:26" s="24" customFormat="1" hidden="1" outlineLevel="1" x14ac:dyDescent="0.25">
      <c r="A54" s="46"/>
      <c r="B54" s="11" t="str">
        <f>CONCATENATE("          ", "5028", " - ", "PURCHASES @ COST-ART/TECH")</f>
        <v xml:space="preserve">          5028 - PURCHASES @ COST-ART/TECH</v>
      </c>
      <c r="C54" s="11"/>
      <c r="D54" s="2">
        <v>14830.009999999998</v>
      </c>
      <c r="E54" s="2"/>
      <c r="F54" s="19">
        <f t="shared" si="4"/>
        <v>0.1069770639309796</v>
      </c>
      <c r="G54" s="2"/>
      <c r="H54" s="2"/>
      <c r="I54" s="2"/>
      <c r="J54" s="19">
        <f t="shared" si="5"/>
        <v>0</v>
      </c>
      <c r="K54" s="2"/>
      <c r="L54" s="2">
        <f t="shared" si="6"/>
        <v>14830.009999999998</v>
      </c>
      <c r="M54" s="2"/>
      <c r="N54" s="19">
        <f t="shared" si="7"/>
        <v>0</v>
      </c>
      <c r="O54" s="11"/>
      <c r="P54" s="2">
        <v>70844.78</v>
      </c>
      <c r="Q54" s="2"/>
      <c r="R54" s="19">
        <f t="shared" si="8"/>
        <v>0.24367982617486153</v>
      </c>
      <c r="S54" s="2"/>
      <c r="T54" s="2"/>
      <c r="U54" s="2"/>
      <c r="V54" s="19">
        <f t="shared" si="9"/>
        <v>0</v>
      </c>
      <c r="W54" s="2"/>
      <c r="X54" s="2">
        <f t="shared" si="10"/>
        <v>70844.78</v>
      </c>
      <c r="Y54" s="2"/>
      <c r="Z54" s="19">
        <f t="shared" si="11"/>
        <v>0</v>
      </c>
    </row>
    <row r="55" spans="1:26" s="24" customFormat="1" hidden="1" outlineLevel="1" x14ac:dyDescent="0.25">
      <c r="A55" s="46"/>
      <c r="B55" s="11" t="str">
        <f>CONCATENATE("          ", "5031", " - ", "PURCHASES @ COST-FOOD")</f>
        <v xml:space="preserve">          5031 - PURCHASES @ COST-FOOD</v>
      </c>
      <c r="C55" s="11"/>
      <c r="D55" s="2">
        <v>5471.01</v>
      </c>
      <c r="E55" s="2"/>
      <c r="F55" s="19">
        <f t="shared" si="4"/>
        <v>3.9465420895672274E-2</v>
      </c>
      <c r="G55" s="2"/>
      <c r="H55" s="2"/>
      <c r="I55" s="2"/>
      <c r="J55" s="19">
        <f t="shared" si="5"/>
        <v>0</v>
      </c>
      <c r="K55" s="2"/>
      <c r="L55" s="2">
        <f t="shared" si="6"/>
        <v>5471.01</v>
      </c>
      <c r="M55" s="2"/>
      <c r="N55" s="19">
        <f t="shared" si="7"/>
        <v>0</v>
      </c>
      <c r="O55" s="11"/>
      <c r="P55" s="2">
        <v>8150.05</v>
      </c>
      <c r="Q55" s="2"/>
      <c r="R55" s="19">
        <f t="shared" si="8"/>
        <v>2.8033155968815632E-2</v>
      </c>
      <c r="S55" s="2"/>
      <c r="T55" s="2"/>
      <c r="U55" s="2"/>
      <c r="V55" s="19">
        <f t="shared" si="9"/>
        <v>0</v>
      </c>
      <c r="W55" s="2"/>
      <c r="X55" s="2">
        <f t="shared" si="10"/>
        <v>8150.05</v>
      </c>
      <c r="Y55" s="2"/>
      <c r="Z55" s="19">
        <f t="shared" si="11"/>
        <v>0</v>
      </c>
    </row>
    <row r="56" spans="1:26" s="24" customFormat="1" hidden="1" outlineLevel="1" x14ac:dyDescent="0.25">
      <c r="A56" s="46"/>
      <c r="B56" s="11" t="str">
        <f>CONCATENATE("          ", "5032", " - ", "PURCHASES @ COST-JUICE")</f>
        <v xml:space="preserve">          5032 - PURCHASES @ COST-JUICE</v>
      </c>
      <c r="C56" s="11"/>
      <c r="D56" s="2">
        <v>477.55</v>
      </c>
      <c r="E56" s="2"/>
      <c r="F56" s="19">
        <f t="shared" si="4"/>
        <v>3.4448322610867634E-3</v>
      </c>
      <c r="G56" s="2"/>
      <c r="H56" s="2"/>
      <c r="I56" s="2"/>
      <c r="J56" s="19">
        <f t="shared" si="5"/>
        <v>0</v>
      </c>
      <c r="K56" s="2"/>
      <c r="L56" s="2">
        <f t="shared" si="6"/>
        <v>477.55</v>
      </c>
      <c r="M56" s="2"/>
      <c r="N56" s="19">
        <f t="shared" si="7"/>
        <v>0</v>
      </c>
      <c r="O56" s="11"/>
      <c r="P56" s="2">
        <v>819.15</v>
      </c>
      <c r="Q56" s="2"/>
      <c r="R56" s="19">
        <f t="shared" si="8"/>
        <v>2.8175728629708189E-3</v>
      </c>
      <c r="S56" s="2"/>
      <c r="T56" s="2"/>
      <c r="U56" s="2"/>
      <c r="V56" s="19">
        <f t="shared" si="9"/>
        <v>0</v>
      </c>
      <c r="W56" s="2"/>
      <c r="X56" s="2">
        <f t="shared" si="10"/>
        <v>819.15</v>
      </c>
      <c r="Y56" s="2"/>
      <c r="Z56" s="19">
        <f t="shared" si="11"/>
        <v>0</v>
      </c>
    </row>
    <row r="57" spans="1:26" s="24" customFormat="1" hidden="1" outlineLevel="1" x14ac:dyDescent="0.25">
      <c r="A57" s="46"/>
      <c r="B57" s="11" t="str">
        <f>CONCATENATE("          ", "5033", " - ", "PURCHASES @ COST-CANDY")</f>
        <v xml:space="preserve">          5033 - PURCHASES @ COST-CANDY</v>
      </c>
      <c r="C57" s="11"/>
      <c r="D57" s="2">
        <v>1366.65</v>
      </c>
      <c r="E57" s="2"/>
      <c r="F57" s="19">
        <f t="shared" si="4"/>
        <v>9.8584022816756902E-3</v>
      </c>
      <c r="G57" s="2"/>
      <c r="H57" s="2"/>
      <c r="I57" s="2"/>
      <c r="J57" s="19">
        <f t="shared" si="5"/>
        <v>0</v>
      </c>
      <c r="K57" s="2"/>
      <c r="L57" s="2">
        <f t="shared" si="6"/>
        <v>1366.65</v>
      </c>
      <c r="M57" s="2"/>
      <c r="N57" s="19">
        <f t="shared" si="7"/>
        <v>0</v>
      </c>
      <c r="O57" s="11"/>
      <c r="P57" s="2">
        <v>2353.11</v>
      </c>
      <c r="Q57" s="2"/>
      <c r="R57" s="19">
        <f t="shared" si="8"/>
        <v>8.0938276012760355E-3</v>
      </c>
      <c r="S57" s="2"/>
      <c r="T57" s="2"/>
      <c r="U57" s="2"/>
      <c r="V57" s="19">
        <f t="shared" si="9"/>
        <v>0</v>
      </c>
      <c r="W57" s="2"/>
      <c r="X57" s="2">
        <f t="shared" si="10"/>
        <v>2353.11</v>
      </c>
      <c r="Y57" s="2"/>
      <c r="Z57" s="19">
        <f t="shared" si="11"/>
        <v>0</v>
      </c>
    </row>
    <row r="58" spans="1:26" s="24" customFormat="1" hidden="1" outlineLevel="1" x14ac:dyDescent="0.25">
      <c r="A58" s="46"/>
      <c r="B58" s="11" t="str">
        <f>CONCATENATE("          ", "5034", " - ", "PURCHASES @ COST-SODA")</f>
        <v xml:space="preserve">          5034 - PURCHASES @ COST-SODA</v>
      </c>
      <c r="C58" s="11"/>
      <c r="D58" s="2">
        <v>330.04</v>
      </c>
      <c r="E58" s="2"/>
      <c r="F58" s="19">
        <f t="shared" si="4"/>
        <v>2.3807610500451797E-3</v>
      </c>
      <c r="G58" s="2"/>
      <c r="H58" s="2"/>
      <c r="I58" s="2"/>
      <c r="J58" s="19">
        <f t="shared" si="5"/>
        <v>0</v>
      </c>
      <c r="K58" s="2"/>
      <c r="L58" s="2">
        <f t="shared" si="6"/>
        <v>330.04</v>
      </c>
      <c r="M58" s="2"/>
      <c r="N58" s="19">
        <f t="shared" si="7"/>
        <v>0</v>
      </c>
      <c r="O58" s="11"/>
      <c r="P58" s="2">
        <v>618.54</v>
      </c>
      <c r="Q58" s="2"/>
      <c r="R58" s="19">
        <f t="shared" si="8"/>
        <v>2.1275487012903257E-3</v>
      </c>
      <c r="S58" s="2"/>
      <c r="T58" s="2"/>
      <c r="U58" s="2"/>
      <c r="V58" s="19">
        <f t="shared" si="9"/>
        <v>0</v>
      </c>
      <c r="W58" s="2"/>
      <c r="X58" s="2">
        <f t="shared" si="10"/>
        <v>618.54</v>
      </c>
      <c r="Y58" s="2"/>
      <c r="Z58" s="19">
        <f t="shared" si="11"/>
        <v>0</v>
      </c>
    </row>
    <row r="59" spans="1:26" s="24" customFormat="1" hidden="1" outlineLevel="1" x14ac:dyDescent="0.25">
      <c r="A59" s="46"/>
      <c r="B59" s="11" t="str">
        <f>CONCATENATE("          ", "5035", " - ", "PURCHASES @ COST-HEALTH &amp; BEAU")</f>
        <v xml:space="preserve">          5035 - PURCHASES @ COST-HEALTH &amp; BEAU</v>
      </c>
      <c r="C59" s="11"/>
      <c r="D59" s="2">
        <v>210.83</v>
      </c>
      <c r="E59" s="2"/>
      <c r="F59" s="19">
        <f t="shared" si="4"/>
        <v>1.5208333904406291E-3</v>
      </c>
      <c r="G59" s="2"/>
      <c r="H59" s="2"/>
      <c r="I59" s="2"/>
      <c r="J59" s="19">
        <f t="shared" si="5"/>
        <v>0</v>
      </c>
      <c r="K59" s="2"/>
      <c r="L59" s="2">
        <f t="shared" si="6"/>
        <v>210.83</v>
      </c>
      <c r="M59" s="2"/>
      <c r="N59" s="19">
        <f t="shared" si="7"/>
        <v>0</v>
      </c>
      <c r="O59" s="11"/>
      <c r="P59" s="2">
        <v>287.56</v>
      </c>
      <c r="Q59" s="2"/>
      <c r="R59" s="19">
        <f t="shared" si="8"/>
        <v>9.8909998471084499E-4</v>
      </c>
      <c r="S59" s="2"/>
      <c r="T59" s="2"/>
      <c r="U59" s="2"/>
      <c r="V59" s="19">
        <f t="shared" si="9"/>
        <v>0</v>
      </c>
      <c r="W59" s="2"/>
      <c r="X59" s="2">
        <f t="shared" si="10"/>
        <v>287.56</v>
      </c>
      <c r="Y59" s="2"/>
      <c r="Z59" s="19">
        <f t="shared" si="11"/>
        <v>0</v>
      </c>
    </row>
    <row r="60" spans="1:26" s="24" customFormat="1" hidden="1" outlineLevel="1" x14ac:dyDescent="0.25">
      <c r="A60" s="46"/>
      <c r="B60" s="11" t="str">
        <f>CONCATENATE("          ", "5037", " - ", "PURCHASES @ COST-WATER")</f>
        <v xml:space="preserve">          5037 - PURCHASES @ COST-WATER</v>
      </c>
      <c r="C60" s="11"/>
      <c r="D60" s="2">
        <v>896.64</v>
      </c>
      <c r="E60" s="2"/>
      <c r="F60" s="19">
        <f t="shared" si="4"/>
        <v>6.4679602106184394E-3</v>
      </c>
      <c r="G60" s="2"/>
      <c r="H60" s="2"/>
      <c r="I60" s="2"/>
      <c r="J60" s="19">
        <f t="shared" si="5"/>
        <v>0</v>
      </c>
      <c r="K60" s="2"/>
      <c r="L60" s="2">
        <f t="shared" si="6"/>
        <v>896.64</v>
      </c>
      <c r="M60" s="2"/>
      <c r="N60" s="19">
        <f t="shared" si="7"/>
        <v>0</v>
      </c>
      <c r="O60" s="11"/>
      <c r="P60" s="2">
        <v>1362.82</v>
      </c>
      <c r="Q60" s="2"/>
      <c r="R60" s="19">
        <f t="shared" si="8"/>
        <v>4.6875964708708922E-3</v>
      </c>
      <c r="S60" s="2"/>
      <c r="T60" s="2"/>
      <c r="U60" s="2"/>
      <c r="V60" s="19">
        <f t="shared" si="9"/>
        <v>0</v>
      </c>
      <c r="W60" s="2"/>
      <c r="X60" s="2">
        <f t="shared" si="10"/>
        <v>1362.82</v>
      </c>
      <c r="Y60" s="2"/>
      <c r="Z60" s="19">
        <f t="shared" si="11"/>
        <v>0</v>
      </c>
    </row>
    <row r="61" spans="1:26" s="24" customFormat="1" hidden="1" outlineLevel="1" x14ac:dyDescent="0.25">
      <c r="A61" s="46"/>
      <c r="B61" s="11" t="str">
        <f>CONCATENATE("          ", "5081", " - ", "PURCHASES @ COST-ELECTRONICS")</f>
        <v xml:space="preserve">          5081 - PURCHASES @ COST-ELECTRONICS</v>
      </c>
      <c r="C61" s="11"/>
      <c r="D61" s="2">
        <v>167.92</v>
      </c>
      <c r="E61" s="2"/>
      <c r="F61" s="19">
        <f t="shared" si="4"/>
        <v>1.2112998288800949E-3</v>
      </c>
      <c r="G61" s="2"/>
      <c r="H61" s="2"/>
      <c r="I61" s="2"/>
      <c r="J61" s="19">
        <f t="shared" si="5"/>
        <v>0</v>
      </c>
      <c r="K61" s="2"/>
      <c r="L61" s="2">
        <f t="shared" si="6"/>
        <v>167.92</v>
      </c>
      <c r="M61" s="2"/>
      <c r="N61" s="19">
        <f t="shared" si="7"/>
        <v>0</v>
      </c>
      <c r="O61" s="11"/>
      <c r="P61" s="2">
        <v>472.08</v>
      </c>
      <c r="Q61" s="2"/>
      <c r="R61" s="19">
        <f t="shared" si="8"/>
        <v>1.6237805007034906E-3</v>
      </c>
      <c r="S61" s="2"/>
      <c r="T61" s="2"/>
      <c r="U61" s="2"/>
      <c r="V61" s="19">
        <f t="shared" si="9"/>
        <v>0</v>
      </c>
      <c r="W61" s="2"/>
      <c r="X61" s="2">
        <f t="shared" si="10"/>
        <v>472.08</v>
      </c>
      <c r="Y61" s="2"/>
      <c r="Z61" s="19">
        <f t="shared" si="11"/>
        <v>0</v>
      </c>
    </row>
    <row r="62" spans="1:26" s="24" customFormat="1" hidden="1" outlineLevel="1" x14ac:dyDescent="0.25">
      <c r="A62" s="46"/>
      <c r="B62" s="11" t="str">
        <f>CONCATENATE("          ", "5082", " - ", "PURCHASES @ COST-COMPUTER HARD")</f>
        <v xml:space="preserve">          5082 - PURCHASES @ COST-COMPUTER HARD</v>
      </c>
      <c r="C62" s="11"/>
      <c r="D62" s="2">
        <v>19</v>
      </c>
      <c r="E62" s="2"/>
      <c r="F62" s="19">
        <f t="shared" si="4"/>
        <v>1.370575080319307E-4</v>
      </c>
      <c r="G62" s="2"/>
      <c r="H62" s="2"/>
      <c r="I62" s="2"/>
      <c r="J62" s="19">
        <f t="shared" si="5"/>
        <v>0</v>
      </c>
      <c r="K62" s="2"/>
      <c r="L62" s="2">
        <f t="shared" si="6"/>
        <v>19</v>
      </c>
      <c r="M62" s="2"/>
      <c r="N62" s="19">
        <f t="shared" si="7"/>
        <v>0</v>
      </c>
      <c r="O62" s="11"/>
      <c r="P62" s="2">
        <v>149.6</v>
      </c>
      <c r="Q62" s="2"/>
      <c r="R62" s="19">
        <f t="shared" si="8"/>
        <v>5.145686385893115E-4</v>
      </c>
      <c r="S62" s="2"/>
      <c r="T62" s="2"/>
      <c r="U62" s="2"/>
      <c r="V62" s="19">
        <f t="shared" si="9"/>
        <v>0</v>
      </c>
      <c r="W62" s="2"/>
      <c r="X62" s="2">
        <f t="shared" si="10"/>
        <v>149.6</v>
      </c>
      <c r="Y62" s="2"/>
      <c r="Z62" s="19">
        <f t="shared" si="11"/>
        <v>0</v>
      </c>
    </row>
    <row r="63" spans="1:26" s="24" customFormat="1" hidden="1" outlineLevel="1" x14ac:dyDescent="0.25">
      <c r="A63" s="46"/>
      <c r="B63" s="11" t="str">
        <f>CONCATENATE("          ", "5083", " - ", "PURCHASES @ COST-COMPUTER EQUI")</f>
        <v xml:space="preserve">          5083 - PURCHASES @ COST-COMPUTER EQUI</v>
      </c>
      <c r="C63" s="11"/>
      <c r="D63" s="2">
        <v>74.55</v>
      </c>
      <c r="E63" s="2"/>
      <c r="F63" s="19">
        <f t="shared" si="4"/>
        <v>5.377703801989702E-4</v>
      </c>
      <c r="G63" s="2"/>
      <c r="H63" s="2"/>
      <c r="I63" s="2"/>
      <c r="J63" s="19">
        <f t="shared" si="5"/>
        <v>0</v>
      </c>
      <c r="K63" s="2"/>
      <c r="L63" s="2">
        <f t="shared" si="6"/>
        <v>74.55</v>
      </c>
      <c r="M63" s="2"/>
      <c r="N63" s="19">
        <f t="shared" si="7"/>
        <v>0</v>
      </c>
      <c r="O63" s="11"/>
      <c r="P63" s="2">
        <v>116.05</v>
      </c>
      <c r="Q63" s="2"/>
      <c r="R63" s="19">
        <f t="shared" si="8"/>
        <v>3.9916905419979683E-4</v>
      </c>
      <c r="S63" s="2"/>
      <c r="T63" s="2"/>
      <c r="U63" s="2"/>
      <c r="V63" s="19">
        <f t="shared" si="9"/>
        <v>0</v>
      </c>
      <c r="W63" s="2"/>
      <c r="X63" s="2">
        <f t="shared" si="10"/>
        <v>116.05</v>
      </c>
      <c r="Y63" s="2"/>
      <c r="Z63" s="19">
        <f t="shared" si="11"/>
        <v>0</v>
      </c>
    </row>
    <row r="64" spans="1:26" s="24" customFormat="1" hidden="1" outlineLevel="1" x14ac:dyDescent="0.25">
      <c r="A64" s="46"/>
      <c r="B64" s="11" t="str">
        <f>CONCATENATE("          ", "5086", " - ", "PURCHASES @ COST-COMPUTER SUPP")</f>
        <v xml:space="preserve">          5086 - PURCHASES @ COST-COMPUTER SUPP</v>
      </c>
      <c r="C64" s="11"/>
      <c r="D64" s="2">
        <v>29</v>
      </c>
      <c r="E64" s="2"/>
      <c r="F64" s="19">
        <f t="shared" si="4"/>
        <v>2.0919303857505213E-4</v>
      </c>
      <c r="G64" s="2"/>
      <c r="H64" s="2"/>
      <c r="I64" s="2"/>
      <c r="J64" s="19">
        <f t="shared" si="5"/>
        <v>0</v>
      </c>
      <c r="K64" s="2"/>
      <c r="L64" s="2">
        <f t="shared" si="6"/>
        <v>29</v>
      </c>
      <c r="M64" s="2"/>
      <c r="N64" s="19">
        <f t="shared" si="7"/>
        <v>0</v>
      </c>
      <c r="O64" s="11"/>
      <c r="P64" s="2">
        <v>87</v>
      </c>
      <c r="Q64" s="2"/>
      <c r="R64" s="19">
        <f t="shared" si="8"/>
        <v>2.9924780452720656E-4</v>
      </c>
      <c r="S64" s="2"/>
      <c r="T64" s="2"/>
      <c r="U64" s="2"/>
      <c r="V64" s="19">
        <f t="shared" si="9"/>
        <v>0</v>
      </c>
      <c r="W64" s="2"/>
      <c r="X64" s="2">
        <f t="shared" si="10"/>
        <v>87</v>
      </c>
      <c r="Y64" s="2"/>
      <c r="Z64" s="19">
        <f t="shared" si="11"/>
        <v>0</v>
      </c>
    </row>
    <row r="65" spans="1:26" s="24" customFormat="1" hidden="1" outlineLevel="1" x14ac:dyDescent="0.25">
      <c r="A65" s="46"/>
      <c r="B65" s="11" t="str">
        <f>CONCATENATE("          ", "5200", " - ", "PURCHASES OFFSET")</f>
        <v xml:space="preserve">          5200 - PURCHASES OFFSET</v>
      </c>
      <c r="C65" s="11"/>
      <c r="D65" s="2">
        <v>-40649</v>
      </c>
      <c r="E65" s="2"/>
      <c r="F65" s="19">
        <f t="shared" si="4"/>
        <v>-0.2932237181047343</v>
      </c>
      <c r="G65" s="2"/>
      <c r="H65" s="2"/>
      <c r="I65" s="2"/>
      <c r="J65" s="19">
        <f t="shared" si="5"/>
        <v>0</v>
      </c>
      <c r="K65" s="2"/>
      <c r="L65" s="2">
        <f t="shared" si="6"/>
        <v>-40649</v>
      </c>
      <c r="M65" s="2"/>
      <c r="N65" s="19">
        <f t="shared" si="7"/>
        <v>0</v>
      </c>
      <c r="O65" s="11"/>
      <c r="P65" s="2">
        <v>-166604</v>
      </c>
      <c r="Q65" s="2"/>
      <c r="R65" s="19">
        <f t="shared" si="8"/>
        <v>-0.5730561060396635</v>
      </c>
      <c r="S65" s="2"/>
      <c r="T65" s="2"/>
      <c r="U65" s="2"/>
      <c r="V65" s="19">
        <f t="shared" si="9"/>
        <v>0</v>
      </c>
      <c r="W65" s="2"/>
      <c r="X65" s="2">
        <f t="shared" si="10"/>
        <v>-166604</v>
      </c>
      <c r="Y65" s="2"/>
      <c r="Z65" s="19">
        <f t="shared" si="11"/>
        <v>0</v>
      </c>
    </row>
    <row r="66" spans="1:26" s="24" customFormat="1" hidden="1" outlineLevel="1" x14ac:dyDescent="0.25">
      <c r="A66" s="46"/>
      <c r="B66" s="11" t="str">
        <f>CONCATENATE("          ", "5300", " - ", "COG$ OFFSET")</f>
        <v xml:space="preserve">          5300 - COG$ OFFSET</v>
      </c>
      <c r="C66" s="11"/>
      <c r="D66" s="2">
        <v>69926</v>
      </c>
      <c r="E66" s="2"/>
      <c r="F66" s="19">
        <f t="shared" si="4"/>
        <v>0.5044149108758309</v>
      </c>
      <c r="G66" s="2"/>
      <c r="H66" s="2"/>
      <c r="I66" s="2"/>
      <c r="J66" s="19">
        <f t="shared" si="5"/>
        <v>0</v>
      </c>
      <c r="K66" s="2"/>
      <c r="L66" s="2">
        <f t="shared" si="6"/>
        <v>69926</v>
      </c>
      <c r="M66" s="2"/>
      <c r="N66" s="19">
        <f t="shared" si="7"/>
        <v>0</v>
      </c>
      <c r="O66" s="11"/>
      <c r="P66" s="2">
        <v>141953</v>
      </c>
      <c r="Q66" s="2"/>
      <c r="R66" s="19">
        <f t="shared" si="8"/>
        <v>0.48826578846035118</v>
      </c>
      <c r="S66" s="2"/>
      <c r="T66" s="2"/>
      <c r="U66" s="2"/>
      <c r="V66" s="19">
        <f t="shared" si="9"/>
        <v>0</v>
      </c>
      <c r="W66" s="2"/>
      <c r="X66" s="2">
        <f t="shared" si="10"/>
        <v>141953</v>
      </c>
      <c r="Y66" s="2"/>
      <c r="Z66" s="19">
        <f t="shared" si="11"/>
        <v>0</v>
      </c>
    </row>
    <row r="67" spans="1:26" s="24" customFormat="1" hidden="1" outlineLevel="1" x14ac:dyDescent="0.25">
      <c r="A67" s="46"/>
      <c r="B67" s="11" t="str">
        <f>CONCATENATE("          ", "5500", " - ", "FREIGHT-IN")</f>
        <v xml:space="preserve">          5500 - FREIGHT-IN</v>
      </c>
      <c r="C67" s="11"/>
      <c r="D67" s="2">
        <v>-49</v>
      </c>
      <c r="E67" s="2"/>
      <c r="F67" s="19">
        <f t="shared" si="4"/>
        <v>-3.5346409966129495E-4</v>
      </c>
      <c r="G67" s="2"/>
      <c r="H67" s="2"/>
      <c r="I67" s="2"/>
      <c r="J67" s="19">
        <f t="shared" si="5"/>
        <v>0</v>
      </c>
      <c r="K67" s="2"/>
      <c r="L67" s="2">
        <f t="shared" si="6"/>
        <v>-49</v>
      </c>
      <c r="M67" s="2"/>
      <c r="N67" s="19">
        <f t="shared" si="7"/>
        <v>0</v>
      </c>
      <c r="O67" s="11"/>
      <c r="P67" s="2">
        <v>0</v>
      </c>
      <c r="Q67" s="2"/>
      <c r="R67" s="19">
        <f t="shared" si="8"/>
        <v>0</v>
      </c>
      <c r="S67" s="2"/>
      <c r="T67" s="2"/>
      <c r="U67" s="2"/>
      <c r="V67" s="19">
        <f t="shared" si="9"/>
        <v>0</v>
      </c>
      <c r="W67" s="2"/>
      <c r="X67" s="2">
        <f t="shared" si="10"/>
        <v>0</v>
      </c>
      <c r="Y67" s="2"/>
      <c r="Z67" s="19">
        <f t="shared" si="11"/>
        <v>0</v>
      </c>
    </row>
    <row r="68" spans="1:26" s="24" customFormat="1" hidden="1" outlineLevel="1" x14ac:dyDescent="0.25">
      <c r="A68" s="46"/>
      <c r="B68" s="11" t="str">
        <f>CONCATENATE("          ", "5526", " - ", "FREIGHT-IN-WRITING INSTRUMENTS")</f>
        <v xml:space="preserve">          5526 - FREIGHT-IN-WRITING INSTRUMENTS</v>
      </c>
      <c r="C68" s="11"/>
      <c r="D68" s="2"/>
      <c r="E68" s="2"/>
      <c r="F68" s="19">
        <f t="shared" si="4"/>
        <v>0</v>
      </c>
      <c r="G68" s="2"/>
      <c r="H68" s="2"/>
      <c r="I68" s="2"/>
      <c r="J68" s="19">
        <f t="shared" si="5"/>
        <v>0</v>
      </c>
      <c r="K68" s="2"/>
      <c r="L68" s="2">
        <f t="shared" si="6"/>
        <v>0</v>
      </c>
      <c r="M68" s="2"/>
      <c r="N68" s="19">
        <f t="shared" si="7"/>
        <v>0</v>
      </c>
      <c r="O68" s="11"/>
      <c r="P68" s="2">
        <v>56.57</v>
      </c>
      <c r="Q68" s="2"/>
      <c r="R68" s="19">
        <f t="shared" si="8"/>
        <v>1.9457986554142616E-4</v>
      </c>
      <c r="S68" s="2"/>
      <c r="T68" s="2"/>
      <c r="U68" s="2"/>
      <c r="V68" s="19">
        <f t="shared" si="9"/>
        <v>0</v>
      </c>
      <c r="W68" s="2"/>
      <c r="X68" s="2">
        <f t="shared" si="10"/>
        <v>56.57</v>
      </c>
      <c r="Y68" s="2"/>
      <c r="Z68" s="19">
        <f t="shared" si="11"/>
        <v>0</v>
      </c>
    </row>
    <row r="69" spans="1:26" s="24" customFormat="1" hidden="1" outlineLevel="1" x14ac:dyDescent="0.25">
      <c r="A69" s="46"/>
      <c r="B69" s="11" t="str">
        <f>CONCATENATE("          ", "5527", " - ", "FREIGHT-IN-SCHOOL SUPPLIES")</f>
        <v xml:space="preserve">          5527 - FREIGHT-IN-SCHOOL SUPPLIES</v>
      </c>
      <c r="C69" s="11"/>
      <c r="D69" s="2">
        <v>133.38999999999999</v>
      </c>
      <c r="E69" s="2"/>
      <c r="F69" s="19">
        <f t="shared" si="4"/>
        <v>9.6221584191469658E-4</v>
      </c>
      <c r="G69" s="2"/>
      <c r="H69" s="2"/>
      <c r="I69" s="2"/>
      <c r="J69" s="19">
        <f t="shared" si="5"/>
        <v>0</v>
      </c>
      <c r="K69" s="2"/>
      <c r="L69" s="2">
        <f t="shared" si="6"/>
        <v>133.38999999999999</v>
      </c>
      <c r="M69" s="2"/>
      <c r="N69" s="19">
        <f t="shared" si="7"/>
        <v>0</v>
      </c>
      <c r="O69" s="11"/>
      <c r="P69" s="2">
        <v>393.9</v>
      </c>
      <c r="Q69" s="2"/>
      <c r="R69" s="19">
        <f t="shared" si="8"/>
        <v>1.3548702322214558E-3</v>
      </c>
      <c r="S69" s="2"/>
      <c r="T69" s="2"/>
      <c r="U69" s="2"/>
      <c r="V69" s="19">
        <f t="shared" si="9"/>
        <v>0</v>
      </c>
      <c r="W69" s="2"/>
      <c r="X69" s="2">
        <f t="shared" si="10"/>
        <v>393.9</v>
      </c>
      <c r="Y69" s="2"/>
      <c r="Z69" s="19">
        <f t="shared" si="11"/>
        <v>0</v>
      </c>
    </row>
    <row r="70" spans="1:26" s="24" customFormat="1" hidden="1" outlineLevel="1" x14ac:dyDescent="0.25">
      <c r="A70" s="46"/>
      <c r="B70" s="11" t="str">
        <f>CONCATENATE("          ", "5528", " - ", "FREIGHT-IN-ART/TECH")</f>
        <v xml:space="preserve">          5528 - FREIGHT-IN-ART/TECH</v>
      </c>
      <c r="C70" s="11"/>
      <c r="D70" s="2">
        <v>332.97</v>
      </c>
      <c r="E70" s="2"/>
      <c r="F70" s="19">
        <f t="shared" si="4"/>
        <v>2.4018967604943144E-3</v>
      </c>
      <c r="G70" s="2"/>
      <c r="H70" s="2"/>
      <c r="I70" s="2"/>
      <c r="J70" s="19">
        <f t="shared" si="5"/>
        <v>0</v>
      </c>
      <c r="K70" s="2"/>
      <c r="L70" s="2">
        <f t="shared" si="6"/>
        <v>332.97</v>
      </c>
      <c r="M70" s="2"/>
      <c r="N70" s="19">
        <f t="shared" si="7"/>
        <v>0</v>
      </c>
      <c r="O70" s="11"/>
      <c r="P70" s="2">
        <v>632.77</v>
      </c>
      <c r="Q70" s="2"/>
      <c r="R70" s="19">
        <f t="shared" si="8"/>
        <v>2.1764946352951782E-3</v>
      </c>
      <c r="S70" s="2"/>
      <c r="T70" s="2"/>
      <c r="U70" s="2"/>
      <c r="V70" s="19">
        <f t="shared" si="9"/>
        <v>0</v>
      </c>
      <c r="W70" s="2"/>
      <c r="X70" s="2">
        <f t="shared" si="10"/>
        <v>632.77</v>
      </c>
      <c r="Y70" s="2"/>
      <c r="Z70" s="19">
        <f t="shared" si="11"/>
        <v>0</v>
      </c>
    </row>
    <row r="71" spans="1:26" x14ac:dyDescent="0.25">
      <c r="A71" s="9"/>
      <c r="B71" s="10"/>
      <c r="C71" s="10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0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10"/>
      <c r="B72" s="29" t="s">
        <v>6</v>
      </c>
      <c r="C72" s="29"/>
      <c r="D72" s="22">
        <f>D12-D48</f>
        <v>68751.819999999934</v>
      </c>
      <c r="E72" s="14"/>
      <c r="F72" s="20">
        <f>IF(D$12=0,0,D72/D$12)</f>
        <v>0.49594490115051815</v>
      </c>
      <c r="G72" s="14"/>
      <c r="H72" s="22">
        <f>H12-H48</f>
        <v>81061</v>
      </c>
      <c r="I72" s="14"/>
      <c r="J72" s="20">
        <f>IF(H$12=0,0,H72/H$12)</f>
        <v>0.5264624317250427</v>
      </c>
      <c r="K72" s="15"/>
      <c r="L72" s="22">
        <f>+D72-H72</f>
        <v>-12309.180000000066</v>
      </c>
      <c r="M72" s="15"/>
      <c r="N72" s="20">
        <f>IF(H72=0,0,L72/H72)</f>
        <v>-0.15185082838849837</v>
      </c>
      <c r="O72" s="28"/>
      <c r="P72" s="22">
        <f>P12-P48</f>
        <v>148777.04999999999</v>
      </c>
      <c r="Q72" s="14"/>
      <c r="R72" s="20">
        <f>IF(P$12=0,0,P72/P$12)</f>
        <v>0.51173799513257967</v>
      </c>
      <c r="S72" s="14"/>
      <c r="T72" s="22">
        <f>T12-T48</f>
        <v>165594</v>
      </c>
      <c r="U72" s="14"/>
      <c r="V72" s="20">
        <f>IF(T$12=0,0,T72/T$12)</f>
        <v>0.5227941455036812</v>
      </c>
      <c r="W72" s="15"/>
      <c r="X72" s="22">
        <f>+P72-T72</f>
        <v>-16816.950000000012</v>
      </c>
      <c r="Y72" s="15"/>
      <c r="Z72" s="20">
        <f>IF(T72=0,0,X72/T72)</f>
        <v>-0.10155530997499916</v>
      </c>
    </row>
    <row r="73" spans="1:26" x14ac:dyDescent="0.25">
      <c r="A73" s="9"/>
      <c r="B73" s="10"/>
      <c r="C73" s="9"/>
      <c r="D73" s="1"/>
      <c r="E73" s="1"/>
      <c r="F73" s="5"/>
      <c r="G73" s="1"/>
      <c r="H73" s="1"/>
      <c r="I73" s="1"/>
      <c r="J73" s="5"/>
      <c r="K73" s="1"/>
      <c r="L73" s="1"/>
      <c r="M73" s="1"/>
      <c r="N73" s="5"/>
      <c r="O73" s="36"/>
      <c r="P73" s="1"/>
      <c r="Q73" s="1"/>
      <c r="R73" s="5"/>
      <c r="S73" s="1"/>
      <c r="T73" s="1"/>
      <c r="U73" s="1"/>
      <c r="V73" s="5"/>
      <c r="W73" s="1"/>
      <c r="X73" s="1"/>
      <c r="Y73" s="1"/>
      <c r="Z73" s="5"/>
    </row>
    <row r="74" spans="1:26" s="23" customFormat="1" x14ac:dyDescent="0.25">
      <c r="A74" s="10"/>
      <c r="B74" s="28" t="s">
        <v>9</v>
      </c>
      <c r="C74" s="10"/>
      <c r="D74" s="21">
        <f>SUM(OSRRefD22x_0)</f>
        <v>19847.66</v>
      </c>
      <c r="E74" s="21"/>
      <c r="F74" s="33">
        <f t="shared" ref="F74:F84" si="12">IF(D$12=0,0,D74/D$12)</f>
        <v>0.14317214841394893</v>
      </c>
      <c r="G74" s="21"/>
      <c r="H74" s="21">
        <f>SUM(OSRRefH22x_0)</f>
        <v>22707.11367754461</v>
      </c>
      <c r="I74" s="21"/>
      <c r="J74" s="33">
        <f t="shared" ref="J74:J84" si="13">IF(H$12=0,0,H74/H$12)</f>
        <v>0.14747464605836486</v>
      </c>
      <c r="K74" s="4"/>
      <c r="L74" s="21">
        <f t="shared" ref="L74:L84" si="14">+D74-H74</f>
        <v>-2859.4536775446104</v>
      </c>
      <c r="M74" s="4"/>
      <c r="N74" s="33">
        <f t="shared" ref="N74:N84" si="15">IF(H74=0,0,L74/H74)</f>
        <v>-0.1259276594176901</v>
      </c>
      <c r="O74" s="10"/>
      <c r="P74" s="21">
        <f>SUM(OSRRefP22x_0)</f>
        <v>61723.98000000001</v>
      </c>
      <c r="Q74" s="21"/>
      <c r="R74" s="33">
        <f t="shared" ref="R74:R84" si="16">IF(P$12=0,0,P74/P$12)</f>
        <v>0.21230764944461161</v>
      </c>
      <c r="S74" s="21"/>
      <c r="T74" s="21">
        <f>SUM(OSRRefT22x_0)</f>
        <v>63036.38892701998</v>
      </c>
      <c r="U74" s="21"/>
      <c r="V74" s="33">
        <f t="shared" ref="V74:V84" si="17">IF(T$12=0,0,T74/T$12)</f>
        <v>0.19901116637522567</v>
      </c>
      <c r="W74" s="4"/>
      <c r="X74" s="21">
        <f t="shared" ref="X74:X84" si="18">+P74-T74</f>
        <v>-1312.4089270199693</v>
      </c>
      <c r="Y74" s="4"/>
      <c r="Z74" s="33">
        <f t="shared" ref="Z74:Z84" si="19">IF(T74=0,0,X74/T74)</f>
        <v>-2.0819862136129075E-2</v>
      </c>
    </row>
    <row r="75" spans="1:26" s="26" customFormat="1" outlineLevel="1" collapsed="1" x14ac:dyDescent="0.25">
      <c r="A75" s="27"/>
      <c r="B75" s="13" t="str">
        <f>CONCATENATE("     ","*Benefits                                         ")</f>
        <v xml:space="preserve">     *Benefits                                         </v>
      </c>
      <c r="C75" s="13"/>
      <c r="D75" s="1">
        <f>SUM(OSRRefD22_0x_0)</f>
        <v>2406.3900000000003</v>
      </c>
      <c r="E75" s="1"/>
      <c r="F75" s="5">
        <f t="shared" si="12"/>
        <v>1.73586219343662E-2</v>
      </c>
      <c r="G75" s="1"/>
      <c r="H75" s="1">
        <f>SUM(OSRRefH22_0x_0)</f>
        <v>3493.996083698461</v>
      </c>
      <c r="I75" s="1"/>
      <c r="J75" s="5">
        <f t="shared" si="13"/>
        <v>2.26922647717357E-2</v>
      </c>
      <c r="K75" s="1"/>
      <c r="L75" s="1">
        <f t="shared" si="14"/>
        <v>-1087.6060836984607</v>
      </c>
      <c r="M75" s="1"/>
      <c r="N75" s="5">
        <f t="shared" si="15"/>
        <v>-0.31127856404097887</v>
      </c>
      <c r="O75" s="13"/>
      <c r="P75" s="1">
        <f>SUM(OSRRefP22_0x_0)</f>
        <v>9974.76</v>
      </c>
      <c r="Q75" s="1"/>
      <c r="R75" s="5">
        <f t="shared" si="16"/>
        <v>3.4309483111331023E-2</v>
      </c>
      <c r="S75" s="1"/>
      <c r="T75" s="1">
        <f>SUM(OSRRefT22_0x_0)</f>
        <v>10569.584247019997</v>
      </c>
      <c r="U75" s="1"/>
      <c r="V75" s="5">
        <f t="shared" si="17"/>
        <v>3.3369063883655133E-2</v>
      </c>
      <c r="W75" s="1"/>
      <c r="X75" s="1">
        <f t="shared" si="18"/>
        <v>-594.82424701999662</v>
      </c>
      <c r="Y75" s="1"/>
      <c r="Z75" s="5">
        <f t="shared" si="19"/>
        <v>-5.627697675882589E-2</v>
      </c>
    </row>
    <row r="76" spans="1:26" s="24" customFormat="1" hidden="1" outlineLevel="2" x14ac:dyDescent="0.25">
      <c r="A76" s="25"/>
      <c r="B76" s="11" t="str">
        <f>CONCATENATE("          ", "6111", " - ", "F.I.C.A.")</f>
        <v xml:space="preserve">          6111 - F.I.C.A.</v>
      </c>
      <c r="C76" s="11"/>
      <c r="D76" s="7">
        <v>291.06</v>
      </c>
      <c r="E76" s="2"/>
      <c r="F76" s="6">
        <f t="shared" si="12"/>
        <v>2.0995767519880922E-3</v>
      </c>
      <c r="G76" s="2"/>
      <c r="H76" s="7">
        <v>852.82333434461498</v>
      </c>
      <c r="I76" s="2"/>
      <c r="J76" s="6">
        <f t="shared" si="13"/>
        <v>5.5387849450528014E-3</v>
      </c>
      <c r="K76" s="2"/>
      <c r="L76" s="7">
        <f t="shared" si="14"/>
        <v>-561.76333434461503</v>
      </c>
      <c r="M76" s="2"/>
      <c r="N76" s="6">
        <f t="shared" si="15"/>
        <v>-0.65871008885600413</v>
      </c>
      <c r="O76" s="11"/>
      <c r="P76" s="7">
        <v>1978.31</v>
      </c>
      <c r="Q76" s="2"/>
      <c r="R76" s="6">
        <f t="shared" si="16"/>
        <v>6.8046543008530806E-3</v>
      </c>
      <c r="S76" s="2"/>
      <c r="T76" s="7">
        <v>2764.788136619999</v>
      </c>
      <c r="U76" s="2"/>
      <c r="V76" s="6">
        <f t="shared" si="17"/>
        <v>8.7286680156465051E-3</v>
      </c>
      <c r="W76" s="2"/>
      <c r="X76" s="7">
        <f t="shared" si="18"/>
        <v>-786.47813661999908</v>
      </c>
      <c r="Y76" s="2"/>
      <c r="Z76" s="6">
        <f t="shared" si="19"/>
        <v>-0.28446235217917354</v>
      </c>
    </row>
    <row r="77" spans="1:26" s="24" customFormat="1" hidden="1" outlineLevel="2" x14ac:dyDescent="0.25">
      <c r="A77" s="25"/>
      <c r="B77" s="11" t="str">
        <f>CONCATENATE("          ", "6112", " - ", "COMPENSATION INSURANCE")</f>
        <v xml:space="preserve">          6112 - COMPENSATION INSURANCE</v>
      </c>
      <c r="C77" s="11"/>
      <c r="D77" s="7">
        <v>297.19</v>
      </c>
      <c r="E77" s="2"/>
      <c r="F77" s="6">
        <f t="shared" si="12"/>
        <v>2.1437958322110253E-3</v>
      </c>
      <c r="G77" s="2"/>
      <c r="H77" s="7">
        <v>304.14055030769197</v>
      </c>
      <c r="I77" s="2"/>
      <c r="J77" s="6">
        <f t="shared" si="13"/>
        <v>1.9752849545549671E-3</v>
      </c>
      <c r="K77" s="2"/>
      <c r="L77" s="7">
        <f t="shared" si="14"/>
        <v>-6.9505503076919695</v>
      </c>
      <c r="M77" s="2"/>
      <c r="N77" s="6">
        <f t="shared" si="15"/>
        <v>-2.2853086511023468E-2</v>
      </c>
      <c r="O77" s="11"/>
      <c r="P77" s="7">
        <v>715.69</v>
      </c>
      <c r="Q77" s="2"/>
      <c r="R77" s="6">
        <f t="shared" si="16"/>
        <v>2.4617087496790402E-3</v>
      </c>
      <c r="S77" s="2"/>
      <c r="T77" s="7">
        <v>811.22597599999892</v>
      </c>
      <c r="U77" s="2"/>
      <c r="V77" s="6">
        <f t="shared" si="17"/>
        <v>2.561108439516584E-3</v>
      </c>
      <c r="W77" s="2"/>
      <c r="X77" s="7">
        <f t="shared" si="18"/>
        <v>-95.535975999998868</v>
      </c>
      <c r="Y77" s="2"/>
      <c r="Z77" s="6">
        <f t="shared" si="19"/>
        <v>-0.11776740245802854</v>
      </c>
    </row>
    <row r="78" spans="1:26" s="24" customFormat="1" hidden="1" outlineLevel="2" x14ac:dyDescent="0.25">
      <c r="A78" s="25"/>
      <c r="B78" s="11" t="str">
        <f>CONCATENATE("          ", "6113", " - ", "GROUP INSURANCE")</f>
        <v xml:space="preserve">          6113 - GROUP INSURANCE</v>
      </c>
      <c r="C78" s="11"/>
      <c r="D78" s="7">
        <v>530.22</v>
      </c>
      <c r="E78" s="2"/>
      <c r="F78" s="6">
        <f t="shared" si="12"/>
        <v>3.8247701004573841E-3</v>
      </c>
      <c r="G78" s="2"/>
      <c r="H78" s="7">
        <v>1288.05</v>
      </c>
      <c r="I78" s="2"/>
      <c r="J78" s="6">
        <f t="shared" si="13"/>
        <v>8.3654277048573443E-3</v>
      </c>
      <c r="K78" s="2"/>
      <c r="L78" s="7">
        <f t="shared" si="14"/>
        <v>-757.82999999999993</v>
      </c>
      <c r="M78" s="2"/>
      <c r="N78" s="6">
        <f t="shared" si="15"/>
        <v>-0.58835448934435775</v>
      </c>
      <c r="O78" s="11"/>
      <c r="P78" s="7">
        <v>3355.74</v>
      </c>
      <c r="Q78" s="2"/>
      <c r="R78" s="6">
        <f t="shared" si="16"/>
        <v>1.1542503765104921E-2</v>
      </c>
      <c r="S78" s="2"/>
      <c r="T78" s="7">
        <v>3864.15</v>
      </c>
      <c r="U78" s="2"/>
      <c r="V78" s="6">
        <f t="shared" si="17"/>
        <v>1.2199445616073345E-2</v>
      </c>
      <c r="W78" s="2"/>
      <c r="X78" s="7">
        <f t="shared" si="18"/>
        <v>-508.41000000000031</v>
      </c>
      <c r="Y78" s="2"/>
      <c r="Z78" s="6">
        <f t="shared" si="19"/>
        <v>-0.13157097938744622</v>
      </c>
    </row>
    <row r="79" spans="1:26" s="24" customFormat="1" hidden="1" outlineLevel="2" x14ac:dyDescent="0.25">
      <c r="A79" s="25"/>
      <c r="B79" s="11" t="str">
        <f>CONCATENATE("          ", "6114", " - ", "STATE UNEMPLOYMENT INSURANCE")</f>
        <v xml:space="preserve">          6114 - STATE UNEMPLOYMENT INSURANCE</v>
      </c>
      <c r="C79" s="11"/>
      <c r="D79" s="7">
        <v>40.67</v>
      </c>
      <c r="E79" s="2"/>
      <c r="F79" s="6">
        <f t="shared" si="12"/>
        <v>2.9337520271887485E-4</v>
      </c>
      <c r="G79" s="2"/>
      <c r="H79" s="7">
        <v>41.619233199999996</v>
      </c>
      <c r="I79" s="2"/>
      <c r="J79" s="6">
        <f t="shared" si="13"/>
        <v>2.7030215167594317E-4</v>
      </c>
      <c r="K79" s="2"/>
      <c r="L79" s="7">
        <f t="shared" si="14"/>
        <v>-0.94923319999999478</v>
      </c>
      <c r="M79" s="2"/>
      <c r="N79" s="6">
        <f t="shared" si="15"/>
        <v>-2.2807561000426958E-2</v>
      </c>
      <c r="O79" s="11"/>
      <c r="P79" s="7">
        <v>97.94</v>
      </c>
      <c r="Q79" s="2"/>
      <c r="R79" s="6">
        <f t="shared" si="16"/>
        <v>3.3687735603901855E-4</v>
      </c>
      <c r="S79" s="2"/>
      <c r="T79" s="7">
        <v>111.0098704</v>
      </c>
      <c r="U79" s="2"/>
      <c r="V79" s="6">
        <f t="shared" si="17"/>
        <v>3.5046747067069088E-4</v>
      </c>
      <c r="W79" s="2"/>
      <c r="X79" s="7">
        <f t="shared" si="18"/>
        <v>-13.069870399999999</v>
      </c>
      <c r="Y79" s="2"/>
      <c r="Z79" s="6">
        <f t="shared" si="19"/>
        <v>-0.1177361107882169</v>
      </c>
    </row>
    <row r="80" spans="1:26" s="24" customFormat="1" hidden="1" outlineLevel="2" x14ac:dyDescent="0.25">
      <c r="A80" s="25"/>
      <c r="B80" s="11" t="str">
        <f>CONCATENATE("          ", "6115", " - ", "P.E.R.S.")</f>
        <v xml:space="preserve">          6115 - P.E.R.S.</v>
      </c>
      <c r="C80" s="11"/>
      <c r="D80" s="7">
        <v>265.76</v>
      </c>
      <c r="E80" s="2"/>
      <c r="F80" s="6">
        <f t="shared" si="12"/>
        <v>1.9170738597139949E-3</v>
      </c>
      <c r="G80" s="2"/>
      <c r="H80" s="7">
        <v>451.12567507692296</v>
      </c>
      <c r="I80" s="2"/>
      <c r="J80" s="6">
        <f t="shared" si="13"/>
        <v>2.9299011844734009E-3</v>
      </c>
      <c r="K80" s="2"/>
      <c r="L80" s="7">
        <f t="shared" si="14"/>
        <v>-185.36567507692297</v>
      </c>
      <c r="M80" s="2"/>
      <c r="N80" s="6">
        <f t="shared" si="15"/>
        <v>-0.41089586631334085</v>
      </c>
      <c r="O80" s="11"/>
      <c r="P80" s="7">
        <v>1034.9000000000001</v>
      </c>
      <c r="Q80" s="2"/>
      <c r="R80" s="6">
        <f t="shared" si="16"/>
        <v>3.5596730218989208E-3</v>
      </c>
      <c r="S80" s="2"/>
      <c r="T80" s="7">
        <v>1466.1584439999999</v>
      </c>
      <c r="U80" s="2"/>
      <c r="V80" s="6">
        <f t="shared" si="17"/>
        <v>4.6287851667571695E-3</v>
      </c>
      <c r="W80" s="2"/>
      <c r="X80" s="7">
        <f t="shared" si="18"/>
        <v>-431.25844399999983</v>
      </c>
      <c r="Y80" s="2"/>
      <c r="Z80" s="6">
        <f t="shared" si="19"/>
        <v>-0.29414177285193865</v>
      </c>
    </row>
    <row r="81" spans="1:26" s="24" customFormat="1" hidden="1" outlineLevel="2" x14ac:dyDescent="0.25">
      <c r="A81" s="25"/>
      <c r="B81" s="11" t="str">
        <f>CONCATENATE("          ", "6116", " - ", "EDUCATIONAL BENEFITS")</f>
        <v xml:space="preserve">          6116 - EDUCATIONAL BENEFITS</v>
      </c>
      <c r="C81" s="11"/>
      <c r="D81" s="7"/>
      <c r="E81" s="2"/>
      <c r="F81" s="6">
        <f t="shared" si="12"/>
        <v>0</v>
      </c>
      <c r="G81" s="2"/>
      <c r="H81" s="7">
        <v>0</v>
      </c>
      <c r="I81" s="2"/>
      <c r="J81" s="6">
        <f t="shared" si="13"/>
        <v>0</v>
      </c>
      <c r="K81" s="2"/>
      <c r="L81" s="7">
        <f t="shared" si="14"/>
        <v>0</v>
      </c>
      <c r="M81" s="2"/>
      <c r="N81" s="6">
        <f t="shared" si="15"/>
        <v>0</v>
      </c>
      <c r="O81" s="11"/>
      <c r="P81" s="7"/>
      <c r="Q81" s="2"/>
      <c r="R81" s="6">
        <f t="shared" si="16"/>
        <v>0</v>
      </c>
      <c r="S81" s="2"/>
      <c r="T81" s="7">
        <v>0</v>
      </c>
      <c r="U81" s="2"/>
      <c r="V81" s="6">
        <f t="shared" si="17"/>
        <v>0</v>
      </c>
      <c r="W81" s="2"/>
      <c r="X81" s="7">
        <f t="shared" si="18"/>
        <v>0</v>
      </c>
      <c r="Y81" s="2"/>
      <c r="Z81" s="6">
        <f t="shared" si="19"/>
        <v>0</v>
      </c>
    </row>
    <row r="82" spans="1:26" s="24" customFormat="1" hidden="1" outlineLevel="2" x14ac:dyDescent="0.25">
      <c r="A82" s="25"/>
      <c r="B82" s="11" t="str">
        <f>CONCATENATE("          ", "6118", " - ", "VACATION")</f>
        <v xml:space="preserve">          6118 - VACATION</v>
      </c>
      <c r="C82" s="11"/>
      <c r="D82" s="7">
        <v>378.72</v>
      </c>
      <c r="E82" s="2"/>
      <c r="F82" s="6">
        <f t="shared" si="12"/>
        <v>2.7319168127290946E-3</v>
      </c>
      <c r="G82" s="2"/>
      <c r="H82" s="7">
        <v>202.954369230769</v>
      </c>
      <c r="I82" s="2"/>
      <c r="J82" s="6">
        <f t="shared" si="13"/>
        <v>1.3181166128527016E-3</v>
      </c>
      <c r="K82" s="2"/>
      <c r="L82" s="7">
        <f t="shared" si="14"/>
        <v>175.76563076923102</v>
      </c>
      <c r="M82" s="2"/>
      <c r="N82" s="6">
        <f t="shared" si="15"/>
        <v>0.86603521488801727</v>
      </c>
      <c r="O82" s="11"/>
      <c r="P82" s="7">
        <v>1175.27</v>
      </c>
      <c r="Q82" s="2"/>
      <c r="R82" s="6">
        <f t="shared" si="16"/>
        <v>4.0424938761688513E-3</v>
      </c>
      <c r="S82" s="2"/>
      <c r="T82" s="7">
        <v>659.60170000000005</v>
      </c>
      <c r="U82" s="2"/>
      <c r="V82" s="6">
        <f t="shared" si="17"/>
        <v>2.0824178842486774E-3</v>
      </c>
      <c r="W82" s="2"/>
      <c r="X82" s="7">
        <f t="shared" si="18"/>
        <v>515.66829999999993</v>
      </c>
      <c r="Y82" s="2"/>
      <c r="Z82" s="6">
        <f t="shared" si="19"/>
        <v>0.7817874029130002</v>
      </c>
    </row>
    <row r="83" spans="1:26" s="24" customFormat="1" hidden="1" outlineLevel="2" x14ac:dyDescent="0.25">
      <c r="A83" s="25"/>
      <c r="B83" s="11" t="str">
        <f>CONCATENATE("          ", "6119", " - ", "SICK LEAVE")</f>
        <v xml:space="preserve">          6119 - SICK LEAVE</v>
      </c>
      <c r="C83" s="11"/>
      <c r="D83" s="7">
        <v>428.85</v>
      </c>
      <c r="E83" s="2"/>
      <c r="F83" s="6">
        <f t="shared" si="12"/>
        <v>3.0935322273417626E-3</v>
      </c>
      <c r="G83" s="2"/>
      <c r="H83" s="7">
        <v>353.28292153846201</v>
      </c>
      <c r="I83" s="2"/>
      <c r="J83" s="6">
        <f t="shared" si="13"/>
        <v>2.2944472182685406E-3</v>
      </c>
      <c r="K83" s="2"/>
      <c r="L83" s="7">
        <f t="shared" si="14"/>
        <v>75.567078461538017</v>
      </c>
      <c r="M83" s="2"/>
      <c r="N83" s="6">
        <f t="shared" si="15"/>
        <v>0.21389960808878503</v>
      </c>
      <c r="O83" s="11"/>
      <c r="P83" s="7">
        <v>1144.26</v>
      </c>
      <c r="Q83" s="2"/>
      <c r="R83" s="6">
        <f t="shared" si="16"/>
        <v>3.9358309518195559E-3</v>
      </c>
      <c r="S83" s="2"/>
      <c r="T83" s="7">
        <v>892.65012000000104</v>
      </c>
      <c r="U83" s="2"/>
      <c r="V83" s="6">
        <f t="shared" si="17"/>
        <v>2.8181712907421707E-3</v>
      </c>
      <c r="W83" s="2"/>
      <c r="X83" s="7">
        <f t="shared" si="18"/>
        <v>251.60987999999895</v>
      </c>
      <c r="Y83" s="2"/>
      <c r="Z83" s="6">
        <f t="shared" si="19"/>
        <v>0.28186842119059891</v>
      </c>
    </row>
    <row r="84" spans="1:26" s="24" customFormat="1" hidden="1" outlineLevel="2" x14ac:dyDescent="0.25">
      <c r="A84" s="25"/>
      <c r="B84" s="11" t="str">
        <f>CONCATENATE("          ", "6156", " - ", "EMPLOYEE MEALS")</f>
        <v xml:space="preserve">          6156 - EMPLOYEE MEALS</v>
      </c>
      <c r="C84" s="11"/>
      <c r="D84" s="7">
        <v>173.92</v>
      </c>
      <c r="E84" s="2"/>
      <c r="F84" s="6">
        <f t="shared" si="12"/>
        <v>1.2545811472059677E-3</v>
      </c>
      <c r="G84" s="2"/>
      <c r="H84" s="7"/>
      <c r="I84" s="2"/>
      <c r="J84" s="6">
        <f t="shared" si="13"/>
        <v>0</v>
      </c>
      <c r="K84" s="2"/>
      <c r="L84" s="7">
        <f t="shared" si="14"/>
        <v>173.92</v>
      </c>
      <c r="M84" s="2"/>
      <c r="N84" s="6">
        <f t="shared" si="15"/>
        <v>0</v>
      </c>
      <c r="O84" s="11"/>
      <c r="P84" s="7">
        <v>472.65</v>
      </c>
      <c r="Q84" s="2"/>
      <c r="R84" s="6">
        <f t="shared" si="16"/>
        <v>1.6257410897676343E-3</v>
      </c>
      <c r="S84" s="2"/>
      <c r="T84" s="7"/>
      <c r="U84" s="2"/>
      <c r="V84" s="6">
        <f t="shared" si="17"/>
        <v>0</v>
      </c>
      <c r="W84" s="2"/>
      <c r="X84" s="7">
        <f t="shared" si="18"/>
        <v>472.65</v>
      </c>
      <c r="Y84" s="2"/>
      <c r="Z84" s="6">
        <f t="shared" si="19"/>
        <v>0</v>
      </c>
    </row>
    <row r="85" spans="1:26" s="26" customFormat="1" outlineLevel="1" collapsed="1" x14ac:dyDescent="0.25">
      <c r="A85" s="27"/>
      <c r="B85" s="13" t="str">
        <f>CONCATENATE("     ","*Payroll                                          ")</f>
        <v xml:space="preserve">     *Payroll                                          </v>
      </c>
      <c r="C85" s="13"/>
      <c r="D85" s="1">
        <f>SUM(OSRRefD22_1x_0)</f>
        <v>15197.490000000002</v>
      </c>
      <c r="E85" s="1"/>
      <c r="F85" s="5">
        <f t="shared" ref="F85:F95" si="20">IF(D$12=0,0,D85/D$12)</f>
        <v>0.10962790040737826</v>
      </c>
      <c r="G85" s="1"/>
      <c r="H85" s="1">
        <f>SUM(OSRRefH22_1x_0)</f>
        <v>15648.117593846149</v>
      </c>
      <c r="I85" s="1"/>
      <c r="J85" s="5">
        <f t="shared" ref="J85:J95" si="21">IF(H$12=0,0,H85/H$12)</f>
        <v>0.10162897127318522</v>
      </c>
      <c r="K85" s="1"/>
      <c r="L85" s="1">
        <f t="shared" ref="L85:L95" si="22">+D85-H85</f>
        <v>-450.62759384614765</v>
      </c>
      <c r="M85" s="1"/>
      <c r="N85" s="5">
        <f t="shared" ref="N85:N95" si="23">IF(H85=0,0,L85/H85)</f>
        <v>-2.8797559268302249E-2</v>
      </c>
      <c r="O85" s="13"/>
      <c r="P85" s="1">
        <f>SUM(OSRRefP22_1x_0)</f>
        <v>41548.920000000006</v>
      </c>
      <c r="Q85" s="1"/>
      <c r="R85" s="5">
        <f t="shared" ref="R85:R95" si="24">IF(P$12=0,0,P85/P$12)</f>
        <v>0.14291290908593732</v>
      </c>
      <c r="S85" s="1"/>
      <c r="T85" s="1">
        <f>SUM(OSRRefT22_1x_0)</f>
        <v>41771.804679999987</v>
      </c>
      <c r="U85" s="1"/>
      <c r="V85" s="5">
        <f t="shared" ref="V85:V95" si="25">IF(T$12=0,0,T85/T$12)</f>
        <v>0.13187709055779354</v>
      </c>
      <c r="W85" s="1"/>
      <c r="X85" s="1">
        <f t="shared" ref="X85:X95" si="26">+P85-T85</f>
        <v>-222.88467999998102</v>
      </c>
      <c r="Y85" s="1"/>
      <c r="Z85" s="5">
        <f t="shared" ref="Z85:Z95" si="27">IF(T85=0,0,X85/T85)</f>
        <v>-5.3357685095826481E-3</v>
      </c>
    </row>
    <row r="86" spans="1:26" s="24" customFormat="1" hidden="1" outlineLevel="2" x14ac:dyDescent="0.25">
      <c r="A86" s="25"/>
      <c r="B86" s="11" t="str">
        <f>CONCATENATE("          ", "6001", " - ", "ADMINISTRATIVE SALARIES")</f>
        <v xml:space="preserve">          6001 - ADMINISTRATIVE SALARIES</v>
      </c>
      <c r="C86" s="11"/>
      <c r="D86" s="7"/>
      <c r="E86" s="2"/>
      <c r="F86" s="6">
        <f t="shared" si="20"/>
        <v>0</v>
      </c>
      <c r="G86" s="2"/>
      <c r="H86" s="7">
        <v>5063.3075938461498</v>
      </c>
      <c r="I86" s="2"/>
      <c r="J86" s="6">
        <f t="shared" si="21"/>
        <v>3.2884386183591602E-2</v>
      </c>
      <c r="K86" s="2"/>
      <c r="L86" s="7">
        <f t="shared" si="22"/>
        <v>-5063.3075938461498</v>
      </c>
      <c r="M86" s="2"/>
      <c r="N86" s="6">
        <f t="shared" si="23"/>
        <v>-1</v>
      </c>
      <c r="O86" s="11"/>
      <c r="P86" s="7"/>
      <c r="Q86" s="2"/>
      <c r="R86" s="6">
        <f t="shared" si="24"/>
        <v>0</v>
      </c>
      <c r="S86" s="2"/>
      <c r="T86" s="7">
        <v>16455.74967999999</v>
      </c>
      <c r="U86" s="2"/>
      <c r="V86" s="6">
        <f t="shared" si="25"/>
        <v>5.195218179751724E-2</v>
      </c>
      <c r="W86" s="2"/>
      <c r="X86" s="7">
        <f t="shared" si="26"/>
        <v>-16455.74967999999</v>
      </c>
      <c r="Y86" s="2"/>
      <c r="Z86" s="6">
        <f t="shared" si="27"/>
        <v>-1</v>
      </c>
    </row>
    <row r="87" spans="1:26" s="24" customFormat="1" hidden="1" outlineLevel="2" x14ac:dyDescent="0.25">
      <c r="A87" s="25"/>
      <c r="B87" s="11" t="str">
        <f>CONCATENATE("          ", "6002", " - ", "STAFF SALARIES")</f>
        <v xml:space="preserve">          6002 - STAFF SALARIES</v>
      </c>
      <c r="C87" s="11"/>
      <c r="D87" s="7">
        <v>3378.8</v>
      </c>
      <c r="E87" s="2"/>
      <c r="F87" s="6">
        <f t="shared" si="20"/>
        <v>2.4373153059909867E-2</v>
      </c>
      <c r="G87" s="2"/>
      <c r="H87" s="7">
        <v>0</v>
      </c>
      <c r="I87" s="2"/>
      <c r="J87" s="6">
        <f t="shared" si="21"/>
        <v>0</v>
      </c>
      <c r="K87" s="2"/>
      <c r="L87" s="7">
        <f t="shared" si="22"/>
        <v>3378.8</v>
      </c>
      <c r="M87" s="2"/>
      <c r="N87" s="6">
        <f t="shared" si="23"/>
        <v>0</v>
      </c>
      <c r="O87" s="11"/>
      <c r="P87" s="7">
        <v>15491.910000000002</v>
      </c>
      <c r="Q87" s="2"/>
      <c r="R87" s="6">
        <f t="shared" si="24"/>
        <v>5.3286437418771003E-2</v>
      </c>
      <c r="S87" s="2"/>
      <c r="T87" s="7">
        <v>0</v>
      </c>
      <c r="U87" s="2"/>
      <c r="V87" s="6">
        <f t="shared" si="25"/>
        <v>0</v>
      </c>
      <c r="W87" s="2"/>
      <c r="X87" s="7">
        <f t="shared" si="26"/>
        <v>15491.910000000002</v>
      </c>
      <c r="Y87" s="2"/>
      <c r="Z87" s="6">
        <f t="shared" si="27"/>
        <v>0</v>
      </c>
    </row>
    <row r="88" spans="1:26" s="24" customFormat="1" hidden="1" outlineLevel="2" x14ac:dyDescent="0.25">
      <c r="A88" s="25"/>
      <c r="B88" s="11" t="str">
        <f>CONCATENATE("          ", "6003", " - ", "STAFF HOURLY-9 MONTH")</f>
        <v xml:space="preserve">          6003 - STAFF HOURLY-9 MONTH</v>
      </c>
      <c r="C88" s="11"/>
      <c r="D88" s="7"/>
      <c r="E88" s="2"/>
      <c r="F88" s="6">
        <f t="shared" si="20"/>
        <v>0</v>
      </c>
      <c r="G88" s="2"/>
      <c r="H88" s="7">
        <v>0</v>
      </c>
      <c r="I88" s="2"/>
      <c r="J88" s="6">
        <f t="shared" si="21"/>
        <v>0</v>
      </c>
      <c r="K88" s="2"/>
      <c r="L88" s="7">
        <f t="shared" si="22"/>
        <v>0</v>
      </c>
      <c r="M88" s="2"/>
      <c r="N88" s="6">
        <f t="shared" si="23"/>
        <v>0</v>
      </c>
      <c r="O88" s="11"/>
      <c r="P88" s="7"/>
      <c r="Q88" s="2"/>
      <c r="R88" s="6">
        <f t="shared" si="24"/>
        <v>0</v>
      </c>
      <c r="S88" s="2"/>
      <c r="T88" s="7">
        <v>0</v>
      </c>
      <c r="U88" s="2"/>
      <c r="V88" s="6">
        <f t="shared" si="25"/>
        <v>0</v>
      </c>
      <c r="W88" s="2"/>
      <c r="X88" s="7">
        <f t="shared" si="26"/>
        <v>0</v>
      </c>
      <c r="Y88" s="2"/>
      <c r="Z88" s="6">
        <f t="shared" si="27"/>
        <v>0</v>
      </c>
    </row>
    <row r="89" spans="1:26" s="24" customFormat="1" hidden="1" outlineLevel="2" x14ac:dyDescent="0.25">
      <c r="A89" s="25"/>
      <c r="B89" s="11" t="str">
        <f>CONCATENATE("          ", "6004", " - ", "STAFF HOURLY")</f>
        <v xml:space="preserve">          6004 - STAFF HOURLY</v>
      </c>
      <c r="C89" s="11"/>
      <c r="D89" s="7"/>
      <c r="E89" s="2"/>
      <c r="F89" s="6">
        <f t="shared" si="20"/>
        <v>0</v>
      </c>
      <c r="G89" s="2"/>
      <c r="H89" s="7">
        <v>0</v>
      </c>
      <c r="I89" s="2"/>
      <c r="J89" s="6">
        <f t="shared" si="21"/>
        <v>0</v>
      </c>
      <c r="K89" s="2"/>
      <c r="L89" s="7">
        <f t="shared" si="22"/>
        <v>0</v>
      </c>
      <c r="M89" s="2"/>
      <c r="N89" s="6">
        <f t="shared" si="23"/>
        <v>0</v>
      </c>
      <c r="O89" s="11"/>
      <c r="P89" s="7"/>
      <c r="Q89" s="2"/>
      <c r="R89" s="6">
        <f t="shared" si="24"/>
        <v>0</v>
      </c>
      <c r="S89" s="2"/>
      <c r="T89" s="7">
        <v>0</v>
      </c>
      <c r="U89" s="2"/>
      <c r="V89" s="6">
        <f t="shared" si="25"/>
        <v>0</v>
      </c>
      <c r="W89" s="2"/>
      <c r="X89" s="7">
        <f t="shared" si="26"/>
        <v>0</v>
      </c>
      <c r="Y89" s="2"/>
      <c r="Z89" s="6">
        <f t="shared" si="27"/>
        <v>0</v>
      </c>
    </row>
    <row r="90" spans="1:26" s="24" customFormat="1" hidden="1" outlineLevel="2" x14ac:dyDescent="0.25">
      <c r="A90" s="25"/>
      <c r="B90" s="11" t="str">
        <f>CONCATENATE("          ", "6005", " - ", "TEMPORARY WAGES-HOURLY")</f>
        <v xml:space="preserve">          6005 - TEMPORARY WAGES-HOURLY</v>
      </c>
      <c r="C90" s="11"/>
      <c r="D90" s="7"/>
      <c r="E90" s="2"/>
      <c r="F90" s="6">
        <f t="shared" si="20"/>
        <v>0</v>
      </c>
      <c r="G90" s="2"/>
      <c r="H90" s="7">
        <v>0</v>
      </c>
      <c r="I90" s="2"/>
      <c r="J90" s="6">
        <f t="shared" si="21"/>
        <v>0</v>
      </c>
      <c r="K90" s="2"/>
      <c r="L90" s="7">
        <f t="shared" si="22"/>
        <v>0</v>
      </c>
      <c r="M90" s="2"/>
      <c r="N90" s="6">
        <f t="shared" si="23"/>
        <v>0</v>
      </c>
      <c r="O90" s="11"/>
      <c r="P90" s="7"/>
      <c r="Q90" s="2"/>
      <c r="R90" s="6">
        <f t="shared" si="24"/>
        <v>0</v>
      </c>
      <c r="S90" s="2"/>
      <c r="T90" s="7">
        <v>0</v>
      </c>
      <c r="U90" s="2"/>
      <c r="V90" s="6">
        <f t="shared" si="25"/>
        <v>0</v>
      </c>
      <c r="W90" s="2"/>
      <c r="X90" s="7">
        <f t="shared" si="26"/>
        <v>0</v>
      </c>
      <c r="Y90" s="2"/>
      <c r="Z90" s="6">
        <f t="shared" si="27"/>
        <v>0</v>
      </c>
    </row>
    <row r="91" spans="1:26" s="24" customFormat="1" hidden="1" outlineLevel="2" x14ac:dyDescent="0.25">
      <c r="A91" s="25"/>
      <c r="B91" s="11" t="str">
        <f>CONCATENATE("          ", "6006", " - ", "TEMPORARY PART TIME")</f>
        <v xml:space="preserve">          6006 - TEMPORARY PART TIME</v>
      </c>
      <c r="C91" s="11"/>
      <c r="D91" s="7"/>
      <c r="E91" s="2"/>
      <c r="F91" s="6">
        <f t="shared" si="20"/>
        <v>0</v>
      </c>
      <c r="G91" s="2"/>
      <c r="H91" s="7">
        <v>0</v>
      </c>
      <c r="I91" s="2"/>
      <c r="J91" s="6">
        <f t="shared" si="21"/>
        <v>0</v>
      </c>
      <c r="K91" s="2"/>
      <c r="L91" s="7">
        <f t="shared" si="22"/>
        <v>0</v>
      </c>
      <c r="M91" s="2"/>
      <c r="N91" s="6">
        <f t="shared" si="23"/>
        <v>0</v>
      </c>
      <c r="O91" s="11"/>
      <c r="P91" s="7">
        <v>25.5</v>
      </c>
      <c r="Q91" s="2"/>
      <c r="R91" s="6">
        <f t="shared" si="24"/>
        <v>8.771056339590538E-5</v>
      </c>
      <c r="S91" s="2"/>
      <c r="T91" s="7">
        <v>0</v>
      </c>
      <c r="U91" s="2"/>
      <c r="V91" s="6">
        <f t="shared" si="25"/>
        <v>0</v>
      </c>
      <c r="W91" s="2"/>
      <c r="X91" s="7">
        <f t="shared" si="26"/>
        <v>25.5</v>
      </c>
      <c r="Y91" s="2"/>
      <c r="Z91" s="6">
        <f t="shared" si="27"/>
        <v>0</v>
      </c>
    </row>
    <row r="92" spans="1:26" s="24" customFormat="1" hidden="1" outlineLevel="2" x14ac:dyDescent="0.25">
      <c r="A92" s="25"/>
      <c r="B92" s="11" t="str">
        <f>CONCATENATE("          ", "6007", " - ", "STUDENT HOURLY")</f>
        <v xml:space="preserve">          6007 - STUDENT HOURLY</v>
      </c>
      <c r="C92" s="11"/>
      <c r="D92" s="7">
        <v>11818.69</v>
      </c>
      <c r="E92" s="2"/>
      <c r="F92" s="6">
        <f t="shared" si="20"/>
        <v>8.5254747347468379E-2</v>
      </c>
      <c r="G92" s="2"/>
      <c r="H92" s="7">
        <v>5721.06</v>
      </c>
      <c r="I92" s="2"/>
      <c r="J92" s="6">
        <f t="shared" si="21"/>
        <v>3.7156254668026217E-2</v>
      </c>
      <c r="K92" s="2"/>
      <c r="L92" s="7">
        <f t="shared" si="22"/>
        <v>6097.63</v>
      </c>
      <c r="M92" s="2"/>
      <c r="N92" s="6">
        <f t="shared" si="23"/>
        <v>1.0658217183528926</v>
      </c>
      <c r="O92" s="11"/>
      <c r="P92" s="7">
        <v>26031.510000000002</v>
      </c>
      <c r="Q92" s="2"/>
      <c r="R92" s="6">
        <f t="shared" si="24"/>
        <v>8.953876110377039E-2</v>
      </c>
      <c r="S92" s="2"/>
      <c r="T92" s="7">
        <v>18797.969999999998</v>
      </c>
      <c r="U92" s="2"/>
      <c r="V92" s="6">
        <f t="shared" si="25"/>
        <v>5.9346767777539236E-2</v>
      </c>
      <c r="W92" s="2"/>
      <c r="X92" s="7">
        <f t="shared" si="26"/>
        <v>7233.5400000000045</v>
      </c>
      <c r="Y92" s="2"/>
      <c r="Z92" s="6">
        <f t="shared" si="27"/>
        <v>0.38480431663631792</v>
      </c>
    </row>
    <row r="93" spans="1:26" s="24" customFormat="1" hidden="1" outlineLevel="2" x14ac:dyDescent="0.25">
      <c r="A93" s="25"/>
      <c r="B93" s="11" t="str">
        <f>CONCATENATE("          ", "6008", " - ", "STUDENT HOURLY-FICA EXEMPT")</f>
        <v xml:space="preserve">          6008 - STUDENT HOURLY-FICA EXEMPT</v>
      </c>
      <c r="C93" s="11"/>
      <c r="D93" s="7"/>
      <c r="E93" s="2"/>
      <c r="F93" s="6">
        <f t="shared" si="20"/>
        <v>0</v>
      </c>
      <c r="G93" s="2"/>
      <c r="H93" s="7">
        <v>4863.75</v>
      </c>
      <c r="I93" s="2"/>
      <c r="J93" s="6">
        <f t="shared" si="21"/>
        <v>3.1588330421567418E-2</v>
      </c>
      <c r="K93" s="2"/>
      <c r="L93" s="7">
        <f t="shared" si="22"/>
        <v>-4863.75</v>
      </c>
      <c r="M93" s="2"/>
      <c r="N93" s="6">
        <f t="shared" si="23"/>
        <v>-1</v>
      </c>
      <c r="O93" s="11"/>
      <c r="P93" s="7"/>
      <c r="Q93" s="2"/>
      <c r="R93" s="6">
        <f t="shared" si="24"/>
        <v>0</v>
      </c>
      <c r="S93" s="2"/>
      <c r="T93" s="7">
        <v>6518.085</v>
      </c>
      <c r="U93" s="2"/>
      <c r="V93" s="6">
        <f t="shared" si="25"/>
        <v>2.0578140982737067E-2</v>
      </c>
      <c r="W93" s="2"/>
      <c r="X93" s="7">
        <f t="shared" si="26"/>
        <v>-6518.085</v>
      </c>
      <c r="Y93" s="2"/>
      <c r="Z93" s="6">
        <f t="shared" si="27"/>
        <v>-1</v>
      </c>
    </row>
    <row r="94" spans="1:26" s="24" customFormat="1" hidden="1" outlineLevel="2" x14ac:dyDescent="0.25">
      <c r="A94" s="25"/>
      <c r="B94" s="11" t="str">
        <f>CONCATENATE("          ", "6009", " - ", "TEMPORARY-SEASONAL")</f>
        <v xml:space="preserve">          6009 - TEMPORARY-SEASONAL</v>
      </c>
      <c r="C94" s="11"/>
      <c r="D94" s="7"/>
      <c r="E94" s="2"/>
      <c r="F94" s="6">
        <f t="shared" si="20"/>
        <v>0</v>
      </c>
      <c r="G94" s="2"/>
      <c r="H94" s="7">
        <v>0</v>
      </c>
      <c r="I94" s="2"/>
      <c r="J94" s="6">
        <f t="shared" si="21"/>
        <v>0</v>
      </c>
      <c r="K94" s="2"/>
      <c r="L94" s="7">
        <f t="shared" si="22"/>
        <v>0</v>
      </c>
      <c r="M94" s="2"/>
      <c r="N94" s="6">
        <f t="shared" si="23"/>
        <v>0</v>
      </c>
      <c r="O94" s="11"/>
      <c r="P94" s="7"/>
      <c r="Q94" s="2"/>
      <c r="R94" s="6">
        <f t="shared" si="24"/>
        <v>0</v>
      </c>
      <c r="S94" s="2"/>
      <c r="T94" s="7">
        <v>0</v>
      </c>
      <c r="U94" s="2"/>
      <c r="V94" s="6">
        <f t="shared" si="25"/>
        <v>0</v>
      </c>
      <c r="W94" s="2"/>
      <c r="X94" s="7">
        <f t="shared" si="26"/>
        <v>0</v>
      </c>
      <c r="Y94" s="2"/>
      <c r="Z94" s="6">
        <f t="shared" si="27"/>
        <v>0</v>
      </c>
    </row>
    <row r="95" spans="1:26" s="24" customFormat="1" hidden="1" outlineLevel="2" x14ac:dyDescent="0.25">
      <c r="A95" s="25"/>
      <c r="B95" s="11" t="str">
        <f>CONCATENATE("          ", "6010", " - ", "GRATUITY")</f>
        <v xml:space="preserve">          6010 - GRATUITY</v>
      </c>
      <c r="C95" s="11"/>
      <c r="D95" s="7"/>
      <c r="E95" s="2"/>
      <c r="F95" s="6">
        <f t="shared" si="20"/>
        <v>0</v>
      </c>
      <c r="G95" s="2"/>
      <c r="H95" s="7">
        <v>0</v>
      </c>
      <c r="I95" s="2"/>
      <c r="J95" s="6">
        <f t="shared" si="21"/>
        <v>0</v>
      </c>
      <c r="K95" s="2"/>
      <c r="L95" s="7">
        <f t="shared" si="22"/>
        <v>0</v>
      </c>
      <c r="M95" s="2"/>
      <c r="N95" s="6">
        <f t="shared" si="23"/>
        <v>0</v>
      </c>
      <c r="O95" s="11"/>
      <c r="P95" s="7"/>
      <c r="Q95" s="2"/>
      <c r="R95" s="6">
        <f t="shared" si="24"/>
        <v>0</v>
      </c>
      <c r="S95" s="2"/>
      <c r="T95" s="7">
        <v>0</v>
      </c>
      <c r="U95" s="2"/>
      <c r="V95" s="6">
        <f t="shared" si="25"/>
        <v>0</v>
      </c>
      <c r="W95" s="2"/>
      <c r="X95" s="7">
        <f t="shared" si="26"/>
        <v>0</v>
      </c>
      <c r="Y95" s="2"/>
      <c r="Z95" s="6">
        <f t="shared" si="27"/>
        <v>0</v>
      </c>
    </row>
    <row r="96" spans="1:26" s="26" customFormat="1" outlineLevel="1" collapsed="1" x14ac:dyDescent="0.25">
      <c r="A96" s="27"/>
      <c r="B96" s="13" t="str">
        <f>CONCATENATE("     ","Advertising/Promo                                 ")</f>
        <v xml:space="preserve">     Advertising/Promo                                 </v>
      </c>
      <c r="C96" s="13"/>
      <c r="D96" s="1">
        <f>SUM(OSRRefD22_2x_0)</f>
        <v>146.71</v>
      </c>
      <c r="E96" s="1"/>
      <c r="F96" s="5">
        <f t="shared" ref="F96:F102" si="28">IF(D$12=0,0,D96/D$12)</f>
        <v>1.0583003685981345E-3</v>
      </c>
      <c r="G96" s="1"/>
      <c r="H96" s="1">
        <f>SUM(OSRRefH22_2x_0)</f>
        <v>120</v>
      </c>
      <c r="I96" s="1"/>
      <c r="J96" s="5">
        <f t="shared" ref="J96:J102" si="29">IF(H$12=0,0,H96/H$12)</f>
        <v>7.7935741980736883E-4</v>
      </c>
      <c r="K96" s="1"/>
      <c r="L96" s="1">
        <f t="shared" ref="L96:L102" si="30">+D96-H96</f>
        <v>26.710000000000008</v>
      </c>
      <c r="M96" s="1"/>
      <c r="N96" s="5">
        <f t="shared" ref="N96:N102" si="31">IF(H96=0,0,L96/H96)</f>
        <v>0.22258333333333341</v>
      </c>
      <c r="O96" s="13"/>
      <c r="P96" s="1">
        <f>SUM(OSRRefP22_2x_0)</f>
        <v>192.57</v>
      </c>
      <c r="Q96" s="1"/>
      <c r="R96" s="5">
        <f t="shared" ref="R96:R102" si="32">IF(P$12=0,0,P96/P$12)</f>
        <v>6.6236953698625483E-4</v>
      </c>
      <c r="S96" s="1"/>
      <c r="T96" s="1">
        <f>SUM(OSRRefT22_2x_0)</f>
        <v>360</v>
      </c>
      <c r="U96" s="1"/>
      <c r="V96" s="5">
        <f t="shared" ref="V96:V102" si="33">IF(T$12=0,0,T96/T$12)</f>
        <v>1.1365501913192823E-3</v>
      </c>
      <c r="W96" s="1"/>
      <c r="X96" s="1">
        <f t="shared" ref="X96:X102" si="34">+P96-T96</f>
        <v>-167.43</v>
      </c>
      <c r="Y96" s="1"/>
      <c r="Z96" s="5">
        <f t="shared" ref="Z96:Z102" si="35">IF(T96=0,0,X96/T96)</f>
        <v>-0.46508333333333335</v>
      </c>
    </row>
    <row r="97" spans="1:26" s="24" customFormat="1" hidden="1" outlineLevel="2" x14ac:dyDescent="0.25">
      <c r="A97" s="25"/>
      <c r="B97" s="11" t="str">
        <f>CONCATENATE("          ", "6362", " - ", "ADVERTISING EXPENSE")</f>
        <v xml:space="preserve">          6362 - ADVERTISING EXPENSE</v>
      </c>
      <c r="C97" s="11"/>
      <c r="D97" s="7">
        <v>146.71</v>
      </c>
      <c r="E97" s="2"/>
      <c r="F97" s="6">
        <f t="shared" si="28"/>
        <v>1.0583003685981345E-3</v>
      </c>
      <c r="G97" s="2"/>
      <c r="H97" s="7">
        <v>120</v>
      </c>
      <c r="I97" s="2"/>
      <c r="J97" s="6">
        <f t="shared" si="29"/>
        <v>7.7935741980736883E-4</v>
      </c>
      <c r="K97" s="2"/>
      <c r="L97" s="7">
        <f t="shared" si="30"/>
        <v>26.710000000000008</v>
      </c>
      <c r="M97" s="2"/>
      <c r="N97" s="6">
        <f t="shared" si="31"/>
        <v>0.22258333333333341</v>
      </c>
      <c r="O97" s="11"/>
      <c r="P97" s="7">
        <v>192.57</v>
      </c>
      <c r="Q97" s="2"/>
      <c r="R97" s="6">
        <f t="shared" si="32"/>
        <v>6.6236953698625483E-4</v>
      </c>
      <c r="S97" s="2"/>
      <c r="T97" s="7">
        <v>360</v>
      </c>
      <c r="U97" s="2"/>
      <c r="V97" s="6">
        <f t="shared" si="33"/>
        <v>1.1365501913192823E-3</v>
      </c>
      <c r="W97" s="2"/>
      <c r="X97" s="7">
        <f t="shared" si="34"/>
        <v>-167.43</v>
      </c>
      <c r="Y97" s="2"/>
      <c r="Z97" s="6">
        <f t="shared" si="35"/>
        <v>-0.46508333333333335</v>
      </c>
    </row>
    <row r="98" spans="1:26" s="26" customFormat="1" outlineLevel="1" collapsed="1" x14ac:dyDescent="0.25">
      <c r="A98" s="27"/>
      <c r="B98" s="13" t="str">
        <f>CONCATENATE("     ","Bad Debts/Over/Short                              ")</f>
        <v xml:space="preserve">     Bad Debts/Over/Short                              </v>
      </c>
      <c r="C98" s="13"/>
      <c r="D98" s="1">
        <f>SUM(OSRRefD22_3x_0)</f>
        <v>-30.21</v>
      </c>
      <c r="E98" s="1"/>
      <c r="F98" s="5">
        <f t="shared" si="28"/>
        <v>-2.1792143777076982E-4</v>
      </c>
      <c r="G98" s="1"/>
      <c r="H98" s="1">
        <f>SUM(OSRRefH22_3x_0)</f>
        <v>0</v>
      </c>
      <c r="I98" s="1"/>
      <c r="J98" s="5">
        <f t="shared" si="29"/>
        <v>0</v>
      </c>
      <c r="K98" s="1"/>
      <c r="L98" s="1">
        <f t="shared" si="30"/>
        <v>-30.21</v>
      </c>
      <c r="M98" s="1"/>
      <c r="N98" s="5">
        <f t="shared" si="31"/>
        <v>0</v>
      </c>
      <c r="O98" s="13"/>
      <c r="P98" s="1">
        <f>SUM(OSRRefP22_3x_0)</f>
        <v>-39.28</v>
      </c>
      <c r="Q98" s="1"/>
      <c r="R98" s="5">
        <f t="shared" si="32"/>
        <v>-1.3510866392906523E-4</v>
      </c>
      <c r="S98" s="1"/>
      <c r="T98" s="1">
        <f>SUM(OSRRefT22_3x_0)</f>
        <v>0</v>
      </c>
      <c r="U98" s="1"/>
      <c r="V98" s="5">
        <f t="shared" si="33"/>
        <v>0</v>
      </c>
      <c r="W98" s="1"/>
      <c r="X98" s="1">
        <f t="shared" si="34"/>
        <v>-39.28</v>
      </c>
      <c r="Y98" s="1"/>
      <c r="Z98" s="5">
        <f t="shared" si="35"/>
        <v>0</v>
      </c>
    </row>
    <row r="99" spans="1:26" s="24" customFormat="1" hidden="1" outlineLevel="2" x14ac:dyDescent="0.25">
      <c r="A99" s="25"/>
      <c r="B99" s="11" t="str">
        <f>CONCATENATE("          ", "6272", " - ", "CASH (OVER/SHORT)")</f>
        <v xml:space="preserve">          6272 - CASH (OVER/SHORT)</v>
      </c>
      <c r="C99" s="11"/>
      <c r="D99" s="7">
        <v>-30.21</v>
      </c>
      <c r="E99" s="2"/>
      <c r="F99" s="6">
        <f t="shared" si="28"/>
        <v>-2.1792143777076982E-4</v>
      </c>
      <c r="G99" s="2"/>
      <c r="H99" s="7"/>
      <c r="I99" s="2"/>
      <c r="J99" s="6">
        <f t="shared" si="29"/>
        <v>0</v>
      </c>
      <c r="K99" s="2"/>
      <c r="L99" s="7">
        <f t="shared" si="30"/>
        <v>-30.21</v>
      </c>
      <c r="M99" s="2"/>
      <c r="N99" s="6">
        <f t="shared" si="31"/>
        <v>0</v>
      </c>
      <c r="O99" s="11"/>
      <c r="P99" s="7">
        <v>-39.28</v>
      </c>
      <c r="Q99" s="2"/>
      <c r="R99" s="6">
        <f t="shared" si="32"/>
        <v>-1.3510866392906523E-4</v>
      </c>
      <c r="S99" s="2"/>
      <c r="T99" s="7"/>
      <c r="U99" s="2"/>
      <c r="V99" s="6">
        <f t="shared" si="33"/>
        <v>0</v>
      </c>
      <c r="W99" s="2"/>
      <c r="X99" s="7">
        <f t="shared" si="34"/>
        <v>-39.28</v>
      </c>
      <c r="Y99" s="2"/>
      <c r="Z99" s="6">
        <f t="shared" si="35"/>
        <v>0</v>
      </c>
    </row>
    <row r="100" spans="1:26" s="26" customFormat="1" outlineLevel="1" collapsed="1" x14ac:dyDescent="0.25">
      <c r="A100" s="27"/>
      <c r="B100" s="13" t="str">
        <f>CONCATENATE("     ","Discounts and Markdowns                           ")</f>
        <v xml:space="preserve">     Discounts and Markdowns                           </v>
      </c>
      <c r="C100" s="13"/>
      <c r="D100" s="1">
        <f>SUM(OSRRefD22_4x_0)</f>
        <v>1400.83</v>
      </c>
      <c r="E100" s="1"/>
      <c r="F100" s="5">
        <f t="shared" si="28"/>
        <v>1.0104961525072077E-2</v>
      </c>
      <c r="G100" s="1"/>
      <c r="H100" s="1">
        <f>SUM(OSRRefH22_4x_0)</f>
        <v>2500</v>
      </c>
      <c r="I100" s="1"/>
      <c r="J100" s="5">
        <f t="shared" si="29"/>
        <v>1.6236612912653516E-2</v>
      </c>
      <c r="K100" s="1"/>
      <c r="L100" s="1">
        <f t="shared" si="30"/>
        <v>-1099.17</v>
      </c>
      <c r="M100" s="1"/>
      <c r="N100" s="5">
        <f t="shared" si="31"/>
        <v>-0.439668</v>
      </c>
      <c r="O100" s="13"/>
      <c r="P100" s="1">
        <f>SUM(OSRRefP22_4x_0)</f>
        <v>6902.24</v>
      </c>
      <c r="Q100" s="1"/>
      <c r="R100" s="5">
        <f t="shared" si="32"/>
        <v>2.3741151337009957E-2</v>
      </c>
      <c r="S100" s="1"/>
      <c r="T100" s="1">
        <f>SUM(OSRRefT22_4x_0)</f>
        <v>7500</v>
      </c>
      <c r="U100" s="1"/>
      <c r="V100" s="5">
        <f t="shared" si="33"/>
        <v>2.3678128985818378E-2</v>
      </c>
      <c r="W100" s="1"/>
      <c r="X100" s="1">
        <f t="shared" si="34"/>
        <v>-597.76000000000022</v>
      </c>
      <c r="Y100" s="1"/>
      <c r="Z100" s="5">
        <f t="shared" si="35"/>
        <v>-7.970133333333336E-2</v>
      </c>
    </row>
    <row r="101" spans="1:26" s="24" customFormat="1" hidden="1" outlineLevel="2" x14ac:dyDescent="0.25">
      <c r="A101" s="25"/>
      <c r="B101" s="11" t="str">
        <f>CONCATENATE("          ", "6382", " - ", "DISCOUNTS/MARK DOWNS")</f>
        <v xml:space="preserve">          6382 - DISCOUNTS/MARK DOWNS</v>
      </c>
      <c r="C101" s="11"/>
      <c r="D101" s="7">
        <v>1393.51</v>
      </c>
      <c r="E101" s="2"/>
      <c r="F101" s="6">
        <f t="shared" si="28"/>
        <v>1.0052158316714513E-2</v>
      </c>
      <c r="G101" s="2"/>
      <c r="H101" s="7">
        <v>2500</v>
      </c>
      <c r="I101" s="2"/>
      <c r="J101" s="6">
        <f t="shared" si="29"/>
        <v>1.6236612912653516E-2</v>
      </c>
      <c r="K101" s="2"/>
      <c r="L101" s="7">
        <f t="shared" si="30"/>
        <v>-1106.49</v>
      </c>
      <c r="M101" s="2"/>
      <c r="N101" s="6">
        <f t="shared" si="31"/>
        <v>-0.44259599999999999</v>
      </c>
      <c r="O101" s="11"/>
      <c r="P101" s="7">
        <v>7008.16</v>
      </c>
      <c r="Q101" s="2"/>
      <c r="R101" s="6">
        <f t="shared" si="32"/>
        <v>2.4105476939946989E-2</v>
      </c>
      <c r="S101" s="2"/>
      <c r="T101" s="7">
        <v>7500</v>
      </c>
      <c r="U101" s="2"/>
      <c r="V101" s="6">
        <f t="shared" si="33"/>
        <v>2.3678128985818378E-2</v>
      </c>
      <c r="W101" s="2"/>
      <c r="X101" s="7">
        <f t="shared" si="34"/>
        <v>-491.84000000000015</v>
      </c>
      <c r="Y101" s="2"/>
      <c r="Z101" s="6">
        <f t="shared" si="35"/>
        <v>-6.5578666666666688E-2</v>
      </c>
    </row>
    <row r="102" spans="1:26" s="24" customFormat="1" hidden="1" outlineLevel="2" x14ac:dyDescent="0.25">
      <c r="A102" s="25"/>
      <c r="B102" s="11" t="str">
        <f>CONCATENATE("          ", "9175", " - ", "EARNED DISCOUNTS")</f>
        <v xml:space="preserve">          9175 - EARNED DISCOUNTS</v>
      </c>
      <c r="C102" s="11"/>
      <c r="D102" s="7">
        <v>7.32</v>
      </c>
      <c r="E102" s="2"/>
      <c r="F102" s="6">
        <f t="shared" si="28"/>
        <v>5.280320835756488E-5</v>
      </c>
      <c r="G102" s="2"/>
      <c r="H102" s="7"/>
      <c r="I102" s="2"/>
      <c r="J102" s="6">
        <f t="shared" si="29"/>
        <v>0</v>
      </c>
      <c r="K102" s="2"/>
      <c r="L102" s="7">
        <f t="shared" si="30"/>
        <v>7.32</v>
      </c>
      <c r="M102" s="2"/>
      <c r="N102" s="6">
        <f t="shared" si="31"/>
        <v>0</v>
      </c>
      <c r="O102" s="11"/>
      <c r="P102" s="7">
        <v>-105.92</v>
      </c>
      <c r="Q102" s="2"/>
      <c r="R102" s="6">
        <f t="shared" si="32"/>
        <v>-3.6432560293703128E-4</v>
      </c>
      <c r="S102" s="2"/>
      <c r="T102" s="7"/>
      <c r="U102" s="2"/>
      <c r="V102" s="6">
        <f t="shared" si="33"/>
        <v>0</v>
      </c>
      <c r="W102" s="2"/>
      <c r="X102" s="7">
        <f t="shared" si="34"/>
        <v>-105.92</v>
      </c>
      <c r="Y102" s="2"/>
      <c r="Z102" s="6">
        <f t="shared" si="35"/>
        <v>0</v>
      </c>
    </row>
    <row r="103" spans="1:26" s="26" customFormat="1" outlineLevel="1" collapsed="1" x14ac:dyDescent="0.25">
      <c r="A103" s="27"/>
      <c r="B103" s="13" t="str">
        <f>CONCATENATE("     ","Employees' Appreciation                           ")</f>
        <v xml:space="preserve">     Employees' Appreciation                           </v>
      </c>
      <c r="C103" s="13"/>
      <c r="D103" s="1">
        <f>SUM(OSRRefD22_5x_0)</f>
        <v>0</v>
      </c>
      <c r="E103" s="1"/>
      <c r="F103" s="5">
        <f t="shared" ref="F103:F113" si="36">IF(D$12=0,0,D103/D$12)</f>
        <v>0</v>
      </c>
      <c r="G103" s="1"/>
      <c r="H103" s="1">
        <f>SUM(OSRRefH22_5x_0)</f>
        <v>50</v>
      </c>
      <c r="I103" s="1"/>
      <c r="J103" s="5">
        <f t="shared" ref="J103:J113" si="37">IF(H$12=0,0,H103/H$12)</f>
        <v>3.2473225825307034E-4</v>
      </c>
      <c r="K103" s="1"/>
      <c r="L103" s="1">
        <f t="shared" ref="L103:L113" si="38">+D103-H103</f>
        <v>-50</v>
      </c>
      <c r="M103" s="1"/>
      <c r="N103" s="5">
        <f t="shared" ref="N103:N113" si="39">IF(H103=0,0,L103/H103)</f>
        <v>-1</v>
      </c>
      <c r="O103" s="13"/>
      <c r="P103" s="1">
        <f>SUM(OSRRefP22_5x_0)</f>
        <v>0</v>
      </c>
      <c r="Q103" s="1"/>
      <c r="R103" s="5">
        <f t="shared" ref="R103:R113" si="40">IF(P$12=0,0,P103/P$12)</f>
        <v>0</v>
      </c>
      <c r="S103" s="1"/>
      <c r="T103" s="1">
        <f>SUM(OSRRefT22_5x_0)</f>
        <v>150</v>
      </c>
      <c r="U103" s="1"/>
      <c r="V103" s="5">
        <f t="shared" ref="V103:V113" si="41">IF(T$12=0,0,T103/T$12)</f>
        <v>4.7356257971636759E-4</v>
      </c>
      <c r="W103" s="1"/>
      <c r="X103" s="1">
        <f t="shared" ref="X103:X113" si="42">+P103-T103</f>
        <v>-150</v>
      </c>
      <c r="Y103" s="1"/>
      <c r="Z103" s="5">
        <f t="shared" ref="Z103:Z113" si="43">IF(T103=0,0,X103/T103)</f>
        <v>-1</v>
      </c>
    </row>
    <row r="104" spans="1:26" s="24" customFormat="1" hidden="1" outlineLevel="2" x14ac:dyDescent="0.25">
      <c r="A104" s="25"/>
      <c r="B104" s="11" t="str">
        <f>CONCATENATE("          ", "6277", " - ", "EMPLOYEE APPRECIATION")</f>
        <v xml:space="preserve">          6277 - EMPLOYEE APPRECIATION</v>
      </c>
      <c r="C104" s="11"/>
      <c r="D104" s="7"/>
      <c r="E104" s="2"/>
      <c r="F104" s="6">
        <f t="shared" si="36"/>
        <v>0</v>
      </c>
      <c r="G104" s="2"/>
      <c r="H104" s="7">
        <v>50</v>
      </c>
      <c r="I104" s="2"/>
      <c r="J104" s="6">
        <f t="shared" si="37"/>
        <v>3.2473225825307034E-4</v>
      </c>
      <c r="K104" s="2"/>
      <c r="L104" s="7">
        <f t="shared" si="38"/>
        <v>-50</v>
      </c>
      <c r="M104" s="2"/>
      <c r="N104" s="6">
        <f t="shared" si="39"/>
        <v>-1</v>
      </c>
      <c r="O104" s="11"/>
      <c r="P104" s="7"/>
      <c r="Q104" s="2"/>
      <c r="R104" s="6">
        <f t="shared" si="40"/>
        <v>0</v>
      </c>
      <c r="S104" s="2"/>
      <c r="T104" s="7">
        <v>150</v>
      </c>
      <c r="U104" s="2"/>
      <c r="V104" s="6">
        <f t="shared" si="41"/>
        <v>4.7356257971636759E-4</v>
      </c>
      <c r="W104" s="2"/>
      <c r="X104" s="7">
        <f t="shared" si="42"/>
        <v>-150</v>
      </c>
      <c r="Y104" s="2"/>
      <c r="Z104" s="6">
        <f t="shared" si="43"/>
        <v>-1</v>
      </c>
    </row>
    <row r="105" spans="1:26" s="26" customFormat="1" outlineLevel="1" collapsed="1" x14ac:dyDescent="0.25">
      <c r="A105" s="27"/>
      <c r="B105" s="13" t="str">
        <f>CONCATENATE("     ","General                                           ")</f>
        <v xml:space="preserve">     General                                           </v>
      </c>
      <c r="C105" s="13"/>
      <c r="D105" s="1">
        <f>SUM(OSRRefD22_6x_0)</f>
        <v>0</v>
      </c>
      <c r="E105" s="1"/>
      <c r="F105" s="5">
        <f t="shared" si="36"/>
        <v>0</v>
      </c>
      <c r="G105" s="1"/>
      <c r="H105" s="1">
        <f>SUM(OSRRefH22_6x_0)</f>
        <v>80</v>
      </c>
      <c r="I105" s="1"/>
      <c r="J105" s="5">
        <f t="shared" si="37"/>
        <v>5.1957161320491255E-4</v>
      </c>
      <c r="K105" s="1"/>
      <c r="L105" s="1">
        <f t="shared" si="38"/>
        <v>-80</v>
      </c>
      <c r="M105" s="1"/>
      <c r="N105" s="5">
        <f t="shared" si="39"/>
        <v>-1</v>
      </c>
      <c r="O105" s="13"/>
      <c r="P105" s="1">
        <f>SUM(OSRRefP22_6x_0)</f>
        <v>694.55</v>
      </c>
      <c r="Q105" s="1"/>
      <c r="R105" s="5">
        <f t="shared" si="40"/>
        <v>2.3889949728088658E-3</v>
      </c>
      <c r="S105" s="1"/>
      <c r="T105" s="1">
        <f>SUM(OSRRefT22_6x_0)</f>
        <v>240</v>
      </c>
      <c r="U105" s="1"/>
      <c r="V105" s="5">
        <f t="shared" si="41"/>
        <v>7.5770012754618817E-4</v>
      </c>
      <c r="W105" s="1"/>
      <c r="X105" s="1">
        <f t="shared" si="42"/>
        <v>454.54999999999995</v>
      </c>
      <c r="Y105" s="1"/>
      <c r="Z105" s="5">
        <f t="shared" si="43"/>
        <v>1.8939583333333332</v>
      </c>
    </row>
    <row r="106" spans="1:26" s="24" customFormat="1" hidden="1" outlineLevel="2" x14ac:dyDescent="0.25">
      <c r="A106" s="25"/>
      <c r="B106" s="11" t="str">
        <f>CONCATENATE("          ", "6279", " - ", "GENERAL EXPENSE")</f>
        <v xml:space="preserve">          6279 - GENERAL EXPENSE</v>
      </c>
      <c r="C106" s="11"/>
      <c r="D106" s="7"/>
      <c r="E106" s="2"/>
      <c r="F106" s="6">
        <f t="shared" si="36"/>
        <v>0</v>
      </c>
      <c r="G106" s="2"/>
      <c r="H106" s="7">
        <v>80</v>
      </c>
      <c r="I106" s="2"/>
      <c r="J106" s="6">
        <f t="shared" si="37"/>
        <v>5.1957161320491255E-4</v>
      </c>
      <c r="K106" s="2"/>
      <c r="L106" s="7">
        <f t="shared" si="38"/>
        <v>-80</v>
      </c>
      <c r="M106" s="2"/>
      <c r="N106" s="6">
        <f t="shared" si="39"/>
        <v>-1</v>
      </c>
      <c r="O106" s="11"/>
      <c r="P106" s="7">
        <v>694.55</v>
      </c>
      <c r="Q106" s="2"/>
      <c r="R106" s="6">
        <f t="shared" si="40"/>
        <v>2.3889949728088658E-3</v>
      </c>
      <c r="S106" s="2"/>
      <c r="T106" s="7">
        <v>240</v>
      </c>
      <c r="U106" s="2"/>
      <c r="V106" s="6">
        <f t="shared" si="41"/>
        <v>7.5770012754618817E-4</v>
      </c>
      <c r="W106" s="2"/>
      <c r="X106" s="7">
        <f t="shared" si="42"/>
        <v>454.54999999999995</v>
      </c>
      <c r="Y106" s="2"/>
      <c r="Z106" s="6">
        <f t="shared" si="43"/>
        <v>1.8939583333333332</v>
      </c>
    </row>
    <row r="107" spans="1:26" s="26" customFormat="1" outlineLevel="1" collapsed="1" x14ac:dyDescent="0.25">
      <c r="A107" s="27"/>
      <c r="B107" s="13" t="str">
        <f>CONCATENATE("     ","Professional Services                             ")</f>
        <v xml:space="preserve">     Professional Services                             </v>
      </c>
      <c r="C107" s="13"/>
      <c r="D107" s="1">
        <f>SUM(OSRRefD22_7x_0)</f>
        <v>0</v>
      </c>
      <c r="E107" s="1"/>
      <c r="F107" s="5">
        <f t="shared" si="36"/>
        <v>0</v>
      </c>
      <c r="G107" s="1"/>
      <c r="H107" s="1">
        <f>SUM(OSRRefH22_7x_0)</f>
        <v>115</v>
      </c>
      <c r="I107" s="1"/>
      <c r="J107" s="5">
        <f t="shared" si="37"/>
        <v>7.4688419398206182E-4</v>
      </c>
      <c r="K107" s="1"/>
      <c r="L107" s="1">
        <f t="shared" si="38"/>
        <v>-115</v>
      </c>
      <c r="M107" s="1"/>
      <c r="N107" s="5">
        <f t="shared" si="39"/>
        <v>-1</v>
      </c>
      <c r="O107" s="13"/>
      <c r="P107" s="1">
        <f>SUM(OSRRefP22_7x_0)</f>
        <v>750</v>
      </c>
      <c r="Q107" s="1"/>
      <c r="R107" s="5">
        <f t="shared" si="40"/>
        <v>2.5797224528207462E-3</v>
      </c>
      <c r="S107" s="1"/>
      <c r="T107" s="1">
        <f>SUM(OSRRefT22_7x_0)</f>
        <v>345</v>
      </c>
      <c r="U107" s="1"/>
      <c r="V107" s="5">
        <f t="shared" si="41"/>
        <v>1.0891939333476455E-3</v>
      </c>
      <c r="W107" s="1"/>
      <c r="X107" s="1">
        <f t="shared" si="42"/>
        <v>405</v>
      </c>
      <c r="Y107" s="1"/>
      <c r="Z107" s="5">
        <f t="shared" si="43"/>
        <v>1.173913043478261</v>
      </c>
    </row>
    <row r="108" spans="1:26" s="24" customFormat="1" hidden="1" outlineLevel="2" x14ac:dyDescent="0.25">
      <c r="A108" s="25"/>
      <c r="B108" s="11" t="str">
        <f>CONCATENATE("          ", "6336", " - ", "PROFESSIONAL SERVICES")</f>
        <v xml:space="preserve">          6336 - PROFESSIONAL SERVICES</v>
      </c>
      <c r="C108" s="11"/>
      <c r="D108" s="7"/>
      <c r="E108" s="2"/>
      <c r="F108" s="6">
        <f t="shared" si="36"/>
        <v>0</v>
      </c>
      <c r="G108" s="2"/>
      <c r="H108" s="7">
        <v>115</v>
      </c>
      <c r="I108" s="2"/>
      <c r="J108" s="6">
        <f t="shared" si="37"/>
        <v>7.4688419398206182E-4</v>
      </c>
      <c r="K108" s="2"/>
      <c r="L108" s="7">
        <f t="shared" si="38"/>
        <v>-115</v>
      </c>
      <c r="M108" s="2"/>
      <c r="N108" s="6">
        <f t="shared" si="39"/>
        <v>-1</v>
      </c>
      <c r="O108" s="11"/>
      <c r="P108" s="7">
        <v>750</v>
      </c>
      <c r="Q108" s="2"/>
      <c r="R108" s="6">
        <f t="shared" si="40"/>
        <v>2.5797224528207462E-3</v>
      </c>
      <c r="S108" s="2"/>
      <c r="T108" s="7">
        <v>345</v>
      </c>
      <c r="U108" s="2"/>
      <c r="V108" s="6">
        <f t="shared" si="41"/>
        <v>1.0891939333476455E-3</v>
      </c>
      <c r="W108" s="2"/>
      <c r="X108" s="7">
        <f t="shared" si="42"/>
        <v>405</v>
      </c>
      <c r="Y108" s="2"/>
      <c r="Z108" s="6">
        <f t="shared" si="43"/>
        <v>1.173913043478261</v>
      </c>
    </row>
    <row r="109" spans="1:26" s="26" customFormat="1" outlineLevel="1" collapsed="1" x14ac:dyDescent="0.25">
      <c r="A109" s="27"/>
      <c r="B109" s="13" t="str">
        <f>CONCATENATE("     ","Repair and Maintenance                            ")</f>
        <v xml:space="preserve">     Repair and Maintenance                            </v>
      </c>
      <c r="C109" s="13"/>
      <c r="D109" s="1">
        <f>SUM(OSRRefD22_8x_0)</f>
        <v>9.8000000000000007</v>
      </c>
      <c r="E109" s="1"/>
      <c r="F109" s="5">
        <f t="shared" si="36"/>
        <v>7.0692819932259004E-5</v>
      </c>
      <c r="G109" s="1"/>
      <c r="H109" s="1">
        <f>SUM(OSRRefH22_8x_0)</f>
        <v>125</v>
      </c>
      <c r="I109" s="1"/>
      <c r="J109" s="5">
        <f t="shared" si="37"/>
        <v>8.1183064563267583E-4</v>
      </c>
      <c r="K109" s="1"/>
      <c r="L109" s="1">
        <f t="shared" si="38"/>
        <v>-115.2</v>
      </c>
      <c r="M109" s="1"/>
      <c r="N109" s="5">
        <f t="shared" si="39"/>
        <v>-0.92159999999999997</v>
      </c>
      <c r="O109" s="13"/>
      <c r="P109" s="1">
        <f>SUM(OSRRefP22_8x_0)</f>
        <v>9.8000000000000007</v>
      </c>
      <c r="Q109" s="1"/>
      <c r="R109" s="5">
        <f t="shared" si="40"/>
        <v>3.370837338352442E-5</v>
      </c>
      <c r="S109" s="1"/>
      <c r="T109" s="1">
        <f>SUM(OSRRefT22_8x_0)</f>
        <v>375</v>
      </c>
      <c r="U109" s="1"/>
      <c r="V109" s="5">
        <f t="shared" si="41"/>
        <v>1.1839064492909189E-3</v>
      </c>
      <c r="W109" s="1"/>
      <c r="X109" s="1">
        <f t="shared" si="42"/>
        <v>-365.2</v>
      </c>
      <c r="Y109" s="1"/>
      <c r="Z109" s="5">
        <f t="shared" si="43"/>
        <v>-0.97386666666666666</v>
      </c>
    </row>
    <row r="110" spans="1:26" s="24" customFormat="1" hidden="1" outlineLevel="2" x14ac:dyDescent="0.25">
      <c r="A110" s="25"/>
      <c r="B110" s="11" t="str">
        <f>CONCATENATE("          ", "6375", " - ", "OUTSIDE REPAIRS &amp; MAINTENANCE")</f>
        <v xml:space="preserve">          6375 - OUTSIDE REPAIRS &amp; MAINTENANCE</v>
      </c>
      <c r="C110" s="11"/>
      <c r="D110" s="7">
        <v>9.8000000000000007</v>
      </c>
      <c r="E110" s="2"/>
      <c r="F110" s="6">
        <f t="shared" si="36"/>
        <v>7.0692819932259004E-5</v>
      </c>
      <c r="G110" s="2"/>
      <c r="H110" s="7">
        <v>125</v>
      </c>
      <c r="I110" s="2"/>
      <c r="J110" s="6">
        <f t="shared" si="37"/>
        <v>8.1183064563267583E-4</v>
      </c>
      <c r="K110" s="2"/>
      <c r="L110" s="7">
        <f t="shared" si="38"/>
        <v>-115.2</v>
      </c>
      <c r="M110" s="2"/>
      <c r="N110" s="6">
        <f t="shared" si="39"/>
        <v>-0.92159999999999997</v>
      </c>
      <c r="O110" s="11"/>
      <c r="P110" s="7">
        <v>9.8000000000000007</v>
      </c>
      <c r="Q110" s="2"/>
      <c r="R110" s="6">
        <f t="shared" si="40"/>
        <v>3.370837338352442E-5</v>
      </c>
      <c r="S110" s="2"/>
      <c r="T110" s="7">
        <v>375</v>
      </c>
      <c r="U110" s="2"/>
      <c r="V110" s="6">
        <f t="shared" si="41"/>
        <v>1.1839064492909189E-3</v>
      </c>
      <c r="W110" s="2"/>
      <c r="X110" s="7">
        <f t="shared" si="42"/>
        <v>-365.2</v>
      </c>
      <c r="Y110" s="2"/>
      <c r="Z110" s="6">
        <f t="shared" si="43"/>
        <v>-0.97386666666666666</v>
      </c>
    </row>
    <row r="111" spans="1:26" s="26" customFormat="1" outlineLevel="1" collapsed="1" x14ac:dyDescent="0.25">
      <c r="A111" s="27"/>
      <c r="B111" s="13" t="str">
        <f>CONCATENATE("     ","Services                                          ")</f>
        <v xml:space="preserve">     Services                                          </v>
      </c>
      <c r="C111" s="13"/>
      <c r="D111" s="1">
        <f>SUM(OSRRefD22_9x_0)</f>
        <v>233.11</v>
      </c>
      <c r="E111" s="1"/>
      <c r="F111" s="5">
        <f t="shared" si="36"/>
        <v>1.6815513524907036E-3</v>
      </c>
      <c r="G111" s="1"/>
      <c r="H111" s="1">
        <f>SUM(OSRRefH22_9x_0)</f>
        <v>100</v>
      </c>
      <c r="I111" s="1"/>
      <c r="J111" s="5">
        <f t="shared" si="37"/>
        <v>6.4946451650614069E-4</v>
      </c>
      <c r="K111" s="1"/>
      <c r="L111" s="1">
        <f t="shared" si="38"/>
        <v>133.11000000000001</v>
      </c>
      <c r="M111" s="1"/>
      <c r="N111" s="5">
        <f t="shared" si="39"/>
        <v>1.3311000000000002</v>
      </c>
      <c r="O111" s="13"/>
      <c r="P111" s="1">
        <f>SUM(OSRRefP22_9x_0)</f>
        <v>695.96</v>
      </c>
      <c r="Q111" s="1"/>
      <c r="R111" s="5">
        <f t="shared" si="40"/>
        <v>2.3938448510201688E-3</v>
      </c>
      <c r="S111" s="1"/>
      <c r="T111" s="1">
        <f>SUM(OSRRefT22_9x_0)</f>
        <v>300</v>
      </c>
      <c r="U111" s="1"/>
      <c r="V111" s="5">
        <f t="shared" si="41"/>
        <v>9.4712515943273518E-4</v>
      </c>
      <c r="W111" s="1"/>
      <c r="X111" s="1">
        <f t="shared" si="42"/>
        <v>395.96000000000004</v>
      </c>
      <c r="Y111" s="1"/>
      <c r="Z111" s="5">
        <f t="shared" si="43"/>
        <v>1.3198666666666667</v>
      </c>
    </row>
    <row r="112" spans="1:26" s="24" customFormat="1" hidden="1" outlineLevel="2" x14ac:dyDescent="0.25">
      <c r="A112" s="25"/>
      <c r="B112" s="11" t="str">
        <f>CONCATENATE("          ", "6282", " - ", "JANITORIAL/EXTERMINATOR EXPENS")</f>
        <v xml:space="preserve">          6282 - JANITORIAL/EXTERMINATOR EXPENS</v>
      </c>
      <c r="C112" s="11"/>
      <c r="D112" s="7">
        <v>44</v>
      </c>
      <c r="E112" s="2"/>
      <c r="F112" s="6">
        <f t="shared" si="36"/>
        <v>3.1739633438973428E-4</v>
      </c>
      <c r="G112" s="2"/>
      <c r="H112" s="7">
        <v>50</v>
      </c>
      <c r="I112" s="2"/>
      <c r="J112" s="6">
        <f t="shared" si="37"/>
        <v>3.2473225825307034E-4</v>
      </c>
      <c r="K112" s="2"/>
      <c r="L112" s="7">
        <f t="shared" si="38"/>
        <v>-6</v>
      </c>
      <c r="M112" s="2"/>
      <c r="N112" s="6">
        <f t="shared" si="39"/>
        <v>-0.12</v>
      </c>
      <c r="O112" s="11"/>
      <c r="P112" s="7">
        <v>132</v>
      </c>
      <c r="Q112" s="2"/>
      <c r="R112" s="6">
        <f t="shared" si="40"/>
        <v>4.5403115169645133E-4</v>
      </c>
      <c r="S112" s="2"/>
      <c r="T112" s="7">
        <v>150</v>
      </c>
      <c r="U112" s="2"/>
      <c r="V112" s="6">
        <f t="shared" si="41"/>
        <v>4.7356257971636759E-4</v>
      </c>
      <c r="W112" s="2"/>
      <c r="X112" s="7">
        <f t="shared" si="42"/>
        <v>-18</v>
      </c>
      <c r="Y112" s="2"/>
      <c r="Z112" s="6">
        <f t="shared" si="43"/>
        <v>-0.12</v>
      </c>
    </row>
    <row r="113" spans="1:26" s="24" customFormat="1" hidden="1" outlineLevel="2" x14ac:dyDescent="0.25">
      <c r="A113" s="25"/>
      <c r="B113" s="11" t="str">
        <f>CONCATENATE("          ", "6285", " - ", "JANITORIAL SERVICES")</f>
        <v xml:space="preserve">          6285 - JANITORIAL SERVICES</v>
      </c>
      <c r="C113" s="11"/>
      <c r="D113" s="7">
        <v>189.11</v>
      </c>
      <c r="E113" s="2"/>
      <c r="F113" s="6">
        <f t="shared" si="36"/>
        <v>1.3641550181009694E-3</v>
      </c>
      <c r="G113" s="2"/>
      <c r="H113" s="7">
        <v>50</v>
      </c>
      <c r="I113" s="2"/>
      <c r="J113" s="6">
        <f t="shared" si="37"/>
        <v>3.2473225825307034E-4</v>
      </c>
      <c r="K113" s="2"/>
      <c r="L113" s="7">
        <f t="shared" si="38"/>
        <v>139.11000000000001</v>
      </c>
      <c r="M113" s="2"/>
      <c r="N113" s="6">
        <f t="shared" si="39"/>
        <v>2.7822000000000005</v>
      </c>
      <c r="O113" s="11"/>
      <c r="P113" s="7">
        <v>563.96</v>
      </c>
      <c r="Q113" s="2"/>
      <c r="R113" s="6">
        <f t="shared" si="40"/>
        <v>1.9398136993237175E-3</v>
      </c>
      <c r="S113" s="2"/>
      <c r="T113" s="7">
        <v>150</v>
      </c>
      <c r="U113" s="2"/>
      <c r="V113" s="6">
        <f t="shared" si="41"/>
        <v>4.7356257971636759E-4</v>
      </c>
      <c r="W113" s="2"/>
      <c r="X113" s="7">
        <f t="shared" si="42"/>
        <v>413.96000000000004</v>
      </c>
      <c r="Y113" s="2"/>
      <c r="Z113" s="6">
        <f t="shared" si="43"/>
        <v>2.7597333333333336</v>
      </c>
    </row>
    <row r="114" spans="1:26" s="26" customFormat="1" outlineLevel="1" collapsed="1" x14ac:dyDescent="0.25">
      <c r="A114" s="27"/>
      <c r="B114" s="13" t="str">
        <f>CONCATENATE("     ","Subscriptions &amp; Dues                              ")</f>
        <v xml:space="preserve">     Subscriptions &amp; Dues                              </v>
      </c>
      <c r="C114" s="13"/>
      <c r="D114" s="1">
        <f>SUM(OSRRefD22_10x_0)</f>
        <v>0</v>
      </c>
      <c r="E114" s="1"/>
      <c r="F114" s="5">
        <f t="shared" ref="F114:F121" si="44">IF(D$12=0,0,D114/D$12)</f>
        <v>0</v>
      </c>
      <c r="G114" s="1"/>
      <c r="H114" s="1">
        <f>SUM(OSRRefH22_10x_0)</f>
        <v>0</v>
      </c>
      <c r="I114" s="1"/>
      <c r="J114" s="5">
        <f t="shared" ref="J114:J121" si="45">IF(H$12=0,0,H114/H$12)</f>
        <v>0</v>
      </c>
      <c r="K114" s="1"/>
      <c r="L114" s="1">
        <f t="shared" ref="L114:L121" si="46">+D114-H114</f>
        <v>0</v>
      </c>
      <c r="M114" s="1"/>
      <c r="N114" s="5">
        <f t="shared" ref="N114:N121" si="47">IF(H114=0,0,L114/H114)</f>
        <v>0</v>
      </c>
      <c r="O114" s="13"/>
      <c r="P114" s="1">
        <f>SUM(OSRRefP22_10x_0)</f>
        <v>120</v>
      </c>
      <c r="Q114" s="1"/>
      <c r="R114" s="5">
        <f t="shared" ref="R114:R121" si="48">IF(P$12=0,0,P114/P$12)</f>
        <v>4.127555924513194E-4</v>
      </c>
      <c r="S114" s="1"/>
      <c r="T114" s="1">
        <f>SUM(OSRRefT22_10x_0)</f>
        <v>0</v>
      </c>
      <c r="U114" s="1"/>
      <c r="V114" s="5">
        <f t="shared" ref="V114:V121" si="49">IF(T$12=0,0,T114/T$12)</f>
        <v>0</v>
      </c>
      <c r="W114" s="1"/>
      <c r="X114" s="1">
        <f t="shared" ref="X114:X121" si="50">+P114-T114</f>
        <v>120</v>
      </c>
      <c r="Y114" s="1"/>
      <c r="Z114" s="5">
        <f t="shared" ref="Z114:Z121" si="51">IF(T114=0,0,X114/T114)</f>
        <v>0</v>
      </c>
    </row>
    <row r="115" spans="1:26" s="24" customFormat="1" hidden="1" outlineLevel="2" x14ac:dyDescent="0.25">
      <c r="A115" s="25"/>
      <c r="B115" s="11" t="str">
        <f>CONCATENATE("          ", "6258", " - ", "MEMBERSHIP DUES")</f>
        <v xml:space="preserve">          6258 - MEMBERSHIP DUES</v>
      </c>
      <c r="C115" s="11"/>
      <c r="D115" s="7"/>
      <c r="E115" s="2"/>
      <c r="F115" s="6">
        <f t="shared" si="44"/>
        <v>0</v>
      </c>
      <c r="G115" s="2"/>
      <c r="H115" s="7"/>
      <c r="I115" s="2"/>
      <c r="J115" s="6">
        <f t="shared" si="45"/>
        <v>0</v>
      </c>
      <c r="K115" s="2"/>
      <c r="L115" s="7">
        <f t="shared" si="46"/>
        <v>0</v>
      </c>
      <c r="M115" s="2"/>
      <c r="N115" s="6">
        <f t="shared" si="47"/>
        <v>0</v>
      </c>
      <c r="O115" s="11"/>
      <c r="P115" s="7">
        <v>120</v>
      </c>
      <c r="Q115" s="2"/>
      <c r="R115" s="6">
        <f t="shared" si="48"/>
        <v>4.127555924513194E-4</v>
      </c>
      <c r="S115" s="2"/>
      <c r="T115" s="7"/>
      <c r="U115" s="2"/>
      <c r="V115" s="6">
        <f t="shared" si="49"/>
        <v>0</v>
      </c>
      <c r="W115" s="2"/>
      <c r="X115" s="7">
        <f t="shared" si="50"/>
        <v>120</v>
      </c>
      <c r="Y115" s="2"/>
      <c r="Z115" s="6">
        <f t="shared" si="51"/>
        <v>0</v>
      </c>
    </row>
    <row r="116" spans="1:26" s="26" customFormat="1" outlineLevel="1" collapsed="1" x14ac:dyDescent="0.25">
      <c r="A116" s="27"/>
      <c r="B116" s="13" t="str">
        <f>CONCATENATE("     ","Supplies                                          ")</f>
        <v xml:space="preserve">     Supplies                                          </v>
      </c>
      <c r="C116" s="13"/>
      <c r="D116" s="1">
        <f>SUM(OSRRefD22_11x_0)</f>
        <v>358.54</v>
      </c>
      <c r="E116" s="1"/>
      <c r="F116" s="5">
        <f t="shared" si="44"/>
        <v>2.5863473120930755E-3</v>
      </c>
      <c r="G116" s="1"/>
      <c r="H116" s="1">
        <f>SUM(OSRRefH22_11x_0)</f>
        <v>225</v>
      </c>
      <c r="I116" s="1"/>
      <c r="J116" s="5">
        <f t="shared" si="45"/>
        <v>1.4612951621388165E-3</v>
      </c>
      <c r="K116" s="1"/>
      <c r="L116" s="1">
        <f t="shared" si="46"/>
        <v>133.54000000000002</v>
      </c>
      <c r="M116" s="1"/>
      <c r="N116" s="5">
        <f t="shared" si="47"/>
        <v>0.59351111111111121</v>
      </c>
      <c r="O116" s="13"/>
      <c r="P116" s="1">
        <f>SUM(OSRRefP22_11x_0)</f>
        <v>571.96</v>
      </c>
      <c r="Q116" s="1"/>
      <c r="R116" s="5">
        <f t="shared" si="48"/>
        <v>1.967330738820472E-3</v>
      </c>
      <c r="S116" s="1"/>
      <c r="T116" s="1">
        <f>SUM(OSRRefT22_11x_0)</f>
        <v>675</v>
      </c>
      <c r="U116" s="1"/>
      <c r="V116" s="5">
        <f t="shared" si="49"/>
        <v>2.1310316087236542E-3</v>
      </c>
      <c r="W116" s="1"/>
      <c r="X116" s="1">
        <f t="shared" si="50"/>
        <v>-103.03999999999996</v>
      </c>
      <c r="Y116" s="1"/>
      <c r="Z116" s="5">
        <f t="shared" si="51"/>
        <v>-0.15265185185185179</v>
      </c>
    </row>
    <row r="117" spans="1:26" s="24" customFormat="1" hidden="1" outlineLevel="2" x14ac:dyDescent="0.25">
      <c r="A117" s="25"/>
      <c r="B117" s="11" t="str">
        <f>CONCATENATE("          ", "6241", " - ", "OFFICE EXPENSE")</f>
        <v xml:space="preserve">          6241 - OFFICE EXPENSE</v>
      </c>
      <c r="C117" s="11"/>
      <c r="D117" s="7">
        <v>358.54</v>
      </c>
      <c r="E117" s="2"/>
      <c r="F117" s="6">
        <f t="shared" si="44"/>
        <v>2.5863473120930755E-3</v>
      </c>
      <c r="G117" s="2"/>
      <c r="H117" s="7">
        <v>225</v>
      </c>
      <c r="I117" s="2"/>
      <c r="J117" s="6">
        <f t="shared" si="45"/>
        <v>1.4612951621388165E-3</v>
      </c>
      <c r="K117" s="2"/>
      <c r="L117" s="7">
        <f t="shared" si="46"/>
        <v>133.54000000000002</v>
      </c>
      <c r="M117" s="2"/>
      <c r="N117" s="6">
        <f t="shared" si="47"/>
        <v>0.59351111111111121</v>
      </c>
      <c r="O117" s="11"/>
      <c r="P117" s="7">
        <v>571.96</v>
      </c>
      <c r="Q117" s="2"/>
      <c r="R117" s="6">
        <f t="shared" si="48"/>
        <v>1.967330738820472E-3</v>
      </c>
      <c r="S117" s="2"/>
      <c r="T117" s="7">
        <v>675</v>
      </c>
      <c r="U117" s="2"/>
      <c r="V117" s="6">
        <f t="shared" si="49"/>
        <v>2.1310316087236542E-3</v>
      </c>
      <c r="W117" s="2"/>
      <c r="X117" s="7">
        <f t="shared" si="50"/>
        <v>-103.03999999999996</v>
      </c>
      <c r="Y117" s="2"/>
      <c r="Z117" s="6">
        <f t="shared" si="51"/>
        <v>-0.15265185185185179</v>
      </c>
    </row>
    <row r="118" spans="1:26" s="26" customFormat="1" outlineLevel="1" collapsed="1" x14ac:dyDescent="0.25">
      <c r="A118" s="27"/>
      <c r="B118" s="13" t="str">
        <f>CONCATENATE("     ","Telephone/Data Lines                              ")</f>
        <v xml:space="preserve">     Telephone/Data Lines                              </v>
      </c>
      <c r="C118" s="13"/>
      <c r="D118" s="1">
        <f>SUM(OSRRefD22_12x_0)</f>
        <v>125</v>
      </c>
      <c r="E118" s="1"/>
      <c r="F118" s="5">
        <f t="shared" si="44"/>
        <v>9.0169413178901783E-4</v>
      </c>
      <c r="G118" s="1"/>
      <c r="H118" s="1">
        <f>SUM(OSRRefH22_12x_0)</f>
        <v>75</v>
      </c>
      <c r="I118" s="1"/>
      <c r="J118" s="5">
        <f t="shared" si="45"/>
        <v>4.8709838737960549E-4</v>
      </c>
      <c r="K118" s="1"/>
      <c r="L118" s="1">
        <f t="shared" si="46"/>
        <v>50</v>
      </c>
      <c r="M118" s="1"/>
      <c r="N118" s="5">
        <f t="shared" si="47"/>
        <v>0.66666666666666663</v>
      </c>
      <c r="O118" s="13"/>
      <c r="P118" s="1">
        <f>SUM(OSRRefP22_12x_0)</f>
        <v>302.5</v>
      </c>
      <c r="Q118" s="1"/>
      <c r="R118" s="5">
        <f t="shared" si="48"/>
        <v>1.0404880559710345E-3</v>
      </c>
      <c r="S118" s="1"/>
      <c r="T118" s="1">
        <f>SUM(OSRRefT22_12x_0)</f>
        <v>225</v>
      </c>
      <c r="U118" s="1"/>
      <c r="V118" s="5">
        <f t="shared" si="49"/>
        <v>7.1034386957455136E-4</v>
      </c>
      <c r="W118" s="1"/>
      <c r="X118" s="1">
        <f t="shared" si="50"/>
        <v>77.5</v>
      </c>
      <c r="Y118" s="1"/>
      <c r="Z118" s="5">
        <f t="shared" si="51"/>
        <v>0.34444444444444444</v>
      </c>
    </row>
    <row r="119" spans="1:26" s="24" customFormat="1" hidden="1" outlineLevel="2" x14ac:dyDescent="0.25">
      <c r="A119" s="25"/>
      <c r="B119" s="11" t="str">
        <f>CONCATENATE("          ", "6309", " - ", "TELEPHONE")</f>
        <v xml:space="preserve">          6309 - TELEPHONE</v>
      </c>
      <c r="C119" s="11"/>
      <c r="D119" s="7">
        <v>125</v>
      </c>
      <c r="E119" s="2"/>
      <c r="F119" s="6">
        <f t="shared" si="44"/>
        <v>9.0169413178901783E-4</v>
      </c>
      <c r="G119" s="2"/>
      <c r="H119" s="7">
        <v>75</v>
      </c>
      <c r="I119" s="2"/>
      <c r="J119" s="6">
        <f t="shared" si="45"/>
        <v>4.8709838737960549E-4</v>
      </c>
      <c r="K119" s="2"/>
      <c r="L119" s="7">
        <f t="shared" si="46"/>
        <v>50</v>
      </c>
      <c r="M119" s="2"/>
      <c r="N119" s="6">
        <f t="shared" si="47"/>
        <v>0.66666666666666663</v>
      </c>
      <c r="O119" s="11"/>
      <c r="P119" s="7">
        <v>302.5</v>
      </c>
      <c r="Q119" s="2"/>
      <c r="R119" s="6">
        <f t="shared" si="48"/>
        <v>1.0404880559710345E-3</v>
      </c>
      <c r="S119" s="2"/>
      <c r="T119" s="7">
        <v>225</v>
      </c>
      <c r="U119" s="2"/>
      <c r="V119" s="6">
        <f t="shared" si="49"/>
        <v>7.1034386957455136E-4</v>
      </c>
      <c r="W119" s="2"/>
      <c r="X119" s="7">
        <f t="shared" si="50"/>
        <v>77.5</v>
      </c>
      <c r="Y119" s="2"/>
      <c r="Z119" s="6">
        <f t="shared" si="51"/>
        <v>0.34444444444444444</v>
      </c>
    </row>
    <row r="120" spans="1:26" s="26" customFormat="1" outlineLevel="1" collapsed="1" x14ac:dyDescent="0.25">
      <c r="A120" s="27"/>
      <c r="B120" s="13" t="str">
        <f>CONCATENATE("     ","Training                                          ")</f>
        <v xml:space="preserve">     Training                                          </v>
      </c>
      <c r="C120" s="13"/>
      <c r="D120" s="1">
        <f>SUM(OSRRefD22_13x_0)</f>
        <v>0</v>
      </c>
      <c r="E120" s="1"/>
      <c r="F120" s="5">
        <f t="shared" si="44"/>
        <v>0</v>
      </c>
      <c r="G120" s="1"/>
      <c r="H120" s="1">
        <f>SUM(OSRRefH22_13x_0)</f>
        <v>175</v>
      </c>
      <c r="I120" s="1"/>
      <c r="J120" s="5">
        <f t="shared" si="45"/>
        <v>1.1365629038857462E-3</v>
      </c>
      <c r="K120" s="1"/>
      <c r="L120" s="1">
        <f t="shared" si="46"/>
        <v>-175</v>
      </c>
      <c r="M120" s="1"/>
      <c r="N120" s="5">
        <f t="shared" si="47"/>
        <v>-1</v>
      </c>
      <c r="O120" s="13"/>
      <c r="P120" s="1">
        <f>SUM(OSRRefP22_13x_0)</f>
        <v>0</v>
      </c>
      <c r="Q120" s="1"/>
      <c r="R120" s="5">
        <f t="shared" si="48"/>
        <v>0</v>
      </c>
      <c r="S120" s="1"/>
      <c r="T120" s="1">
        <f>SUM(OSRRefT22_13x_0)</f>
        <v>525</v>
      </c>
      <c r="U120" s="1"/>
      <c r="V120" s="5">
        <f t="shared" si="49"/>
        <v>1.6574690290072865E-3</v>
      </c>
      <c r="W120" s="1"/>
      <c r="X120" s="1">
        <f t="shared" si="50"/>
        <v>-525</v>
      </c>
      <c r="Y120" s="1"/>
      <c r="Z120" s="5">
        <f t="shared" si="51"/>
        <v>-1</v>
      </c>
    </row>
    <row r="121" spans="1:26" s="24" customFormat="1" hidden="1" outlineLevel="2" x14ac:dyDescent="0.25">
      <c r="A121" s="25"/>
      <c r="B121" s="11" t="str">
        <f>CONCATENATE("          ", "6376", " - ", "TRAINING")</f>
        <v xml:space="preserve">          6376 - TRAINING</v>
      </c>
      <c r="C121" s="11"/>
      <c r="D121" s="7"/>
      <c r="E121" s="2"/>
      <c r="F121" s="6">
        <f t="shared" si="44"/>
        <v>0</v>
      </c>
      <c r="G121" s="2"/>
      <c r="H121" s="7">
        <v>175</v>
      </c>
      <c r="I121" s="2"/>
      <c r="J121" s="6">
        <f t="shared" si="45"/>
        <v>1.1365629038857462E-3</v>
      </c>
      <c r="K121" s="2"/>
      <c r="L121" s="7">
        <f t="shared" si="46"/>
        <v>-175</v>
      </c>
      <c r="M121" s="2"/>
      <c r="N121" s="6">
        <f t="shared" si="47"/>
        <v>-1</v>
      </c>
      <c r="O121" s="11"/>
      <c r="P121" s="7"/>
      <c r="Q121" s="2"/>
      <c r="R121" s="6">
        <f t="shared" si="48"/>
        <v>0</v>
      </c>
      <c r="S121" s="2"/>
      <c r="T121" s="7">
        <v>525</v>
      </c>
      <c r="U121" s="2"/>
      <c r="V121" s="6">
        <f t="shared" si="49"/>
        <v>1.6574690290072865E-3</v>
      </c>
      <c r="W121" s="2"/>
      <c r="X121" s="7">
        <f t="shared" si="50"/>
        <v>-525</v>
      </c>
      <c r="Y121" s="2"/>
      <c r="Z121" s="6">
        <f t="shared" si="51"/>
        <v>-1</v>
      </c>
    </row>
    <row r="122" spans="1:26" s="63" customFormat="1" x14ac:dyDescent="0.25">
      <c r="A122" s="36"/>
      <c r="B122" s="36"/>
      <c r="C122" s="36"/>
      <c r="D122" s="1"/>
      <c r="E122" s="1"/>
      <c r="F122" s="5"/>
      <c r="G122" s="1"/>
      <c r="H122" s="1"/>
      <c r="I122" s="1"/>
      <c r="J122" s="5"/>
      <c r="K122" s="1"/>
      <c r="L122" s="1"/>
      <c r="M122" s="1"/>
      <c r="N122" s="5"/>
      <c r="O122" s="36"/>
      <c r="P122" s="1"/>
      <c r="Q122" s="1"/>
      <c r="R122" s="5"/>
      <c r="S122" s="1"/>
      <c r="T122" s="1"/>
      <c r="U122" s="1"/>
      <c r="V122" s="5"/>
      <c r="W122" s="1"/>
      <c r="X122" s="1"/>
      <c r="Y122" s="1"/>
      <c r="Z122" s="5"/>
    </row>
    <row r="123" spans="1:26" s="23" customFormat="1" x14ac:dyDescent="0.25">
      <c r="A123" s="10"/>
      <c r="B123" s="28" t="s">
        <v>0</v>
      </c>
      <c r="C123" s="10"/>
      <c r="D123" s="4">
        <f>SUM(0)</f>
        <v>0</v>
      </c>
      <c r="E123" s="4"/>
      <c r="F123" s="12">
        <f>IF(D$12=0,0,D123/D$12)</f>
        <v>0</v>
      </c>
      <c r="G123" s="4"/>
      <c r="H123" s="4">
        <f>SUM(0)</f>
        <v>0</v>
      </c>
      <c r="I123" s="4"/>
      <c r="J123" s="12">
        <f>IF(H$12=0,0,H123/H$12)</f>
        <v>0</v>
      </c>
      <c r="K123" s="4"/>
      <c r="L123" s="4">
        <f>+D123-H123</f>
        <v>0</v>
      </c>
      <c r="M123" s="4"/>
      <c r="N123" s="12">
        <f>IF(H123=0,0,L123/H123)</f>
        <v>0</v>
      </c>
      <c r="O123" s="10"/>
      <c r="P123" s="4">
        <f>SUM(0)</f>
        <v>0</v>
      </c>
      <c r="Q123" s="4"/>
      <c r="R123" s="12">
        <f>IF(P$12=0,0,P123/P$12)</f>
        <v>0</v>
      </c>
      <c r="S123" s="4"/>
      <c r="T123" s="4">
        <f>SUM(0)</f>
        <v>0</v>
      </c>
      <c r="U123" s="4"/>
      <c r="V123" s="12">
        <f>IF(T$12=0,0,T123/T$12)</f>
        <v>0</v>
      </c>
      <c r="W123" s="4"/>
      <c r="X123" s="4">
        <f>+P123-T123</f>
        <v>0</v>
      </c>
      <c r="Y123" s="4"/>
      <c r="Z123" s="12">
        <f>IF(T123=0,0,X123/T123)</f>
        <v>0</v>
      </c>
    </row>
    <row r="124" spans="1:26" x14ac:dyDescent="0.25">
      <c r="A124" s="9"/>
      <c r="B124" s="10"/>
      <c r="C124" s="10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O124" s="10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3" customFormat="1" x14ac:dyDescent="0.25">
      <c r="A125" s="10"/>
      <c r="B125" s="29" t="s">
        <v>3</v>
      </c>
      <c r="C125" s="29"/>
      <c r="D125" s="22">
        <f>+D72-D74+D123</f>
        <v>48904.159999999931</v>
      </c>
      <c r="E125" s="14"/>
      <c r="F125" s="20">
        <f>IF(D$12=0,0,D125/D$12)</f>
        <v>0.35277275273656922</v>
      </c>
      <c r="G125" s="14"/>
      <c r="H125" s="22">
        <f>+H72-H74+H123</f>
        <v>58353.886322455393</v>
      </c>
      <c r="I125" s="14"/>
      <c r="J125" s="20">
        <f>IF(H$12=0,0,H125/H$12)</f>
        <v>0.3789877856666779</v>
      </c>
      <c r="K125" s="15"/>
      <c r="L125" s="22">
        <f>+D125-H125</f>
        <v>-9449.7263224554627</v>
      </c>
      <c r="M125" s="15"/>
      <c r="N125" s="20">
        <f>IF(H125=0,0,L125/H125)</f>
        <v>-0.16193825155427696</v>
      </c>
      <c r="O125" s="28"/>
      <c r="P125" s="22">
        <f>+P72-P74+P123</f>
        <v>87053.069999999978</v>
      </c>
      <c r="Q125" s="14"/>
      <c r="R125" s="20">
        <f>IF(P$12=0,0,P125/P$12)</f>
        <v>0.29943034568796811</v>
      </c>
      <c r="S125" s="14"/>
      <c r="T125" s="22">
        <f>+T72-T74+T123</f>
        <v>102557.61107298001</v>
      </c>
      <c r="U125" s="14"/>
      <c r="V125" s="20">
        <f>IF(T$12=0,0,T125/T$12)</f>
        <v>0.32378297912845549</v>
      </c>
      <c r="W125" s="15"/>
      <c r="X125" s="22">
        <f>+P125-T125</f>
        <v>-15504.541072980035</v>
      </c>
      <c r="Y125" s="15"/>
      <c r="Z125" s="20">
        <f>IF(T125=0,0,X125/T125)</f>
        <v>-0.15117884387875416</v>
      </c>
    </row>
    <row r="126" spans="1:26" x14ac:dyDescent="0.25">
      <c r="A126" s="9"/>
      <c r="B126" s="10"/>
      <c r="C126" s="9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x14ac:dyDescent="0.25">
      <c r="A127" s="52"/>
      <c r="B127" s="10" t="s">
        <v>14</v>
      </c>
      <c r="C127" s="10"/>
      <c r="D127" s="4">
        <v>12263.92</v>
      </c>
      <c r="E127" s="4"/>
      <c r="F127" s="12">
        <f>IF(D$12=0,0,D127/D$12)</f>
        <v>8.8466437573839762E-2</v>
      </c>
      <c r="G127" s="4"/>
      <c r="H127" s="4">
        <v>13628</v>
      </c>
      <c r="I127" s="4"/>
      <c r="J127" s="12">
        <f>IF(H$12=0,0,H127/H$12)</f>
        <v>8.8509024309456855E-2</v>
      </c>
      <c r="K127" s="4"/>
      <c r="L127" s="4">
        <f>+D127-H127</f>
        <v>-1364.08</v>
      </c>
      <c r="M127" s="4"/>
      <c r="N127" s="12">
        <f>IF(H127=0,0,L127/H127)</f>
        <v>-0.10009392427355444</v>
      </c>
      <c r="O127" s="10"/>
      <c r="P127" s="4">
        <v>31228.140000000003</v>
      </c>
      <c r="Q127" s="4"/>
      <c r="R127" s="12">
        <f>IF(P$12=0,0,P127/P$12)</f>
        <v>0.10741324522377289</v>
      </c>
      <c r="S127" s="4"/>
      <c r="T127" s="4">
        <v>40063</v>
      </c>
      <c r="U127" s="4"/>
      <c r="V127" s="12">
        <f>IF(T$12=0,0,T127/T$12)</f>
        <v>0.12648225087451223</v>
      </c>
      <c r="W127" s="4"/>
      <c r="X127" s="4">
        <f>+P127-T127</f>
        <v>-8834.8599999999969</v>
      </c>
      <c r="Y127" s="4"/>
      <c r="Z127" s="12">
        <f>IF(T127=0,0,X127/T127)</f>
        <v>-0.22052417442528011</v>
      </c>
    </row>
    <row r="128" spans="1:26" x14ac:dyDescent="0.25">
      <c r="A128" s="9"/>
      <c r="B128" s="10"/>
      <c r="C128" s="10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O128" s="10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3" customFormat="1" ht="15.75" thickBot="1" x14ac:dyDescent="0.3">
      <c r="A129" s="10"/>
      <c r="B129" s="29" t="s">
        <v>4</v>
      </c>
      <c r="C129" s="29"/>
      <c r="D129" s="35">
        <f>+D125-D127</f>
        <v>36640.239999999932</v>
      </c>
      <c r="E129" s="14"/>
      <c r="F129" s="32">
        <f>IF(D$12=0,0,D129/D$12)</f>
        <v>0.26430631516272945</v>
      </c>
      <c r="G129" s="14"/>
      <c r="H129" s="35">
        <f>+H125-H127</f>
        <v>44725.886322455393</v>
      </c>
      <c r="I129" s="14"/>
      <c r="J129" s="32">
        <f>IF(H$12=0,0,H129/H$12)</f>
        <v>0.290478761357221</v>
      </c>
      <c r="K129" s="15"/>
      <c r="L129" s="35">
        <f>D129-H129</f>
        <v>-8085.6463224554609</v>
      </c>
      <c r="M129" s="15"/>
      <c r="N129" s="32">
        <f>IF(H129=0,0,L129/H129)</f>
        <v>-0.18078224910203566</v>
      </c>
      <c r="O129" s="28"/>
      <c r="P129" s="35">
        <f>+P125-P127</f>
        <v>55824.929999999978</v>
      </c>
      <c r="Q129" s="14"/>
      <c r="R129" s="32">
        <f>IF(P$12=0,0,P129/P$12)</f>
        <v>0.19201710046419521</v>
      </c>
      <c r="S129" s="14"/>
      <c r="T129" s="35">
        <f>+T125-T127</f>
        <v>62494.611072980013</v>
      </c>
      <c r="U129" s="14"/>
      <c r="V129" s="32">
        <f>IF(T$12=0,0,T129/T$12)</f>
        <v>0.19730072825394324</v>
      </c>
      <c r="W129" s="15"/>
      <c r="X129" s="35">
        <f>P129-T129</f>
        <v>-6669.6810729800345</v>
      </c>
      <c r="Y129" s="15"/>
      <c r="Z129" s="32">
        <f>IF(T129=0,0,X129/T129)</f>
        <v>-0.10672409922179224</v>
      </c>
    </row>
    <row r="130" spans="1:26" ht="15.75" thickTop="1" x14ac:dyDescent="0.25">
      <c r="A130" s="9"/>
      <c r="B130" s="9"/>
      <c r="C130" s="9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x14ac:dyDescent="0.25">
      <c r="A131" s="9"/>
      <c r="B131" s="9"/>
      <c r="C131" s="9"/>
      <c r="D131" s="3"/>
      <c r="E131" s="3"/>
      <c r="F131" s="8"/>
      <c r="G131" s="3"/>
      <c r="H131" s="3"/>
      <c r="I131" s="3"/>
      <c r="J131" s="8"/>
      <c r="K131" s="3"/>
      <c r="L131" s="3"/>
      <c r="M131" s="3"/>
      <c r="N131" s="8"/>
      <c r="P131" s="3"/>
      <c r="Q131" s="3"/>
      <c r="R131" s="8"/>
      <c r="S131" s="3"/>
      <c r="T131" s="3"/>
      <c r="U131" s="3"/>
      <c r="V131" s="8"/>
      <c r="W131" s="3"/>
      <c r="X131" s="3"/>
      <c r="Y131" s="3"/>
      <c r="Z131" s="8"/>
    </row>
    <row r="132" spans="1:26" s="23" customFormat="1" ht="15.75" thickBot="1" x14ac:dyDescent="0.3">
      <c r="A132" s="10"/>
      <c r="B132" s="29" t="s">
        <v>5</v>
      </c>
      <c r="C132" s="29"/>
      <c r="D132" s="30">
        <f>SUM(D129:D131)</f>
        <v>36640.239999999932</v>
      </c>
      <c r="E132" s="14"/>
      <c r="F132" s="31">
        <f>IF(D$12=0,0,D132/D$12)</f>
        <v>0.26430631516272945</v>
      </c>
      <c r="G132" s="14"/>
      <c r="H132" s="30">
        <f>SUM(H129:H131)</f>
        <v>44725.886322455393</v>
      </c>
      <c r="I132" s="14"/>
      <c r="J132" s="31">
        <f>IF(H$12=0,0,H132/H$12)</f>
        <v>0.290478761357221</v>
      </c>
      <c r="K132" s="15"/>
      <c r="L132" s="30">
        <f>+D132-H132</f>
        <v>-8085.6463224554609</v>
      </c>
      <c r="M132" s="15"/>
      <c r="N132" s="31">
        <f>IF(H132=0,0,L132/H132)</f>
        <v>-0.18078224910203566</v>
      </c>
      <c r="O132" s="28"/>
      <c r="P132" s="30">
        <f>SUM(P129:P131)</f>
        <v>55824.929999999978</v>
      </c>
      <c r="Q132" s="14"/>
      <c r="R132" s="31">
        <f>IF(P$12=0,0,P132/P$12)</f>
        <v>0.19201710046419521</v>
      </c>
      <c r="S132" s="14"/>
      <c r="T132" s="30">
        <f>SUM(T129:T131)</f>
        <v>62494.611072980013</v>
      </c>
      <c r="U132" s="14"/>
      <c r="V132" s="31">
        <f>IF(T$12=0,0,T132/T$12)</f>
        <v>0.19730072825394324</v>
      </c>
      <c r="W132" s="15"/>
      <c r="X132" s="30">
        <f>+P132-T132</f>
        <v>-6669.6810729800345</v>
      </c>
      <c r="Y132" s="15"/>
      <c r="Z132" s="31">
        <f>IF(T132=0,0,X132/T132)</f>
        <v>-0.10672409922179224</v>
      </c>
    </row>
    <row r="133" spans="1:26" ht="15.75" thickTop="1" x14ac:dyDescent="0.25">
      <c r="A133" s="9"/>
      <c r="C133" s="9"/>
      <c r="D133" s="18"/>
      <c r="E133" s="18"/>
      <c r="G133" s="18"/>
      <c r="H133" s="18"/>
      <c r="I133" s="18"/>
      <c r="J133" s="43"/>
      <c r="K133" s="18"/>
      <c r="L133" s="18"/>
      <c r="M133" s="18"/>
      <c r="P133" s="18"/>
      <c r="Q133" s="18"/>
      <c r="R133" s="43"/>
      <c r="S133" s="18"/>
      <c r="T133" s="18"/>
      <c r="U133" s="18"/>
      <c r="V133" s="43"/>
      <c r="W133" s="18"/>
      <c r="X133" s="18"/>
    </row>
    <row r="134" spans="1:26" x14ac:dyDescent="0.25">
      <c r="A134" s="9"/>
      <c r="B134" s="53">
        <v>43756.451838541667</v>
      </c>
      <c r="D134" s="18"/>
      <c r="E134" s="18"/>
      <c r="G134" s="18"/>
      <c r="H134" s="18"/>
      <c r="I134" s="18"/>
      <c r="J134" s="43"/>
      <c r="K134" s="18"/>
      <c r="L134" s="18"/>
      <c r="M134" s="18"/>
      <c r="P134" s="18"/>
      <c r="Q134" s="18"/>
      <c r="R134" s="43"/>
      <c r="S134" s="18"/>
      <c r="T134" s="18"/>
      <c r="U134" s="18"/>
      <c r="V134" s="43"/>
      <c r="W134" s="18"/>
      <c r="X134" s="18"/>
    </row>
    <row r="135" spans="1:26" x14ac:dyDescent="0.25">
      <c r="A135" s="9"/>
      <c r="B135" s="55" t="s">
        <v>314</v>
      </c>
      <c r="D135" s="18"/>
      <c r="E135" s="18"/>
      <c r="G135" s="18"/>
      <c r="H135" s="18"/>
      <c r="I135" s="18"/>
      <c r="J135" s="43"/>
      <c r="K135" s="18"/>
      <c r="L135" s="18"/>
      <c r="M135" s="18"/>
      <c r="P135" s="18"/>
      <c r="Q135" s="18"/>
      <c r="R135" s="43"/>
      <c r="S135" s="18"/>
      <c r="T135" s="18"/>
      <c r="U135" s="18"/>
      <c r="V135" s="43"/>
      <c r="W135" s="18"/>
      <c r="X135" s="18"/>
    </row>
    <row r="136" spans="1:26" x14ac:dyDescent="0.25">
      <c r="A136" s="9"/>
      <c r="B136" s="56"/>
      <c r="D136" s="18"/>
      <c r="E136" s="18"/>
      <c r="G136" s="18"/>
      <c r="H136" s="18"/>
      <c r="I136" s="18"/>
      <c r="J136" s="43"/>
      <c r="K136" s="18"/>
      <c r="L136" s="18"/>
      <c r="M136" s="18"/>
      <c r="P136" s="18"/>
      <c r="Q136" s="18"/>
      <c r="R136" s="43"/>
      <c r="S136" s="18"/>
      <c r="T136" s="18"/>
      <c r="U136" s="18"/>
      <c r="V136" s="43"/>
      <c r="W136" s="18"/>
      <c r="X136" s="18"/>
    </row>
    <row r="137" spans="1:26" x14ac:dyDescent="0.25">
      <c r="D137" s="18"/>
      <c r="E137" s="18"/>
      <c r="G137" s="18"/>
      <c r="H137" s="18"/>
      <c r="I137" s="18"/>
      <c r="J137" s="43"/>
      <c r="K137" s="18"/>
      <c r="L137" s="18"/>
      <c r="M137" s="18"/>
      <c r="P137" s="18"/>
      <c r="Q137" s="18"/>
      <c r="R137" s="43"/>
      <c r="S137" s="18"/>
      <c r="T137" s="18"/>
      <c r="U137" s="18"/>
      <c r="V137" s="43"/>
      <c r="W137" s="18"/>
      <c r="X137" s="18"/>
    </row>
  </sheetData>
  <pageMargins left="0.25" right="0.25" top="0.75" bottom="0.75" header="0.3" footer="0.3"/>
  <pageSetup scale="55" fitToWidth="2" orientation="landscape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2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str">
        <f>CONCATENATE("Period ",RIGHT(202003,2),", ",2020)</f>
        <v>Period 03, 2020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43736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tr">
        <f>CONCATENATE("Department ","307", " - ", "Art Store")</f>
        <v>Department 307 - Art Store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72673.64</v>
      </c>
      <c r="E12" s="4"/>
      <c r="F12" s="12"/>
      <c r="G12" s="4"/>
      <c r="H12" s="4">
        <f>SUM(OSRRefH13x_0)</f>
        <v>77140</v>
      </c>
      <c r="I12" s="4"/>
      <c r="J12" s="12"/>
      <c r="K12" s="4"/>
      <c r="L12" s="4">
        <f t="shared" ref="L12:L41" si="0">+D12-H12</f>
        <v>-4466.3600000000006</v>
      </c>
      <c r="M12" s="4"/>
      <c r="N12" s="12">
        <f t="shared" ref="N12:N41" si="1">IF(H12=0,0,L12/H12)</f>
        <v>-5.7899403681617848E-2</v>
      </c>
      <c r="O12" s="10"/>
      <c r="P12" s="4">
        <f>SUM(OSRRefP13x_0)</f>
        <v>128359.02</v>
      </c>
      <c r="Q12" s="4"/>
      <c r="R12" s="12"/>
      <c r="S12" s="4"/>
      <c r="T12" s="4">
        <f>SUM(OSRRefT13x_0)</f>
        <v>131338</v>
      </c>
      <c r="U12" s="4"/>
      <c r="V12" s="12"/>
      <c r="W12" s="4"/>
      <c r="X12" s="4">
        <f t="shared" ref="X12:X41" si="2">+P12-T12</f>
        <v>-2978.9799999999959</v>
      </c>
      <c r="Y12" s="4"/>
      <c r="Z12" s="12">
        <f t="shared" ref="Z12:Z41" si="3">IF(T12=0,0,X12/T12)</f>
        <v>-2.268178288081131E-2</v>
      </c>
    </row>
    <row r="13" spans="1:26" s="24" customFormat="1" hidden="1" outlineLevel="1" x14ac:dyDescent="0.25">
      <c r="A13" s="46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59328.999999999993</v>
      </c>
      <c r="I13" s="2"/>
      <c r="J13" s="19"/>
      <c r="K13" s="2"/>
      <c r="L13" s="2">
        <f t="shared" si="0"/>
        <v>-59328.999999999993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108899</v>
      </c>
      <c r="U13" s="2"/>
      <c r="V13" s="19"/>
      <c r="W13" s="2"/>
      <c r="X13" s="2">
        <f t="shared" si="2"/>
        <v>-108899</v>
      </c>
      <c r="Y13" s="2"/>
      <c r="Z13" s="19">
        <f t="shared" si="3"/>
        <v>-1</v>
      </c>
    </row>
    <row r="14" spans="1:26" s="24" customFormat="1" hidden="1" outlineLevel="1" x14ac:dyDescent="0.25">
      <c r="A14" s="46"/>
      <c r="B14" s="11" t="str">
        <f>CONCATENATE("          ", "4017", " - ", "TAXABLE SALES-DORM/HOUSEWARES")</f>
        <v xml:space="preserve">          4017 - TAXABLE SALES-DORM/HOUSEWARES</v>
      </c>
      <c r="C14" s="11"/>
      <c r="D14" s="2">
        <f>--16.47</f>
        <v>16.47</v>
      </c>
      <c r="E14" s="2"/>
      <c r="F14" s="19"/>
      <c r="G14" s="2"/>
      <c r="H14" s="2"/>
      <c r="I14" s="2"/>
      <c r="J14" s="19"/>
      <c r="K14" s="2"/>
      <c r="L14" s="2">
        <f t="shared" si="0"/>
        <v>16.47</v>
      </c>
      <c r="M14" s="2"/>
      <c r="N14" s="19">
        <f t="shared" si="1"/>
        <v>0</v>
      </c>
      <c r="O14" s="11"/>
      <c r="P14" s="2">
        <f>--16.47</f>
        <v>16.47</v>
      </c>
      <c r="Q14" s="2"/>
      <c r="R14" s="19"/>
      <c r="S14" s="2"/>
      <c r="T14" s="2"/>
      <c r="U14" s="2"/>
      <c r="V14" s="19"/>
      <c r="W14" s="2"/>
      <c r="X14" s="2">
        <f t="shared" si="2"/>
        <v>16.47</v>
      </c>
      <c r="Y14" s="2"/>
      <c r="Z14" s="19">
        <f t="shared" si="3"/>
        <v>0</v>
      </c>
    </row>
    <row r="15" spans="1:26" s="24" customFormat="1" hidden="1" outlineLevel="1" x14ac:dyDescent="0.25">
      <c r="A15" s="46"/>
      <c r="B15" s="11" t="str">
        <f>CONCATENATE("          ", "4025", " - ", "TAXABLE SALES-TEST FORMS")</f>
        <v xml:space="preserve">          4025 - TAXABLE SALES-TEST FORMS</v>
      </c>
      <c r="C15" s="11"/>
      <c r="D15" s="2">
        <f>--396.04</f>
        <v>396.04</v>
      </c>
      <c r="E15" s="2"/>
      <c r="F15" s="19"/>
      <c r="G15" s="2"/>
      <c r="H15" s="2"/>
      <c r="I15" s="2"/>
      <c r="J15" s="19"/>
      <c r="K15" s="2"/>
      <c r="L15" s="2">
        <f t="shared" si="0"/>
        <v>396.04</v>
      </c>
      <c r="M15" s="2"/>
      <c r="N15" s="19">
        <f t="shared" si="1"/>
        <v>0</v>
      </c>
      <c r="O15" s="11"/>
      <c r="P15" s="2">
        <f>--498.76</f>
        <v>498.76</v>
      </c>
      <c r="Q15" s="2"/>
      <c r="R15" s="19"/>
      <c r="S15" s="2"/>
      <c r="T15" s="2"/>
      <c r="U15" s="2"/>
      <c r="V15" s="19"/>
      <c r="W15" s="2"/>
      <c r="X15" s="2">
        <f t="shared" si="2"/>
        <v>498.76</v>
      </c>
      <c r="Y15" s="2"/>
      <c r="Z15" s="19">
        <f t="shared" si="3"/>
        <v>0</v>
      </c>
    </row>
    <row r="16" spans="1:26" s="24" customFormat="1" hidden="1" outlineLevel="1" x14ac:dyDescent="0.25">
      <c r="A16" s="46"/>
      <c r="B16" s="11" t="str">
        <f>CONCATENATE("          ", "4026", " - ", "TAXABLE SALES-WRITING INSTRUME")</f>
        <v xml:space="preserve">          4026 - TAXABLE SALES-WRITING INSTRUME</v>
      </c>
      <c r="C16" s="11"/>
      <c r="D16" s="2">
        <f>--847.15</f>
        <v>847.15</v>
      </c>
      <c r="E16" s="2"/>
      <c r="F16" s="19"/>
      <c r="G16" s="2"/>
      <c r="H16" s="2"/>
      <c r="I16" s="2"/>
      <c r="J16" s="19"/>
      <c r="K16" s="2"/>
      <c r="L16" s="2">
        <f t="shared" si="0"/>
        <v>847.15</v>
      </c>
      <c r="M16" s="2"/>
      <c r="N16" s="19">
        <f t="shared" si="1"/>
        <v>0</v>
      </c>
      <c r="O16" s="11"/>
      <c r="P16" s="2">
        <f>--1520.57</f>
        <v>1520.57</v>
      </c>
      <c r="Q16" s="2"/>
      <c r="R16" s="19"/>
      <c r="S16" s="2"/>
      <c r="T16" s="2"/>
      <c r="U16" s="2"/>
      <c r="V16" s="19"/>
      <c r="W16" s="2"/>
      <c r="X16" s="2">
        <f t="shared" si="2"/>
        <v>1520.57</v>
      </c>
      <c r="Y16" s="2"/>
      <c r="Z16" s="19">
        <f t="shared" si="3"/>
        <v>0</v>
      </c>
    </row>
    <row r="17" spans="1:26" s="24" customFormat="1" hidden="1" outlineLevel="1" x14ac:dyDescent="0.25">
      <c r="A17" s="46"/>
      <c r="B17" s="11" t="str">
        <f>CONCATENATE("          ", "4027", " - ", "TAXABLE SALES-SCHOOL SUPPLIES")</f>
        <v xml:space="preserve">          4027 - TAXABLE SALES-SCHOOL SUPPLIES</v>
      </c>
      <c r="C17" s="11"/>
      <c r="D17" s="2">
        <f>--1087.24</f>
        <v>1087.24</v>
      </c>
      <c r="E17" s="2"/>
      <c r="F17" s="19"/>
      <c r="G17" s="2"/>
      <c r="H17" s="2"/>
      <c r="I17" s="2"/>
      <c r="J17" s="19"/>
      <c r="K17" s="2"/>
      <c r="L17" s="2">
        <f t="shared" si="0"/>
        <v>1087.24</v>
      </c>
      <c r="M17" s="2"/>
      <c r="N17" s="19">
        <f t="shared" si="1"/>
        <v>0</v>
      </c>
      <c r="O17" s="11"/>
      <c r="P17" s="2">
        <f>--4422.32</f>
        <v>4422.32</v>
      </c>
      <c r="Q17" s="2"/>
      <c r="R17" s="19"/>
      <c r="S17" s="2"/>
      <c r="T17" s="2"/>
      <c r="U17" s="2"/>
      <c r="V17" s="19"/>
      <c r="W17" s="2"/>
      <c r="X17" s="2">
        <f t="shared" si="2"/>
        <v>4422.32</v>
      </c>
      <c r="Y17" s="2"/>
      <c r="Z17" s="19">
        <f t="shared" si="3"/>
        <v>0</v>
      </c>
    </row>
    <row r="18" spans="1:26" s="24" customFormat="1" hidden="1" outlineLevel="1" x14ac:dyDescent="0.25">
      <c r="A18" s="46"/>
      <c r="B18" s="11" t="str">
        <f>CONCATENATE("          ", "4028", " - ", "TAXABLE SALES-ART/TECH")</f>
        <v xml:space="preserve">          4028 - TAXABLE SALES-ART/TECH</v>
      </c>
      <c r="C18" s="11"/>
      <c r="D18" s="2">
        <f>--49846.06</f>
        <v>49846.06</v>
      </c>
      <c r="E18" s="2"/>
      <c r="F18" s="19"/>
      <c r="G18" s="2"/>
      <c r="H18" s="2"/>
      <c r="I18" s="2"/>
      <c r="J18" s="19"/>
      <c r="K18" s="2"/>
      <c r="L18" s="2">
        <f t="shared" si="0"/>
        <v>49846.06</v>
      </c>
      <c r="M18" s="2"/>
      <c r="N18" s="19">
        <f t="shared" si="1"/>
        <v>0</v>
      </c>
      <c r="O18" s="11"/>
      <c r="P18" s="2">
        <f>--96597.15</f>
        <v>96597.15</v>
      </c>
      <c r="Q18" s="2"/>
      <c r="R18" s="19"/>
      <c r="S18" s="2"/>
      <c r="T18" s="2"/>
      <c r="U18" s="2"/>
      <c r="V18" s="19"/>
      <c r="W18" s="2"/>
      <c r="X18" s="2">
        <f t="shared" si="2"/>
        <v>96597.15</v>
      </c>
      <c r="Y18" s="2"/>
      <c r="Z18" s="19">
        <f t="shared" si="3"/>
        <v>0</v>
      </c>
    </row>
    <row r="19" spans="1:26" s="24" customFormat="1" hidden="1" outlineLevel="1" x14ac:dyDescent="0.25">
      <c r="A19" s="46"/>
      <c r="B19" s="11" t="str">
        <f>CONCATENATE("          ", "4031", " - ", "TAXABLE SALES-FOOD")</f>
        <v xml:space="preserve">          4031 - TAXABLE SALES-FOOD</v>
      </c>
      <c r="C19" s="11"/>
      <c r="D19" s="2">
        <f>--88.48</f>
        <v>88.48</v>
      </c>
      <c r="E19" s="2"/>
      <c r="F19" s="19"/>
      <c r="G19" s="2"/>
      <c r="H19" s="2"/>
      <c r="I19" s="2"/>
      <c r="J19" s="19"/>
      <c r="K19" s="2"/>
      <c r="L19" s="2">
        <f t="shared" si="0"/>
        <v>88.48</v>
      </c>
      <c r="M19" s="2"/>
      <c r="N19" s="19">
        <f t="shared" si="1"/>
        <v>0</v>
      </c>
      <c r="O19" s="11"/>
      <c r="P19" s="2">
        <f>--120.82</f>
        <v>120.82</v>
      </c>
      <c r="Q19" s="2"/>
      <c r="R19" s="19"/>
      <c r="S19" s="2"/>
      <c r="T19" s="2"/>
      <c r="U19" s="2"/>
      <c r="V19" s="19"/>
      <c r="W19" s="2"/>
      <c r="X19" s="2">
        <f t="shared" si="2"/>
        <v>120.82</v>
      </c>
      <c r="Y19" s="2"/>
      <c r="Z19" s="19">
        <f t="shared" si="3"/>
        <v>0</v>
      </c>
    </row>
    <row r="20" spans="1:26" s="24" customFormat="1" hidden="1" outlineLevel="1" x14ac:dyDescent="0.25">
      <c r="A20" s="46"/>
      <c r="B20" s="11" t="str">
        <f>CONCATENATE("          ", "4032", " - ", "TAXABLE SALES-JUICE")</f>
        <v xml:space="preserve">          4032 - TAXABLE SALES-JUICE</v>
      </c>
      <c r="C20" s="11"/>
      <c r="D20" s="2">
        <f>--17.54</f>
        <v>17.54</v>
      </c>
      <c r="E20" s="2"/>
      <c r="F20" s="19"/>
      <c r="G20" s="2"/>
      <c r="H20" s="2"/>
      <c r="I20" s="2"/>
      <c r="J20" s="19"/>
      <c r="K20" s="2"/>
      <c r="L20" s="2">
        <f t="shared" si="0"/>
        <v>17.54</v>
      </c>
      <c r="M20" s="2"/>
      <c r="N20" s="19">
        <f t="shared" si="1"/>
        <v>0</v>
      </c>
      <c r="O20" s="11"/>
      <c r="P20" s="2">
        <f>--21.35</f>
        <v>21.35</v>
      </c>
      <c r="Q20" s="2"/>
      <c r="R20" s="19"/>
      <c r="S20" s="2"/>
      <c r="T20" s="2"/>
      <c r="U20" s="2"/>
      <c r="V20" s="19"/>
      <c r="W20" s="2"/>
      <c r="X20" s="2">
        <f t="shared" si="2"/>
        <v>21.35</v>
      </c>
      <c r="Y20" s="2"/>
      <c r="Z20" s="19">
        <f t="shared" si="3"/>
        <v>0</v>
      </c>
    </row>
    <row r="21" spans="1:26" s="24" customFormat="1" hidden="1" outlineLevel="1" x14ac:dyDescent="0.25">
      <c r="A21" s="46"/>
      <c r="B21" s="11" t="str">
        <f>CONCATENATE("          ", "4033", " - ", "TAXABLE SALES-CANDY")</f>
        <v xml:space="preserve">          4033 - TAXABLE SALES-CANDY</v>
      </c>
      <c r="C21" s="11"/>
      <c r="D21" s="2">
        <f>--27.97</f>
        <v>27.97</v>
      </c>
      <c r="E21" s="2"/>
      <c r="F21" s="19"/>
      <c r="G21" s="2"/>
      <c r="H21" s="2"/>
      <c r="I21" s="2"/>
      <c r="J21" s="19"/>
      <c r="K21" s="2"/>
      <c r="L21" s="2">
        <f t="shared" si="0"/>
        <v>27.97</v>
      </c>
      <c r="M21" s="2"/>
      <c r="N21" s="19">
        <f t="shared" si="1"/>
        <v>0</v>
      </c>
      <c r="O21" s="11"/>
      <c r="P21" s="2">
        <f>--40.97</f>
        <v>40.97</v>
      </c>
      <c r="Q21" s="2"/>
      <c r="R21" s="19"/>
      <c r="S21" s="2"/>
      <c r="T21" s="2"/>
      <c r="U21" s="2"/>
      <c r="V21" s="19"/>
      <c r="W21" s="2"/>
      <c r="X21" s="2">
        <f t="shared" si="2"/>
        <v>40.97</v>
      </c>
      <c r="Y21" s="2"/>
      <c r="Z21" s="19">
        <f t="shared" si="3"/>
        <v>0</v>
      </c>
    </row>
    <row r="22" spans="1:26" s="24" customFormat="1" hidden="1" outlineLevel="1" x14ac:dyDescent="0.25">
      <c r="A22" s="46"/>
      <c r="B22" s="11" t="str">
        <f>CONCATENATE("          ", "4034", " - ", "TAXABLE SALES-SODA")</f>
        <v xml:space="preserve">          4034 - TAXABLE SALES-SODA</v>
      </c>
      <c r="C22" s="11"/>
      <c r="D22" s="2">
        <f>--1544.01</f>
        <v>1544.01</v>
      </c>
      <c r="E22" s="2"/>
      <c r="F22" s="19"/>
      <c r="G22" s="2"/>
      <c r="H22" s="2"/>
      <c r="I22" s="2"/>
      <c r="J22" s="19"/>
      <c r="K22" s="2"/>
      <c r="L22" s="2">
        <f t="shared" si="0"/>
        <v>1544.01</v>
      </c>
      <c r="M22" s="2"/>
      <c r="N22" s="19">
        <f t="shared" si="1"/>
        <v>0</v>
      </c>
      <c r="O22" s="11"/>
      <c r="P22" s="2">
        <f>--1859.55</f>
        <v>1859.55</v>
      </c>
      <c r="Q22" s="2"/>
      <c r="R22" s="19"/>
      <c r="S22" s="2"/>
      <c r="T22" s="2"/>
      <c r="U22" s="2"/>
      <c r="V22" s="19"/>
      <c r="W22" s="2"/>
      <c r="X22" s="2">
        <f t="shared" si="2"/>
        <v>1859.55</v>
      </c>
      <c r="Y22" s="2"/>
      <c r="Z22" s="19">
        <f t="shared" si="3"/>
        <v>0</v>
      </c>
    </row>
    <row r="23" spans="1:26" s="24" customFormat="1" hidden="1" outlineLevel="1" x14ac:dyDescent="0.25">
      <c r="A23" s="46"/>
      <c r="B23" s="11" t="str">
        <f>CONCATENATE("          ", "4035", " - ", "TAXABLE SALES-HEALTH &amp; BEAUTY")</f>
        <v xml:space="preserve">          4035 - TAXABLE SALES-HEALTH &amp; BEAUTY</v>
      </c>
      <c r="C23" s="11"/>
      <c r="D23" s="2">
        <f>--330.71</f>
        <v>330.71</v>
      </c>
      <c r="E23" s="2"/>
      <c r="F23" s="19"/>
      <c r="G23" s="2"/>
      <c r="H23" s="2"/>
      <c r="I23" s="2"/>
      <c r="J23" s="19"/>
      <c r="K23" s="2"/>
      <c r="L23" s="2">
        <f t="shared" si="0"/>
        <v>330.71</v>
      </c>
      <c r="M23" s="2"/>
      <c r="N23" s="19">
        <f t="shared" si="1"/>
        <v>0</v>
      </c>
      <c r="O23" s="11"/>
      <c r="P23" s="2">
        <f>--422.23</f>
        <v>422.23</v>
      </c>
      <c r="Q23" s="2"/>
      <c r="R23" s="19"/>
      <c r="S23" s="2"/>
      <c r="T23" s="2"/>
      <c r="U23" s="2"/>
      <c r="V23" s="19"/>
      <c r="W23" s="2"/>
      <c r="X23" s="2">
        <f t="shared" si="2"/>
        <v>422.23</v>
      </c>
      <c r="Y23" s="2"/>
      <c r="Z23" s="19">
        <f t="shared" si="3"/>
        <v>0</v>
      </c>
    </row>
    <row r="24" spans="1:26" s="24" customFormat="1" hidden="1" outlineLevel="1" x14ac:dyDescent="0.25">
      <c r="A24" s="46"/>
      <c r="B24" s="11" t="str">
        <f>CONCATENATE("          ", "4037", " - ", "TAXABLE SALES-WATER")</f>
        <v xml:space="preserve">          4037 - TAXABLE SALES-WATER</v>
      </c>
      <c r="C24" s="11"/>
      <c r="D24" s="2">
        <f>--131.98</f>
        <v>131.97999999999999</v>
      </c>
      <c r="E24" s="2"/>
      <c r="F24" s="19"/>
      <c r="G24" s="2"/>
      <c r="H24" s="2"/>
      <c r="I24" s="2"/>
      <c r="J24" s="19"/>
      <c r="K24" s="2"/>
      <c r="L24" s="2">
        <f t="shared" si="0"/>
        <v>131.97999999999999</v>
      </c>
      <c r="M24" s="2"/>
      <c r="N24" s="19">
        <f t="shared" si="1"/>
        <v>0</v>
      </c>
      <c r="O24" s="11"/>
      <c r="P24" s="2">
        <f>--174.15</f>
        <v>174.15</v>
      </c>
      <c r="Q24" s="2"/>
      <c r="R24" s="19"/>
      <c r="S24" s="2"/>
      <c r="T24" s="2"/>
      <c r="U24" s="2"/>
      <c r="V24" s="19"/>
      <c r="W24" s="2"/>
      <c r="X24" s="2">
        <f t="shared" si="2"/>
        <v>174.15</v>
      </c>
      <c r="Y24" s="2"/>
      <c r="Z24" s="19">
        <f t="shared" si="3"/>
        <v>0</v>
      </c>
    </row>
    <row r="25" spans="1:26" s="24" customFormat="1" hidden="1" outlineLevel="1" x14ac:dyDescent="0.25">
      <c r="A25" s="46"/>
      <c r="B25" s="11" t="str">
        <f>CONCATENATE("          ", "4081", " - ", "TAXABLE SALES-ELECTRONICS")</f>
        <v xml:space="preserve">          4081 - TAXABLE SALES-ELECTRONICS</v>
      </c>
      <c r="C25" s="11"/>
      <c r="D25" s="2">
        <f>--650.56</f>
        <v>650.55999999999995</v>
      </c>
      <c r="E25" s="2"/>
      <c r="F25" s="19"/>
      <c r="G25" s="2"/>
      <c r="H25" s="2"/>
      <c r="I25" s="2"/>
      <c r="J25" s="19"/>
      <c r="K25" s="2"/>
      <c r="L25" s="2">
        <f t="shared" si="0"/>
        <v>650.55999999999995</v>
      </c>
      <c r="M25" s="2"/>
      <c r="N25" s="19">
        <f t="shared" si="1"/>
        <v>0</v>
      </c>
      <c r="O25" s="11"/>
      <c r="P25" s="2">
        <f>--919.42</f>
        <v>919.42</v>
      </c>
      <c r="Q25" s="2"/>
      <c r="R25" s="19"/>
      <c r="S25" s="2"/>
      <c r="T25" s="2"/>
      <c r="U25" s="2"/>
      <c r="V25" s="19"/>
      <c r="W25" s="2"/>
      <c r="X25" s="2">
        <f t="shared" si="2"/>
        <v>919.42</v>
      </c>
      <c r="Y25" s="2"/>
      <c r="Z25" s="19">
        <f t="shared" si="3"/>
        <v>0</v>
      </c>
    </row>
    <row r="26" spans="1:26" s="24" customFormat="1" hidden="1" outlineLevel="1" x14ac:dyDescent="0.25">
      <c r="A26" s="46"/>
      <c r="B26" s="11" t="str">
        <f>CONCATENATE("          ", "4082", " - ", "TAXABLE SALES-COMPUTER HARDWAR")</f>
        <v xml:space="preserve">          4082 - TAXABLE SALES-COMPUTER HARDWAR</v>
      </c>
      <c r="C26" s="11"/>
      <c r="D26" s="2">
        <f>--124</f>
        <v>124</v>
      </c>
      <c r="E26" s="2"/>
      <c r="F26" s="19"/>
      <c r="G26" s="2"/>
      <c r="H26" s="2"/>
      <c r="I26" s="2"/>
      <c r="J26" s="19"/>
      <c r="K26" s="2"/>
      <c r="L26" s="2">
        <f t="shared" si="0"/>
        <v>124</v>
      </c>
      <c r="M26" s="2"/>
      <c r="N26" s="19">
        <f t="shared" si="1"/>
        <v>0</v>
      </c>
      <c r="O26" s="11"/>
      <c r="P26" s="2">
        <f>--162</f>
        <v>162</v>
      </c>
      <c r="Q26" s="2"/>
      <c r="R26" s="19"/>
      <c r="S26" s="2"/>
      <c r="T26" s="2"/>
      <c r="U26" s="2"/>
      <c r="V26" s="19"/>
      <c r="W26" s="2"/>
      <c r="X26" s="2">
        <f t="shared" si="2"/>
        <v>162</v>
      </c>
      <c r="Y26" s="2"/>
      <c r="Z26" s="19">
        <f t="shared" si="3"/>
        <v>0</v>
      </c>
    </row>
    <row r="27" spans="1:26" s="24" customFormat="1" hidden="1" outlineLevel="1" x14ac:dyDescent="0.25">
      <c r="A27" s="46"/>
      <c r="B27" s="11" t="str">
        <f>CONCATENATE("          ", "4083", " - ", "TAXABLE SALES-COMPUTER EQUIPME")</f>
        <v xml:space="preserve">          4083 - TAXABLE SALES-COMPUTER EQUIPME</v>
      </c>
      <c r="C27" s="11"/>
      <c r="D27" s="2">
        <f>--269.82</f>
        <v>269.82</v>
      </c>
      <c r="E27" s="2"/>
      <c r="F27" s="19"/>
      <c r="G27" s="2"/>
      <c r="H27" s="2"/>
      <c r="I27" s="2"/>
      <c r="J27" s="19"/>
      <c r="K27" s="2"/>
      <c r="L27" s="2">
        <f t="shared" si="0"/>
        <v>269.82</v>
      </c>
      <c r="M27" s="2"/>
      <c r="N27" s="19">
        <f t="shared" si="1"/>
        <v>0</v>
      </c>
      <c r="O27" s="11"/>
      <c r="P27" s="2">
        <f>--299.8</f>
        <v>299.8</v>
      </c>
      <c r="Q27" s="2"/>
      <c r="R27" s="19"/>
      <c r="S27" s="2"/>
      <c r="T27" s="2"/>
      <c r="U27" s="2"/>
      <c r="V27" s="19"/>
      <c r="W27" s="2"/>
      <c r="X27" s="2">
        <f t="shared" si="2"/>
        <v>299.8</v>
      </c>
      <c r="Y27" s="2"/>
      <c r="Z27" s="19">
        <f t="shared" si="3"/>
        <v>0</v>
      </c>
    </row>
    <row r="28" spans="1:26" s="24" customFormat="1" hidden="1" outlineLevel="1" x14ac:dyDescent="0.25">
      <c r="A28" s="46"/>
      <c r="B28" s="11" t="str">
        <f>CONCATENATE("          ", "4086", " - ", "TAXABLE SALES-COMPUTER SUPPLIE")</f>
        <v xml:space="preserve">          4086 - TAXABLE SALES-COMPUTER SUPPLIE</v>
      </c>
      <c r="C28" s="11"/>
      <c r="D28" s="2">
        <f>--344.87</f>
        <v>344.87</v>
      </c>
      <c r="E28" s="2"/>
      <c r="F28" s="19"/>
      <c r="G28" s="2"/>
      <c r="H28" s="2"/>
      <c r="I28" s="2"/>
      <c r="J28" s="19"/>
      <c r="K28" s="2"/>
      <c r="L28" s="2">
        <f t="shared" si="0"/>
        <v>344.87</v>
      </c>
      <c r="M28" s="2"/>
      <c r="N28" s="19">
        <f t="shared" si="1"/>
        <v>0</v>
      </c>
      <c r="O28" s="11"/>
      <c r="P28" s="2">
        <f>--453.82</f>
        <v>453.82</v>
      </c>
      <c r="Q28" s="2"/>
      <c r="R28" s="19"/>
      <c r="S28" s="2"/>
      <c r="T28" s="2"/>
      <c r="U28" s="2"/>
      <c r="V28" s="19"/>
      <c r="W28" s="2"/>
      <c r="X28" s="2">
        <f t="shared" si="2"/>
        <v>453.82</v>
      </c>
      <c r="Y28" s="2"/>
      <c r="Z28" s="19">
        <f t="shared" si="3"/>
        <v>0</v>
      </c>
    </row>
    <row r="29" spans="1:26" s="24" customFormat="1" hidden="1" outlineLevel="1" x14ac:dyDescent="0.25">
      <c r="A29" s="46"/>
      <c r="B29" s="11" t="str">
        <f>CONCATENATE("          ", "4100", " - ", "NON-TAXABLE SALES")</f>
        <v xml:space="preserve">          4100 - NON-TAXABLE SALES</v>
      </c>
      <c r="C29" s="11"/>
      <c r="D29" s="2">
        <f>0</f>
        <v>0</v>
      </c>
      <c r="E29" s="2"/>
      <c r="F29" s="19"/>
      <c r="G29" s="2"/>
      <c r="H29" s="2">
        <v>17811</v>
      </c>
      <c r="I29" s="2"/>
      <c r="J29" s="19"/>
      <c r="K29" s="2"/>
      <c r="L29" s="2">
        <f t="shared" si="0"/>
        <v>-17811</v>
      </c>
      <c r="M29" s="2"/>
      <c r="N29" s="19">
        <f t="shared" si="1"/>
        <v>-1</v>
      </c>
      <c r="O29" s="11"/>
      <c r="P29" s="2">
        <f>0</f>
        <v>0</v>
      </c>
      <c r="Q29" s="2"/>
      <c r="R29" s="19"/>
      <c r="S29" s="2"/>
      <c r="T29" s="2">
        <v>22439</v>
      </c>
      <c r="U29" s="2"/>
      <c r="V29" s="19"/>
      <c r="W29" s="2"/>
      <c r="X29" s="2">
        <f t="shared" si="2"/>
        <v>-22439</v>
      </c>
      <c r="Y29" s="2"/>
      <c r="Z29" s="19">
        <f t="shared" si="3"/>
        <v>-1</v>
      </c>
    </row>
    <row r="30" spans="1:26" s="24" customFormat="1" hidden="1" outlineLevel="1" x14ac:dyDescent="0.25">
      <c r="A30" s="46"/>
      <c r="B30" s="11" t="str">
        <f>CONCATENATE("          ", "4127", " - ", "NON-TAXABLE SALES-SCHOOL SUPPL")</f>
        <v xml:space="preserve">          4127 - NON-TAXABLE SALES-SCHOOL SUPPL</v>
      </c>
      <c r="C30" s="11"/>
      <c r="D30" s="2">
        <f>--11.08</f>
        <v>11.08</v>
      </c>
      <c r="E30" s="2"/>
      <c r="F30" s="19"/>
      <c r="G30" s="2"/>
      <c r="H30" s="2"/>
      <c r="I30" s="2"/>
      <c r="J30" s="19"/>
      <c r="K30" s="2"/>
      <c r="L30" s="2">
        <f t="shared" si="0"/>
        <v>11.08</v>
      </c>
      <c r="M30" s="2"/>
      <c r="N30" s="19">
        <f t="shared" si="1"/>
        <v>0</v>
      </c>
      <c r="O30" s="11"/>
      <c r="P30" s="2">
        <f>--11.08</f>
        <v>11.08</v>
      </c>
      <c r="Q30" s="2"/>
      <c r="R30" s="19"/>
      <c r="S30" s="2"/>
      <c r="T30" s="2"/>
      <c r="U30" s="2"/>
      <c r="V30" s="19"/>
      <c r="W30" s="2"/>
      <c r="X30" s="2">
        <f t="shared" si="2"/>
        <v>11.08</v>
      </c>
      <c r="Y30" s="2"/>
      <c r="Z30" s="19">
        <f t="shared" si="3"/>
        <v>0</v>
      </c>
    </row>
    <row r="31" spans="1:26" s="24" customFormat="1" hidden="1" outlineLevel="1" x14ac:dyDescent="0.25">
      <c r="A31" s="46"/>
      <c r="B31" s="11" t="str">
        <f>CONCATENATE("          ", "4128", " - ", "NON-TAXABLE SALES-ART/TECH")</f>
        <v xml:space="preserve">          4128 - NON-TAXABLE SALES-ART/TECH</v>
      </c>
      <c r="C31" s="11"/>
      <c r="D31" s="2">
        <f>--42.21</f>
        <v>42.21</v>
      </c>
      <c r="E31" s="2"/>
      <c r="F31" s="19"/>
      <c r="G31" s="2"/>
      <c r="H31" s="2"/>
      <c r="I31" s="2"/>
      <c r="J31" s="19"/>
      <c r="K31" s="2"/>
      <c r="L31" s="2">
        <f t="shared" si="0"/>
        <v>42.21</v>
      </c>
      <c r="M31" s="2"/>
      <c r="N31" s="19">
        <f t="shared" si="1"/>
        <v>0</v>
      </c>
      <c r="O31" s="11"/>
      <c r="P31" s="2">
        <f>--42.21</f>
        <v>42.21</v>
      </c>
      <c r="Q31" s="2"/>
      <c r="R31" s="19"/>
      <c r="S31" s="2"/>
      <c r="T31" s="2"/>
      <c r="U31" s="2"/>
      <c r="V31" s="19"/>
      <c r="W31" s="2"/>
      <c r="X31" s="2">
        <f t="shared" si="2"/>
        <v>42.21</v>
      </c>
      <c r="Y31" s="2"/>
      <c r="Z31" s="19">
        <f t="shared" si="3"/>
        <v>0</v>
      </c>
    </row>
    <row r="32" spans="1:26" s="24" customFormat="1" hidden="1" outlineLevel="1" x14ac:dyDescent="0.25">
      <c r="A32" s="46"/>
      <c r="B32" s="11" t="str">
        <f>CONCATENATE("          ", "4131", " - ", "NON-TAXABLE SALES-FOOD")</f>
        <v xml:space="preserve">          4131 - NON-TAXABLE SALES-FOOD</v>
      </c>
      <c r="C32" s="11"/>
      <c r="D32" s="2">
        <f>--10307.02</f>
        <v>10307.02</v>
      </c>
      <c r="E32" s="2"/>
      <c r="F32" s="19"/>
      <c r="G32" s="2"/>
      <c r="H32" s="2"/>
      <c r="I32" s="2"/>
      <c r="J32" s="19"/>
      <c r="K32" s="2"/>
      <c r="L32" s="2">
        <f t="shared" si="0"/>
        <v>10307.02</v>
      </c>
      <c r="M32" s="2"/>
      <c r="N32" s="19">
        <f t="shared" si="1"/>
        <v>0</v>
      </c>
      <c r="O32" s="11"/>
      <c r="P32" s="2">
        <f>--12760.29</f>
        <v>12760.29</v>
      </c>
      <c r="Q32" s="2"/>
      <c r="R32" s="19"/>
      <c r="S32" s="2"/>
      <c r="T32" s="2"/>
      <c r="U32" s="2"/>
      <c r="V32" s="19"/>
      <c r="W32" s="2"/>
      <c r="X32" s="2">
        <f t="shared" si="2"/>
        <v>12760.29</v>
      </c>
      <c r="Y32" s="2"/>
      <c r="Z32" s="19">
        <f t="shared" si="3"/>
        <v>0</v>
      </c>
    </row>
    <row r="33" spans="1:26" s="24" customFormat="1" hidden="1" outlineLevel="1" x14ac:dyDescent="0.25">
      <c r="A33" s="46"/>
      <c r="B33" s="11" t="str">
        <f>CONCATENATE("          ", "4132", " - ", "NON-TAXABLE SALES-JUICE")</f>
        <v xml:space="preserve">          4132 - NON-TAXABLE SALES-JUICE</v>
      </c>
      <c r="C33" s="11"/>
      <c r="D33" s="2">
        <f>--3051.46</f>
        <v>3051.46</v>
      </c>
      <c r="E33" s="2"/>
      <c r="F33" s="19"/>
      <c r="G33" s="2"/>
      <c r="H33" s="2"/>
      <c r="I33" s="2"/>
      <c r="J33" s="19"/>
      <c r="K33" s="2"/>
      <c r="L33" s="2">
        <f t="shared" si="0"/>
        <v>3051.46</v>
      </c>
      <c r="M33" s="2"/>
      <c r="N33" s="19">
        <f t="shared" si="1"/>
        <v>0</v>
      </c>
      <c r="O33" s="11"/>
      <c r="P33" s="2">
        <f>--3810.37</f>
        <v>3810.37</v>
      </c>
      <c r="Q33" s="2"/>
      <c r="R33" s="19"/>
      <c r="S33" s="2"/>
      <c r="T33" s="2"/>
      <c r="U33" s="2"/>
      <c r="V33" s="19"/>
      <c r="W33" s="2"/>
      <c r="X33" s="2">
        <f t="shared" si="2"/>
        <v>3810.37</v>
      </c>
      <c r="Y33" s="2"/>
      <c r="Z33" s="19">
        <f t="shared" si="3"/>
        <v>0</v>
      </c>
    </row>
    <row r="34" spans="1:26" s="24" customFormat="1" hidden="1" outlineLevel="1" x14ac:dyDescent="0.25">
      <c r="A34" s="46"/>
      <c r="B34" s="11" t="str">
        <f>CONCATENATE("          ", "4133", " - ", "NON-TAXABLE SALES-CANDY")</f>
        <v xml:space="preserve">          4133 - NON-TAXABLE SALES-CANDY</v>
      </c>
      <c r="C34" s="11"/>
      <c r="D34" s="2">
        <f>--2893.48</f>
        <v>2893.48</v>
      </c>
      <c r="E34" s="2"/>
      <c r="F34" s="19"/>
      <c r="G34" s="2"/>
      <c r="H34" s="2"/>
      <c r="I34" s="2"/>
      <c r="J34" s="19"/>
      <c r="K34" s="2"/>
      <c r="L34" s="2">
        <f t="shared" si="0"/>
        <v>2893.48</v>
      </c>
      <c r="M34" s="2"/>
      <c r="N34" s="19">
        <f t="shared" si="1"/>
        <v>0</v>
      </c>
      <c r="O34" s="11"/>
      <c r="P34" s="2">
        <f>--3792.63</f>
        <v>3792.63</v>
      </c>
      <c r="Q34" s="2"/>
      <c r="R34" s="19"/>
      <c r="S34" s="2"/>
      <c r="T34" s="2"/>
      <c r="U34" s="2"/>
      <c r="V34" s="19"/>
      <c r="W34" s="2"/>
      <c r="X34" s="2">
        <f t="shared" si="2"/>
        <v>3792.63</v>
      </c>
      <c r="Y34" s="2"/>
      <c r="Z34" s="19">
        <f t="shared" si="3"/>
        <v>0</v>
      </c>
    </row>
    <row r="35" spans="1:26" s="24" customFormat="1" hidden="1" outlineLevel="1" x14ac:dyDescent="0.25">
      <c r="A35" s="46"/>
      <c r="B35" s="11" t="str">
        <f>CONCATENATE("          ", "4135", " - ", "NON-TAXABLE SALES")</f>
        <v xml:space="preserve">          4135 - NON-TAXABLE SALES</v>
      </c>
      <c r="C35" s="11"/>
      <c r="D35" s="2">
        <f>--28.72</f>
        <v>28.72</v>
      </c>
      <c r="E35" s="2"/>
      <c r="F35" s="19"/>
      <c r="G35" s="2"/>
      <c r="H35" s="2"/>
      <c r="I35" s="2"/>
      <c r="J35" s="19"/>
      <c r="K35" s="2"/>
      <c r="L35" s="2">
        <f t="shared" si="0"/>
        <v>28.72</v>
      </c>
      <c r="M35" s="2"/>
      <c r="N35" s="19">
        <f t="shared" si="1"/>
        <v>0</v>
      </c>
      <c r="O35" s="11"/>
      <c r="P35" s="2">
        <f>--35.9</f>
        <v>35.9</v>
      </c>
      <c r="Q35" s="2"/>
      <c r="R35" s="19"/>
      <c r="S35" s="2"/>
      <c r="T35" s="2"/>
      <c r="U35" s="2"/>
      <c r="V35" s="19"/>
      <c r="W35" s="2"/>
      <c r="X35" s="2">
        <f t="shared" si="2"/>
        <v>35.9</v>
      </c>
      <c r="Y35" s="2"/>
      <c r="Z35" s="19">
        <f t="shared" si="3"/>
        <v>0</v>
      </c>
    </row>
    <row r="36" spans="1:26" s="24" customFormat="1" hidden="1" outlineLevel="1" x14ac:dyDescent="0.25">
      <c r="A36" s="46"/>
      <c r="B36" s="11" t="str">
        <f>CONCATENATE("          ", "4137", " - ", "NON-TAXABLE SALES-WATER")</f>
        <v xml:space="preserve">          4137 - NON-TAXABLE SALES-WATER</v>
      </c>
      <c r="C36" s="11"/>
      <c r="D36" s="2">
        <f>--1614.65</f>
        <v>1614.65</v>
      </c>
      <c r="E36" s="2"/>
      <c r="F36" s="19"/>
      <c r="G36" s="2"/>
      <c r="H36" s="2"/>
      <c r="I36" s="2"/>
      <c r="J36" s="19"/>
      <c r="K36" s="2"/>
      <c r="L36" s="2">
        <f t="shared" si="0"/>
        <v>1614.65</v>
      </c>
      <c r="M36" s="2"/>
      <c r="N36" s="19">
        <f t="shared" si="1"/>
        <v>0</v>
      </c>
      <c r="O36" s="11"/>
      <c r="P36" s="2">
        <f>--2167.37</f>
        <v>2167.37</v>
      </c>
      <c r="Q36" s="2"/>
      <c r="R36" s="19"/>
      <c r="S36" s="2"/>
      <c r="T36" s="2"/>
      <c r="U36" s="2"/>
      <c r="V36" s="19"/>
      <c r="W36" s="2"/>
      <c r="X36" s="2">
        <f t="shared" si="2"/>
        <v>2167.37</v>
      </c>
      <c r="Y36" s="2"/>
      <c r="Z36" s="19">
        <f t="shared" si="3"/>
        <v>0</v>
      </c>
    </row>
    <row r="37" spans="1:26" s="24" customFormat="1" hidden="1" outlineLevel="1" x14ac:dyDescent="0.25">
      <c r="A37" s="46"/>
      <c r="B37" s="11" t="str">
        <f>CONCATENATE("          ", "4186", " - ", "NON-TAXABLE SALES-COMPUTER SUP")</f>
        <v xml:space="preserve">          4186 - NON-TAXABLE SALES-COMPUTER SUP</v>
      </c>
      <c r="C37" s="11"/>
      <c r="D37" s="2">
        <f>-34.98</f>
        <v>-34.979999999999997</v>
      </c>
      <c r="E37" s="2"/>
      <c r="F37" s="19"/>
      <c r="G37" s="2"/>
      <c r="H37" s="2"/>
      <c r="I37" s="2"/>
      <c r="J37" s="19"/>
      <c r="K37" s="2"/>
      <c r="L37" s="2">
        <f t="shared" si="0"/>
        <v>-34.979999999999997</v>
      </c>
      <c r="M37" s="2"/>
      <c r="N37" s="19">
        <f t="shared" si="1"/>
        <v>0</v>
      </c>
      <c r="O37" s="11"/>
      <c r="P37" s="2">
        <f>-34.98</f>
        <v>-34.979999999999997</v>
      </c>
      <c r="Q37" s="2"/>
      <c r="R37" s="19"/>
      <c r="S37" s="2"/>
      <c r="T37" s="2"/>
      <c r="U37" s="2"/>
      <c r="V37" s="19"/>
      <c r="W37" s="2"/>
      <c r="X37" s="2">
        <f t="shared" si="2"/>
        <v>-34.979999999999997</v>
      </c>
      <c r="Y37" s="2"/>
      <c r="Z37" s="19">
        <f t="shared" si="3"/>
        <v>0</v>
      </c>
    </row>
    <row r="38" spans="1:26" s="24" customFormat="1" hidden="1" outlineLevel="1" x14ac:dyDescent="0.25">
      <c r="A38" s="46"/>
      <c r="B38" s="11" t="str">
        <f>CONCATENATE("          ", "4226", " - ", "SALES RETURN TAXABLE-WRITING I")</f>
        <v xml:space="preserve">          4226 - SALES RETURN TAXABLE-WRITING I</v>
      </c>
      <c r="C38" s="11"/>
      <c r="D38" s="2">
        <f>-2.99</f>
        <v>-2.99</v>
      </c>
      <c r="E38" s="2"/>
      <c r="F38" s="19"/>
      <c r="G38" s="2"/>
      <c r="H38" s="2"/>
      <c r="I38" s="2"/>
      <c r="J38" s="19"/>
      <c r="K38" s="2"/>
      <c r="L38" s="2">
        <f t="shared" si="0"/>
        <v>-2.99</v>
      </c>
      <c r="M38" s="2"/>
      <c r="N38" s="19">
        <f t="shared" si="1"/>
        <v>0</v>
      </c>
      <c r="O38" s="11"/>
      <c r="P38" s="2">
        <f>-2.99</f>
        <v>-2.99</v>
      </c>
      <c r="Q38" s="2"/>
      <c r="R38" s="19"/>
      <c r="S38" s="2"/>
      <c r="T38" s="2"/>
      <c r="U38" s="2"/>
      <c r="V38" s="19"/>
      <c r="W38" s="2"/>
      <c r="X38" s="2">
        <f t="shared" si="2"/>
        <v>-2.99</v>
      </c>
      <c r="Y38" s="2"/>
      <c r="Z38" s="19">
        <f t="shared" si="3"/>
        <v>0</v>
      </c>
    </row>
    <row r="39" spans="1:26" s="24" customFormat="1" hidden="1" outlineLevel="1" x14ac:dyDescent="0.25">
      <c r="A39" s="46"/>
      <c r="B39" s="11" t="str">
        <f>CONCATENATE("          ", "4227", " - ", "SALES RETURN TAXABLE-SCHOOL SU")</f>
        <v xml:space="preserve">          4227 - SALES RETURN TAXABLE-SCHOOL SU</v>
      </c>
      <c r="C39" s="11"/>
      <c r="D39" s="2">
        <f>-11.76</f>
        <v>-11.76</v>
      </c>
      <c r="E39" s="2"/>
      <c r="F39" s="19"/>
      <c r="G39" s="2"/>
      <c r="H39" s="2"/>
      <c r="I39" s="2"/>
      <c r="J39" s="19"/>
      <c r="K39" s="2"/>
      <c r="L39" s="2">
        <f t="shared" si="0"/>
        <v>-11.76</v>
      </c>
      <c r="M39" s="2"/>
      <c r="N39" s="19">
        <f t="shared" si="1"/>
        <v>0</v>
      </c>
      <c r="O39" s="11"/>
      <c r="P39" s="2">
        <f>-22.22</f>
        <v>-22.22</v>
      </c>
      <c r="Q39" s="2"/>
      <c r="R39" s="19"/>
      <c r="S39" s="2"/>
      <c r="T39" s="2"/>
      <c r="U39" s="2"/>
      <c r="V39" s="19"/>
      <c r="W39" s="2"/>
      <c r="X39" s="2">
        <f t="shared" si="2"/>
        <v>-22.22</v>
      </c>
      <c r="Y39" s="2"/>
      <c r="Z39" s="19">
        <f t="shared" si="3"/>
        <v>0</v>
      </c>
    </row>
    <row r="40" spans="1:26" s="24" customFormat="1" hidden="1" outlineLevel="1" x14ac:dyDescent="0.25">
      <c r="A40" s="46"/>
      <c r="B40" s="11" t="str">
        <f>CONCATENATE("          ", "4228", " - ", "SALES RETURN TAXABLE-ART/TECH")</f>
        <v xml:space="preserve">          4228 - SALES RETURN TAXABLE-ART/TECH</v>
      </c>
      <c r="C40" s="11"/>
      <c r="D40" s="2">
        <f>-923.16</f>
        <v>-923.16</v>
      </c>
      <c r="E40" s="2"/>
      <c r="F40" s="19"/>
      <c r="G40" s="2"/>
      <c r="H40" s="2"/>
      <c r="I40" s="2"/>
      <c r="J40" s="19"/>
      <c r="K40" s="2"/>
      <c r="L40" s="2">
        <f t="shared" si="0"/>
        <v>-923.16</v>
      </c>
      <c r="M40" s="2"/>
      <c r="N40" s="19">
        <f t="shared" si="1"/>
        <v>0</v>
      </c>
      <c r="O40" s="11"/>
      <c r="P40" s="2">
        <f>-1705.03</f>
        <v>-1705.03</v>
      </c>
      <c r="Q40" s="2"/>
      <c r="R40" s="19"/>
      <c r="S40" s="2"/>
      <c r="T40" s="2"/>
      <c r="U40" s="2"/>
      <c r="V40" s="19"/>
      <c r="W40" s="2"/>
      <c r="X40" s="2">
        <f t="shared" si="2"/>
        <v>-1705.03</v>
      </c>
      <c r="Y40" s="2"/>
      <c r="Z40" s="19">
        <f t="shared" si="3"/>
        <v>0</v>
      </c>
    </row>
    <row r="41" spans="1:26" s="24" customFormat="1" hidden="1" outlineLevel="1" x14ac:dyDescent="0.25">
      <c r="A41" s="46"/>
      <c r="B41" s="11" t="str">
        <f>CONCATENATE("          ", "4281", " - ", "SALES RETURN TAXABLE-ELECTRONI")</f>
        <v xml:space="preserve">          4281 - SALES RETURN TAXABLE-ELECTRONI</v>
      </c>
      <c r="C41" s="11"/>
      <c r="D41" s="2">
        <f>-24.99</f>
        <v>-24.99</v>
      </c>
      <c r="E41" s="2"/>
      <c r="F41" s="19"/>
      <c r="G41" s="2"/>
      <c r="H41" s="2"/>
      <c r="I41" s="2"/>
      <c r="J41" s="19"/>
      <c r="K41" s="2"/>
      <c r="L41" s="2">
        <f t="shared" si="0"/>
        <v>-24.99</v>
      </c>
      <c r="M41" s="2"/>
      <c r="N41" s="19">
        <f t="shared" si="1"/>
        <v>0</v>
      </c>
      <c r="O41" s="11"/>
      <c r="P41" s="2">
        <f>-24.99</f>
        <v>-24.99</v>
      </c>
      <c r="Q41" s="2"/>
      <c r="R41" s="19"/>
      <c r="S41" s="2"/>
      <c r="T41" s="2"/>
      <c r="U41" s="2"/>
      <c r="V41" s="19"/>
      <c r="W41" s="2"/>
      <c r="X41" s="2">
        <f t="shared" si="2"/>
        <v>-24.99</v>
      </c>
      <c r="Y41" s="2"/>
      <c r="Z41" s="19">
        <f t="shared" si="3"/>
        <v>0</v>
      </c>
    </row>
    <row r="42" spans="1:26" x14ac:dyDescent="0.25">
      <c r="A42" s="9"/>
      <c r="B42" s="10"/>
      <c r="C42" s="9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s="23" customFormat="1" collapsed="1" x14ac:dyDescent="0.25">
      <c r="A43" s="10"/>
      <c r="B43" s="28" t="s">
        <v>8</v>
      </c>
      <c r="C43" s="10"/>
      <c r="D43" s="4">
        <f>SUM(OSRRefD16x_0)</f>
        <v>37906</v>
      </c>
      <c r="E43" s="4"/>
      <c r="F43" s="12">
        <f t="shared" ref="F43:F61" si="4">IF(D$12=0,0,D43/D$12)</f>
        <v>0.52159214812963817</v>
      </c>
      <c r="G43" s="4"/>
      <c r="H43" s="4">
        <f>SUM(OSRRefH16x_0)</f>
        <v>33728</v>
      </c>
      <c r="I43" s="4"/>
      <c r="J43" s="12">
        <f t="shared" ref="J43:J61" si="5">IF(H$12=0,0,H43/H$12)</f>
        <v>0.43723100855587244</v>
      </c>
      <c r="K43" s="4"/>
      <c r="L43" s="4">
        <f t="shared" ref="L43:L61" si="6">+D43-H43</f>
        <v>4178</v>
      </c>
      <c r="M43" s="4"/>
      <c r="N43" s="12">
        <f t="shared" ref="N43:N61" si="7">IF(H43=0,0,L43/H43)</f>
        <v>0.12387333965844402</v>
      </c>
      <c r="O43" s="10"/>
      <c r="P43" s="4">
        <f>SUM(OSRRefP16x_0)</f>
        <v>67324.140000000014</v>
      </c>
      <c r="Q43" s="4"/>
      <c r="R43" s="12">
        <f t="shared" ref="R43:R61" si="8">IF(P$12=0,0,P43/P$12)</f>
        <v>0.52449870683026412</v>
      </c>
      <c r="S43" s="4"/>
      <c r="T43" s="4">
        <f>SUM(OSRRefT16x_0)</f>
        <v>56596</v>
      </c>
      <c r="U43" s="4"/>
      <c r="V43" s="12">
        <f t="shared" ref="V43:V61" si="9">IF(T$12=0,0,T43/T$12)</f>
        <v>0.43091869832036422</v>
      </c>
      <c r="W43" s="4"/>
      <c r="X43" s="4">
        <f t="shared" ref="X43:X61" si="10">+P43-T43</f>
        <v>10728.140000000014</v>
      </c>
      <c r="Y43" s="4"/>
      <c r="Z43" s="12">
        <f t="shared" ref="Z43:Z61" si="11">IF(T43=0,0,X43/T43)</f>
        <v>0.18955650576012464</v>
      </c>
    </row>
    <row r="44" spans="1:26" s="24" customFormat="1" hidden="1" outlineLevel="1" x14ac:dyDescent="0.25">
      <c r="A44" s="46"/>
      <c r="B44" s="11" t="str">
        <f>CONCATENATE("          ", "5000", " - ", "PURCHASES @ COST")</f>
        <v xml:space="preserve">          5000 - PURCHASES @ COST</v>
      </c>
      <c r="C44" s="11"/>
      <c r="D44" s="2"/>
      <c r="E44" s="2"/>
      <c r="F44" s="19">
        <f t="shared" si="4"/>
        <v>0</v>
      </c>
      <c r="G44" s="2"/>
      <c r="H44" s="2">
        <v>33728</v>
      </c>
      <c r="I44" s="2"/>
      <c r="J44" s="19">
        <f t="shared" si="5"/>
        <v>0.43723100855587244</v>
      </c>
      <c r="K44" s="2"/>
      <c r="L44" s="2">
        <f t="shared" si="6"/>
        <v>-33728</v>
      </c>
      <c r="M44" s="2"/>
      <c r="N44" s="19">
        <f t="shared" si="7"/>
        <v>-1</v>
      </c>
      <c r="O44" s="11"/>
      <c r="P44" s="2"/>
      <c r="Q44" s="2"/>
      <c r="R44" s="19">
        <f t="shared" si="8"/>
        <v>0</v>
      </c>
      <c r="S44" s="2"/>
      <c r="T44" s="2">
        <v>56596</v>
      </c>
      <c r="U44" s="2"/>
      <c r="V44" s="19">
        <f t="shared" si="9"/>
        <v>0.43091869832036422</v>
      </c>
      <c r="W44" s="2"/>
      <c r="X44" s="2">
        <f t="shared" si="10"/>
        <v>-56596</v>
      </c>
      <c r="Y44" s="2"/>
      <c r="Z44" s="19">
        <f t="shared" si="11"/>
        <v>-1</v>
      </c>
    </row>
    <row r="45" spans="1:26" s="24" customFormat="1" hidden="1" outlineLevel="1" x14ac:dyDescent="0.25">
      <c r="A45" s="46"/>
      <c r="B45" s="11" t="str">
        <f>CONCATENATE("          ", "5025", " - ", "PURCHASES @ COST-TEST FORMS")</f>
        <v xml:space="preserve">          5025 - PURCHASES @ COST-TEST FORMS</v>
      </c>
      <c r="C45" s="11"/>
      <c r="D45" s="2">
        <v>144.22</v>
      </c>
      <c r="E45" s="2"/>
      <c r="F45" s="19">
        <f t="shared" si="4"/>
        <v>1.9844884610155759E-3</v>
      </c>
      <c r="G45" s="2"/>
      <c r="H45" s="2"/>
      <c r="I45" s="2"/>
      <c r="J45" s="19">
        <f t="shared" si="5"/>
        <v>0</v>
      </c>
      <c r="K45" s="2"/>
      <c r="L45" s="2">
        <f t="shared" si="6"/>
        <v>144.22</v>
      </c>
      <c r="M45" s="2"/>
      <c r="N45" s="19">
        <f t="shared" si="7"/>
        <v>0</v>
      </c>
      <c r="O45" s="11"/>
      <c r="P45" s="2">
        <v>144.22</v>
      </c>
      <c r="Q45" s="2"/>
      <c r="R45" s="19">
        <f t="shared" si="8"/>
        <v>1.1235673192269619E-3</v>
      </c>
      <c r="S45" s="2"/>
      <c r="T45" s="2"/>
      <c r="U45" s="2"/>
      <c r="V45" s="19">
        <f t="shared" si="9"/>
        <v>0</v>
      </c>
      <c r="W45" s="2"/>
      <c r="X45" s="2">
        <f t="shared" si="10"/>
        <v>144.22</v>
      </c>
      <c r="Y45" s="2"/>
      <c r="Z45" s="19">
        <f t="shared" si="11"/>
        <v>0</v>
      </c>
    </row>
    <row r="46" spans="1:26" s="24" customFormat="1" hidden="1" outlineLevel="1" x14ac:dyDescent="0.25">
      <c r="A46" s="46"/>
      <c r="B46" s="11" t="str">
        <f>CONCATENATE("          ", "5026", " - ", "PURCHASES @ COST-WRITING INSTR")</f>
        <v xml:space="preserve">          5026 - PURCHASES @ COST-WRITING INSTR</v>
      </c>
      <c r="C46" s="11"/>
      <c r="D46" s="2">
        <v>171.78</v>
      </c>
      <c r="E46" s="2"/>
      <c r="F46" s="19">
        <f t="shared" si="4"/>
        <v>2.3637181239304925E-3</v>
      </c>
      <c r="G46" s="2"/>
      <c r="H46" s="2"/>
      <c r="I46" s="2"/>
      <c r="J46" s="19">
        <f t="shared" si="5"/>
        <v>0</v>
      </c>
      <c r="K46" s="2"/>
      <c r="L46" s="2">
        <f t="shared" si="6"/>
        <v>171.78</v>
      </c>
      <c r="M46" s="2"/>
      <c r="N46" s="19">
        <f t="shared" si="7"/>
        <v>0</v>
      </c>
      <c r="O46" s="11"/>
      <c r="P46" s="2">
        <v>562.6</v>
      </c>
      <c r="Q46" s="2"/>
      <c r="R46" s="19">
        <f t="shared" si="8"/>
        <v>4.3830188170648236E-3</v>
      </c>
      <c r="S46" s="2"/>
      <c r="T46" s="2"/>
      <c r="U46" s="2"/>
      <c r="V46" s="19">
        <f t="shared" si="9"/>
        <v>0</v>
      </c>
      <c r="W46" s="2"/>
      <c r="X46" s="2">
        <f t="shared" si="10"/>
        <v>562.6</v>
      </c>
      <c r="Y46" s="2"/>
      <c r="Z46" s="19">
        <f t="shared" si="11"/>
        <v>0</v>
      </c>
    </row>
    <row r="47" spans="1:26" s="24" customFormat="1" hidden="1" outlineLevel="1" x14ac:dyDescent="0.25">
      <c r="A47" s="46"/>
      <c r="B47" s="11" t="str">
        <f>CONCATENATE("          ", "5027", " - ", "PURCHASES @ COST-SCHOOL SUPPLI")</f>
        <v xml:space="preserve">          5027 - PURCHASES @ COST-SCHOOL SUPPLI</v>
      </c>
      <c r="C47" s="11"/>
      <c r="D47" s="2">
        <v>366.46</v>
      </c>
      <c r="E47" s="2"/>
      <c r="F47" s="19">
        <f t="shared" si="4"/>
        <v>5.0425436237953678E-3</v>
      </c>
      <c r="G47" s="2"/>
      <c r="H47" s="2"/>
      <c r="I47" s="2"/>
      <c r="J47" s="19">
        <f t="shared" si="5"/>
        <v>0</v>
      </c>
      <c r="K47" s="2"/>
      <c r="L47" s="2">
        <f t="shared" si="6"/>
        <v>366.46</v>
      </c>
      <c r="M47" s="2"/>
      <c r="N47" s="19">
        <f t="shared" si="7"/>
        <v>0</v>
      </c>
      <c r="O47" s="11"/>
      <c r="P47" s="2">
        <v>763.19</v>
      </c>
      <c r="Q47" s="2"/>
      <c r="R47" s="19">
        <f t="shared" si="8"/>
        <v>5.9457449893275905E-3</v>
      </c>
      <c r="S47" s="2"/>
      <c r="T47" s="2"/>
      <c r="U47" s="2"/>
      <c r="V47" s="19">
        <f t="shared" si="9"/>
        <v>0</v>
      </c>
      <c r="W47" s="2"/>
      <c r="X47" s="2">
        <f t="shared" si="10"/>
        <v>763.19</v>
      </c>
      <c r="Y47" s="2"/>
      <c r="Z47" s="19">
        <f t="shared" si="11"/>
        <v>0</v>
      </c>
    </row>
    <row r="48" spans="1:26" s="24" customFormat="1" hidden="1" outlineLevel="1" x14ac:dyDescent="0.25">
      <c r="A48" s="46"/>
      <c r="B48" s="11" t="str">
        <f>CONCATENATE("          ", "5028", " - ", "PURCHASES @ COST-ART/TECH")</f>
        <v xml:space="preserve">          5028 - PURCHASES @ COST-ART/TECH</v>
      </c>
      <c r="C48" s="11"/>
      <c r="D48" s="2">
        <v>14367.38</v>
      </c>
      <c r="E48" s="2"/>
      <c r="F48" s="19">
        <f t="shared" si="4"/>
        <v>0.19769726684943811</v>
      </c>
      <c r="G48" s="2"/>
      <c r="H48" s="2"/>
      <c r="I48" s="2"/>
      <c r="J48" s="19">
        <f t="shared" si="5"/>
        <v>0</v>
      </c>
      <c r="K48" s="2"/>
      <c r="L48" s="2">
        <f t="shared" si="6"/>
        <v>14367.38</v>
      </c>
      <c r="M48" s="2"/>
      <c r="N48" s="19">
        <f t="shared" si="7"/>
        <v>0</v>
      </c>
      <c r="O48" s="11"/>
      <c r="P48" s="2">
        <v>67765.95</v>
      </c>
      <c r="Q48" s="2"/>
      <c r="R48" s="19">
        <f t="shared" si="8"/>
        <v>0.5279406932212477</v>
      </c>
      <c r="S48" s="2"/>
      <c r="T48" s="2"/>
      <c r="U48" s="2"/>
      <c r="V48" s="19">
        <f t="shared" si="9"/>
        <v>0</v>
      </c>
      <c r="W48" s="2"/>
      <c r="X48" s="2">
        <f t="shared" si="10"/>
        <v>67765.95</v>
      </c>
      <c r="Y48" s="2"/>
      <c r="Z48" s="19">
        <f t="shared" si="11"/>
        <v>0</v>
      </c>
    </row>
    <row r="49" spans="1:26" s="24" customFormat="1" hidden="1" outlineLevel="1" x14ac:dyDescent="0.25">
      <c r="A49" s="46"/>
      <c r="B49" s="11" t="str">
        <f>CONCATENATE("          ", "5031", " - ", "PURCHASES @ COST-FOOD")</f>
        <v xml:space="preserve">          5031 - PURCHASES @ COST-FOOD</v>
      </c>
      <c r="C49" s="11"/>
      <c r="D49" s="2">
        <v>5471.01</v>
      </c>
      <c r="E49" s="2"/>
      <c r="F49" s="19">
        <f t="shared" si="4"/>
        <v>7.5281904140208203E-2</v>
      </c>
      <c r="G49" s="2"/>
      <c r="H49" s="2"/>
      <c r="I49" s="2"/>
      <c r="J49" s="19">
        <f t="shared" si="5"/>
        <v>0</v>
      </c>
      <c r="K49" s="2"/>
      <c r="L49" s="2">
        <f t="shared" si="6"/>
        <v>5471.01</v>
      </c>
      <c r="M49" s="2"/>
      <c r="N49" s="19">
        <f t="shared" si="7"/>
        <v>0</v>
      </c>
      <c r="O49" s="11"/>
      <c r="P49" s="2">
        <v>8000.94</v>
      </c>
      <c r="Q49" s="2"/>
      <c r="R49" s="19">
        <f t="shared" si="8"/>
        <v>6.2332510796670147E-2</v>
      </c>
      <c r="S49" s="2"/>
      <c r="T49" s="2"/>
      <c r="U49" s="2"/>
      <c r="V49" s="19">
        <f t="shared" si="9"/>
        <v>0</v>
      </c>
      <c r="W49" s="2"/>
      <c r="X49" s="2">
        <f t="shared" si="10"/>
        <v>8000.94</v>
      </c>
      <c r="Y49" s="2"/>
      <c r="Z49" s="19">
        <f t="shared" si="11"/>
        <v>0</v>
      </c>
    </row>
    <row r="50" spans="1:26" s="24" customFormat="1" hidden="1" outlineLevel="1" x14ac:dyDescent="0.25">
      <c r="A50" s="46"/>
      <c r="B50" s="11" t="str">
        <f>CONCATENATE("          ", "5032", " - ", "PURCHASES @ COST-JUICE")</f>
        <v xml:space="preserve">          5032 - PURCHASES @ COST-JUICE</v>
      </c>
      <c r="C50" s="11"/>
      <c r="D50" s="2">
        <v>477.55</v>
      </c>
      <c r="E50" s="2"/>
      <c r="F50" s="19">
        <f t="shared" si="4"/>
        <v>6.5711584007626424E-3</v>
      </c>
      <c r="G50" s="2"/>
      <c r="H50" s="2"/>
      <c r="I50" s="2"/>
      <c r="J50" s="19">
        <f t="shared" si="5"/>
        <v>0</v>
      </c>
      <c r="K50" s="2"/>
      <c r="L50" s="2">
        <f t="shared" si="6"/>
        <v>477.55</v>
      </c>
      <c r="M50" s="2"/>
      <c r="N50" s="19">
        <f t="shared" si="7"/>
        <v>0</v>
      </c>
      <c r="O50" s="11"/>
      <c r="P50" s="2">
        <v>819.15</v>
      </c>
      <c r="Q50" s="2"/>
      <c r="R50" s="19">
        <f t="shared" si="8"/>
        <v>6.3817096764995553E-3</v>
      </c>
      <c r="S50" s="2"/>
      <c r="T50" s="2"/>
      <c r="U50" s="2"/>
      <c r="V50" s="19">
        <f t="shared" si="9"/>
        <v>0</v>
      </c>
      <c r="W50" s="2"/>
      <c r="X50" s="2">
        <f t="shared" si="10"/>
        <v>819.15</v>
      </c>
      <c r="Y50" s="2"/>
      <c r="Z50" s="19">
        <f t="shared" si="11"/>
        <v>0</v>
      </c>
    </row>
    <row r="51" spans="1:26" s="24" customFormat="1" hidden="1" outlineLevel="1" x14ac:dyDescent="0.25">
      <c r="A51" s="46"/>
      <c r="B51" s="11" t="str">
        <f>CONCATENATE("          ", "5033", " - ", "PURCHASES @ COST-CANDY")</f>
        <v xml:space="preserve">          5033 - PURCHASES @ COST-CANDY</v>
      </c>
      <c r="C51" s="11"/>
      <c r="D51" s="2">
        <v>1366.65</v>
      </c>
      <c r="E51" s="2"/>
      <c r="F51" s="19">
        <f t="shared" si="4"/>
        <v>1.8805305472520711E-2</v>
      </c>
      <c r="G51" s="2"/>
      <c r="H51" s="2"/>
      <c r="I51" s="2"/>
      <c r="J51" s="19">
        <f t="shared" si="5"/>
        <v>0</v>
      </c>
      <c r="K51" s="2"/>
      <c r="L51" s="2">
        <f t="shared" si="6"/>
        <v>1366.65</v>
      </c>
      <c r="M51" s="2"/>
      <c r="N51" s="19">
        <f t="shared" si="7"/>
        <v>0</v>
      </c>
      <c r="O51" s="11"/>
      <c r="P51" s="2">
        <v>2272.16</v>
      </c>
      <c r="Q51" s="2"/>
      <c r="R51" s="19">
        <f t="shared" si="8"/>
        <v>1.7701599778496283E-2</v>
      </c>
      <c r="S51" s="2"/>
      <c r="T51" s="2"/>
      <c r="U51" s="2"/>
      <c r="V51" s="19">
        <f t="shared" si="9"/>
        <v>0</v>
      </c>
      <c r="W51" s="2"/>
      <c r="X51" s="2">
        <f t="shared" si="10"/>
        <v>2272.16</v>
      </c>
      <c r="Y51" s="2"/>
      <c r="Z51" s="19">
        <f t="shared" si="11"/>
        <v>0</v>
      </c>
    </row>
    <row r="52" spans="1:26" s="24" customFormat="1" hidden="1" outlineLevel="1" x14ac:dyDescent="0.25">
      <c r="A52" s="46"/>
      <c r="B52" s="11" t="str">
        <f>CONCATENATE("          ", "5034", " - ", "PURCHASES @ COST-SODA")</f>
        <v xml:space="preserve">          5034 - PURCHASES @ COST-SODA</v>
      </c>
      <c r="C52" s="11"/>
      <c r="D52" s="2">
        <v>330.04</v>
      </c>
      <c r="E52" s="2"/>
      <c r="F52" s="19">
        <f t="shared" si="4"/>
        <v>4.5413990547329133E-3</v>
      </c>
      <c r="G52" s="2"/>
      <c r="H52" s="2"/>
      <c r="I52" s="2"/>
      <c r="J52" s="19">
        <f t="shared" si="5"/>
        <v>0</v>
      </c>
      <c r="K52" s="2"/>
      <c r="L52" s="2">
        <f t="shared" si="6"/>
        <v>330.04</v>
      </c>
      <c r="M52" s="2"/>
      <c r="N52" s="19">
        <f t="shared" si="7"/>
        <v>0</v>
      </c>
      <c r="O52" s="11"/>
      <c r="P52" s="2">
        <v>618.54</v>
      </c>
      <c r="Q52" s="2"/>
      <c r="R52" s="19">
        <f t="shared" si="8"/>
        <v>4.8188276912678202E-3</v>
      </c>
      <c r="S52" s="2"/>
      <c r="T52" s="2"/>
      <c r="U52" s="2"/>
      <c r="V52" s="19">
        <f t="shared" si="9"/>
        <v>0</v>
      </c>
      <c r="W52" s="2"/>
      <c r="X52" s="2">
        <f t="shared" si="10"/>
        <v>618.54</v>
      </c>
      <c r="Y52" s="2"/>
      <c r="Z52" s="19">
        <f t="shared" si="11"/>
        <v>0</v>
      </c>
    </row>
    <row r="53" spans="1:26" s="24" customFormat="1" hidden="1" outlineLevel="1" x14ac:dyDescent="0.25">
      <c r="A53" s="46"/>
      <c r="B53" s="11" t="str">
        <f>CONCATENATE("          ", "5035", " - ", "PURCHASES @ COST-HEALTH &amp; BEAU")</f>
        <v xml:space="preserve">          5035 - PURCHASES @ COST-HEALTH &amp; BEAU</v>
      </c>
      <c r="C53" s="11"/>
      <c r="D53" s="2">
        <v>210.83</v>
      </c>
      <c r="E53" s="2"/>
      <c r="F53" s="19">
        <f t="shared" si="4"/>
        <v>2.9010518807094294E-3</v>
      </c>
      <c r="G53" s="2"/>
      <c r="H53" s="2"/>
      <c r="I53" s="2"/>
      <c r="J53" s="19">
        <f t="shared" si="5"/>
        <v>0</v>
      </c>
      <c r="K53" s="2"/>
      <c r="L53" s="2">
        <f t="shared" si="6"/>
        <v>210.83</v>
      </c>
      <c r="M53" s="2"/>
      <c r="N53" s="19">
        <f t="shared" si="7"/>
        <v>0</v>
      </c>
      <c r="O53" s="11"/>
      <c r="P53" s="2">
        <v>253.07</v>
      </c>
      <c r="Q53" s="2"/>
      <c r="R53" s="19">
        <f t="shared" si="8"/>
        <v>1.9715794028343312E-3</v>
      </c>
      <c r="S53" s="2"/>
      <c r="T53" s="2"/>
      <c r="U53" s="2"/>
      <c r="V53" s="19">
        <f t="shared" si="9"/>
        <v>0</v>
      </c>
      <c r="W53" s="2"/>
      <c r="X53" s="2">
        <f t="shared" si="10"/>
        <v>253.07</v>
      </c>
      <c r="Y53" s="2"/>
      <c r="Z53" s="19">
        <f t="shared" si="11"/>
        <v>0</v>
      </c>
    </row>
    <row r="54" spans="1:26" s="24" customFormat="1" hidden="1" outlineLevel="1" x14ac:dyDescent="0.25">
      <c r="A54" s="46"/>
      <c r="B54" s="11" t="str">
        <f>CONCATENATE("          ", "5037", " - ", "PURCHASES @ COST-WATER")</f>
        <v xml:space="preserve">          5037 - PURCHASES @ COST-WATER</v>
      </c>
      <c r="C54" s="11"/>
      <c r="D54" s="2">
        <v>896.64</v>
      </c>
      <c r="E54" s="2"/>
      <c r="F54" s="19">
        <f t="shared" si="4"/>
        <v>1.2337898583310263E-2</v>
      </c>
      <c r="G54" s="2"/>
      <c r="H54" s="2"/>
      <c r="I54" s="2"/>
      <c r="J54" s="19">
        <f t="shared" si="5"/>
        <v>0</v>
      </c>
      <c r="K54" s="2"/>
      <c r="L54" s="2">
        <f t="shared" si="6"/>
        <v>896.64</v>
      </c>
      <c r="M54" s="2"/>
      <c r="N54" s="19">
        <f t="shared" si="7"/>
        <v>0</v>
      </c>
      <c r="O54" s="11"/>
      <c r="P54" s="2">
        <v>1362.82</v>
      </c>
      <c r="Q54" s="2"/>
      <c r="R54" s="19">
        <f t="shared" si="8"/>
        <v>1.0617251518436335E-2</v>
      </c>
      <c r="S54" s="2"/>
      <c r="T54" s="2"/>
      <c r="U54" s="2"/>
      <c r="V54" s="19">
        <f t="shared" si="9"/>
        <v>0</v>
      </c>
      <c r="W54" s="2"/>
      <c r="X54" s="2">
        <f t="shared" si="10"/>
        <v>1362.82</v>
      </c>
      <c r="Y54" s="2"/>
      <c r="Z54" s="19">
        <f t="shared" si="11"/>
        <v>0</v>
      </c>
    </row>
    <row r="55" spans="1:26" s="24" customFormat="1" hidden="1" outlineLevel="1" x14ac:dyDescent="0.25">
      <c r="A55" s="46"/>
      <c r="B55" s="11" t="str">
        <f>CONCATENATE("          ", "5081", " - ", "PURCHASES @ COST-ELECTRONICS")</f>
        <v xml:space="preserve">          5081 - PURCHASES @ COST-ELECTRONICS</v>
      </c>
      <c r="C55" s="11"/>
      <c r="D55" s="2">
        <v>167.92</v>
      </c>
      <c r="E55" s="2"/>
      <c r="F55" s="19">
        <f t="shared" si="4"/>
        <v>2.310603954886531E-3</v>
      </c>
      <c r="G55" s="2"/>
      <c r="H55" s="2"/>
      <c r="I55" s="2"/>
      <c r="J55" s="19">
        <f t="shared" si="5"/>
        <v>0</v>
      </c>
      <c r="K55" s="2"/>
      <c r="L55" s="2">
        <f t="shared" si="6"/>
        <v>167.92</v>
      </c>
      <c r="M55" s="2"/>
      <c r="N55" s="19">
        <f t="shared" si="7"/>
        <v>0</v>
      </c>
      <c r="O55" s="11"/>
      <c r="P55" s="2">
        <v>472.08</v>
      </c>
      <c r="Q55" s="2"/>
      <c r="R55" s="19">
        <f t="shared" si="8"/>
        <v>3.6778093195164621E-3</v>
      </c>
      <c r="S55" s="2"/>
      <c r="T55" s="2"/>
      <c r="U55" s="2"/>
      <c r="V55" s="19">
        <f t="shared" si="9"/>
        <v>0</v>
      </c>
      <c r="W55" s="2"/>
      <c r="X55" s="2">
        <f t="shared" si="10"/>
        <v>472.08</v>
      </c>
      <c r="Y55" s="2"/>
      <c r="Z55" s="19">
        <f t="shared" si="11"/>
        <v>0</v>
      </c>
    </row>
    <row r="56" spans="1:26" s="24" customFormat="1" hidden="1" outlineLevel="1" x14ac:dyDescent="0.25">
      <c r="A56" s="46"/>
      <c r="B56" s="11" t="str">
        <f>CONCATENATE("          ", "5082", " - ", "PURCHASES @ COST-COMPUTER HARD")</f>
        <v xml:space="preserve">          5082 - PURCHASES @ COST-COMPUTER HARD</v>
      </c>
      <c r="C56" s="11"/>
      <c r="D56" s="2">
        <v>19</v>
      </c>
      <c r="E56" s="2"/>
      <c r="F56" s="19">
        <f t="shared" si="4"/>
        <v>2.6144280099359271E-4</v>
      </c>
      <c r="G56" s="2"/>
      <c r="H56" s="2"/>
      <c r="I56" s="2"/>
      <c r="J56" s="19">
        <f t="shared" si="5"/>
        <v>0</v>
      </c>
      <c r="K56" s="2"/>
      <c r="L56" s="2">
        <f t="shared" si="6"/>
        <v>19</v>
      </c>
      <c r="M56" s="2"/>
      <c r="N56" s="19">
        <f t="shared" si="7"/>
        <v>0</v>
      </c>
      <c r="O56" s="11"/>
      <c r="P56" s="2">
        <v>149.6</v>
      </c>
      <c r="Q56" s="2"/>
      <c r="R56" s="19">
        <f t="shared" si="8"/>
        <v>1.165481007879306E-3</v>
      </c>
      <c r="S56" s="2"/>
      <c r="T56" s="2"/>
      <c r="U56" s="2"/>
      <c r="V56" s="19">
        <f t="shared" si="9"/>
        <v>0</v>
      </c>
      <c r="W56" s="2"/>
      <c r="X56" s="2">
        <f t="shared" si="10"/>
        <v>149.6</v>
      </c>
      <c r="Y56" s="2"/>
      <c r="Z56" s="19">
        <f t="shared" si="11"/>
        <v>0</v>
      </c>
    </row>
    <row r="57" spans="1:26" s="24" customFormat="1" hidden="1" outlineLevel="1" x14ac:dyDescent="0.25">
      <c r="A57" s="46"/>
      <c r="B57" s="11" t="str">
        <f>CONCATENATE("          ", "5083", " - ", "PURCHASES @ COST-COMPUTER EQUI")</f>
        <v xml:space="preserve">          5083 - PURCHASES @ COST-COMPUTER EQUI</v>
      </c>
      <c r="C57" s="11"/>
      <c r="D57" s="2">
        <v>74.55</v>
      </c>
      <c r="E57" s="2"/>
      <c r="F57" s="19">
        <f t="shared" si="4"/>
        <v>1.0258189902143334E-3</v>
      </c>
      <c r="G57" s="2"/>
      <c r="H57" s="2"/>
      <c r="I57" s="2"/>
      <c r="J57" s="19">
        <f t="shared" si="5"/>
        <v>0</v>
      </c>
      <c r="K57" s="2"/>
      <c r="L57" s="2">
        <f t="shared" si="6"/>
        <v>74.55</v>
      </c>
      <c r="M57" s="2"/>
      <c r="N57" s="19">
        <f t="shared" si="7"/>
        <v>0</v>
      </c>
      <c r="O57" s="11"/>
      <c r="P57" s="2">
        <v>116.05</v>
      </c>
      <c r="Q57" s="2"/>
      <c r="R57" s="19">
        <f t="shared" si="8"/>
        <v>9.0410475243578509E-4</v>
      </c>
      <c r="S57" s="2"/>
      <c r="T57" s="2"/>
      <c r="U57" s="2"/>
      <c r="V57" s="19">
        <f t="shared" si="9"/>
        <v>0</v>
      </c>
      <c r="W57" s="2"/>
      <c r="X57" s="2">
        <f t="shared" si="10"/>
        <v>116.05</v>
      </c>
      <c r="Y57" s="2"/>
      <c r="Z57" s="19">
        <f t="shared" si="11"/>
        <v>0</v>
      </c>
    </row>
    <row r="58" spans="1:26" s="24" customFormat="1" hidden="1" outlineLevel="1" x14ac:dyDescent="0.25">
      <c r="A58" s="46"/>
      <c r="B58" s="11" t="str">
        <f>CONCATENATE("          ", "5086", " - ", "PURCHASES @ COST-COMPUTER SUPP")</f>
        <v xml:space="preserve">          5086 - PURCHASES @ COST-COMPUTER SUPP</v>
      </c>
      <c r="C58" s="11"/>
      <c r="D58" s="2">
        <v>29</v>
      </c>
      <c r="E58" s="2"/>
      <c r="F58" s="19">
        <f t="shared" si="4"/>
        <v>3.9904427520074678E-4</v>
      </c>
      <c r="G58" s="2"/>
      <c r="H58" s="2"/>
      <c r="I58" s="2"/>
      <c r="J58" s="19">
        <f t="shared" si="5"/>
        <v>0</v>
      </c>
      <c r="K58" s="2"/>
      <c r="L58" s="2">
        <f t="shared" si="6"/>
        <v>29</v>
      </c>
      <c r="M58" s="2"/>
      <c r="N58" s="19">
        <f t="shared" si="7"/>
        <v>0</v>
      </c>
      <c r="O58" s="11"/>
      <c r="P58" s="2">
        <v>87</v>
      </c>
      <c r="Q58" s="2"/>
      <c r="R58" s="19">
        <f t="shared" si="8"/>
        <v>6.7778641501002417E-4</v>
      </c>
      <c r="S58" s="2"/>
      <c r="T58" s="2"/>
      <c r="U58" s="2"/>
      <c r="V58" s="19">
        <f t="shared" si="9"/>
        <v>0</v>
      </c>
      <c r="W58" s="2"/>
      <c r="X58" s="2">
        <f t="shared" si="10"/>
        <v>87</v>
      </c>
      <c r="Y58" s="2"/>
      <c r="Z58" s="19">
        <f t="shared" si="11"/>
        <v>0</v>
      </c>
    </row>
    <row r="59" spans="1:26" s="24" customFormat="1" hidden="1" outlineLevel="1" x14ac:dyDescent="0.25">
      <c r="A59" s="46"/>
      <c r="B59" s="11" t="str">
        <f>CONCATENATE("          ", "5200", " - ", "PURCHASES OFFSET")</f>
        <v xml:space="preserve">          5200 - PURCHASES OFFSET</v>
      </c>
      <c r="C59" s="11"/>
      <c r="D59" s="2">
        <v>-24427</v>
      </c>
      <c r="E59" s="2"/>
      <c r="F59" s="19">
        <f t="shared" si="4"/>
        <v>-0.33611912104581526</v>
      </c>
      <c r="G59" s="2"/>
      <c r="H59" s="2"/>
      <c r="I59" s="2"/>
      <c r="J59" s="19">
        <f t="shared" si="5"/>
        <v>0</v>
      </c>
      <c r="K59" s="2"/>
      <c r="L59" s="2">
        <f t="shared" si="6"/>
        <v>-24427</v>
      </c>
      <c r="M59" s="2"/>
      <c r="N59" s="19">
        <f t="shared" si="7"/>
        <v>0</v>
      </c>
      <c r="O59" s="11"/>
      <c r="P59" s="2">
        <v>-83977</v>
      </c>
      <c r="Q59" s="2"/>
      <c r="R59" s="19">
        <f t="shared" si="8"/>
        <v>-0.65423528475053794</v>
      </c>
      <c r="S59" s="2"/>
      <c r="T59" s="2"/>
      <c r="U59" s="2"/>
      <c r="V59" s="19">
        <f t="shared" si="9"/>
        <v>0</v>
      </c>
      <c r="W59" s="2"/>
      <c r="X59" s="2">
        <f t="shared" si="10"/>
        <v>-83977</v>
      </c>
      <c r="Y59" s="2"/>
      <c r="Z59" s="19">
        <f t="shared" si="11"/>
        <v>0</v>
      </c>
    </row>
    <row r="60" spans="1:26" s="24" customFormat="1" hidden="1" outlineLevel="1" x14ac:dyDescent="0.25">
      <c r="A60" s="46"/>
      <c r="B60" s="11" t="str">
        <f>CONCATENATE("          ", "5300", " - ", "COG$ OFFSET")</f>
        <v xml:space="preserve">          5300 - COG$ OFFSET</v>
      </c>
      <c r="C60" s="11"/>
      <c r="D60" s="2">
        <v>37907</v>
      </c>
      <c r="E60" s="2"/>
      <c r="F60" s="19">
        <f t="shared" si="4"/>
        <v>0.52160590827705888</v>
      </c>
      <c r="G60" s="2"/>
      <c r="H60" s="2"/>
      <c r="I60" s="2"/>
      <c r="J60" s="19">
        <f t="shared" si="5"/>
        <v>0</v>
      </c>
      <c r="K60" s="2"/>
      <c r="L60" s="2">
        <f t="shared" si="6"/>
        <v>37907</v>
      </c>
      <c r="M60" s="2"/>
      <c r="N60" s="19">
        <f t="shared" si="7"/>
        <v>0</v>
      </c>
      <c r="O60" s="11"/>
      <c r="P60" s="2">
        <v>67325</v>
      </c>
      <c r="Q60" s="2"/>
      <c r="R60" s="19">
        <f t="shared" si="8"/>
        <v>0.52450540678792967</v>
      </c>
      <c r="S60" s="2"/>
      <c r="T60" s="2"/>
      <c r="U60" s="2"/>
      <c r="V60" s="19">
        <f t="shared" si="9"/>
        <v>0</v>
      </c>
      <c r="W60" s="2"/>
      <c r="X60" s="2">
        <f t="shared" si="10"/>
        <v>67325</v>
      </c>
      <c r="Y60" s="2"/>
      <c r="Z60" s="19">
        <f t="shared" si="11"/>
        <v>0</v>
      </c>
    </row>
    <row r="61" spans="1:26" s="24" customFormat="1" hidden="1" outlineLevel="1" x14ac:dyDescent="0.25">
      <c r="A61" s="46"/>
      <c r="B61" s="11" t="str">
        <f>CONCATENATE("          ", "5528", " - ", "FREIGHT-IN-ART/TECH")</f>
        <v xml:space="preserve">          5528 - FREIGHT-IN-ART/TECH</v>
      </c>
      <c r="C61" s="11"/>
      <c r="D61" s="2">
        <v>332.97</v>
      </c>
      <c r="E61" s="2"/>
      <c r="F61" s="19">
        <f t="shared" si="4"/>
        <v>4.581716286675609E-3</v>
      </c>
      <c r="G61" s="2"/>
      <c r="H61" s="2"/>
      <c r="I61" s="2"/>
      <c r="J61" s="19">
        <f t="shared" si="5"/>
        <v>0</v>
      </c>
      <c r="K61" s="2"/>
      <c r="L61" s="2">
        <f t="shared" si="6"/>
        <v>332.97</v>
      </c>
      <c r="M61" s="2"/>
      <c r="N61" s="19">
        <f t="shared" si="7"/>
        <v>0</v>
      </c>
      <c r="O61" s="11"/>
      <c r="P61" s="2">
        <v>588.77</v>
      </c>
      <c r="Q61" s="2"/>
      <c r="R61" s="19">
        <f t="shared" si="8"/>
        <v>4.5869000869592173E-3</v>
      </c>
      <c r="S61" s="2"/>
      <c r="T61" s="2"/>
      <c r="U61" s="2"/>
      <c r="V61" s="19">
        <f t="shared" si="9"/>
        <v>0</v>
      </c>
      <c r="W61" s="2"/>
      <c r="X61" s="2">
        <f t="shared" si="10"/>
        <v>588.77</v>
      </c>
      <c r="Y61" s="2"/>
      <c r="Z61" s="19">
        <f t="shared" si="11"/>
        <v>0</v>
      </c>
    </row>
    <row r="62" spans="1:26" x14ac:dyDescent="0.25">
      <c r="A62" s="9"/>
      <c r="B62" s="10"/>
      <c r="C62" s="10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0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25">
      <c r="A63" s="10"/>
      <c r="B63" s="29" t="s">
        <v>6</v>
      </c>
      <c r="C63" s="29"/>
      <c r="D63" s="22">
        <f>D12-D43</f>
        <v>34767.64</v>
      </c>
      <c r="E63" s="14"/>
      <c r="F63" s="20">
        <f>IF(D$12=0,0,D63/D$12)</f>
        <v>0.47840785187036178</v>
      </c>
      <c r="G63" s="14"/>
      <c r="H63" s="22">
        <f>H12-H43</f>
        <v>43412</v>
      </c>
      <c r="I63" s="14"/>
      <c r="J63" s="20">
        <f>IF(H$12=0,0,H63/H$12)</f>
        <v>0.56276899144412751</v>
      </c>
      <c r="K63" s="15"/>
      <c r="L63" s="22">
        <f>+D63-H63</f>
        <v>-8644.36</v>
      </c>
      <c r="M63" s="15"/>
      <c r="N63" s="20">
        <f>IF(H63=0,0,L63/H63)</f>
        <v>-0.19912374458675022</v>
      </c>
      <c r="O63" s="28"/>
      <c r="P63" s="22">
        <f>P12-P43</f>
        <v>61034.87999999999</v>
      </c>
      <c r="Q63" s="14"/>
      <c r="R63" s="20">
        <f>IF(P$12=0,0,P63/P$12)</f>
        <v>0.47550129316973588</v>
      </c>
      <c r="S63" s="14"/>
      <c r="T63" s="22">
        <f>T12-T43</f>
        <v>74742</v>
      </c>
      <c r="U63" s="14"/>
      <c r="V63" s="20">
        <f>IF(T$12=0,0,T63/T$12)</f>
        <v>0.56908130167963578</v>
      </c>
      <c r="W63" s="15"/>
      <c r="X63" s="22">
        <f>+P63-T63</f>
        <v>-13707.12000000001</v>
      </c>
      <c r="Y63" s="15"/>
      <c r="Z63" s="20">
        <f>IF(T63=0,0,X63/T63)</f>
        <v>-0.18339247009713427</v>
      </c>
    </row>
    <row r="64" spans="1:26" x14ac:dyDescent="0.25">
      <c r="A64" s="9"/>
      <c r="B64" s="10"/>
      <c r="C64" s="9"/>
      <c r="D64" s="1"/>
      <c r="E64" s="1"/>
      <c r="F64" s="5"/>
      <c r="G64" s="1"/>
      <c r="H64" s="1"/>
      <c r="I64" s="1"/>
      <c r="J64" s="5"/>
      <c r="K64" s="1"/>
      <c r="L64" s="1"/>
      <c r="M64" s="1"/>
      <c r="N64" s="5"/>
      <c r="O64" s="36"/>
      <c r="P64" s="1"/>
      <c r="Q64" s="1"/>
      <c r="R64" s="5"/>
      <c r="S64" s="1"/>
      <c r="T64" s="1"/>
      <c r="U64" s="1"/>
      <c r="V64" s="5"/>
      <c r="W64" s="1"/>
      <c r="X64" s="1"/>
      <c r="Y64" s="1"/>
      <c r="Z64" s="5"/>
    </row>
    <row r="65" spans="1:26" s="23" customFormat="1" x14ac:dyDescent="0.25">
      <c r="A65" s="10"/>
      <c r="B65" s="28" t="s">
        <v>9</v>
      </c>
      <c r="C65" s="10"/>
      <c r="D65" s="21">
        <f>SUM(OSRRefD22x_0)</f>
        <v>11284.590000000004</v>
      </c>
      <c r="E65" s="21"/>
      <c r="F65" s="33">
        <f t="shared" ref="F65:F75" si="12">IF(D$12=0,0,D65/D$12)</f>
        <v>0.15527762198233092</v>
      </c>
      <c r="G65" s="21"/>
      <c r="H65" s="21">
        <f>SUM(OSRRefH22x_0)</f>
        <v>12769.943972000001</v>
      </c>
      <c r="I65" s="21"/>
      <c r="J65" s="33">
        <f t="shared" ref="J65:J75" si="13">IF(H$12=0,0,H65/H$12)</f>
        <v>0.16554244194970186</v>
      </c>
      <c r="K65" s="4"/>
      <c r="L65" s="21">
        <f t="shared" ref="L65:L75" si="14">+D65-H65</f>
        <v>-1485.3539719999972</v>
      </c>
      <c r="M65" s="4"/>
      <c r="N65" s="33">
        <f t="shared" ref="N65:N75" si="15">IF(H65=0,0,L65/H65)</f>
        <v>-0.11631640477490397</v>
      </c>
      <c r="O65" s="10"/>
      <c r="P65" s="21">
        <f>SUM(OSRRefP22x_0)</f>
        <v>30721.579999999998</v>
      </c>
      <c r="Q65" s="21"/>
      <c r="R65" s="33">
        <f t="shared" ref="R65:R75" si="16">IF(P$12=0,0,P65/P$12)</f>
        <v>0.23934102955912251</v>
      </c>
      <c r="S65" s="21"/>
      <c r="T65" s="21">
        <f>SUM(OSRRefT22x_0)</f>
        <v>31805.702934000001</v>
      </c>
      <c r="U65" s="21"/>
      <c r="V65" s="33">
        <f t="shared" ref="V65:V75" si="17">IF(T$12=0,0,T65/T$12)</f>
        <v>0.24216679813915243</v>
      </c>
      <c r="W65" s="4"/>
      <c r="X65" s="21">
        <f t="shared" ref="X65:X75" si="18">+P65-T65</f>
        <v>-1084.1229340000027</v>
      </c>
      <c r="Y65" s="4"/>
      <c r="Z65" s="33">
        <f t="shared" ref="Z65:Z75" si="19">IF(T65=0,0,X65/T65)</f>
        <v>-3.4085803299165114E-2</v>
      </c>
    </row>
    <row r="66" spans="1:26" s="26" customFormat="1" outlineLevel="1" collapsed="1" x14ac:dyDescent="0.25">
      <c r="A66" s="27"/>
      <c r="B66" s="13" t="str">
        <f>CONCATENATE("     ","*Benefits                                         ")</f>
        <v xml:space="preserve">     *Benefits                                         </v>
      </c>
      <c r="C66" s="13"/>
      <c r="D66" s="1">
        <f>SUM(OSRRefD22_0x_0)</f>
        <v>979.6099999999999</v>
      </c>
      <c r="E66" s="1"/>
      <c r="F66" s="5">
        <f t="shared" si="12"/>
        <v>1.3479578014807017E-2</v>
      </c>
      <c r="G66" s="1"/>
      <c r="H66" s="1">
        <f>SUM(OSRRefH22_0x_0)</f>
        <v>1947.483972</v>
      </c>
      <c r="I66" s="1"/>
      <c r="J66" s="5">
        <f t="shared" si="13"/>
        <v>2.5246097640653359E-2</v>
      </c>
      <c r="K66" s="1"/>
      <c r="L66" s="1">
        <f t="shared" si="14"/>
        <v>-967.87397200000009</v>
      </c>
      <c r="M66" s="1"/>
      <c r="N66" s="5">
        <f t="shared" si="15"/>
        <v>-0.4969868743032716</v>
      </c>
      <c r="O66" s="13"/>
      <c r="P66" s="1">
        <f>SUM(OSRRefP22_0x_0)</f>
        <v>4180.13</v>
      </c>
      <c r="Q66" s="1"/>
      <c r="R66" s="5">
        <f t="shared" si="16"/>
        <v>3.2565923298573017E-2</v>
      </c>
      <c r="S66" s="1"/>
      <c r="T66" s="1">
        <f>SUM(OSRRefT22_0x_0)</f>
        <v>5035.0979340000013</v>
      </c>
      <c r="U66" s="1"/>
      <c r="V66" s="5">
        <f t="shared" si="17"/>
        <v>3.8336946915591842E-2</v>
      </c>
      <c r="W66" s="1"/>
      <c r="X66" s="1">
        <f t="shared" si="18"/>
        <v>-854.96793400000115</v>
      </c>
      <c r="Y66" s="1"/>
      <c r="Z66" s="5">
        <f t="shared" si="19"/>
        <v>-0.16980164938337045</v>
      </c>
    </row>
    <row r="67" spans="1:26" s="24" customFormat="1" hidden="1" outlineLevel="2" x14ac:dyDescent="0.25">
      <c r="A67" s="25"/>
      <c r="B67" s="11" t="str">
        <f>CONCATENATE("          ", "6111", " - ", "F.I.C.A.")</f>
        <v xml:space="preserve">          6111 - F.I.C.A.</v>
      </c>
      <c r="C67" s="11"/>
      <c r="D67" s="7">
        <v>183.6</v>
      </c>
      <c r="E67" s="2"/>
      <c r="F67" s="6">
        <f t="shared" si="12"/>
        <v>2.5263630664433484E-3</v>
      </c>
      <c r="G67" s="2"/>
      <c r="H67" s="7">
        <v>678.39253199999996</v>
      </c>
      <c r="I67" s="2"/>
      <c r="J67" s="6">
        <f t="shared" si="13"/>
        <v>8.7943029815919106E-3</v>
      </c>
      <c r="K67" s="2"/>
      <c r="L67" s="7">
        <f t="shared" si="14"/>
        <v>-494.79253199999994</v>
      </c>
      <c r="M67" s="2"/>
      <c r="N67" s="6">
        <f t="shared" si="15"/>
        <v>-0.72936022827562608</v>
      </c>
      <c r="O67" s="11"/>
      <c r="P67" s="7">
        <v>905.23</v>
      </c>
      <c r="Q67" s="2"/>
      <c r="R67" s="6">
        <f t="shared" si="16"/>
        <v>7.0523286949370602E-3</v>
      </c>
      <c r="S67" s="2"/>
      <c r="T67" s="7">
        <v>1453.442454</v>
      </c>
      <c r="U67" s="2"/>
      <c r="V67" s="6">
        <f t="shared" si="17"/>
        <v>1.1066427492424128E-2</v>
      </c>
      <c r="W67" s="2"/>
      <c r="X67" s="7">
        <f t="shared" si="18"/>
        <v>-548.21245399999998</v>
      </c>
      <c r="Y67" s="2"/>
      <c r="Z67" s="6">
        <f t="shared" si="19"/>
        <v>-0.37718208415563453</v>
      </c>
    </row>
    <row r="68" spans="1:26" s="24" customFormat="1" hidden="1" outlineLevel="2" x14ac:dyDescent="0.25">
      <c r="A68" s="25"/>
      <c r="B68" s="11" t="str">
        <f>CONCATENATE("          ", "6112", " - ", "COMPENSATION INSURANCE")</f>
        <v xml:space="preserve">          6112 - COMPENSATION INSURANCE</v>
      </c>
      <c r="C68" s="11"/>
      <c r="D68" s="7">
        <v>161.19999999999999</v>
      </c>
      <c r="E68" s="2"/>
      <c r="F68" s="6">
        <f t="shared" si="12"/>
        <v>2.2181357642193232E-3</v>
      </c>
      <c r="G68" s="2"/>
      <c r="H68" s="7">
        <v>168.42359999999999</v>
      </c>
      <c r="I68" s="2"/>
      <c r="J68" s="6">
        <f t="shared" si="13"/>
        <v>2.1833497536945814E-3</v>
      </c>
      <c r="K68" s="2"/>
      <c r="L68" s="7">
        <f t="shared" si="14"/>
        <v>-7.2236000000000047</v>
      </c>
      <c r="M68" s="2"/>
      <c r="N68" s="6">
        <f t="shared" si="15"/>
        <v>-4.2889476296671045E-2</v>
      </c>
      <c r="O68" s="11"/>
      <c r="P68" s="7">
        <v>339.94</v>
      </c>
      <c r="Q68" s="2"/>
      <c r="R68" s="6">
        <f t="shared" si="16"/>
        <v>2.6483530335460648E-3</v>
      </c>
      <c r="S68" s="2"/>
      <c r="T68" s="7">
        <v>393.24869999999999</v>
      </c>
      <c r="U68" s="2"/>
      <c r="V68" s="6">
        <f t="shared" si="17"/>
        <v>2.9941730496885898E-3</v>
      </c>
      <c r="W68" s="2"/>
      <c r="X68" s="7">
        <f t="shared" si="18"/>
        <v>-53.308699999999988</v>
      </c>
      <c r="Y68" s="2"/>
      <c r="Z68" s="6">
        <f t="shared" si="19"/>
        <v>-0.13555976154530197</v>
      </c>
    </row>
    <row r="69" spans="1:26" s="24" customFormat="1" hidden="1" outlineLevel="2" x14ac:dyDescent="0.25">
      <c r="A69" s="25"/>
      <c r="B69" s="11" t="str">
        <f>CONCATENATE("          ", "6113", " - ", "GROUP INSURANCE")</f>
        <v xml:space="preserve">          6113 - GROUP INSURANCE</v>
      </c>
      <c r="C69" s="11"/>
      <c r="D69" s="7">
        <v>68.09</v>
      </c>
      <c r="E69" s="2"/>
      <c r="F69" s="6">
        <f t="shared" si="12"/>
        <v>9.3692843787651213E-4</v>
      </c>
      <c r="G69" s="2"/>
      <c r="H69" s="7">
        <v>497.25</v>
      </c>
      <c r="I69" s="2"/>
      <c r="J69" s="6">
        <f t="shared" si="13"/>
        <v>6.4460720767435834E-3</v>
      </c>
      <c r="K69" s="2"/>
      <c r="L69" s="7">
        <f t="shared" si="14"/>
        <v>-429.15999999999997</v>
      </c>
      <c r="M69" s="2"/>
      <c r="N69" s="6">
        <f t="shared" si="15"/>
        <v>-0.8630668677727501</v>
      </c>
      <c r="O69" s="11"/>
      <c r="P69" s="7">
        <v>1045.1099999999999</v>
      </c>
      <c r="Q69" s="2"/>
      <c r="R69" s="6">
        <f t="shared" si="16"/>
        <v>8.1420845998980036E-3</v>
      </c>
      <c r="S69" s="2"/>
      <c r="T69" s="7">
        <v>1491.75</v>
      </c>
      <c r="U69" s="2"/>
      <c r="V69" s="6">
        <f t="shared" si="17"/>
        <v>1.1358098950798702E-2</v>
      </c>
      <c r="W69" s="2"/>
      <c r="X69" s="7">
        <f t="shared" si="18"/>
        <v>-446.6400000000001</v>
      </c>
      <c r="Y69" s="2"/>
      <c r="Z69" s="6">
        <f t="shared" si="19"/>
        <v>-0.29940673705379595</v>
      </c>
    </row>
    <row r="70" spans="1:26" s="24" customFormat="1" hidden="1" outlineLevel="2" x14ac:dyDescent="0.25">
      <c r="A70" s="25"/>
      <c r="B70" s="11" t="str">
        <f>CONCATENATE("          ", "6114", " - ", "STATE UNEMPLOYMENT INSURANCE")</f>
        <v xml:space="preserve">          6114 - STATE UNEMPLOYMENT INSURANCE</v>
      </c>
      <c r="C70" s="11"/>
      <c r="D70" s="7">
        <v>22.06</v>
      </c>
      <c r="E70" s="2"/>
      <c r="F70" s="6">
        <f t="shared" si="12"/>
        <v>3.0354885210098184E-4</v>
      </c>
      <c r="G70" s="2"/>
      <c r="H70" s="7">
        <v>23.047440000000002</v>
      </c>
      <c r="I70" s="2"/>
      <c r="J70" s="6">
        <f t="shared" si="13"/>
        <v>2.9877417682136378E-4</v>
      </c>
      <c r="K70" s="2"/>
      <c r="L70" s="7">
        <f t="shared" si="14"/>
        <v>-0.98744000000000298</v>
      </c>
      <c r="M70" s="2"/>
      <c r="N70" s="6">
        <f t="shared" si="15"/>
        <v>-4.2843803910542905E-2</v>
      </c>
      <c r="O70" s="11"/>
      <c r="P70" s="7">
        <v>46.52</v>
      </c>
      <c r="Q70" s="2"/>
      <c r="R70" s="6">
        <f t="shared" si="16"/>
        <v>3.6242096581915319E-4</v>
      </c>
      <c r="S70" s="2"/>
      <c r="T70" s="7">
        <v>53.812980000000003</v>
      </c>
      <c r="U70" s="2"/>
      <c r="V70" s="6">
        <f t="shared" si="17"/>
        <v>4.0972894364159649E-4</v>
      </c>
      <c r="W70" s="2"/>
      <c r="X70" s="7">
        <f t="shared" si="18"/>
        <v>-7.29298</v>
      </c>
      <c r="Y70" s="2"/>
      <c r="Z70" s="6">
        <f t="shared" si="19"/>
        <v>-0.13552455188320736</v>
      </c>
    </row>
    <row r="71" spans="1:26" s="24" customFormat="1" hidden="1" outlineLevel="2" x14ac:dyDescent="0.25">
      <c r="A71" s="25"/>
      <c r="B71" s="11" t="str">
        <f>CONCATENATE("          ", "6115", " - ", "P.E.R.S.")</f>
        <v xml:space="preserve">          6115 - P.E.R.S.</v>
      </c>
      <c r="C71" s="11"/>
      <c r="D71" s="7">
        <v>167.64</v>
      </c>
      <c r="E71" s="2"/>
      <c r="F71" s="6">
        <f t="shared" si="12"/>
        <v>2.3067511136087306E-3</v>
      </c>
      <c r="G71" s="2"/>
      <c r="H71" s="7">
        <v>255.1104</v>
      </c>
      <c r="I71" s="2"/>
      <c r="J71" s="6">
        <f t="shared" si="13"/>
        <v>3.3071091521908219E-3</v>
      </c>
      <c r="K71" s="2"/>
      <c r="L71" s="7">
        <f t="shared" si="14"/>
        <v>-87.470400000000012</v>
      </c>
      <c r="M71" s="2"/>
      <c r="N71" s="6">
        <f t="shared" si="15"/>
        <v>-0.34287273274629343</v>
      </c>
      <c r="O71" s="11"/>
      <c r="P71" s="7">
        <v>569.98</v>
      </c>
      <c r="Q71" s="2"/>
      <c r="R71" s="6">
        <f t="shared" si="16"/>
        <v>4.4405138026139494E-3</v>
      </c>
      <c r="S71" s="2"/>
      <c r="T71" s="7">
        <v>829.10879999999997</v>
      </c>
      <c r="U71" s="2"/>
      <c r="V71" s="6">
        <f t="shared" si="17"/>
        <v>6.3127868552894061E-3</v>
      </c>
      <c r="W71" s="2"/>
      <c r="X71" s="7">
        <f t="shared" si="18"/>
        <v>-259.12879999999996</v>
      </c>
      <c r="Y71" s="2"/>
      <c r="Z71" s="6">
        <f t="shared" si="19"/>
        <v>-0.31253895749267163</v>
      </c>
    </row>
    <row r="72" spans="1:26" s="24" customFormat="1" hidden="1" outlineLevel="2" x14ac:dyDescent="0.25">
      <c r="A72" s="25"/>
      <c r="B72" s="11" t="str">
        <f>CONCATENATE("          ", "6116", " - ", "EDUCATIONAL BENEFITS")</f>
        <v xml:space="preserve">          6116 - EDUCATIONAL BENEFITS</v>
      </c>
      <c r="C72" s="11"/>
      <c r="D72" s="7"/>
      <c r="E72" s="2"/>
      <c r="F72" s="6">
        <f t="shared" si="12"/>
        <v>0</v>
      </c>
      <c r="G72" s="2"/>
      <c r="H72" s="7">
        <v>0</v>
      </c>
      <c r="I72" s="2"/>
      <c r="J72" s="6">
        <f t="shared" si="13"/>
        <v>0</v>
      </c>
      <c r="K72" s="2"/>
      <c r="L72" s="7">
        <f t="shared" si="14"/>
        <v>0</v>
      </c>
      <c r="M72" s="2"/>
      <c r="N72" s="6">
        <f t="shared" si="15"/>
        <v>0</v>
      </c>
      <c r="O72" s="11"/>
      <c r="P72" s="7"/>
      <c r="Q72" s="2"/>
      <c r="R72" s="6">
        <f t="shared" si="16"/>
        <v>0</v>
      </c>
      <c r="S72" s="2"/>
      <c r="T72" s="7">
        <v>0</v>
      </c>
      <c r="U72" s="2"/>
      <c r="V72" s="6">
        <f t="shared" si="17"/>
        <v>0</v>
      </c>
      <c r="W72" s="2"/>
      <c r="X72" s="7">
        <f t="shared" si="18"/>
        <v>0</v>
      </c>
      <c r="Y72" s="2"/>
      <c r="Z72" s="6">
        <f t="shared" si="19"/>
        <v>0</v>
      </c>
    </row>
    <row r="73" spans="1:26" s="24" customFormat="1" hidden="1" outlineLevel="2" x14ac:dyDescent="0.25">
      <c r="A73" s="25"/>
      <c r="B73" s="11" t="str">
        <f>CONCATENATE("          ", "6118", " - ", "VACATION")</f>
        <v xml:space="preserve">          6118 - VACATION</v>
      </c>
      <c r="C73" s="11"/>
      <c r="D73" s="7">
        <v>92.4</v>
      </c>
      <c r="E73" s="2"/>
      <c r="F73" s="6">
        <f t="shared" si="12"/>
        <v>1.2714376216741037E-3</v>
      </c>
      <c r="G73" s="2"/>
      <c r="H73" s="7">
        <v>88.992000000000004</v>
      </c>
      <c r="I73" s="2"/>
      <c r="J73" s="6">
        <f t="shared" si="13"/>
        <v>1.1536427275084262E-3</v>
      </c>
      <c r="K73" s="2"/>
      <c r="L73" s="7">
        <f t="shared" si="14"/>
        <v>3.4080000000000013</v>
      </c>
      <c r="M73" s="2"/>
      <c r="N73" s="6">
        <f t="shared" si="15"/>
        <v>3.8295577130528599E-2</v>
      </c>
      <c r="O73" s="11"/>
      <c r="P73" s="7">
        <v>424.32</v>
      </c>
      <c r="Q73" s="2"/>
      <c r="R73" s="6">
        <f t="shared" si="16"/>
        <v>3.3057279496213044E-3</v>
      </c>
      <c r="S73" s="2"/>
      <c r="T73" s="7">
        <v>289.22399999999999</v>
      </c>
      <c r="U73" s="2"/>
      <c r="V73" s="6">
        <f t="shared" si="17"/>
        <v>2.2021349495195603E-3</v>
      </c>
      <c r="W73" s="2"/>
      <c r="X73" s="7">
        <f t="shared" si="18"/>
        <v>135.096</v>
      </c>
      <c r="Y73" s="2"/>
      <c r="Z73" s="6">
        <f t="shared" si="19"/>
        <v>0.46709816612729238</v>
      </c>
    </row>
    <row r="74" spans="1:26" s="24" customFormat="1" hidden="1" outlineLevel="2" x14ac:dyDescent="0.25">
      <c r="A74" s="25"/>
      <c r="B74" s="11" t="str">
        <f>CONCATENATE("          ", "6119", " - ", "SICK LEAVE")</f>
        <v xml:space="preserve">          6119 - SICK LEAVE</v>
      </c>
      <c r="C74" s="11"/>
      <c r="D74" s="7">
        <v>110.7</v>
      </c>
      <c r="E74" s="2"/>
      <c r="F74" s="6">
        <f t="shared" si="12"/>
        <v>1.5232483194731956E-3</v>
      </c>
      <c r="G74" s="2"/>
      <c r="H74" s="7">
        <v>236.268</v>
      </c>
      <c r="I74" s="2"/>
      <c r="J74" s="6">
        <f t="shared" si="13"/>
        <v>3.0628467721026706E-3</v>
      </c>
      <c r="K74" s="2"/>
      <c r="L74" s="7">
        <f t="shared" si="14"/>
        <v>-125.568</v>
      </c>
      <c r="M74" s="2"/>
      <c r="N74" s="6">
        <f t="shared" si="15"/>
        <v>-0.53146426938899893</v>
      </c>
      <c r="O74" s="11"/>
      <c r="P74" s="7">
        <v>376.38</v>
      </c>
      <c r="Q74" s="2"/>
      <c r="R74" s="6">
        <f t="shared" si="16"/>
        <v>2.9322442630054357E-3</v>
      </c>
      <c r="S74" s="2"/>
      <c r="T74" s="7">
        <v>524.51099999999997</v>
      </c>
      <c r="U74" s="2"/>
      <c r="V74" s="6">
        <f t="shared" si="17"/>
        <v>3.9935966742298493E-3</v>
      </c>
      <c r="W74" s="2"/>
      <c r="X74" s="7">
        <f t="shared" si="18"/>
        <v>-148.13099999999997</v>
      </c>
      <c r="Y74" s="2"/>
      <c r="Z74" s="6">
        <f t="shared" si="19"/>
        <v>-0.28241733729130558</v>
      </c>
    </row>
    <row r="75" spans="1:26" s="24" customFormat="1" hidden="1" outlineLevel="2" x14ac:dyDescent="0.25">
      <c r="A75" s="25"/>
      <c r="B75" s="11" t="str">
        <f>CONCATENATE("          ", "6156", " - ", "EMPLOYEE MEALS")</f>
        <v xml:space="preserve">          6156 - EMPLOYEE MEALS</v>
      </c>
      <c r="C75" s="11"/>
      <c r="D75" s="7">
        <v>173.92</v>
      </c>
      <c r="E75" s="2"/>
      <c r="F75" s="6">
        <f t="shared" si="12"/>
        <v>2.3931648394108235E-3</v>
      </c>
      <c r="G75" s="2"/>
      <c r="H75" s="7"/>
      <c r="I75" s="2"/>
      <c r="J75" s="6">
        <f t="shared" si="13"/>
        <v>0</v>
      </c>
      <c r="K75" s="2"/>
      <c r="L75" s="7">
        <f t="shared" si="14"/>
        <v>173.92</v>
      </c>
      <c r="M75" s="2"/>
      <c r="N75" s="6">
        <f t="shared" si="15"/>
        <v>0</v>
      </c>
      <c r="O75" s="11"/>
      <c r="P75" s="7">
        <v>472.65</v>
      </c>
      <c r="Q75" s="2"/>
      <c r="R75" s="6">
        <f t="shared" si="16"/>
        <v>3.6822499891320452E-3</v>
      </c>
      <c r="S75" s="2"/>
      <c r="T75" s="7"/>
      <c r="U75" s="2"/>
      <c r="V75" s="6">
        <f t="shared" si="17"/>
        <v>0</v>
      </c>
      <c r="W75" s="2"/>
      <c r="X75" s="7">
        <f t="shared" si="18"/>
        <v>472.65</v>
      </c>
      <c r="Y75" s="2"/>
      <c r="Z75" s="6">
        <f t="shared" si="19"/>
        <v>0</v>
      </c>
    </row>
    <row r="76" spans="1:26" s="26" customFormat="1" outlineLevel="1" collapsed="1" x14ac:dyDescent="0.25">
      <c r="A76" s="27"/>
      <c r="B76" s="13" t="str">
        <f>CONCATENATE("     ","*Payroll                                          ")</f>
        <v xml:space="preserve">     *Payroll                                          </v>
      </c>
      <c r="C76" s="13"/>
      <c r="D76" s="1">
        <f>SUM(OSRRefD22_1x_0)</f>
        <v>8429</v>
      </c>
      <c r="E76" s="1"/>
      <c r="F76" s="5">
        <f t="shared" ref="F76:F86" si="20">IF(D$12=0,0,D76/D$12)</f>
        <v>0.11598428260921016</v>
      </c>
      <c r="G76" s="1"/>
      <c r="H76" s="1">
        <f>SUM(OSRRefH22_1x_0)</f>
        <v>8687.4600000000009</v>
      </c>
      <c r="I76" s="1"/>
      <c r="J76" s="5">
        <f t="shared" ref="J76:J86" si="21">IF(H$12=0,0,H76/H$12)</f>
        <v>0.11261939331086337</v>
      </c>
      <c r="K76" s="1"/>
      <c r="L76" s="1">
        <f t="shared" ref="L76:L86" si="22">+D76-H76</f>
        <v>-258.46000000000095</v>
      </c>
      <c r="M76" s="1"/>
      <c r="N76" s="5">
        <f t="shared" ref="N76:N86" si="23">IF(H76=0,0,L76/H76)</f>
        <v>-2.9750928349598263E-2</v>
      </c>
      <c r="O76" s="13"/>
      <c r="P76" s="1">
        <f>SUM(OSRRefP22_1x_0)</f>
        <v>20087.75</v>
      </c>
      <c r="Q76" s="1"/>
      <c r="R76" s="5">
        <f t="shared" ref="R76:R86" si="24">IF(P$12=0,0,P76/P$12)</f>
        <v>0.15649659836916796</v>
      </c>
      <c r="S76" s="1"/>
      <c r="T76" s="1">
        <f>SUM(OSRRefT22_1x_0)</f>
        <v>20365.604999999996</v>
      </c>
      <c r="U76" s="1"/>
      <c r="V76" s="5">
        <f t="shared" ref="V76:V86" si="25">IF(T$12=0,0,T76/T$12)</f>
        <v>0.15506254853888438</v>
      </c>
      <c r="W76" s="1"/>
      <c r="X76" s="1">
        <f t="shared" ref="X76:X86" si="26">+P76-T76</f>
        <v>-277.85499999999593</v>
      </c>
      <c r="Y76" s="1"/>
      <c r="Z76" s="5">
        <f t="shared" ref="Z76:Z86" si="27">IF(T76=0,0,X76/T76)</f>
        <v>-1.3643346220256947E-2</v>
      </c>
    </row>
    <row r="77" spans="1:26" s="24" customFormat="1" hidden="1" outlineLevel="2" x14ac:dyDescent="0.25">
      <c r="A77" s="25"/>
      <c r="B77" s="11" t="str">
        <f>CONCATENATE("          ", "6001", " - ", "ADMINISTRATIVE SALARIES")</f>
        <v xml:space="preserve">          6001 - ADMINISTRATIVE SALARIES</v>
      </c>
      <c r="C77" s="11"/>
      <c r="D77" s="7"/>
      <c r="E77" s="2"/>
      <c r="F77" s="6">
        <f t="shared" si="20"/>
        <v>0</v>
      </c>
      <c r="G77" s="2"/>
      <c r="H77" s="7">
        <v>2966.4</v>
      </c>
      <c r="I77" s="2"/>
      <c r="J77" s="6">
        <f t="shared" si="21"/>
        <v>3.8454757583614212E-2</v>
      </c>
      <c r="K77" s="2"/>
      <c r="L77" s="7">
        <f t="shared" si="22"/>
        <v>-2966.4</v>
      </c>
      <c r="M77" s="2"/>
      <c r="N77" s="6">
        <f t="shared" si="23"/>
        <v>-1</v>
      </c>
      <c r="O77" s="11"/>
      <c r="P77" s="7"/>
      <c r="Q77" s="2"/>
      <c r="R77" s="6">
        <f t="shared" si="24"/>
        <v>0</v>
      </c>
      <c r="S77" s="2"/>
      <c r="T77" s="7">
        <v>9640.7999999999993</v>
      </c>
      <c r="U77" s="2"/>
      <c r="V77" s="6">
        <f t="shared" si="25"/>
        <v>7.340449831731867E-2</v>
      </c>
      <c r="W77" s="2"/>
      <c r="X77" s="7">
        <f t="shared" si="26"/>
        <v>-9640.7999999999993</v>
      </c>
      <c r="Y77" s="2"/>
      <c r="Z77" s="6">
        <f t="shared" si="27"/>
        <v>-1</v>
      </c>
    </row>
    <row r="78" spans="1:26" s="24" customFormat="1" hidden="1" outlineLevel="2" x14ac:dyDescent="0.25">
      <c r="A78" s="25"/>
      <c r="B78" s="11" t="str">
        <f>CONCATENATE("          ", "6002", " - ", "STAFF SALARIES")</f>
        <v xml:space="preserve">          6002 - STAFF SALARIES</v>
      </c>
      <c r="C78" s="11"/>
      <c r="D78" s="7">
        <v>2280</v>
      </c>
      <c r="E78" s="2"/>
      <c r="F78" s="6">
        <f t="shared" si="20"/>
        <v>3.1373136119231128E-2</v>
      </c>
      <c r="G78" s="2"/>
      <c r="H78" s="7">
        <v>0</v>
      </c>
      <c r="I78" s="2"/>
      <c r="J78" s="6">
        <f t="shared" si="21"/>
        <v>0</v>
      </c>
      <c r="K78" s="2"/>
      <c r="L78" s="7">
        <f t="shared" si="22"/>
        <v>2280</v>
      </c>
      <c r="M78" s="2"/>
      <c r="N78" s="6">
        <f t="shared" si="23"/>
        <v>0</v>
      </c>
      <c r="O78" s="11"/>
      <c r="P78" s="7">
        <v>8616</v>
      </c>
      <c r="Q78" s="2"/>
      <c r="R78" s="6">
        <f t="shared" si="24"/>
        <v>6.7124227031337566E-2</v>
      </c>
      <c r="S78" s="2"/>
      <c r="T78" s="7">
        <v>0</v>
      </c>
      <c r="U78" s="2"/>
      <c r="V78" s="6">
        <f t="shared" si="25"/>
        <v>0</v>
      </c>
      <c r="W78" s="2"/>
      <c r="X78" s="7">
        <f t="shared" si="26"/>
        <v>8616</v>
      </c>
      <c r="Y78" s="2"/>
      <c r="Z78" s="6">
        <f t="shared" si="27"/>
        <v>0</v>
      </c>
    </row>
    <row r="79" spans="1:26" s="24" customFormat="1" hidden="1" outlineLevel="2" x14ac:dyDescent="0.25">
      <c r="A79" s="25"/>
      <c r="B79" s="11" t="str">
        <f>CONCATENATE("          ", "6003", " - ", "STAFF HOURLY-9 MONTH")</f>
        <v xml:space="preserve">          6003 - STAFF HOURLY-9 MONTH</v>
      </c>
      <c r="C79" s="11"/>
      <c r="D79" s="7"/>
      <c r="E79" s="2"/>
      <c r="F79" s="6">
        <f t="shared" si="20"/>
        <v>0</v>
      </c>
      <c r="G79" s="2"/>
      <c r="H79" s="7">
        <v>0</v>
      </c>
      <c r="I79" s="2"/>
      <c r="J79" s="6">
        <f t="shared" si="21"/>
        <v>0</v>
      </c>
      <c r="K79" s="2"/>
      <c r="L79" s="7">
        <f t="shared" si="22"/>
        <v>0</v>
      </c>
      <c r="M79" s="2"/>
      <c r="N79" s="6">
        <f t="shared" si="23"/>
        <v>0</v>
      </c>
      <c r="O79" s="11"/>
      <c r="P79" s="7"/>
      <c r="Q79" s="2"/>
      <c r="R79" s="6">
        <f t="shared" si="24"/>
        <v>0</v>
      </c>
      <c r="S79" s="2"/>
      <c r="T79" s="7">
        <v>0</v>
      </c>
      <c r="U79" s="2"/>
      <c r="V79" s="6">
        <f t="shared" si="25"/>
        <v>0</v>
      </c>
      <c r="W79" s="2"/>
      <c r="X79" s="7">
        <f t="shared" si="26"/>
        <v>0</v>
      </c>
      <c r="Y79" s="2"/>
      <c r="Z79" s="6">
        <f t="shared" si="27"/>
        <v>0</v>
      </c>
    </row>
    <row r="80" spans="1:26" s="24" customFormat="1" hidden="1" outlineLevel="2" x14ac:dyDescent="0.25">
      <c r="A80" s="25"/>
      <c r="B80" s="11" t="str">
        <f>CONCATENATE("          ", "6004", " - ", "STAFF HOURLY")</f>
        <v xml:space="preserve">          6004 - STAFF HOURLY</v>
      </c>
      <c r="C80" s="11"/>
      <c r="D80" s="7"/>
      <c r="E80" s="2"/>
      <c r="F80" s="6">
        <f t="shared" si="20"/>
        <v>0</v>
      </c>
      <c r="G80" s="2"/>
      <c r="H80" s="7">
        <v>0</v>
      </c>
      <c r="I80" s="2"/>
      <c r="J80" s="6">
        <f t="shared" si="21"/>
        <v>0</v>
      </c>
      <c r="K80" s="2"/>
      <c r="L80" s="7">
        <f t="shared" si="22"/>
        <v>0</v>
      </c>
      <c r="M80" s="2"/>
      <c r="N80" s="6">
        <f t="shared" si="23"/>
        <v>0</v>
      </c>
      <c r="O80" s="11"/>
      <c r="P80" s="7"/>
      <c r="Q80" s="2"/>
      <c r="R80" s="6">
        <f t="shared" si="24"/>
        <v>0</v>
      </c>
      <c r="S80" s="2"/>
      <c r="T80" s="7">
        <v>0</v>
      </c>
      <c r="U80" s="2"/>
      <c r="V80" s="6">
        <f t="shared" si="25"/>
        <v>0</v>
      </c>
      <c r="W80" s="2"/>
      <c r="X80" s="7">
        <f t="shared" si="26"/>
        <v>0</v>
      </c>
      <c r="Y80" s="2"/>
      <c r="Z80" s="6">
        <f t="shared" si="27"/>
        <v>0</v>
      </c>
    </row>
    <row r="81" spans="1:26" s="24" customFormat="1" hidden="1" outlineLevel="2" x14ac:dyDescent="0.25">
      <c r="A81" s="25"/>
      <c r="B81" s="11" t="str">
        <f>CONCATENATE("          ", "6005", " - ", "TEMPORARY WAGES-HOURLY")</f>
        <v xml:space="preserve">          6005 - TEMPORARY WAGES-HOURLY</v>
      </c>
      <c r="C81" s="11"/>
      <c r="D81" s="7"/>
      <c r="E81" s="2"/>
      <c r="F81" s="6">
        <f t="shared" si="20"/>
        <v>0</v>
      </c>
      <c r="G81" s="2"/>
      <c r="H81" s="7">
        <v>0</v>
      </c>
      <c r="I81" s="2"/>
      <c r="J81" s="6">
        <f t="shared" si="21"/>
        <v>0</v>
      </c>
      <c r="K81" s="2"/>
      <c r="L81" s="7">
        <f t="shared" si="22"/>
        <v>0</v>
      </c>
      <c r="M81" s="2"/>
      <c r="N81" s="6">
        <f t="shared" si="23"/>
        <v>0</v>
      </c>
      <c r="O81" s="11"/>
      <c r="P81" s="7"/>
      <c r="Q81" s="2"/>
      <c r="R81" s="6">
        <f t="shared" si="24"/>
        <v>0</v>
      </c>
      <c r="S81" s="2"/>
      <c r="T81" s="7">
        <v>0</v>
      </c>
      <c r="U81" s="2"/>
      <c r="V81" s="6">
        <f t="shared" si="25"/>
        <v>0</v>
      </c>
      <c r="W81" s="2"/>
      <c r="X81" s="7">
        <f t="shared" si="26"/>
        <v>0</v>
      </c>
      <c r="Y81" s="2"/>
      <c r="Z81" s="6">
        <f t="shared" si="27"/>
        <v>0</v>
      </c>
    </row>
    <row r="82" spans="1:26" s="24" customFormat="1" hidden="1" outlineLevel="2" x14ac:dyDescent="0.25">
      <c r="A82" s="25"/>
      <c r="B82" s="11" t="str">
        <f>CONCATENATE("          ", "6006", " - ", "TEMPORARY PART TIME")</f>
        <v xml:space="preserve">          6006 - TEMPORARY PART TIME</v>
      </c>
      <c r="C82" s="11"/>
      <c r="D82" s="7"/>
      <c r="E82" s="2"/>
      <c r="F82" s="6">
        <f t="shared" si="20"/>
        <v>0</v>
      </c>
      <c r="G82" s="2"/>
      <c r="H82" s="7">
        <v>0</v>
      </c>
      <c r="I82" s="2"/>
      <c r="J82" s="6">
        <f t="shared" si="21"/>
        <v>0</v>
      </c>
      <c r="K82" s="2"/>
      <c r="L82" s="7">
        <f t="shared" si="22"/>
        <v>0</v>
      </c>
      <c r="M82" s="2"/>
      <c r="N82" s="6">
        <f t="shared" si="23"/>
        <v>0</v>
      </c>
      <c r="O82" s="11"/>
      <c r="P82" s="7">
        <v>25.5</v>
      </c>
      <c r="Q82" s="2"/>
      <c r="R82" s="6">
        <f t="shared" si="24"/>
        <v>1.9866153543397262E-4</v>
      </c>
      <c r="S82" s="2"/>
      <c r="T82" s="7">
        <v>0</v>
      </c>
      <c r="U82" s="2"/>
      <c r="V82" s="6">
        <f t="shared" si="25"/>
        <v>0</v>
      </c>
      <c r="W82" s="2"/>
      <c r="X82" s="7">
        <f t="shared" si="26"/>
        <v>25.5</v>
      </c>
      <c r="Y82" s="2"/>
      <c r="Z82" s="6">
        <f t="shared" si="27"/>
        <v>0</v>
      </c>
    </row>
    <row r="83" spans="1:26" s="24" customFormat="1" hidden="1" outlineLevel="2" x14ac:dyDescent="0.25">
      <c r="A83" s="25"/>
      <c r="B83" s="11" t="str">
        <f>CONCATENATE("          ", "6007", " - ", "STUDENT HOURLY")</f>
        <v xml:space="preserve">          6007 - STUDENT HOURLY</v>
      </c>
      <c r="C83" s="11"/>
      <c r="D83" s="7">
        <v>6149</v>
      </c>
      <c r="E83" s="2"/>
      <c r="F83" s="6">
        <f t="shared" si="20"/>
        <v>8.4611146489979042E-2</v>
      </c>
      <c r="G83" s="2"/>
      <c r="H83" s="7">
        <v>5721.06</v>
      </c>
      <c r="I83" s="2"/>
      <c r="J83" s="6">
        <f t="shared" si="21"/>
        <v>7.4164635727249156E-2</v>
      </c>
      <c r="K83" s="2"/>
      <c r="L83" s="7">
        <f t="shared" si="22"/>
        <v>427.9399999999996</v>
      </c>
      <c r="M83" s="2"/>
      <c r="N83" s="6">
        <f t="shared" si="23"/>
        <v>7.4800823623594151E-2</v>
      </c>
      <c r="O83" s="11"/>
      <c r="P83" s="7">
        <v>11446.25</v>
      </c>
      <c r="Q83" s="2"/>
      <c r="R83" s="6">
        <f t="shared" si="24"/>
        <v>8.9173709802396431E-2</v>
      </c>
      <c r="S83" s="2"/>
      <c r="T83" s="7">
        <v>9070.4699999999993</v>
      </c>
      <c r="U83" s="2"/>
      <c r="V83" s="6">
        <f t="shared" si="25"/>
        <v>6.9062038404726731E-2</v>
      </c>
      <c r="W83" s="2"/>
      <c r="X83" s="7">
        <f t="shared" si="26"/>
        <v>2375.7800000000007</v>
      </c>
      <c r="Y83" s="2"/>
      <c r="Z83" s="6">
        <f t="shared" si="27"/>
        <v>0.26192468526989238</v>
      </c>
    </row>
    <row r="84" spans="1:26" s="24" customFormat="1" hidden="1" outlineLevel="2" x14ac:dyDescent="0.25">
      <c r="A84" s="25"/>
      <c r="B84" s="11" t="str">
        <f>CONCATENATE("          ", "6008", " - ", "STUDENT HOURLY-FICA EXEMPT")</f>
        <v xml:space="preserve">          6008 - STUDENT HOURLY-FICA EXEMPT</v>
      </c>
      <c r="C84" s="11"/>
      <c r="D84" s="7"/>
      <c r="E84" s="2"/>
      <c r="F84" s="6">
        <f t="shared" si="20"/>
        <v>0</v>
      </c>
      <c r="G84" s="2"/>
      <c r="H84" s="7">
        <v>0</v>
      </c>
      <c r="I84" s="2"/>
      <c r="J84" s="6">
        <f t="shared" si="21"/>
        <v>0</v>
      </c>
      <c r="K84" s="2"/>
      <c r="L84" s="7">
        <f t="shared" si="22"/>
        <v>0</v>
      </c>
      <c r="M84" s="2"/>
      <c r="N84" s="6">
        <f t="shared" si="23"/>
        <v>0</v>
      </c>
      <c r="O84" s="11"/>
      <c r="P84" s="7"/>
      <c r="Q84" s="2"/>
      <c r="R84" s="6">
        <f t="shared" si="24"/>
        <v>0</v>
      </c>
      <c r="S84" s="2"/>
      <c r="T84" s="7">
        <v>1654.335</v>
      </c>
      <c r="U84" s="2"/>
      <c r="V84" s="6">
        <f t="shared" si="25"/>
        <v>1.2596011816838996E-2</v>
      </c>
      <c r="W84" s="2"/>
      <c r="X84" s="7">
        <f t="shared" si="26"/>
        <v>-1654.335</v>
      </c>
      <c r="Y84" s="2"/>
      <c r="Z84" s="6">
        <f t="shared" si="27"/>
        <v>-1</v>
      </c>
    </row>
    <row r="85" spans="1:26" s="24" customFormat="1" hidden="1" outlineLevel="2" x14ac:dyDescent="0.25">
      <c r="A85" s="25"/>
      <c r="B85" s="11" t="str">
        <f>CONCATENATE("          ", "6009", " - ", "TEMPORARY-SEASONAL")</f>
        <v xml:space="preserve">          6009 - TEMPORARY-SEASONAL</v>
      </c>
      <c r="C85" s="11"/>
      <c r="D85" s="7"/>
      <c r="E85" s="2"/>
      <c r="F85" s="6">
        <f t="shared" si="20"/>
        <v>0</v>
      </c>
      <c r="G85" s="2"/>
      <c r="H85" s="7">
        <v>0</v>
      </c>
      <c r="I85" s="2"/>
      <c r="J85" s="6">
        <f t="shared" si="21"/>
        <v>0</v>
      </c>
      <c r="K85" s="2"/>
      <c r="L85" s="7">
        <f t="shared" si="22"/>
        <v>0</v>
      </c>
      <c r="M85" s="2"/>
      <c r="N85" s="6">
        <f t="shared" si="23"/>
        <v>0</v>
      </c>
      <c r="O85" s="11"/>
      <c r="P85" s="7"/>
      <c r="Q85" s="2"/>
      <c r="R85" s="6">
        <f t="shared" si="24"/>
        <v>0</v>
      </c>
      <c r="S85" s="2"/>
      <c r="T85" s="7">
        <v>0</v>
      </c>
      <c r="U85" s="2"/>
      <c r="V85" s="6">
        <f t="shared" si="25"/>
        <v>0</v>
      </c>
      <c r="W85" s="2"/>
      <c r="X85" s="7">
        <f t="shared" si="26"/>
        <v>0</v>
      </c>
      <c r="Y85" s="2"/>
      <c r="Z85" s="6">
        <f t="shared" si="27"/>
        <v>0</v>
      </c>
    </row>
    <row r="86" spans="1:26" s="24" customFormat="1" hidden="1" outlineLevel="2" x14ac:dyDescent="0.25">
      <c r="A86" s="25"/>
      <c r="B86" s="11" t="str">
        <f>CONCATENATE("          ", "6010", " - ", "GRATUITY")</f>
        <v xml:space="preserve">          6010 - GRATUITY</v>
      </c>
      <c r="C86" s="11"/>
      <c r="D86" s="7"/>
      <c r="E86" s="2"/>
      <c r="F86" s="6">
        <f t="shared" si="20"/>
        <v>0</v>
      </c>
      <c r="G86" s="2"/>
      <c r="H86" s="7">
        <v>0</v>
      </c>
      <c r="I86" s="2"/>
      <c r="J86" s="6">
        <f t="shared" si="21"/>
        <v>0</v>
      </c>
      <c r="K86" s="2"/>
      <c r="L86" s="7">
        <f t="shared" si="22"/>
        <v>0</v>
      </c>
      <c r="M86" s="2"/>
      <c r="N86" s="6">
        <f t="shared" si="23"/>
        <v>0</v>
      </c>
      <c r="O86" s="11"/>
      <c r="P86" s="7"/>
      <c r="Q86" s="2"/>
      <c r="R86" s="6">
        <f t="shared" si="24"/>
        <v>0</v>
      </c>
      <c r="S86" s="2"/>
      <c r="T86" s="7">
        <v>0</v>
      </c>
      <c r="U86" s="2"/>
      <c r="V86" s="6">
        <f t="shared" si="25"/>
        <v>0</v>
      </c>
      <c r="W86" s="2"/>
      <c r="X86" s="7">
        <f t="shared" si="26"/>
        <v>0</v>
      </c>
      <c r="Y86" s="2"/>
      <c r="Z86" s="6">
        <f t="shared" si="27"/>
        <v>0</v>
      </c>
    </row>
    <row r="87" spans="1:26" s="26" customFormat="1" outlineLevel="1" collapsed="1" x14ac:dyDescent="0.25">
      <c r="A87" s="27"/>
      <c r="B87" s="13" t="str">
        <f>CONCATENATE("     ","Advertising/Promo                                 ")</f>
        <v xml:space="preserve">     Advertising/Promo                                 </v>
      </c>
      <c r="C87" s="13"/>
      <c r="D87" s="1">
        <f>SUM(OSRRefD22_2x_0)</f>
        <v>100.85</v>
      </c>
      <c r="E87" s="1"/>
      <c r="F87" s="5">
        <f t="shared" ref="F87:F93" si="28">IF(D$12=0,0,D87/D$12)</f>
        <v>1.3877108673791487E-3</v>
      </c>
      <c r="G87" s="1"/>
      <c r="H87" s="1">
        <f>SUM(OSRRefH22_2x_0)</f>
        <v>40</v>
      </c>
      <c r="I87" s="1"/>
      <c r="J87" s="5">
        <f t="shared" ref="J87:J93" si="29">IF(H$12=0,0,H87/H$12)</f>
        <v>5.1853772361939326E-4</v>
      </c>
      <c r="K87" s="1"/>
      <c r="L87" s="1">
        <f t="shared" ref="L87:L93" si="30">+D87-H87</f>
        <v>60.849999999999994</v>
      </c>
      <c r="M87" s="1"/>
      <c r="N87" s="5">
        <f t="shared" ref="N87:N93" si="31">IF(H87=0,0,L87/H87)</f>
        <v>1.5212499999999998</v>
      </c>
      <c r="O87" s="13"/>
      <c r="P87" s="1">
        <f>SUM(OSRRefP22_2x_0)</f>
        <v>146.71</v>
      </c>
      <c r="Q87" s="1"/>
      <c r="R87" s="5">
        <f t="shared" ref="R87:R93" si="32">IF(P$12=0,0,P87/P$12)</f>
        <v>1.1429660338634559E-3</v>
      </c>
      <c r="S87" s="1"/>
      <c r="T87" s="1">
        <f>SUM(OSRRefT22_2x_0)</f>
        <v>120</v>
      </c>
      <c r="U87" s="1"/>
      <c r="V87" s="5">
        <f t="shared" ref="V87:V93" si="33">IF(T$12=0,0,T87/T$12)</f>
        <v>9.1367311821407356E-4</v>
      </c>
      <c r="W87" s="1"/>
      <c r="X87" s="1">
        <f t="shared" ref="X87:X93" si="34">+P87-T87</f>
        <v>26.710000000000008</v>
      </c>
      <c r="Y87" s="1"/>
      <c r="Z87" s="5">
        <f t="shared" ref="Z87:Z93" si="35">IF(T87=0,0,X87/T87)</f>
        <v>0.22258333333333341</v>
      </c>
    </row>
    <row r="88" spans="1:26" s="24" customFormat="1" hidden="1" outlineLevel="2" x14ac:dyDescent="0.25">
      <c r="A88" s="25"/>
      <c r="B88" s="11" t="str">
        <f>CONCATENATE("          ", "6362", " - ", "ADVERTISING EXPENSE")</f>
        <v xml:space="preserve">          6362 - ADVERTISING EXPENSE</v>
      </c>
      <c r="C88" s="11"/>
      <c r="D88" s="7">
        <v>100.85</v>
      </c>
      <c r="E88" s="2"/>
      <c r="F88" s="6">
        <f t="shared" si="28"/>
        <v>1.3877108673791487E-3</v>
      </c>
      <c r="G88" s="2"/>
      <c r="H88" s="7">
        <v>40</v>
      </c>
      <c r="I88" s="2"/>
      <c r="J88" s="6">
        <f t="shared" si="29"/>
        <v>5.1853772361939326E-4</v>
      </c>
      <c r="K88" s="2"/>
      <c r="L88" s="7">
        <f t="shared" si="30"/>
        <v>60.849999999999994</v>
      </c>
      <c r="M88" s="2"/>
      <c r="N88" s="6">
        <f t="shared" si="31"/>
        <v>1.5212499999999998</v>
      </c>
      <c r="O88" s="11"/>
      <c r="P88" s="7">
        <v>146.71</v>
      </c>
      <c r="Q88" s="2"/>
      <c r="R88" s="6">
        <f t="shared" si="32"/>
        <v>1.1429660338634559E-3</v>
      </c>
      <c r="S88" s="2"/>
      <c r="T88" s="7">
        <v>120</v>
      </c>
      <c r="U88" s="2"/>
      <c r="V88" s="6">
        <f t="shared" si="33"/>
        <v>9.1367311821407356E-4</v>
      </c>
      <c r="W88" s="2"/>
      <c r="X88" s="7">
        <f t="shared" si="34"/>
        <v>26.710000000000008</v>
      </c>
      <c r="Y88" s="2"/>
      <c r="Z88" s="6">
        <f t="shared" si="35"/>
        <v>0.22258333333333341</v>
      </c>
    </row>
    <row r="89" spans="1:26" s="26" customFormat="1" outlineLevel="1" collapsed="1" x14ac:dyDescent="0.25">
      <c r="A89" s="27"/>
      <c r="B89" s="13" t="str">
        <f>CONCATENATE("     ","Bad Debts/Over/Short                              ")</f>
        <v xml:space="preserve">     Bad Debts/Over/Short                              </v>
      </c>
      <c r="C89" s="13"/>
      <c r="D89" s="1">
        <f>SUM(OSRRefD22_3x_0)</f>
        <v>-30.21</v>
      </c>
      <c r="E89" s="1"/>
      <c r="F89" s="5">
        <f t="shared" si="28"/>
        <v>-4.1569405357981244E-4</v>
      </c>
      <c r="G89" s="1"/>
      <c r="H89" s="1">
        <f>SUM(OSRRefH22_3x_0)</f>
        <v>0</v>
      </c>
      <c r="I89" s="1"/>
      <c r="J89" s="5">
        <f t="shared" si="29"/>
        <v>0</v>
      </c>
      <c r="K89" s="1"/>
      <c r="L89" s="1">
        <f t="shared" si="30"/>
        <v>-30.21</v>
      </c>
      <c r="M89" s="1"/>
      <c r="N89" s="5">
        <f t="shared" si="31"/>
        <v>0</v>
      </c>
      <c r="O89" s="13"/>
      <c r="P89" s="1">
        <f>SUM(OSRRefP22_3x_0)</f>
        <v>-39.28</v>
      </c>
      <c r="Q89" s="1"/>
      <c r="R89" s="5">
        <f t="shared" si="32"/>
        <v>-3.0601667105280175E-4</v>
      </c>
      <c r="S89" s="1"/>
      <c r="T89" s="1">
        <f>SUM(OSRRefT22_3x_0)</f>
        <v>0</v>
      </c>
      <c r="U89" s="1"/>
      <c r="V89" s="5">
        <f t="shared" si="33"/>
        <v>0</v>
      </c>
      <c r="W89" s="1"/>
      <c r="X89" s="1">
        <f t="shared" si="34"/>
        <v>-39.28</v>
      </c>
      <c r="Y89" s="1"/>
      <c r="Z89" s="5">
        <f t="shared" si="35"/>
        <v>0</v>
      </c>
    </row>
    <row r="90" spans="1:26" s="24" customFormat="1" hidden="1" outlineLevel="2" x14ac:dyDescent="0.25">
      <c r="A90" s="25"/>
      <c r="B90" s="11" t="str">
        <f>CONCATENATE("          ", "6272", " - ", "CASH (OVER/SHORT)")</f>
        <v xml:space="preserve">          6272 - CASH (OVER/SHORT)</v>
      </c>
      <c r="C90" s="11"/>
      <c r="D90" s="7">
        <v>-30.21</v>
      </c>
      <c r="E90" s="2"/>
      <c r="F90" s="6">
        <f t="shared" si="28"/>
        <v>-4.1569405357981244E-4</v>
      </c>
      <c r="G90" s="2"/>
      <c r="H90" s="7"/>
      <c r="I90" s="2"/>
      <c r="J90" s="6">
        <f t="shared" si="29"/>
        <v>0</v>
      </c>
      <c r="K90" s="2"/>
      <c r="L90" s="7">
        <f t="shared" si="30"/>
        <v>-30.21</v>
      </c>
      <c r="M90" s="2"/>
      <c r="N90" s="6">
        <f t="shared" si="31"/>
        <v>0</v>
      </c>
      <c r="O90" s="11"/>
      <c r="P90" s="7">
        <v>-39.28</v>
      </c>
      <c r="Q90" s="2"/>
      <c r="R90" s="6">
        <f t="shared" si="32"/>
        <v>-3.0601667105280175E-4</v>
      </c>
      <c r="S90" s="2"/>
      <c r="T90" s="7"/>
      <c r="U90" s="2"/>
      <c r="V90" s="6">
        <f t="shared" si="33"/>
        <v>0</v>
      </c>
      <c r="W90" s="2"/>
      <c r="X90" s="7">
        <f t="shared" si="34"/>
        <v>-39.28</v>
      </c>
      <c r="Y90" s="2"/>
      <c r="Z90" s="6">
        <f t="shared" si="35"/>
        <v>0</v>
      </c>
    </row>
    <row r="91" spans="1:26" s="26" customFormat="1" outlineLevel="1" collapsed="1" x14ac:dyDescent="0.25">
      <c r="A91" s="27"/>
      <c r="B91" s="13" t="str">
        <f>CONCATENATE("     ","Discounts and Markdowns                           ")</f>
        <v xml:space="preserve">     Discounts and Markdowns                           </v>
      </c>
      <c r="C91" s="13"/>
      <c r="D91" s="1">
        <f>SUM(OSRRefD22_4x_0)</f>
        <v>1078.8900000000001</v>
      </c>
      <c r="E91" s="1"/>
      <c r="F91" s="5">
        <f t="shared" si="28"/>
        <v>1.4845685450735646E-2</v>
      </c>
      <c r="G91" s="1"/>
      <c r="H91" s="1">
        <f>SUM(OSRRefH22_4x_0)</f>
        <v>1250</v>
      </c>
      <c r="I91" s="1"/>
      <c r="J91" s="5">
        <f t="shared" si="29"/>
        <v>1.6204303863106041E-2</v>
      </c>
      <c r="K91" s="1"/>
      <c r="L91" s="1">
        <f t="shared" si="30"/>
        <v>-171.1099999999999</v>
      </c>
      <c r="M91" s="1"/>
      <c r="N91" s="5">
        <f t="shared" si="31"/>
        <v>-0.13688799999999993</v>
      </c>
      <c r="O91" s="13"/>
      <c r="P91" s="1">
        <f>SUM(OSRRefP22_4x_0)</f>
        <v>3519.83</v>
      </c>
      <c r="Q91" s="1"/>
      <c r="R91" s="5">
        <f t="shared" si="32"/>
        <v>2.7421758128100385E-2</v>
      </c>
      <c r="S91" s="1"/>
      <c r="T91" s="1">
        <f>SUM(OSRRefT22_4x_0)</f>
        <v>3750</v>
      </c>
      <c r="U91" s="1"/>
      <c r="V91" s="5">
        <f t="shared" si="33"/>
        <v>2.85522849441898E-2</v>
      </c>
      <c r="W91" s="1"/>
      <c r="X91" s="1">
        <f t="shared" si="34"/>
        <v>-230.17000000000007</v>
      </c>
      <c r="Y91" s="1"/>
      <c r="Z91" s="5">
        <f t="shared" si="35"/>
        <v>-6.1378666666666686E-2</v>
      </c>
    </row>
    <row r="92" spans="1:26" s="24" customFormat="1" hidden="1" outlineLevel="2" x14ac:dyDescent="0.25">
      <c r="A92" s="25"/>
      <c r="B92" s="11" t="str">
        <f>CONCATENATE("          ", "6382", " - ", "DISCOUNTS/MARK DOWNS")</f>
        <v xml:space="preserve">          6382 - DISCOUNTS/MARK DOWNS</v>
      </c>
      <c r="C92" s="11"/>
      <c r="D92" s="7">
        <v>1020.45</v>
      </c>
      <c r="E92" s="2"/>
      <c r="F92" s="6">
        <f t="shared" si="28"/>
        <v>1.4041542435469038E-2</v>
      </c>
      <c r="G92" s="2"/>
      <c r="H92" s="7">
        <v>1250</v>
      </c>
      <c r="I92" s="2"/>
      <c r="J92" s="6">
        <f t="shared" si="29"/>
        <v>1.6204303863106041E-2</v>
      </c>
      <c r="K92" s="2"/>
      <c r="L92" s="7">
        <f t="shared" si="30"/>
        <v>-229.54999999999995</v>
      </c>
      <c r="M92" s="2"/>
      <c r="N92" s="6">
        <f t="shared" si="31"/>
        <v>-0.18363999999999997</v>
      </c>
      <c r="O92" s="11"/>
      <c r="P92" s="7">
        <v>3519.83</v>
      </c>
      <c r="Q92" s="2"/>
      <c r="R92" s="6">
        <f t="shared" si="32"/>
        <v>2.7421758128100385E-2</v>
      </c>
      <c r="S92" s="2"/>
      <c r="T92" s="7">
        <v>3750</v>
      </c>
      <c r="U92" s="2"/>
      <c r="V92" s="6">
        <f t="shared" si="33"/>
        <v>2.85522849441898E-2</v>
      </c>
      <c r="W92" s="2"/>
      <c r="X92" s="7">
        <f t="shared" si="34"/>
        <v>-230.17000000000007</v>
      </c>
      <c r="Y92" s="2"/>
      <c r="Z92" s="6">
        <f t="shared" si="35"/>
        <v>-6.1378666666666686E-2</v>
      </c>
    </row>
    <row r="93" spans="1:26" s="24" customFormat="1" hidden="1" outlineLevel="2" x14ac:dyDescent="0.25">
      <c r="A93" s="25"/>
      <c r="B93" s="11" t="str">
        <f>CONCATENATE("          ", "9175", " - ", "EARNED DISCOUNTS")</f>
        <v xml:space="preserve">          9175 - EARNED DISCOUNTS</v>
      </c>
      <c r="C93" s="11"/>
      <c r="D93" s="7">
        <v>58.44</v>
      </c>
      <c r="E93" s="2"/>
      <c r="F93" s="6">
        <f t="shared" si="28"/>
        <v>8.0414301526660829E-4</v>
      </c>
      <c r="G93" s="2"/>
      <c r="H93" s="7"/>
      <c r="I93" s="2"/>
      <c r="J93" s="6">
        <f t="shared" si="29"/>
        <v>0</v>
      </c>
      <c r="K93" s="2"/>
      <c r="L93" s="7">
        <f t="shared" si="30"/>
        <v>58.44</v>
      </c>
      <c r="M93" s="2"/>
      <c r="N93" s="6">
        <f t="shared" si="31"/>
        <v>0</v>
      </c>
      <c r="O93" s="11"/>
      <c r="P93" s="7">
        <v>0</v>
      </c>
      <c r="Q93" s="2"/>
      <c r="R93" s="6">
        <f t="shared" si="32"/>
        <v>0</v>
      </c>
      <c r="S93" s="2"/>
      <c r="T93" s="7"/>
      <c r="U93" s="2"/>
      <c r="V93" s="6">
        <f t="shared" si="33"/>
        <v>0</v>
      </c>
      <c r="W93" s="2"/>
      <c r="X93" s="7">
        <f t="shared" si="34"/>
        <v>0</v>
      </c>
      <c r="Y93" s="2"/>
      <c r="Z93" s="6">
        <f t="shared" si="35"/>
        <v>0</v>
      </c>
    </row>
    <row r="94" spans="1:26" s="26" customFormat="1" outlineLevel="1" collapsed="1" x14ac:dyDescent="0.25">
      <c r="A94" s="27"/>
      <c r="B94" s="13" t="str">
        <f>CONCATENATE("     ","Employees' Appreciation                           ")</f>
        <v xml:space="preserve">     Employees' Appreciation                           </v>
      </c>
      <c r="C94" s="13"/>
      <c r="D94" s="1">
        <f>SUM(OSRRefD22_5x_0)</f>
        <v>0</v>
      </c>
      <c r="E94" s="1"/>
      <c r="F94" s="5">
        <f t="shared" ref="F94:F104" si="36">IF(D$12=0,0,D94/D$12)</f>
        <v>0</v>
      </c>
      <c r="G94" s="1"/>
      <c r="H94" s="1">
        <f>SUM(OSRRefH22_5x_0)</f>
        <v>25</v>
      </c>
      <c r="I94" s="1"/>
      <c r="J94" s="5">
        <f t="shared" ref="J94:J104" si="37">IF(H$12=0,0,H94/H$12)</f>
        <v>3.2408607726212081E-4</v>
      </c>
      <c r="K94" s="1"/>
      <c r="L94" s="1">
        <f t="shared" ref="L94:L104" si="38">+D94-H94</f>
        <v>-25</v>
      </c>
      <c r="M94" s="1"/>
      <c r="N94" s="5">
        <f t="shared" ref="N94:N104" si="39">IF(H94=0,0,L94/H94)</f>
        <v>-1</v>
      </c>
      <c r="O94" s="13"/>
      <c r="P94" s="1">
        <f>SUM(OSRRefP22_5x_0)</f>
        <v>0</v>
      </c>
      <c r="Q94" s="1"/>
      <c r="R94" s="5">
        <f t="shared" ref="R94:R104" si="40">IF(P$12=0,0,P94/P$12)</f>
        <v>0</v>
      </c>
      <c r="S94" s="1"/>
      <c r="T94" s="1">
        <f>SUM(OSRRefT22_5x_0)</f>
        <v>75</v>
      </c>
      <c r="U94" s="1"/>
      <c r="V94" s="5">
        <f t="shared" ref="V94:V104" si="41">IF(T$12=0,0,T94/T$12)</f>
        <v>5.7104569888379606E-4</v>
      </c>
      <c r="W94" s="1"/>
      <c r="X94" s="1">
        <f t="shared" ref="X94:X104" si="42">+P94-T94</f>
        <v>-75</v>
      </c>
      <c r="Y94" s="1"/>
      <c r="Z94" s="5">
        <f t="shared" ref="Z94:Z104" si="43">IF(T94=0,0,X94/T94)</f>
        <v>-1</v>
      </c>
    </row>
    <row r="95" spans="1:26" s="24" customFormat="1" hidden="1" outlineLevel="2" x14ac:dyDescent="0.25">
      <c r="A95" s="25"/>
      <c r="B95" s="11" t="str">
        <f>CONCATENATE("          ", "6277", " - ", "EMPLOYEE APPRECIATION")</f>
        <v xml:space="preserve">          6277 - EMPLOYEE APPRECIATION</v>
      </c>
      <c r="C95" s="11"/>
      <c r="D95" s="7"/>
      <c r="E95" s="2"/>
      <c r="F95" s="6">
        <f t="shared" si="36"/>
        <v>0</v>
      </c>
      <c r="G95" s="2"/>
      <c r="H95" s="7">
        <v>25</v>
      </c>
      <c r="I95" s="2"/>
      <c r="J95" s="6">
        <f t="shared" si="37"/>
        <v>3.2408607726212081E-4</v>
      </c>
      <c r="K95" s="2"/>
      <c r="L95" s="7">
        <f t="shared" si="38"/>
        <v>-25</v>
      </c>
      <c r="M95" s="2"/>
      <c r="N95" s="6">
        <f t="shared" si="39"/>
        <v>-1</v>
      </c>
      <c r="O95" s="11"/>
      <c r="P95" s="7"/>
      <c r="Q95" s="2"/>
      <c r="R95" s="6">
        <f t="shared" si="40"/>
        <v>0</v>
      </c>
      <c r="S95" s="2"/>
      <c r="T95" s="7">
        <v>75</v>
      </c>
      <c r="U95" s="2"/>
      <c r="V95" s="6">
        <f t="shared" si="41"/>
        <v>5.7104569888379606E-4</v>
      </c>
      <c r="W95" s="2"/>
      <c r="X95" s="7">
        <f t="shared" si="42"/>
        <v>-75</v>
      </c>
      <c r="Y95" s="2"/>
      <c r="Z95" s="6">
        <f t="shared" si="43"/>
        <v>-1</v>
      </c>
    </row>
    <row r="96" spans="1:26" s="26" customFormat="1" outlineLevel="1" collapsed="1" x14ac:dyDescent="0.25">
      <c r="A96" s="27"/>
      <c r="B96" s="13" t="str">
        <f>CONCATENATE("     ","General                                           ")</f>
        <v xml:space="preserve">     General                                           </v>
      </c>
      <c r="C96" s="13"/>
      <c r="D96" s="1">
        <f>SUM(OSRRefD22_6x_0)</f>
        <v>0</v>
      </c>
      <c r="E96" s="1"/>
      <c r="F96" s="5">
        <f t="shared" si="36"/>
        <v>0</v>
      </c>
      <c r="G96" s="1"/>
      <c r="H96" s="1">
        <f>SUM(OSRRefH22_6x_0)</f>
        <v>80</v>
      </c>
      <c r="I96" s="1"/>
      <c r="J96" s="5">
        <f t="shared" si="37"/>
        <v>1.0370754472387865E-3</v>
      </c>
      <c r="K96" s="1"/>
      <c r="L96" s="1">
        <f t="shared" si="38"/>
        <v>-80</v>
      </c>
      <c r="M96" s="1"/>
      <c r="N96" s="5">
        <f t="shared" si="39"/>
        <v>-1</v>
      </c>
      <c r="O96" s="13"/>
      <c r="P96" s="1">
        <f>SUM(OSRRefP22_6x_0)</f>
        <v>694.55</v>
      </c>
      <c r="Q96" s="1"/>
      <c r="R96" s="5">
        <f t="shared" si="40"/>
        <v>5.4109948798300262E-3</v>
      </c>
      <c r="S96" s="1"/>
      <c r="T96" s="1">
        <f>SUM(OSRRefT22_6x_0)</f>
        <v>240</v>
      </c>
      <c r="U96" s="1"/>
      <c r="V96" s="5">
        <f t="shared" si="41"/>
        <v>1.8273462364281471E-3</v>
      </c>
      <c r="W96" s="1"/>
      <c r="X96" s="1">
        <f t="shared" si="42"/>
        <v>454.54999999999995</v>
      </c>
      <c r="Y96" s="1"/>
      <c r="Z96" s="5">
        <f t="shared" si="43"/>
        <v>1.8939583333333332</v>
      </c>
    </row>
    <row r="97" spans="1:26" s="24" customFormat="1" hidden="1" outlineLevel="2" x14ac:dyDescent="0.25">
      <c r="A97" s="25"/>
      <c r="B97" s="11" t="str">
        <f>CONCATENATE("          ", "6279", " - ", "GENERAL EXPENSE")</f>
        <v xml:space="preserve">          6279 - GENERAL EXPENSE</v>
      </c>
      <c r="C97" s="11"/>
      <c r="D97" s="7"/>
      <c r="E97" s="2"/>
      <c r="F97" s="6">
        <f t="shared" si="36"/>
        <v>0</v>
      </c>
      <c r="G97" s="2"/>
      <c r="H97" s="7">
        <v>80</v>
      </c>
      <c r="I97" s="2"/>
      <c r="J97" s="6">
        <f t="shared" si="37"/>
        <v>1.0370754472387865E-3</v>
      </c>
      <c r="K97" s="2"/>
      <c r="L97" s="7">
        <f t="shared" si="38"/>
        <v>-80</v>
      </c>
      <c r="M97" s="2"/>
      <c r="N97" s="6">
        <f t="shared" si="39"/>
        <v>-1</v>
      </c>
      <c r="O97" s="11"/>
      <c r="P97" s="7">
        <v>694.55</v>
      </c>
      <c r="Q97" s="2"/>
      <c r="R97" s="6">
        <f t="shared" si="40"/>
        <v>5.4109948798300262E-3</v>
      </c>
      <c r="S97" s="2"/>
      <c r="T97" s="7">
        <v>240</v>
      </c>
      <c r="U97" s="2"/>
      <c r="V97" s="6">
        <f t="shared" si="41"/>
        <v>1.8273462364281471E-3</v>
      </c>
      <c r="W97" s="2"/>
      <c r="X97" s="7">
        <f t="shared" si="42"/>
        <v>454.54999999999995</v>
      </c>
      <c r="Y97" s="2"/>
      <c r="Z97" s="6">
        <f t="shared" si="43"/>
        <v>1.8939583333333332</v>
      </c>
    </row>
    <row r="98" spans="1:26" s="26" customFormat="1" outlineLevel="1" collapsed="1" x14ac:dyDescent="0.25">
      <c r="A98" s="27"/>
      <c r="B98" s="13" t="str">
        <f>CONCATENATE("     ","Professional Services                             ")</f>
        <v xml:space="preserve">     Professional Services                             </v>
      </c>
      <c r="C98" s="13"/>
      <c r="D98" s="1">
        <f>SUM(OSRRefD22_7x_0)</f>
        <v>0</v>
      </c>
      <c r="E98" s="1"/>
      <c r="F98" s="5">
        <f t="shared" si="36"/>
        <v>0</v>
      </c>
      <c r="G98" s="1"/>
      <c r="H98" s="1">
        <f>SUM(OSRRefH22_7x_0)</f>
        <v>115</v>
      </c>
      <c r="I98" s="1"/>
      <c r="J98" s="5">
        <f t="shared" si="37"/>
        <v>1.4907959554057559E-3</v>
      </c>
      <c r="K98" s="1"/>
      <c r="L98" s="1">
        <f t="shared" si="38"/>
        <v>-115</v>
      </c>
      <c r="M98" s="1"/>
      <c r="N98" s="5">
        <f t="shared" si="39"/>
        <v>-1</v>
      </c>
      <c r="O98" s="13"/>
      <c r="P98" s="1">
        <f>SUM(OSRRefP22_7x_0)</f>
        <v>750</v>
      </c>
      <c r="Q98" s="1"/>
      <c r="R98" s="5">
        <f t="shared" si="40"/>
        <v>5.8429863362933123E-3</v>
      </c>
      <c r="S98" s="1"/>
      <c r="T98" s="1">
        <f>SUM(OSRRefT22_7x_0)</f>
        <v>345</v>
      </c>
      <c r="U98" s="1"/>
      <c r="V98" s="5">
        <f t="shared" si="41"/>
        <v>2.6268102148654616E-3</v>
      </c>
      <c r="W98" s="1"/>
      <c r="X98" s="1">
        <f t="shared" si="42"/>
        <v>405</v>
      </c>
      <c r="Y98" s="1"/>
      <c r="Z98" s="5">
        <f t="shared" si="43"/>
        <v>1.173913043478261</v>
      </c>
    </row>
    <row r="99" spans="1:26" s="24" customFormat="1" hidden="1" outlineLevel="2" x14ac:dyDescent="0.25">
      <c r="A99" s="25"/>
      <c r="B99" s="11" t="str">
        <f>CONCATENATE("          ", "6336", " - ", "PROFESSIONAL SERVICES")</f>
        <v xml:space="preserve">          6336 - PROFESSIONAL SERVICES</v>
      </c>
      <c r="C99" s="11"/>
      <c r="D99" s="7"/>
      <c r="E99" s="2"/>
      <c r="F99" s="6">
        <f t="shared" si="36"/>
        <v>0</v>
      </c>
      <c r="G99" s="2"/>
      <c r="H99" s="7">
        <v>115</v>
      </c>
      <c r="I99" s="2"/>
      <c r="J99" s="6">
        <f t="shared" si="37"/>
        <v>1.4907959554057559E-3</v>
      </c>
      <c r="K99" s="2"/>
      <c r="L99" s="7">
        <f t="shared" si="38"/>
        <v>-115</v>
      </c>
      <c r="M99" s="2"/>
      <c r="N99" s="6">
        <f t="shared" si="39"/>
        <v>-1</v>
      </c>
      <c r="O99" s="11"/>
      <c r="P99" s="7">
        <v>750</v>
      </c>
      <c r="Q99" s="2"/>
      <c r="R99" s="6">
        <f t="shared" si="40"/>
        <v>5.8429863362933123E-3</v>
      </c>
      <c r="S99" s="2"/>
      <c r="T99" s="7">
        <v>345</v>
      </c>
      <c r="U99" s="2"/>
      <c r="V99" s="6">
        <f t="shared" si="41"/>
        <v>2.6268102148654616E-3</v>
      </c>
      <c r="W99" s="2"/>
      <c r="X99" s="7">
        <f t="shared" si="42"/>
        <v>405</v>
      </c>
      <c r="Y99" s="2"/>
      <c r="Z99" s="6">
        <f t="shared" si="43"/>
        <v>1.173913043478261</v>
      </c>
    </row>
    <row r="100" spans="1:26" s="26" customFormat="1" outlineLevel="1" collapsed="1" x14ac:dyDescent="0.25">
      <c r="A100" s="27"/>
      <c r="B100" s="13" t="str">
        <f>CONCATENATE("     ","Repair and Maintenance                            ")</f>
        <v xml:space="preserve">     Repair and Maintenance                            </v>
      </c>
      <c r="C100" s="13"/>
      <c r="D100" s="1">
        <f>SUM(OSRRefD22_8x_0)</f>
        <v>9.8000000000000007</v>
      </c>
      <c r="E100" s="1"/>
      <c r="F100" s="5">
        <f t="shared" si="36"/>
        <v>1.34849444723011E-4</v>
      </c>
      <c r="G100" s="1"/>
      <c r="H100" s="1">
        <f>SUM(OSRRefH22_8x_0)</f>
        <v>125</v>
      </c>
      <c r="I100" s="1"/>
      <c r="J100" s="5">
        <f t="shared" si="37"/>
        <v>1.6204303863106041E-3</v>
      </c>
      <c r="K100" s="1"/>
      <c r="L100" s="1">
        <f t="shared" si="38"/>
        <v>-115.2</v>
      </c>
      <c r="M100" s="1"/>
      <c r="N100" s="5">
        <f t="shared" si="39"/>
        <v>-0.92159999999999997</v>
      </c>
      <c r="O100" s="13"/>
      <c r="P100" s="1">
        <f>SUM(OSRRefP22_8x_0)</f>
        <v>9.8000000000000007</v>
      </c>
      <c r="Q100" s="1"/>
      <c r="R100" s="5">
        <f t="shared" si="40"/>
        <v>7.6348354794232616E-5</v>
      </c>
      <c r="S100" s="1"/>
      <c r="T100" s="1">
        <f>SUM(OSRRefT22_8x_0)</f>
        <v>375</v>
      </c>
      <c r="U100" s="1"/>
      <c r="V100" s="5">
        <f t="shared" si="41"/>
        <v>2.8552284944189802E-3</v>
      </c>
      <c r="W100" s="1"/>
      <c r="X100" s="1">
        <f t="shared" si="42"/>
        <v>-365.2</v>
      </c>
      <c r="Y100" s="1"/>
      <c r="Z100" s="5">
        <f t="shared" si="43"/>
        <v>-0.97386666666666666</v>
      </c>
    </row>
    <row r="101" spans="1:26" s="24" customFormat="1" hidden="1" outlineLevel="2" x14ac:dyDescent="0.25">
      <c r="A101" s="25"/>
      <c r="B101" s="11" t="str">
        <f>CONCATENATE("          ", "6375", " - ", "OUTSIDE REPAIRS &amp; MAINTENANCE")</f>
        <v xml:space="preserve">          6375 - OUTSIDE REPAIRS &amp; MAINTENANCE</v>
      </c>
      <c r="C101" s="11"/>
      <c r="D101" s="7">
        <v>9.8000000000000007</v>
      </c>
      <c r="E101" s="2"/>
      <c r="F101" s="6">
        <f t="shared" si="36"/>
        <v>1.34849444723011E-4</v>
      </c>
      <c r="G101" s="2"/>
      <c r="H101" s="7">
        <v>125</v>
      </c>
      <c r="I101" s="2"/>
      <c r="J101" s="6">
        <f t="shared" si="37"/>
        <v>1.6204303863106041E-3</v>
      </c>
      <c r="K101" s="2"/>
      <c r="L101" s="7">
        <f t="shared" si="38"/>
        <v>-115.2</v>
      </c>
      <c r="M101" s="2"/>
      <c r="N101" s="6">
        <f t="shared" si="39"/>
        <v>-0.92159999999999997</v>
      </c>
      <c r="O101" s="11"/>
      <c r="P101" s="7">
        <v>9.8000000000000007</v>
      </c>
      <c r="Q101" s="2"/>
      <c r="R101" s="6">
        <f t="shared" si="40"/>
        <v>7.6348354794232616E-5</v>
      </c>
      <c r="S101" s="2"/>
      <c r="T101" s="7">
        <v>375</v>
      </c>
      <c r="U101" s="2"/>
      <c r="V101" s="6">
        <f t="shared" si="41"/>
        <v>2.8552284944189802E-3</v>
      </c>
      <c r="W101" s="2"/>
      <c r="X101" s="7">
        <f t="shared" si="42"/>
        <v>-365.2</v>
      </c>
      <c r="Y101" s="2"/>
      <c r="Z101" s="6">
        <f t="shared" si="43"/>
        <v>-0.97386666666666666</v>
      </c>
    </row>
    <row r="102" spans="1:26" s="26" customFormat="1" outlineLevel="1" collapsed="1" x14ac:dyDescent="0.25">
      <c r="A102" s="27"/>
      <c r="B102" s="13" t="str">
        <f>CONCATENATE("     ","Services                                          ")</f>
        <v xml:space="preserve">     Services                                          </v>
      </c>
      <c r="C102" s="13"/>
      <c r="D102" s="1">
        <f>SUM(OSRRefD22_9x_0)</f>
        <v>233.11</v>
      </c>
      <c r="E102" s="1"/>
      <c r="F102" s="5">
        <f t="shared" si="36"/>
        <v>3.2076279652429687E-3</v>
      </c>
      <c r="G102" s="1"/>
      <c r="H102" s="1">
        <f>SUM(OSRRefH22_9x_0)</f>
        <v>100</v>
      </c>
      <c r="I102" s="1"/>
      <c r="J102" s="5">
        <f t="shared" si="37"/>
        <v>1.2963443090484833E-3</v>
      </c>
      <c r="K102" s="1"/>
      <c r="L102" s="1">
        <f t="shared" si="38"/>
        <v>133.11000000000001</v>
      </c>
      <c r="M102" s="1"/>
      <c r="N102" s="5">
        <f t="shared" si="39"/>
        <v>1.3311000000000002</v>
      </c>
      <c r="O102" s="13"/>
      <c r="P102" s="1">
        <f>SUM(OSRRefP22_9x_0)</f>
        <v>695.96</v>
      </c>
      <c r="Q102" s="1"/>
      <c r="R102" s="5">
        <f t="shared" si="40"/>
        <v>5.4219796941422579E-3</v>
      </c>
      <c r="S102" s="1"/>
      <c r="T102" s="1">
        <f>SUM(OSRRefT22_9x_0)</f>
        <v>300</v>
      </c>
      <c r="U102" s="1"/>
      <c r="V102" s="5">
        <f t="shared" si="41"/>
        <v>2.2841827955351842E-3</v>
      </c>
      <c r="W102" s="1"/>
      <c r="X102" s="1">
        <f t="shared" si="42"/>
        <v>395.96000000000004</v>
      </c>
      <c r="Y102" s="1"/>
      <c r="Z102" s="5">
        <f t="shared" si="43"/>
        <v>1.3198666666666667</v>
      </c>
    </row>
    <row r="103" spans="1:26" s="24" customFormat="1" hidden="1" outlineLevel="2" x14ac:dyDescent="0.25">
      <c r="A103" s="25"/>
      <c r="B103" s="11" t="str">
        <f>CONCATENATE("          ", "6282", " - ", "JANITORIAL/EXTERMINATOR EXPENS")</f>
        <v xml:space="preserve">          6282 - JANITORIAL/EXTERMINATOR EXPENS</v>
      </c>
      <c r="C103" s="11"/>
      <c r="D103" s="7">
        <v>44</v>
      </c>
      <c r="E103" s="2"/>
      <c r="F103" s="6">
        <f t="shared" si="36"/>
        <v>6.0544648651147785E-4</v>
      </c>
      <c r="G103" s="2"/>
      <c r="H103" s="7">
        <v>50</v>
      </c>
      <c r="I103" s="2"/>
      <c r="J103" s="6">
        <f t="shared" si="37"/>
        <v>6.4817215452424163E-4</v>
      </c>
      <c r="K103" s="2"/>
      <c r="L103" s="7">
        <f t="shared" si="38"/>
        <v>-6</v>
      </c>
      <c r="M103" s="2"/>
      <c r="N103" s="6">
        <f t="shared" si="39"/>
        <v>-0.12</v>
      </c>
      <c r="O103" s="11"/>
      <c r="P103" s="7">
        <v>132</v>
      </c>
      <c r="Q103" s="2"/>
      <c r="R103" s="6">
        <f t="shared" si="40"/>
        <v>1.028365595187623E-3</v>
      </c>
      <c r="S103" s="2"/>
      <c r="T103" s="7">
        <v>150</v>
      </c>
      <c r="U103" s="2"/>
      <c r="V103" s="6">
        <f t="shared" si="41"/>
        <v>1.1420913977675921E-3</v>
      </c>
      <c r="W103" s="2"/>
      <c r="X103" s="7">
        <f t="shared" si="42"/>
        <v>-18</v>
      </c>
      <c r="Y103" s="2"/>
      <c r="Z103" s="6">
        <f t="shared" si="43"/>
        <v>-0.12</v>
      </c>
    </row>
    <row r="104" spans="1:26" s="24" customFormat="1" hidden="1" outlineLevel="2" x14ac:dyDescent="0.25">
      <c r="A104" s="25"/>
      <c r="B104" s="11" t="str">
        <f>CONCATENATE("          ", "6285", " - ", "JANITORIAL SERVICES")</f>
        <v xml:space="preserve">          6285 - JANITORIAL SERVICES</v>
      </c>
      <c r="C104" s="11"/>
      <c r="D104" s="7">
        <v>189.11</v>
      </c>
      <c r="E104" s="2"/>
      <c r="F104" s="6">
        <f t="shared" si="36"/>
        <v>2.6021814787314909E-3</v>
      </c>
      <c r="G104" s="2"/>
      <c r="H104" s="7">
        <v>50</v>
      </c>
      <c r="I104" s="2"/>
      <c r="J104" s="6">
        <f t="shared" si="37"/>
        <v>6.4817215452424163E-4</v>
      </c>
      <c r="K104" s="2"/>
      <c r="L104" s="7">
        <f t="shared" si="38"/>
        <v>139.11000000000001</v>
      </c>
      <c r="M104" s="2"/>
      <c r="N104" s="6">
        <f t="shared" si="39"/>
        <v>2.7822000000000005</v>
      </c>
      <c r="O104" s="11"/>
      <c r="P104" s="7">
        <v>563.96</v>
      </c>
      <c r="Q104" s="2"/>
      <c r="R104" s="6">
        <f t="shared" si="40"/>
        <v>4.393614098954635E-3</v>
      </c>
      <c r="S104" s="2"/>
      <c r="T104" s="7">
        <v>150</v>
      </c>
      <c r="U104" s="2"/>
      <c r="V104" s="6">
        <f t="shared" si="41"/>
        <v>1.1420913977675921E-3</v>
      </c>
      <c r="W104" s="2"/>
      <c r="X104" s="7">
        <f t="shared" si="42"/>
        <v>413.96000000000004</v>
      </c>
      <c r="Y104" s="2"/>
      <c r="Z104" s="6">
        <f t="shared" si="43"/>
        <v>2.7597333333333336</v>
      </c>
    </row>
    <row r="105" spans="1:26" s="26" customFormat="1" outlineLevel="1" collapsed="1" x14ac:dyDescent="0.25">
      <c r="A105" s="27"/>
      <c r="B105" s="13" t="str">
        <f>CONCATENATE("     ","Supplies                                          ")</f>
        <v xml:space="preserve">     Supplies                                          </v>
      </c>
      <c r="C105" s="13"/>
      <c r="D105" s="1">
        <f>SUM(OSRRefD22_10x_0)</f>
        <v>358.54</v>
      </c>
      <c r="E105" s="1"/>
      <c r="F105" s="5">
        <f t="shared" ref="F105:F110" si="44">IF(D$12=0,0,D105/D$12)</f>
        <v>4.9335632562233023E-3</v>
      </c>
      <c r="G105" s="1"/>
      <c r="H105" s="1">
        <f>SUM(OSRRefH22_10x_0)</f>
        <v>150</v>
      </c>
      <c r="I105" s="1"/>
      <c r="J105" s="5">
        <f t="shared" ref="J105:J110" si="45">IF(H$12=0,0,H105/H$12)</f>
        <v>1.944516463572725E-3</v>
      </c>
      <c r="K105" s="1"/>
      <c r="L105" s="1">
        <f t="shared" ref="L105:L110" si="46">+D105-H105</f>
        <v>208.54000000000002</v>
      </c>
      <c r="M105" s="1"/>
      <c r="N105" s="5">
        <f t="shared" ref="N105:N110" si="47">IF(H105=0,0,L105/H105)</f>
        <v>1.3902666666666668</v>
      </c>
      <c r="O105" s="13"/>
      <c r="P105" s="1">
        <f>SUM(OSRRefP22_10x_0)</f>
        <v>373.63</v>
      </c>
      <c r="Q105" s="1"/>
      <c r="R105" s="5">
        <f t="shared" ref="R105:R110" si="48">IF(P$12=0,0,P105/P$12)</f>
        <v>2.9108199797723603E-3</v>
      </c>
      <c r="S105" s="1"/>
      <c r="T105" s="1">
        <f>SUM(OSRRefT22_10x_0)</f>
        <v>450</v>
      </c>
      <c r="U105" s="1"/>
      <c r="V105" s="5">
        <f t="shared" ref="V105:V110" si="49">IF(T$12=0,0,T105/T$12)</f>
        <v>3.4262741933027761E-3</v>
      </c>
      <c r="W105" s="1"/>
      <c r="X105" s="1">
        <f t="shared" ref="X105:X110" si="50">+P105-T105</f>
        <v>-76.37</v>
      </c>
      <c r="Y105" s="1"/>
      <c r="Z105" s="5">
        <f t="shared" ref="Z105:Z110" si="51">IF(T105=0,0,X105/T105)</f>
        <v>-0.16971111111111112</v>
      </c>
    </row>
    <row r="106" spans="1:26" s="24" customFormat="1" hidden="1" outlineLevel="2" x14ac:dyDescent="0.25">
      <c r="A106" s="25"/>
      <c r="B106" s="11" t="str">
        <f>CONCATENATE("          ", "6241", " - ", "OFFICE EXPENSE")</f>
        <v xml:space="preserve">          6241 - OFFICE EXPENSE</v>
      </c>
      <c r="C106" s="11"/>
      <c r="D106" s="7">
        <v>358.54</v>
      </c>
      <c r="E106" s="2"/>
      <c r="F106" s="6">
        <f t="shared" si="44"/>
        <v>4.9335632562233023E-3</v>
      </c>
      <c r="G106" s="2"/>
      <c r="H106" s="7">
        <v>150</v>
      </c>
      <c r="I106" s="2"/>
      <c r="J106" s="6">
        <f t="shared" si="45"/>
        <v>1.944516463572725E-3</v>
      </c>
      <c r="K106" s="2"/>
      <c r="L106" s="7">
        <f t="shared" si="46"/>
        <v>208.54000000000002</v>
      </c>
      <c r="M106" s="2"/>
      <c r="N106" s="6">
        <f t="shared" si="47"/>
        <v>1.3902666666666668</v>
      </c>
      <c r="O106" s="11"/>
      <c r="P106" s="7">
        <v>373.63</v>
      </c>
      <c r="Q106" s="2"/>
      <c r="R106" s="6">
        <f t="shared" si="48"/>
        <v>2.9108199797723603E-3</v>
      </c>
      <c r="S106" s="2"/>
      <c r="T106" s="7">
        <v>450</v>
      </c>
      <c r="U106" s="2"/>
      <c r="V106" s="6">
        <f t="shared" si="49"/>
        <v>3.4262741933027761E-3</v>
      </c>
      <c r="W106" s="2"/>
      <c r="X106" s="7">
        <f t="shared" si="50"/>
        <v>-76.37</v>
      </c>
      <c r="Y106" s="2"/>
      <c r="Z106" s="6">
        <f t="shared" si="51"/>
        <v>-0.16971111111111112</v>
      </c>
    </row>
    <row r="107" spans="1:26" s="26" customFormat="1" outlineLevel="1" collapsed="1" x14ac:dyDescent="0.25">
      <c r="A107" s="27"/>
      <c r="B107" s="13" t="str">
        <f>CONCATENATE("     ","Telephone/Data Lines                              ")</f>
        <v xml:space="preserve">     Telephone/Data Lines                              </v>
      </c>
      <c r="C107" s="13"/>
      <c r="D107" s="1">
        <f>SUM(OSRRefD22_11x_0)</f>
        <v>125</v>
      </c>
      <c r="E107" s="1"/>
      <c r="F107" s="5">
        <f t="shared" si="44"/>
        <v>1.7200184275894259E-3</v>
      </c>
      <c r="G107" s="1"/>
      <c r="H107" s="1">
        <f>SUM(OSRRefH22_11x_0)</f>
        <v>75</v>
      </c>
      <c r="I107" s="1"/>
      <c r="J107" s="5">
        <f t="shared" si="45"/>
        <v>9.722582317863625E-4</v>
      </c>
      <c r="K107" s="1"/>
      <c r="L107" s="1">
        <f t="shared" si="46"/>
        <v>50</v>
      </c>
      <c r="M107" s="1"/>
      <c r="N107" s="5">
        <f t="shared" si="47"/>
        <v>0.66666666666666663</v>
      </c>
      <c r="O107" s="13"/>
      <c r="P107" s="1">
        <f>SUM(OSRRefP22_11x_0)</f>
        <v>302.5</v>
      </c>
      <c r="Q107" s="1"/>
      <c r="R107" s="5">
        <f t="shared" si="48"/>
        <v>2.3566711556383024E-3</v>
      </c>
      <c r="S107" s="1"/>
      <c r="T107" s="1">
        <f>SUM(OSRRefT22_11x_0)</f>
        <v>225</v>
      </c>
      <c r="U107" s="1"/>
      <c r="V107" s="5">
        <f t="shared" si="49"/>
        <v>1.7131370966513881E-3</v>
      </c>
      <c r="W107" s="1"/>
      <c r="X107" s="1">
        <f t="shared" si="50"/>
        <v>77.5</v>
      </c>
      <c r="Y107" s="1"/>
      <c r="Z107" s="5">
        <f t="shared" si="51"/>
        <v>0.34444444444444444</v>
      </c>
    </row>
    <row r="108" spans="1:26" s="24" customFormat="1" hidden="1" outlineLevel="2" x14ac:dyDescent="0.25">
      <c r="A108" s="25"/>
      <c r="B108" s="11" t="str">
        <f>CONCATENATE("          ", "6309", " - ", "TELEPHONE")</f>
        <v xml:space="preserve">          6309 - TELEPHONE</v>
      </c>
      <c r="C108" s="11"/>
      <c r="D108" s="7">
        <v>125</v>
      </c>
      <c r="E108" s="2"/>
      <c r="F108" s="6">
        <f t="shared" si="44"/>
        <v>1.7200184275894259E-3</v>
      </c>
      <c r="G108" s="2"/>
      <c r="H108" s="7">
        <v>75</v>
      </c>
      <c r="I108" s="2"/>
      <c r="J108" s="6">
        <f t="shared" si="45"/>
        <v>9.722582317863625E-4</v>
      </c>
      <c r="K108" s="2"/>
      <c r="L108" s="7">
        <f t="shared" si="46"/>
        <v>50</v>
      </c>
      <c r="M108" s="2"/>
      <c r="N108" s="6">
        <f t="shared" si="47"/>
        <v>0.66666666666666663</v>
      </c>
      <c r="O108" s="11"/>
      <c r="P108" s="7">
        <v>302.5</v>
      </c>
      <c r="Q108" s="2"/>
      <c r="R108" s="6">
        <f t="shared" si="48"/>
        <v>2.3566711556383024E-3</v>
      </c>
      <c r="S108" s="2"/>
      <c r="T108" s="7">
        <v>225</v>
      </c>
      <c r="U108" s="2"/>
      <c r="V108" s="6">
        <f t="shared" si="49"/>
        <v>1.7131370966513881E-3</v>
      </c>
      <c r="W108" s="2"/>
      <c r="X108" s="7">
        <f t="shared" si="50"/>
        <v>77.5</v>
      </c>
      <c r="Y108" s="2"/>
      <c r="Z108" s="6">
        <f t="shared" si="51"/>
        <v>0.34444444444444444</v>
      </c>
    </row>
    <row r="109" spans="1:26" s="26" customFormat="1" outlineLevel="1" collapsed="1" x14ac:dyDescent="0.25">
      <c r="A109" s="27"/>
      <c r="B109" s="13" t="str">
        <f>CONCATENATE("     ","Training                                          ")</f>
        <v xml:space="preserve">     Training                                          </v>
      </c>
      <c r="C109" s="13"/>
      <c r="D109" s="1">
        <f>SUM(OSRRefD22_12x_0)</f>
        <v>0</v>
      </c>
      <c r="E109" s="1"/>
      <c r="F109" s="5">
        <f t="shared" si="44"/>
        <v>0</v>
      </c>
      <c r="G109" s="1"/>
      <c r="H109" s="1">
        <f>SUM(OSRRefH22_12x_0)</f>
        <v>175</v>
      </c>
      <c r="I109" s="1"/>
      <c r="J109" s="5">
        <f t="shared" si="45"/>
        <v>2.2686025408348459E-3</v>
      </c>
      <c r="K109" s="1"/>
      <c r="L109" s="1">
        <f t="shared" si="46"/>
        <v>-175</v>
      </c>
      <c r="M109" s="1"/>
      <c r="N109" s="5">
        <f t="shared" si="47"/>
        <v>-1</v>
      </c>
      <c r="O109" s="13"/>
      <c r="P109" s="1">
        <f>SUM(OSRRefP22_12x_0)</f>
        <v>0</v>
      </c>
      <c r="Q109" s="1"/>
      <c r="R109" s="5">
        <f t="shared" si="48"/>
        <v>0</v>
      </c>
      <c r="S109" s="1"/>
      <c r="T109" s="1">
        <f>SUM(OSRRefT22_12x_0)</f>
        <v>525</v>
      </c>
      <c r="U109" s="1"/>
      <c r="V109" s="5">
        <f t="shared" si="49"/>
        <v>3.9973198921865721E-3</v>
      </c>
      <c r="W109" s="1"/>
      <c r="X109" s="1">
        <f t="shared" si="50"/>
        <v>-525</v>
      </c>
      <c r="Y109" s="1"/>
      <c r="Z109" s="5">
        <f t="shared" si="51"/>
        <v>-1</v>
      </c>
    </row>
    <row r="110" spans="1:26" s="24" customFormat="1" hidden="1" outlineLevel="2" x14ac:dyDescent="0.25">
      <c r="A110" s="25"/>
      <c r="B110" s="11" t="str">
        <f>CONCATENATE("          ", "6376", " - ", "TRAINING")</f>
        <v xml:space="preserve">          6376 - TRAINING</v>
      </c>
      <c r="C110" s="11"/>
      <c r="D110" s="7"/>
      <c r="E110" s="2"/>
      <c r="F110" s="6">
        <f t="shared" si="44"/>
        <v>0</v>
      </c>
      <c r="G110" s="2"/>
      <c r="H110" s="7">
        <v>175</v>
      </c>
      <c r="I110" s="2"/>
      <c r="J110" s="6">
        <f t="shared" si="45"/>
        <v>2.2686025408348459E-3</v>
      </c>
      <c r="K110" s="2"/>
      <c r="L110" s="7">
        <f t="shared" si="46"/>
        <v>-175</v>
      </c>
      <c r="M110" s="2"/>
      <c r="N110" s="6">
        <f t="shared" si="47"/>
        <v>-1</v>
      </c>
      <c r="O110" s="11"/>
      <c r="P110" s="7"/>
      <c r="Q110" s="2"/>
      <c r="R110" s="6">
        <f t="shared" si="48"/>
        <v>0</v>
      </c>
      <c r="S110" s="2"/>
      <c r="T110" s="7">
        <v>525</v>
      </c>
      <c r="U110" s="2"/>
      <c r="V110" s="6">
        <f t="shared" si="49"/>
        <v>3.9973198921865721E-3</v>
      </c>
      <c r="W110" s="2"/>
      <c r="X110" s="7">
        <f t="shared" si="50"/>
        <v>-525</v>
      </c>
      <c r="Y110" s="2"/>
      <c r="Z110" s="6">
        <f t="shared" si="51"/>
        <v>-1</v>
      </c>
    </row>
    <row r="111" spans="1:26" s="63" customFormat="1" x14ac:dyDescent="0.25">
      <c r="A111" s="36"/>
      <c r="B111" s="36"/>
      <c r="C111" s="36"/>
      <c r="D111" s="1"/>
      <c r="E111" s="1"/>
      <c r="F111" s="5"/>
      <c r="G111" s="1"/>
      <c r="H111" s="1"/>
      <c r="I111" s="1"/>
      <c r="J111" s="5"/>
      <c r="K111" s="1"/>
      <c r="L111" s="1"/>
      <c r="M111" s="1"/>
      <c r="N111" s="5"/>
      <c r="O111" s="36"/>
      <c r="P111" s="1"/>
      <c r="Q111" s="1"/>
      <c r="R111" s="5"/>
      <c r="S111" s="1"/>
      <c r="T111" s="1"/>
      <c r="U111" s="1"/>
      <c r="V111" s="5"/>
      <c r="W111" s="1"/>
      <c r="X111" s="1"/>
      <c r="Y111" s="1"/>
      <c r="Z111" s="5"/>
    </row>
    <row r="112" spans="1:26" s="23" customFormat="1" x14ac:dyDescent="0.25">
      <c r="A112" s="10"/>
      <c r="B112" s="28" t="s">
        <v>0</v>
      </c>
      <c r="C112" s="10"/>
      <c r="D112" s="4">
        <f>SUM(0)</f>
        <v>0</v>
      </c>
      <c r="E112" s="4"/>
      <c r="F112" s="12">
        <f>IF(D$12=0,0,D112/D$12)</f>
        <v>0</v>
      </c>
      <c r="G112" s="4"/>
      <c r="H112" s="4">
        <f>SUM(0)</f>
        <v>0</v>
      </c>
      <c r="I112" s="4"/>
      <c r="J112" s="12">
        <f>IF(H$12=0,0,H112/H$12)</f>
        <v>0</v>
      </c>
      <c r="K112" s="4"/>
      <c r="L112" s="4">
        <f>+D112-H112</f>
        <v>0</v>
      </c>
      <c r="M112" s="4"/>
      <c r="N112" s="12">
        <f>IF(H112=0,0,L112/H112)</f>
        <v>0</v>
      </c>
      <c r="O112" s="10"/>
      <c r="P112" s="4">
        <f>SUM(0)</f>
        <v>0</v>
      </c>
      <c r="Q112" s="4"/>
      <c r="R112" s="12">
        <f>IF(P$12=0,0,P112/P$12)</f>
        <v>0</v>
      </c>
      <c r="S112" s="4"/>
      <c r="T112" s="4">
        <f>SUM(0)</f>
        <v>0</v>
      </c>
      <c r="U112" s="4"/>
      <c r="V112" s="12">
        <f>IF(T$12=0,0,T112/T$12)</f>
        <v>0</v>
      </c>
      <c r="W112" s="4"/>
      <c r="X112" s="4">
        <f>+P112-T112</f>
        <v>0</v>
      </c>
      <c r="Y112" s="4"/>
      <c r="Z112" s="12">
        <f>IF(T112=0,0,X112/T112)</f>
        <v>0</v>
      </c>
    </row>
    <row r="113" spans="1:26" x14ac:dyDescent="0.25">
      <c r="A113" s="9"/>
      <c r="B113" s="10"/>
      <c r="C113" s="10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O113" s="10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x14ac:dyDescent="0.25">
      <c r="A114" s="10"/>
      <c r="B114" s="29" t="s">
        <v>3</v>
      </c>
      <c r="C114" s="29"/>
      <c r="D114" s="22">
        <f>+D63-D65+D112</f>
        <v>23483.049999999996</v>
      </c>
      <c r="E114" s="14"/>
      <c r="F114" s="20">
        <f>IF(D$12=0,0,D114/D$12)</f>
        <v>0.32313022988803086</v>
      </c>
      <c r="G114" s="14"/>
      <c r="H114" s="22">
        <f>+H63-H65+H112</f>
        <v>30642.056027999999</v>
      </c>
      <c r="I114" s="14"/>
      <c r="J114" s="20">
        <f>IF(H$12=0,0,H114/H$12)</f>
        <v>0.39722654949442571</v>
      </c>
      <c r="K114" s="15"/>
      <c r="L114" s="22">
        <f>+D114-H114</f>
        <v>-7159.0060280000034</v>
      </c>
      <c r="M114" s="15"/>
      <c r="N114" s="20">
        <f>IF(H114=0,0,L114/H114)</f>
        <v>-0.23363334436365074</v>
      </c>
      <c r="O114" s="28"/>
      <c r="P114" s="22">
        <f>+P63-P65+P112</f>
        <v>30313.299999999992</v>
      </c>
      <c r="Q114" s="14"/>
      <c r="R114" s="20">
        <f>IF(P$12=0,0,P114/P$12)</f>
        <v>0.23616026361061335</v>
      </c>
      <c r="S114" s="14"/>
      <c r="T114" s="22">
        <f>+T63-T65+T112</f>
        <v>42936.297065999999</v>
      </c>
      <c r="U114" s="14"/>
      <c r="V114" s="20">
        <f>IF(T$12=0,0,T114/T$12)</f>
        <v>0.32691450354048335</v>
      </c>
      <c r="W114" s="15"/>
      <c r="X114" s="22">
        <f>+P114-T114</f>
        <v>-12622.997066000007</v>
      </c>
      <c r="Y114" s="15"/>
      <c r="Z114" s="20">
        <f>IF(T114=0,0,X114/T114)</f>
        <v>-0.29399361213186198</v>
      </c>
    </row>
    <row r="115" spans="1:26" x14ac:dyDescent="0.25">
      <c r="A115" s="9"/>
      <c r="B115" s="10"/>
      <c r="C115" s="9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x14ac:dyDescent="0.25">
      <c r="A116" s="52"/>
      <c r="B116" s="10" t="s">
        <v>14</v>
      </c>
      <c r="C116" s="10"/>
      <c r="D116" s="4">
        <v>6844.51</v>
      </c>
      <c r="E116" s="4"/>
      <c r="F116" s="12">
        <f>IF(D$12=0,0,D116/D$12)</f>
        <v>9.4181466622560814E-2</v>
      </c>
      <c r="G116" s="4"/>
      <c r="H116" s="4">
        <v>7810</v>
      </c>
      <c r="I116" s="4"/>
      <c r="J116" s="12">
        <f>IF(H$12=0,0,H116/H$12)</f>
        <v>0.10124449053668655</v>
      </c>
      <c r="K116" s="4"/>
      <c r="L116" s="4">
        <f>+D116-H116</f>
        <v>-965.48999999999978</v>
      </c>
      <c r="M116" s="4"/>
      <c r="N116" s="12">
        <f>IF(H116=0,0,L116/H116)</f>
        <v>-0.12362227912932136</v>
      </c>
      <c r="O116" s="10"/>
      <c r="P116" s="4">
        <v>13787.46</v>
      </c>
      <c r="Q116" s="4"/>
      <c r="R116" s="12">
        <f>IF(P$12=0,0,P116/P$12)</f>
        <v>0.10741325385625411</v>
      </c>
      <c r="S116" s="4"/>
      <c r="T116" s="4">
        <v>16612</v>
      </c>
      <c r="U116" s="4"/>
      <c r="V116" s="12">
        <f>IF(T$12=0,0,T116/T$12)</f>
        <v>0.12648281533143493</v>
      </c>
      <c r="W116" s="4"/>
      <c r="X116" s="4">
        <f>+P116-T116</f>
        <v>-2824.5400000000009</v>
      </c>
      <c r="Y116" s="4"/>
      <c r="Z116" s="12">
        <f>IF(T116=0,0,X116/T116)</f>
        <v>-0.17003009872381417</v>
      </c>
    </row>
    <row r="117" spans="1:26" x14ac:dyDescent="0.25">
      <c r="A117" s="9"/>
      <c r="B117" s="10"/>
      <c r="C117" s="10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O117" s="10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s="23" customFormat="1" ht="15.75" thickBot="1" x14ac:dyDescent="0.3">
      <c r="A118" s="10"/>
      <c r="B118" s="29" t="s">
        <v>4</v>
      </c>
      <c r="C118" s="29"/>
      <c r="D118" s="35">
        <f>+D114-D116</f>
        <v>16638.539999999994</v>
      </c>
      <c r="E118" s="14"/>
      <c r="F118" s="32">
        <f>IF(D$12=0,0,D118/D$12)</f>
        <v>0.22894876326547003</v>
      </c>
      <c r="G118" s="14"/>
      <c r="H118" s="35">
        <f>+H114-H116</f>
        <v>22832.056027999999</v>
      </c>
      <c r="I118" s="14"/>
      <c r="J118" s="32">
        <f>IF(H$12=0,0,H118/H$12)</f>
        <v>0.29598205895773916</v>
      </c>
      <c r="K118" s="15"/>
      <c r="L118" s="35">
        <f>D118-H118</f>
        <v>-6193.5160280000055</v>
      </c>
      <c r="M118" s="15"/>
      <c r="N118" s="32">
        <f>IF(H118=0,0,L118/H118)</f>
        <v>-0.27126405175270296</v>
      </c>
      <c r="O118" s="28"/>
      <c r="P118" s="35">
        <f>+P114-P116</f>
        <v>16525.839999999993</v>
      </c>
      <c r="Q118" s="14"/>
      <c r="R118" s="32">
        <f>IF(P$12=0,0,P118/P$12)</f>
        <v>0.12874700975435924</v>
      </c>
      <c r="S118" s="14"/>
      <c r="T118" s="35">
        <f>+T114-T116</f>
        <v>26324.297065999999</v>
      </c>
      <c r="U118" s="14"/>
      <c r="V118" s="32">
        <f>IF(T$12=0,0,T118/T$12)</f>
        <v>0.20043168820904841</v>
      </c>
      <c r="W118" s="15"/>
      <c r="X118" s="35">
        <f>P118-T118</f>
        <v>-9798.4570660000063</v>
      </c>
      <c r="Y118" s="15"/>
      <c r="Z118" s="32">
        <f>IF(T118=0,0,X118/T118)</f>
        <v>-0.37222103372536097</v>
      </c>
    </row>
    <row r="119" spans="1:26" ht="15.75" thickTop="1" x14ac:dyDescent="0.25">
      <c r="A119" s="9"/>
      <c r="B119" s="9"/>
      <c r="C119" s="9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x14ac:dyDescent="0.25">
      <c r="A120" s="9"/>
      <c r="B120" s="9"/>
      <c r="C120" s="9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ht="15.75" thickBot="1" x14ac:dyDescent="0.3">
      <c r="A121" s="10"/>
      <c r="B121" s="29" t="s">
        <v>5</v>
      </c>
      <c r="C121" s="29"/>
      <c r="D121" s="30">
        <f>SUM(D118:D120)</f>
        <v>16638.539999999994</v>
      </c>
      <c r="E121" s="14"/>
      <c r="F121" s="31">
        <f>IF(D$12=0,0,D121/D$12)</f>
        <v>0.22894876326547003</v>
      </c>
      <c r="G121" s="14"/>
      <c r="H121" s="30">
        <f>SUM(H118:H120)</f>
        <v>22832.056027999999</v>
      </c>
      <c r="I121" s="14"/>
      <c r="J121" s="31">
        <f>IF(H$12=0,0,H121/H$12)</f>
        <v>0.29598205895773916</v>
      </c>
      <c r="K121" s="15"/>
      <c r="L121" s="30">
        <f>+D121-H121</f>
        <v>-6193.5160280000055</v>
      </c>
      <c r="M121" s="15"/>
      <c r="N121" s="31">
        <f>IF(H121=0,0,L121/H121)</f>
        <v>-0.27126405175270296</v>
      </c>
      <c r="O121" s="28"/>
      <c r="P121" s="30">
        <f>SUM(P118:P120)</f>
        <v>16525.839999999993</v>
      </c>
      <c r="Q121" s="14"/>
      <c r="R121" s="31">
        <f>IF(P$12=0,0,P121/P$12)</f>
        <v>0.12874700975435924</v>
      </c>
      <c r="S121" s="14"/>
      <c r="T121" s="30">
        <f>SUM(T118:T120)</f>
        <v>26324.297065999999</v>
      </c>
      <c r="U121" s="14"/>
      <c r="V121" s="31">
        <f>IF(T$12=0,0,T121/T$12)</f>
        <v>0.20043168820904841</v>
      </c>
      <c r="W121" s="15"/>
      <c r="X121" s="30">
        <f>+P121-T121</f>
        <v>-9798.4570660000063</v>
      </c>
      <c r="Y121" s="15"/>
      <c r="Z121" s="31">
        <f>IF(T121=0,0,X121/T121)</f>
        <v>-0.37222103372536097</v>
      </c>
    </row>
    <row r="122" spans="1:26" ht="15.75" thickTop="1" x14ac:dyDescent="0.25">
      <c r="A122" s="9"/>
      <c r="C122" s="9"/>
      <c r="D122" s="18"/>
      <c r="E122" s="18"/>
      <c r="G122" s="18"/>
      <c r="H122" s="18"/>
      <c r="I122" s="18"/>
      <c r="J122" s="43"/>
      <c r="K122" s="18"/>
      <c r="L122" s="18"/>
      <c r="M122" s="18"/>
      <c r="P122" s="18"/>
      <c r="Q122" s="18"/>
      <c r="R122" s="43"/>
      <c r="S122" s="18"/>
      <c r="T122" s="18"/>
      <c r="U122" s="18"/>
      <c r="V122" s="43"/>
      <c r="W122" s="18"/>
      <c r="X122" s="18"/>
    </row>
    <row r="123" spans="1:26" x14ac:dyDescent="0.25">
      <c r="A123" s="9"/>
      <c r="B123" s="53">
        <v>43756.452259143516</v>
      </c>
      <c r="D123" s="18"/>
      <c r="E123" s="18"/>
      <c r="G123" s="18"/>
      <c r="H123" s="18"/>
      <c r="I123" s="18"/>
      <c r="J123" s="43"/>
      <c r="K123" s="18"/>
      <c r="L123" s="18"/>
      <c r="M123" s="18"/>
      <c r="P123" s="18"/>
      <c r="Q123" s="18"/>
      <c r="R123" s="43"/>
      <c r="S123" s="18"/>
      <c r="T123" s="18"/>
      <c r="U123" s="18"/>
      <c r="V123" s="43"/>
      <c r="W123" s="18"/>
      <c r="X123" s="18"/>
    </row>
    <row r="124" spans="1:26" x14ac:dyDescent="0.25">
      <c r="A124" s="9"/>
      <c r="B124" s="55" t="s">
        <v>314</v>
      </c>
      <c r="D124" s="18"/>
      <c r="E124" s="18"/>
      <c r="G124" s="18"/>
      <c r="H124" s="18"/>
      <c r="I124" s="18"/>
      <c r="J124" s="43"/>
      <c r="K124" s="18"/>
      <c r="L124" s="18"/>
      <c r="M124" s="18"/>
      <c r="P124" s="18"/>
      <c r="Q124" s="18"/>
      <c r="R124" s="43"/>
      <c r="S124" s="18"/>
      <c r="T124" s="18"/>
      <c r="U124" s="18"/>
      <c r="V124" s="43"/>
      <c r="W124" s="18"/>
      <c r="X124" s="18"/>
    </row>
    <row r="125" spans="1:26" x14ac:dyDescent="0.25">
      <c r="A125" s="9"/>
      <c r="B125" s="56"/>
      <c r="D125" s="18"/>
      <c r="E125" s="18"/>
      <c r="G125" s="18"/>
      <c r="H125" s="18"/>
      <c r="I125" s="18"/>
      <c r="J125" s="43"/>
      <c r="K125" s="18"/>
      <c r="L125" s="18"/>
      <c r="M125" s="18"/>
      <c r="P125" s="18"/>
      <c r="Q125" s="18"/>
      <c r="R125" s="43"/>
      <c r="S125" s="18"/>
      <c r="T125" s="18"/>
      <c r="U125" s="18"/>
      <c r="V125" s="43"/>
      <c r="W125" s="18"/>
      <c r="X125" s="18"/>
    </row>
    <row r="126" spans="1:26" x14ac:dyDescent="0.25">
      <c r="D126" s="18"/>
      <c r="E126" s="18"/>
      <c r="G126" s="18"/>
      <c r="H126" s="18"/>
      <c r="I126" s="18"/>
      <c r="J126" s="43"/>
      <c r="K126" s="18"/>
      <c r="L126" s="18"/>
      <c r="M126" s="18"/>
      <c r="P126" s="18"/>
      <c r="Q126" s="18"/>
      <c r="R126" s="43"/>
      <c r="S126" s="18"/>
      <c r="T126" s="18"/>
      <c r="U126" s="18"/>
      <c r="V126" s="43"/>
      <c r="W126" s="18"/>
      <c r="X126" s="18"/>
    </row>
  </sheetData>
  <pageMargins left="0.25" right="0.25" top="0.75" bottom="0.75" header="0.3" footer="0.3"/>
  <pageSetup scale="55" fitToWidth="2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str">
        <f>CONCATENATE("Period ",RIGHT(202003,2),", ",2020)</f>
        <v>Period 03, 2020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43736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tr">
        <f>CONCATENATE("Department ","314", " - ", "Supplies")</f>
        <v>Department 314 - Supplies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65954.300000000017</v>
      </c>
      <c r="E12" s="4"/>
      <c r="F12" s="12"/>
      <c r="G12" s="4"/>
      <c r="H12" s="4">
        <f>SUM(OSRRefH13x_0)</f>
        <v>76833</v>
      </c>
      <c r="I12" s="4"/>
      <c r="J12" s="12"/>
      <c r="K12" s="4"/>
      <c r="L12" s="4">
        <f t="shared" ref="L12:L33" si="0">+D12-H12</f>
        <v>-10878.699999999983</v>
      </c>
      <c r="M12" s="4"/>
      <c r="N12" s="12">
        <f t="shared" ref="N12:N33" si="1">IF(H12=0,0,L12/H12)</f>
        <v>-0.14158890060260543</v>
      </c>
      <c r="O12" s="10"/>
      <c r="P12" s="4">
        <f>SUM(OSRRefP13x_0)</f>
        <v>162369.93000000005</v>
      </c>
      <c r="Q12" s="4"/>
      <c r="R12" s="12"/>
      <c r="S12" s="4"/>
      <c r="T12" s="4">
        <f>SUM(OSRRefT13x_0)</f>
        <v>185410</v>
      </c>
      <c r="U12" s="4"/>
      <c r="V12" s="12"/>
      <c r="W12" s="4"/>
      <c r="X12" s="4">
        <f t="shared" ref="X12:X33" si="2">+P12-T12</f>
        <v>-23040.069999999949</v>
      </c>
      <c r="Y12" s="4"/>
      <c r="Z12" s="12">
        <f t="shared" ref="Z12:Z33" si="3">IF(T12=0,0,X12/T12)</f>
        <v>-0.12426551965913353</v>
      </c>
    </row>
    <row r="13" spans="1:26" s="24" customFormat="1" hidden="1" outlineLevel="1" x14ac:dyDescent="0.25">
      <c r="A13" s="46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70686</v>
      </c>
      <c r="I13" s="2"/>
      <c r="J13" s="19"/>
      <c r="K13" s="2"/>
      <c r="L13" s="2">
        <f t="shared" si="0"/>
        <v>-70686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170578</v>
      </c>
      <c r="U13" s="2"/>
      <c r="V13" s="19"/>
      <c r="W13" s="2"/>
      <c r="X13" s="2">
        <f t="shared" si="2"/>
        <v>-170578</v>
      </c>
      <c r="Y13" s="2"/>
      <c r="Z13" s="19">
        <f t="shared" si="3"/>
        <v>-1</v>
      </c>
    </row>
    <row r="14" spans="1:26" s="24" customFormat="1" hidden="1" outlineLevel="1" x14ac:dyDescent="0.25">
      <c r="A14" s="46"/>
      <c r="B14" s="11" t="str">
        <f>CONCATENATE("          ", "4017", " - ", "TAXABLE SALES-DORM/HOUSEWARES")</f>
        <v xml:space="preserve">          4017 - TAXABLE SALES-DORM/HOUSEWARES</v>
      </c>
      <c r="C14" s="11"/>
      <c r="D14" s="2">
        <f>--48.92</f>
        <v>48.92</v>
      </c>
      <c r="E14" s="2"/>
      <c r="F14" s="19"/>
      <c r="G14" s="2"/>
      <c r="H14" s="2"/>
      <c r="I14" s="2"/>
      <c r="J14" s="19"/>
      <c r="K14" s="2"/>
      <c r="L14" s="2">
        <f t="shared" si="0"/>
        <v>48.92</v>
      </c>
      <c r="M14" s="2"/>
      <c r="N14" s="19">
        <f t="shared" si="1"/>
        <v>0</v>
      </c>
      <c r="O14" s="11"/>
      <c r="P14" s="2">
        <f>--206.22</f>
        <v>206.22</v>
      </c>
      <c r="Q14" s="2"/>
      <c r="R14" s="19"/>
      <c r="S14" s="2"/>
      <c r="T14" s="2"/>
      <c r="U14" s="2"/>
      <c r="V14" s="19"/>
      <c r="W14" s="2"/>
      <c r="X14" s="2">
        <f t="shared" si="2"/>
        <v>206.22</v>
      </c>
      <c r="Y14" s="2"/>
      <c r="Z14" s="19">
        <f t="shared" si="3"/>
        <v>0</v>
      </c>
    </row>
    <row r="15" spans="1:26" s="24" customFormat="1" hidden="1" outlineLevel="1" x14ac:dyDescent="0.25">
      <c r="A15" s="46"/>
      <c r="B15" s="11" t="str">
        <f>CONCATENATE("          ", "4019", " - ", "TAXABLE SALES-BOOK RELATED")</f>
        <v xml:space="preserve">          4019 - TAXABLE SALES-BOOK RELATED</v>
      </c>
      <c r="C15" s="11"/>
      <c r="D15" s="2">
        <f>0</f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--14.95</f>
        <v>14.95</v>
      </c>
      <c r="Q15" s="2"/>
      <c r="R15" s="19"/>
      <c r="S15" s="2"/>
      <c r="T15" s="2"/>
      <c r="U15" s="2"/>
      <c r="V15" s="19"/>
      <c r="W15" s="2"/>
      <c r="X15" s="2">
        <f t="shared" si="2"/>
        <v>14.95</v>
      </c>
      <c r="Y15" s="2"/>
      <c r="Z15" s="19">
        <f t="shared" si="3"/>
        <v>0</v>
      </c>
    </row>
    <row r="16" spans="1:26" s="24" customFormat="1" hidden="1" outlineLevel="1" x14ac:dyDescent="0.25">
      <c r="A16" s="46"/>
      <c r="B16" s="11" t="str">
        <f>CONCATENATE("          ", "4025", " - ", "TAXABLE SALES-TEST FORMS")</f>
        <v xml:space="preserve">          4025 - TAXABLE SALES-TEST FORMS</v>
      </c>
      <c r="C16" s="11"/>
      <c r="D16" s="2">
        <f>--11441.5</f>
        <v>11441.5</v>
      </c>
      <c r="E16" s="2"/>
      <c r="F16" s="19"/>
      <c r="G16" s="2"/>
      <c r="H16" s="2"/>
      <c r="I16" s="2"/>
      <c r="J16" s="19"/>
      <c r="K16" s="2"/>
      <c r="L16" s="2">
        <f t="shared" si="0"/>
        <v>11441.5</v>
      </c>
      <c r="M16" s="2"/>
      <c r="N16" s="19">
        <f t="shared" si="1"/>
        <v>0</v>
      </c>
      <c r="O16" s="11"/>
      <c r="P16" s="2">
        <f>--15797.31</f>
        <v>15797.31</v>
      </c>
      <c r="Q16" s="2"/>
      <c r="R16" s="19"/>
      <c r="S16" s="2"/>
      <c r="T16" s="2"/>
      <c r="U16" s="2"/>
      <c r="V16" s="19"/>
      <c r="W16" s="2"/>
      <c r="X16" s="2">
        <f t="shared" si="2"/>
        <v>15797.31</v>
      </c>
      <c r="Y16" s="2"/>
      <c r="Z16" s="19">
        <f t="shared" si="3"/>
        <v>0</v>
      </c>
    </row>
    <row r="17" spans="1:26" s="24" customFormat="1" hidden="1" outlineLevel="1" x14ac:dyDescent="0.25">
      <c r="A17" s="46"/>
      <c r="B17" s="11" t="str">
        <f>CONCATENATE("          ", "4026", " - ", "TAXABLE SALES-WRITING INSTRUME")</f>
        <v xml:space="preserve">          4026 - TAXABLE SALES-WRITING INSTRUME</v>
      </c>
      <c r="C17" s="11"/>
      <c r="D17" s="2">
        <f>--10856.45</f>
        <v>10856.45</v>
      </c>
      <c r="E17" s="2"/>
      <c r="F17" s="19"/>
      <c r="G17" s="2"/>
      <c r="H17" s="2"/>
      <c r="I17" s="2"/>
      <c r="J17" s="19"/>
      <c r="K17" s="2"/>
      <c r="L17" s="2">
        <f t="shared" si="0"/>
        <v>10856.45</v>
      </c>
      <c r="M17" s="2"/>
      <c r="N17" s="19">
        <f t="shared" si="1"/>
        <v>0</v>
      </c>
      <c r="O17" s="11"/>
      <c r="P17" s="2">
        <f>--22895.01</f>
        <v>22895.01</v>
      </c>
      <c r="Q17" s="2"/>
      <c r="R17" s="19"/>
      <c r="S17" s="2"/>
      <c r="T17" s="2"/>
      <c r="U17" s="2"/>
      <c r="V17" s="19"/>
      <c r="W17" s="2"/>
      <c r="X17" s="2">
        <f t="shared" si="2"/>
        <v>22895.01</v>
      </c>
      <c r="Y17" s="2"/>
      <c r="Z17" s="19">
        <f t="shared" si="3"/>
        <v>0</v>
      </c>
    </row>
    <row r="18" spans="1:26" s="24" customFormat="1" hidden="1" outlineLevel="1" x14ac:dyDescent="0.25">
      <c r="A18" s="46"/>
      <c r="B18" s="11" t="str">
        <f>CONCATENATE("          ", "4027", " - ", "TAXABLE SALES-SCHOOL SUPPLIES")</f>
        <v xml:space="preserve">          4027 - TAXABLE SALES-SCHOOL SUPPLIES</v>
      </c>
      <c r="C18" s="11"/>
      <c r="D18" s="2">
        <f>--43126.62</f>
        <v>43126.62</v>
      </c>
      <c r="E18" s="2"/>
      <c r="F18" s="19"/>
      <c r="G18" s="2"/>
      <c r="H18" s="2"/>
      <c r="I18" s="2"/>
      <c r="J18" s="19"/>
      <c r="K18" s="2"/>
      <c r="L18" s="2">
        <f t="shared" si="0"/>
        <v>43126.62</v>
      </c>
      <c r="M18" s="2"/>
      <c r="N18" s="19">
        <f t="shared" si="1"/>
        <v>0</v>
      </c>
      <c r="O18" s="11"/>
      <c r="P18" s="2">
        <f>--118850.36</f>
        <v>118850.36</v>
      </c>
      <c r="Q18" s="2"/>
      <c r="R18" s="19"/>
      <c r="S18" s="2"/>
      <c r="T18" s="2"/>
      <c r="U18" s="2"/>
      <c r="V18" s="19"/>
      <c r="W18" s="2"/>
      <c r="X18" s="2">
        <f t="shared" si="2"/>
        <v>118850.36</v>
      </c>
      <c r="Y18" s="2"/>
      <c r="Z18" s="19">
        <f t="shared" si="3"/>
        <v>0</v>
      </c>
    </row>
    <row r="19" spans="1:26" s="24" customFormat="1" hidden="1" outlineLevel="1" x14ac:dyDescent="0.25">
      <c r="A19" s="46"/>
      <c r="B19" s="11" t="str">
        <f>CONCATENATE("          ", "4028", " - ", "TAXABLE SALES-ART/TECH")</f>
        <v xml:space="preserve">          4028 - TAXABLE SALES-ART/TECH</v>
      </c>
      <c r="C19" s="11"/>
      <c r="D19" s="2">
        <f>--1966.07</f>
        <v>1966.07</v>
      </c>
      <c r="E19" s="2"/>
      <c r="F19" s="19"/>
      <c r="G19" s="2"/>
      <c r="H19" s="2"/>
      <c r="I19" s="2"/>
      <c r="J19" s="19"/>
      <c r="K19" s="2"/>
      <c r="L19" s="2">
        <f t="shared" si="0"/>
        <v>1966.07</v>
      </c>
      <c r="M19" s="2"/>
      <c r="N19" s="19">
        <f t="shared" si="1"/>
        <v>0</v>
      </c>
      <c r="O19" s="11"/>
      <c r="P19" s="2">
        <f>--4130.53</f>
        <v>4130.53</v>
      </c>
      <c r="Q19" s="2"/>
      <c r="R19" s="19"/>
      <c r="S19" s="2"/>
      <c r="T19" s="2"/>
      <c r="U19" s="2"/>
      <c r="V19" s="19"/>
      <c r="W19" s="2"/>
      <c r="X19" s="2">
        <f t="shared" si="2"/>
        <v>4130.53</v>
      </c>
      <c r="Y19" s="2"/>
      <c r="Z19" s="19">
        <f t="shared" si="3"/>
        <v>0</v>
      </c>
    </row>
    <row r="20" spans="1:26" s="24" customFormat="1" hidden="1" outlineLevel="1" x14ac:dyDescent="0.25">
      <c r="A20" s="46"/>
      <c r="B20" s="11" t="str">
        <f>CONCATENATE("          ", "4035", " - ", "TAXABLE SALES-HEALTH &amp; BEAUTY")</f>
        <v xml:space="preserve">          4035 - TAXABLE SALES-HEALTH &amp; BEAUTY</v>
      </c>
      <c r="C20" s="11"/>
      <c r="D20" s="2">
        <f>--9.27</f>
        <v>9.27</v>
      </c>
      <c r="E20" s="2"/>
      <c r="F20" s="19"/>
      <c r="G20" s="2"/>
      <c r="H20" s="2"/>
      <c r="I20" s="2"/>
      <c r="J20" s="19"/>
      <c r="K20" s="2"/>
      <c r="L20" s="2">
        <f t="shared" si="0"/>
        <v>9.27</v>
      </c>
      <c r="M20" s="2"/>
      <c r="N20" s="19">
        <f t="shared" si="1"/>
        <v>0</v>
      </c>
      <c r="O20" s="11"/>
      <c r="P20" s="2">
        <f>--16.2</f>
        <v>16.2</v>
      </c>
      <c r="Q20" s="2"/>
      <c r="R20" s="19"/>
      <c r="S20" s="2"/>
      <c r="T20" s="2"/>
      <c r="U20" s="2"/>
      <c r="V20" s="19"/>
      <c r="W20" s="2"/>
      <c r="X20" s="2">
        <f t="shared" si="2"/>
        <v>16.2</v>
      </c>
      <c r="Y20" s="2"/>
      <c r="Z20" s="19">
        <f t="shared" si="3"/>
        <v>0</v>
      </c>
    </row>
    <row r="21" spans="1:26" s="24" customFormat="1" hidden="1" outlineLevel="1" x14ac:dyDescent="0.25">
      <c r="A21" s="46"/>
      <c r="B21" s="11" t="str">
        <f>CONCATENATE("          ", "4100", " - ", "NON-TAXABLE SALES")</f>
        <v xml:space="preserve">          4100 - NON-TAXABLE SALES</v>
      </c>
      <c r="C21" s="11"/>
      <c r="D21" s="2">
        <f>0</f>
        <v>0</v>
      </c>
      <c r="E21" s="2"/>
      <c r="F21" s="19"/>
      <c r="G21" s="2"/>
      <c r="H21" s="2">
        <v>6147</v>
      </c>
      <c r="I21" s="2"/>
      <c r="J21" s="19"/>
      <c r="K21" s="2"/>
      <c r="L21" s="2">
        <f t="shared" si="0"/>
        <v>-6147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v>14832</v>
      </c>
      <c r="U21" s="2"/>
      <c r="V21" s="19"/>
      <c r="W21" s="2"/>
      <c r="X21" s="2">
        <f t="shared" si="2"/>
        <v>-14832</v>
      </c>
      <c r="Y21" s="2"/>
      <c r="Z21" s="19">
        <f t="shared" si="3"/>
        <v>-1</v>
      </c>
    </row>
    <row r="22" spans="1:26" s="24" customFormat="1" hidden="1" outlineLevel="1" x14ac:dyDescent="0.25">
      <c r="A22" s="46"/>
      <c r="B22" s="11" t="str">
        <f>CONCATENATE("          ", "4125", " - ", "NON-TAXABLE SALES-TEST FORMS")</f>
        <v xml:space="preserve">          4125 - NON-TAXABLE SALES-TEST FORMS</v>
      </c>
      <c r="C22" s="11"/>
      <c r="D22" s="2">
        <f>--42.03</f>
        <v>42.03</v>
      </c>
      <c r="E22" s="2"/>
      <c r="F22" s="19"/>
      <c r="G22" s="2"/>
      <c r="H22" s="2"/>
      <c r="I22" s="2"/>
      <c r="J22" s="19"/>
      <c r="K22" s="2"/>
      <c r="L22" s="2">
        <f t="shared" si="0"/>
        <v>42.03</v>
      </c>
      <c r="M22" s="2"/>
      <c r="N22" s="19">
        <f t="shared" si="1"/>
        <v>0</v>
      </c>
      <c r="O22" s="11"/>
      <c r="P22" s="2">
        <f>--124.18</f>
        <v>124.18</v>
      </c>
      <c r="Q22" s="2"/>
      <c r="R22" s="19"/>
      <c r="S22" s="2"/>
      <c r="T22" s="2"/>
      <c r="U22" s="2"/>
      <c r="V22" s="19"/>
      <c r="W22" s="2"/>
      <c r="X22" s="2">
        <f t="shared" si="2"/>
        <v>124.18</v>
      </c>
      <c r="Y22" s="2"/>
      <c r="Z22" s="19">
        <f t="shared" si="3"/>
        <v>0</v>
      </c>
    </row>
    <row r="23" spans="1:26" s="24" customFormat="1" hidden="1" outlineLevel="1" x14ac:dyDescent="0.25">
      <c r="A23" s="46"/>
      <c r="B23" s="11" t="str">
        <f>CONCATENATE("          ", "4126", " - ", "NON-TAXABLE SALES-WRITING INST")</f>
        <v xml:space="preserve">          4126 - NON-TAXABLE SALES-WRITING INST</v>
      </c>
      <c r="C23" s="11"/>
      <c r="D23" s="2">
        <f>--332.14</f>
        <v>332.14</v>
      </c>
      <c r="E23" s="2"/>
      <c r="F23" s="19"/>
      <c r="G23" s="2"/>
      <c r="H23" s="2"/>
      <c r="I23" s="2"/>
      <c r="J23" s="19"/>
      <c r="K23" s="2"/>
      <c r="L23" s="2">
        <f t="shared" si="0"/>
        <v>332.14</v>
      </c>
      <c r="M23" s="2"/>
      <c r="N23" s="19">
        <f t="shared" si="1"/>
        <v>0</v>
      </c>
      <c r="O23" s="11"/>
      <c r="P23" s="2">
        <f>--1343.26</f>
        <v>1343.26</v>
      </c>
      <c r="Q23" s="2"/>
      <c r="R23" s="19"/>
      <c r="S23" s="2"/>
      <c r="T23" s="2"/>
      <c r="U23" s="2"/>
      <c r="V23" s="19"/>
      <c r="W23" s="2"/>
      <c r="X23" s="2">
        <f t="shared" si="2"/>
        <v>1343.26</v>
      </c>
      <c r="Y23" s="2"/>
      <c r="Z23" s="19">
        <f t="shared" si="3"/>
        <v>0</v>
      </c>
    </row>
    <row r="24" spans="1:26" s="24" customFormat="1" hidden="1" outlineLevel="1" x14ac:dyDescent="0.25">
      <c r="A24" s="46"/>
      <c r="B24" s="11" t="str">
        <f>CONCATENATE("          ", "4127", " - ", "NON-TAXABLE SALES-SCHOOL SUPPL")</f>
        <v xml:space="preserve">          4127 - NON-TAXABLE SALES-SCHOOL SUPPL</v>
      </c>
      <c r="C24" s="11"/>
      <c r="D24" s="2">
        <f>--536.13</f>
        <v>536.13</v>
      </c>
      <c r="E24" s="2"/>
      <c r="F24" s="19"/>
      <c r="G24" s="2"/>
      <c r="H24" s="2"/>
      <c r="I24" s="2"/>
      <c r="J24" s="19"/>
      <c r="K24" s="2"/>
      <c r="L24" s="2">
        <f t="shared" si="0"/>
        <v>536.13</v>
      </c>
      <c r="M24" s="2"/>
      <c r="N24" s="19">
        <f t="shared" si="1"/>
        <v>0</v>
      </c>
      <c r="O24" s="11"/>
      <c r="P24" s="2">
        <f>--2406.41</f>
        <v>2406.41</v>
      </c>
      <c r="Q24" s="2"/>
      <c r="R24" s="19"/>
      <c r="S24" s="2"/>
      <c r="T24" s="2"/>
      <c r="U24" s="2"/>
      <c r="V24" s="19"/>
      <c r="W24" s="2"/>
      <c r="X24" s="2">
        <f t="shared" si="2"/>
        <v>2406.41</v>
      </c>
      <c r="Y24" s="2"/>
      <c r="Z24" s="19">
        <f t="shared" si="3"/>
        <v>0</v>
      </c>
    </row>
    <row r="25" spans="1:26" s="24" customFormat="1" hidden="1" outlineLevel="1" x14ac:dyDescent="0.25">
      <c r="A25" s="46"/>
      <c r="B25" s="11" t="str">
        <f>CONCATENATE("          ", "4128", " - ", "NON-TAXABLE SALES-ART/TECH")</f>
        <v xml:space="preserve">          4128 - NON-TAXABLE SALES-ART/TECH</v>
      </c>
      <c r="C25" s="11"/>
      <c r="D25" s="2">
        <f>--90.59</f>
        <v>90.59</v>
      </c>
      <c r="E25" s="2"/>
      <c r="F25" s="19"/>
      <c r="G25" s="2"/>
      <c r="H25" s="2"/>
      <c r="I25" s="2"/>
      <c r="J25" s="19"/>
      <c r="K25" s="2"/>
      <c r="L25" s="2">
        <f t="shared" si="0"/>
        <v>90.59</v>
      </c>
      <c r="M25" s="2"/>
      <c r="N25" s="19">
        <f t="shared" si="1"/>
        <v>0</v>
      </c>
      <c r="O25" s="11"/>
      <c r="P25" s="2">
        <f>--220.69</f>
        <v>220.69</v>
      </c>
      <c r="Q25" s="2"/>
      <c r="R25" s="19"/>
      <c r="S25" s="2"/>
      <c r="T25" s="2"/>
      <c r="U25" s="2"/>
      <c r="V25" s="19"/>
      <c r="W25" s="2"/>
      <c r="X25" s="2">
        <f t="shared" si="2"/>
        <v>220.69</v>
      </c>
      <c r="Y25" s="2"/>
      <c r="Z25" s="19">
        <f t="shared" si="3"/>
        <v>0</v>
      </c>
    </row>
    <row r="26" spans="1:26" s="24" customFormat="1" hidden="1" outlineLevel="1" x14ac:dyDescent="0.25">
      <c r="A26" s="46"/>
      <c r="B26" s="11" t="str">
        <f>CONCATENATE("          ", "4131", " - ", "NON-TAXABLE SALES-FOOD")</f>
        <v xml:space="preserve">          4131 - NON-TAXABLE SALES-FOOD</v>
      </c>
      <c r="C26" s="11"/>
      <c r="D26" s="2">
        <f>--241.07</f>
        <v>241.07</v>
      </c>
      <c r="E26" s="2"/>
      <c r="F26" s="19"/>
      <c r="G26" s="2"/>
      <c r="H26" s="2"/>
      <c r="I26" s="2"/>
      <c r="J26" s="19"/>
      <c r="K26" s="2"/>
      <c r="L26" s="2">
        <f t="shared" si="0"/>
        <v>241.07</v>
      </c>
      <c r="M26" s="2"/>
      <c r="N26" s="19">
        <f t="shared" si="1"/>
        <v>0</v>
      </c>
      <c r="O26" s="11"/>
      <c r="P26" s="2">
        <f>--505</f>
        <v>505</v>
      </c>
      <c r="Q26" s="2"/>
      <c r="R26" s="19"/>
      <c r="S26" s="2"/>
      <c r="T26" s="2"/>
      <c r="U26" s="2"/>
      <c r="V26" s="19"/>
      <c r="W26" s="2"/>
      <c r="X26" s="2">
        <f t="shared" si="2"/>
        <v>505</v>
      </c>
      <c r="Y26" s="2"/>
      <c r="Z26" s="19">
        <f t="shared" si="3"/>
        <v>0</v>
      </c>
    </row>
    <row r="27" spans="1:26" s="24" customFormat="1" hidden="1" outlineLevel="1" x14ac:dyDescent="0.25">
      <c r="A27" s="46"/>
      <c r="B27" s="11" t="str">
        <f>CONCATENATE("          ", "4133", " - ", "NON-TAXABLE SALES-CANDY")</f>
        <v xml:space="preserve">          4133 - NON-TAXABLE SALES-CANDY</v>
      </c>
      <c r="C27" s="11"/>
      <c r="D27" s="2">
        <f>--399.15</f>
        <v>399.15</v>
      </c>
      <c r="E27" s="2"/>
      <c r="F27" s="19"/>
      <c r="G27" s="2"/>
      <c r="H27" s="2"/>
      <c r="I27" s="2"/>
      <c r="J27" s="19"/>
      <c r="K27" s="2"/>
      <c r="L27" s="2">
        <f t="shared" si="0"/>
        <v>399.15</v>
      </c>
      <c r="M27" s="2"/>
      <c r="N27" s="19">
        <f t="shared" si="1"/>
        <v>0</v>
      </c>
      <c r="O27" s="11"/>
      <c r="P27" s="2">
        <f>--872.35</f>
        <v>872.35</v>
      </c>
      <c r="Q27" s="2"/>
      <c r="R27" s="19"/>
      <c r="S27" s="2"/>
      <c r="T27" s="2"/>
      <c r="U27" s="2"/>
      <c r="V27" s="19"/>
      <c r="W27" s="2"/>
      <c r="X27" s="2">
        <f t="shared" si="2"/>
        <v>872.35</v>
      </c>
      <c r="Y27" s="2"/>
      <c r="Z27" s="19">
        <f t="shared" si="3"/>
        <v>0</v>
      </c>
    </row>
    <row r="28" spans="1:26" s="24" customFormat="1" hidden="1" outlineLevel="1" x14ac:dyDescent="0.25">
      <c r="A28" s="46"/>
      <c r="B28" s="11" t="str">
        <f>CONCATENATE("          ", "4135", " - ", "NON-TAXABLE SALES")</f>
        <v xml:space="preserve">          4135 - NON-TAXABLE SALES</v>
      </c>
      <c r="C28" s="11"/>
      <c r="D28" s="2">
        <f>--3.59</f>
        <v>3.59</v>
      </c>
      <c r="E28" s="2"/>
      <c r="F28" s="19"/>
      <c r="G28" s="2"/>
      <c r="H28" s="2"/>
      <c r="I28" s="2"/>
      <c r="J28" s="19"/>
      <c r="K28" s="2"/>
      <c r="L28" s="2">
        <f t="shared" si="0"/>
        <v>3.59</v>
      </c>
      <c r="M28" s="2"/>
      <c r="N28" s="19">
        <f t="shared" si="1"/>
        <v>0</v>
      </c>
      <c r="O28" s="11"/>
      <c r="P28" s="2">
        <f>--50.16</f>
        <v>50.16</v>
      </c>
      <c r="Q28" s="2"/>
      <c r="R28" s="19"/>
      <c r="S28" s="2"/>
      <c r="T28" s="2"/>
      <c r="U28" s="2"/>
      <c r="V28" s="19"/>
      <c r="W28" s="2"/>
      <c r="X28" s="2">
        <f t="shared" si="2"/>
        <v>50.16</v>
      </c>
      <c r="Y28" s="2"/>
      <c r="Z28" s="19">
        <f t="shared" si="3"/>
        <v>0</v>
      </c>
    </row>
    <row r="29" spans="1:26" s="24" customFormat="1" hidden="1" outlineLevel="1" x14ac:dyDescent="0.25">
      <c r="A29" s="46"/>
      <c r="B29" s="11" t="str">
        <f>CONCATENATE("          ", "4225", " - ", "SALES RETURN TAXABLE-TEST FORM")</f>
        <v xml:space="preserve">          4225 - SALES RETURN TAXABLE-TEST FORM</v>
      </c>
      <c r="C29" s="11"/>
      <c r="D29" s="2">
        <f>-20.41</f>
        <v>-20.41</v>
      </c>
      <c r="E29" s="2"/>
      <c r="F29" s="19"/>
      <c r="G29" s="2"/>
      <c r="H29" s="2"/>
      <c r="I29" s="2"/>
      <c r="J29" s="19"/>
      <c r="K29" s="2"/>
      <c r="L29" s="2">
        <f t="shared" si="0"/>
        <v>-20.41</v>
      </c>
      <c r="M29" s="2"/>
      <c r="N29" s="19">
        <f t="shared" si="1"/>
        <v>0</v>
      </c>
      <c r="O29" s="11"/>
      <c r="P29" s="2">
        <f>-33.1</f>
        <v>-33.1</v>
      </c>
      <c r="Q29" s="2"/>
      <c r="R29" s="19"/>
      <c r="S29" s="2"/>
      <c r="T29" s="2"/>
      <c r="U29" s="2"/>
      <c r="V29" s="19"/>
      <c r="W29" s="2"/>
      <c r="X29" s="2">
        <f t="shared" si="2"/>
        <v>-33.1</v>
      </c>
      <c r="Y29" s="2"/>
      <c r="Z29" s="19">
        <f t="shared" si="3"/>
        <v>0</v>
      </c>
    </row>
    <row r="30" spans="1:26" s="24" customFormat="1" hidden="1" outlineLevel="1" x14ac:dyDescent="0.25">
      <c r="A30" s="46"/>
      <c r="B30" s="11" t="str">
        <f>CONCATENATE("          ", "4226", " - ", "SALES RETURN TAXABLE-WRITING I")</f>
        <v xml:space="preserve">          4226 - SALES RETURN TAXABLE-WRITING I</v>
      </c>
      <c r="C30" s="11"/>
      <c r="D30" s="2">
        <f>-181.87</f>
        <v>-181.87</v>
      </c>
      <c r="E30" s="2"/>
      <c r="F30" s="19"/>
      <c r="G30" s="2"/>
      <c r="H30" s="2"/>
      <c r="I30" s="2"/>
      <c r="J30" s="19"/>
      <c r="K30" s="2"/>
      <c r="L30" s="2">
        <f t="shared" si="0"/>
        <v>-181.87</v>
      </c>
      <c r="M30" s="2"/>
      <c r="N30" s="19">
        <f t="shared" si="1"/>
        <v>0</v>
      </c>
      <c r="O30" s="11"/>
      <c r="P30" s="2">
        <f>-306.08</f>
        <v>-306.08</v>
      </c>
      <c r="Q30" s="2"/>
      <c r="R30" s="19"/>
      <c r="S30" s="2"/>
      <c r="T30" s="2"/>
      <c r="U30" s="2"/>
      <c r="V30" s="19"/>
      <c r="W30" s="2"/>
      <c r="X30" s="2">
        <f t="shared" si="2"/>
        <v>-306.08</v>
      </c>
      <c r="Y30" s="2"/>
      <c r="Z30" s="19">
        <f t="shared" si="3"/>
        <v>0</v>
      </c>
    </row>
    <row r="31" spans="1:26" s="24" customFormat="1" hidden="1" outlineLevel="1" x14ac:dyDescent="0.25">
      <c r="A31" s="46"/>
      <c r="B31" s="11" t="str">
        <f>CONCATENATE("          ", "4227", " - ", "SALES RETURN TAXABLE-SCHOOL SU")</f>
        <v xml:space="preserve">          4227 - SALES RETURN TAXABLE-SCHOOL SU</v>
      </c>
      <c r="C31" s="11"/>
      <c r="D31" s="2">
        <f>-2793.28</f>
        <v>-2793.28</v>
      </c>
      <c r="E31" s="2"/>
      <c r="F31" s="19"/>
      <c r="G31" s="2"/>
      <c r="H31" s="2"/>
      <c r="I31" s="2"/>
      <c r="J31" s="19"/>
      <c r="K31" s="2"/>
      <c r="L31" s="2">
        <f t="shared" si="0"/>
        <v>-2793.28</v>
      </c>
      <c r="M31" s="2"/>
      <c r="N31" s="19">
        <f t="shared" si="1"/>
        <v>0</v>
      </c>
      <c r="O31" s="11"/>
      <c r="P31" s="2">
        <f>-4479.41</f>
        <v>-4479.41</v>
      </c>
      <c r="Q31" s="2"/>
      <c r="R31" s="19"/>
      <c r="S31" s="2"/>
      <c r="T31" s="2"/>
      <c r="U31" s="2"/>
      <c r="V31" s="19"/>
      <c r="W31" s="2"/>
      <c r="X31" s="2">
        <f t="shared" si="2"/>
        <v>-4479.41</v>
      </c>
      <c r="Y31" s="2"/>
      <c r="Z31" s="19">
        <f t="shared" si="3"/>
        <v>0</v>
      </c>
    </row>
    <row r="32" spans="1:26" s="24" customFormat="1" hidden="1" outlineLevel="1" x14ac:dyDescent="0.25">
      <c r="A32" s="46"/>
      <c r="B32" s="11" t="str">
        <f>CONCATENATE("          ", "4228", " - ", "SALES RETURN TAXABLE-ART/TECH")</f>
        <v xml:space="preserve">          4228 - SALES RETURN TAXABLE-ART/TECH</v>
      </c>
      <c r="C32" s="11"/>
      <c r="D32" s="2">
        <f>-135.38</f>
        <v>-135.38</v>
      </c>
      <c r="E32" s="2"/>
      <c r="F32" s="19"/>
      <c r="G32" s="2"/>
      <c r="H32" s="2"/>
      <c r="I32" s="2"/>
      <c r="J32" s="19"/>
      <c r="K32" s="2"/>
      <c r="L32" s="2">
        <f t="shared" si="0"/>
        <v>-135.38</v>
      </c>
      <c r="M32" s="2"/>
      <c r="N32" s="19">
        <f t="shared" si="1"/>
        <v>0</v>
      </c>
      <c r="O32" s="11"/>
      <c r="P32" s="2">
        <f>-222.24</f>
        <v>-222.24</v>
      </c>
      <c r="Q32" s="2"/>
      <c r="R32" s="19"/>
      <c r="S32" s="2"/>
      <c r="T32" s="2"/>
      <c r="U32" s="2"/>
      <c r="V32" s="19"/>
      <c r="W32" s="2"/>
      <c r="X32" s="2">
        <f t="shared" si="2"/>
        <v>-222.24</v>
      </c>
      <c r="Y32" s="2"/>
      <c r="Z32" s="19">
        <f t="shared" si="3"/>
        <v>0</v>
      </c>
    </row>
    <row r="33" spans="1:26" s="24" customFormat="1" hidden="1" outlineLevel="1" x14ac:dyDescent="0.25">
      <c r="A33" s="46"/>
      <c r="B33" s="11" t="str">
        <f>CONCATENATE("          ", "4327", " - ", "SALES RETURN NON TAXABLE-SCHOO")</f>
        <v xml:space="preserve">          4327 - SALES RETURN NON TAXABLE-SCHOO</v>
      </c>
      <c r="C33" s="11"/>
      <c r="D33" s="2">
        <f>-8.29</f>
        <v>-8.2899999999999991</v>
      </c>
      <c r="E33" s="2"/>
      <c r="F33" s="19"/>
      <c r="G33" s="2"/>
      <c r="H33" s="2"/>
      <c r="I33" s="2"/>
      <c r="J33" s="19"/>
      <c r="K33" s="2"/>
      <c r="L33" s="2">
        <f t="shared" si="0"/>
        <v>-8.2899999999999991</v>
      </c>
      <c r="M33" s="2"/>
      <c r="N33" s="19">
        <f t="shared" si="1"/>
        <v>0</v>
      </c>
      <c r="O33" s="11"/>
      <c r="P33" s="2">
        <f>-21.87</f>
        <v>-21.87</v>
      </c>
      <c r="Q33" s="2"/>
      <c r="R33" s="19"/>
      <c r="S33" s="2"/>
      <c r="T33" s="2"/>
      <c r="U33" s="2"/>
      <c r="V33" s="19"/>
      <c r="W33" s="2"/>
      <c r="X33" s="2">
        <f t="shared" si="2"/>
        <v>-21.87</v>
      </c>
      <c r="Y33" s="2"/>
      <c r="Z33" s="19">
        <f t="shared" si="3"/>
        <v>0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collapsed="1" x14ac:dyDescent="0.25">
      <c r="A35" s="10"/>
      <c r="B35" s="28" t="s">
        <v>8</v>
      </c>
      <c r="C35" s="10"/>
      <c r="D35" s="4">
        <f>SUM(OSRRefD16x_0)</f>
        <v>31970.119999999995</v>
      </c>
      <c r="E35" s="4"/>
      <c r="F35" s="12">
        <f t="shared" ref="F35:F50" si="4">IF(D$12=0,0,D35/D$12)</f>
        <v>0.48473139734634418</v>
      </c>
      <c r="G35" s="4"/>
      <c r="H35" s="4">
        <f>SUM(OSRRefH16x_0)</f>
        <v>39184</v>
      </c>
      <c r="I35" s="4"/>
      <c r="J35" s="12">
        <f t="shared" ref="J35:J50" si="5">IF(H$12=0,0,H35/H$12)</f>
        <v>0.50998919735009696</v>
      </c>
      <c r="K35" s="4"/>
      <c r="L35" s="4">
        <f t="shared" ref="L35:L50" si="6">+D35-H35</f>
        <v>-7213.8800000000047</v>
      </c>
      <c r="M35" s="4"/>
      <c r="N35" s="12">
        <f t="shared" ref="N35:N50" si="7">IF(H35=0,0,L35/H35)</f>
        <v>-0.18410269497754198</v>
      </c>
      <c r="O35" s="10"/>
      <c r="P35" s="4">
        <f>SUM(OSRRefP16x_0)</f>
        <v>74627.760000000009</v>
      </c>
      <c r="Q35" s="4"/>
      <c r="R35" s="12">
        <f t="shared" ref="R35:R50" si="8">IF(P$12=0,0,P35/P$12)</f>
        <v>0.45961564434991126</v>
      </c>
      <c r="S35" s="4"/>
      <c r="T35" s="4">
        <f>SUM(OSRRefT16x_0)</f>
        <v>94558</v>
      </c>
      <c r="U35" s="4"/>
      <c r="V35" s="12">
        <f t="shared" ref="V35:V50" si="9">IF(T$12=0,0,T35/T$12)</f>
        <v>0.50999406720241625</v>
      </c>
      <c r="W35" s="4"/>
      <c r="X35" s="4">
        <f t="shared" ref="X35:X50" si="10">+P35-T35</f>
        <v>-19930.239999999991</v>
      </c>
      <c r="Y35" s="4"/>
      <c r="Z35" s="12">
        <f t="shared" ref="Z35:Z50" si="11">IF(T35=0,0,X35/T35)</f>
        <v>-0.21077264747562333</v>
      </c>
    </row>
    <row r="36" spans="1:26" s="24" customFormat="1" hidden="1" outlineLevel="1" x14ac:dyDescent="0.25">
      <c r="A36" s="46"/>
      <c r="B36" s="11" t="str">
        <f>CONCATENATE("          ", "5000", " - ", "PURCHASES @ COST")</f>
        <v xml:space="preserve">          5000 - PURCHASES @ COST</v>
      </c>
      <c r="C36" s="11"/>
      <c r="D36" s="2"/>
      <c r="E36" s="2"/>
      <c r="F36" s="19">
        <f t="shared" si="4"/>
        <v>0</v>
      </c>
      <c r="G36" s="2"/>
      <c r="H36" s="2">
        <v>39184</v>
      </c>
      <c r="I36" s="2"/>
      <c r="J36" s="19">
        <f t="shared" si="5"/>
        <v>0.50998919735009696</v>
      </c>
      <c r="K36" s="2"/>
      <c r="L36" s="2">
        <f t="shared" si="6"/>
        <v>-39184</v>
      </c>
      <c r="M36" s="2"/>
      <c r="N36" s="19">
        <f t="shared" si="7"/>
        <v>-1</v>
      </c>
      <c r="O36" s="11"/>
      <c r="P36" s="2"/>
      <c r="Q36" s="2"/>
      <c r="R36" s="19">
        <f t="shared" si="8"/>
        <v>0</v>
      </c>
      <c r="S36" s="2"/>
      <c r="T36" s="2">
        <v>94558</v>
      </c>
      <c r="U36" s="2"/>
      <c r="V36" s="19">
        <f t="shared" si="9"/>
        <v>0.50999406720241625</v>
      </c>
      <c r="W36" s="2"/>
      <c r="X36" s="2">
        <f t="shared" si="10"/>
        <v>-94558</v>
      </c>
      <c r="Y36" s="2"/>
      <c r="Z36" s="19">
        <f t="shared" si="11"/>
        <v>-1</v>
      </c>
    </row>
    <row r="37" spans="1:26" s="24" customFormat="1" hidden="1" outlineLevel="1" x14ac:dyDescent="0.25">
      <c r="A37" s="46"/>
      <c r="B37" s="11" t="str">
        <f>CONCATENATE("          ", "5017", " - ", "PURCHASES @ COST-DORM/HOUSEWAR")</f>
        <v xml:space="preserve">          5017 - PURCHASES @ COST-DORM/HOUSEWAR</v>
      </c>
      <c r="C37" s="11"/>
      <c r="D37" s="2">
        <v>-139.86000000000001</v>
      </c>
      <c r="E37" s="2"/>
      <c r="F37" s="19">
        <f t="shared" si="4"/>
        <v>-2.120559235713213E-3</v>
      </c>
      <c r="G37" s="2"/>
      <c r="H37" s="2"/>
      <c r="I37" s="2"/>
      <c r="J37" s="19">
        <f t="shared" si="5"/>
        <v>0</v>
      </c>
      <c r="K37" s="2"/>
      <c r="L37" s="2">
        <f t="shared" si="6"/>
        <v>-139.86000000000001</v>
      </c>
      <c r="M37" s="2"/>
      <c r="N37" s="19">
        <f t="shared" si="7"/>
        <v>0</v>
      </c>
      <c r="O37" s="11"/>
      <c r="P37" s="2">
        <v>0</v>
      </c>
      <c r="Q37" s="2"/>
      <c r="R37" s="19">
        <f t="shared" si="8"/>
        <v>0</v>
      </c>
      <c r="S37" s="2"/>
      <c r="T37" s="2"/>
      <c r="U37" s="2"/>
      <c r="V37" s="19">
        <f t="shared" si="9"/>
        <v>0</v>
      </c>
      <c r="W37" s="2"/>
      <c r="X37" s="2">
        <f t="shared" si="10"/>
        <v>0</v>
      </c>
      <c r="Y37" s="2"/>
      <c r="Z37" s="19">
        <f t="shared" si="11"/>
        <v>0</v>
      </c>
    </row>
    <row r="38" spans="1:26" s="24" customFormat="1" hidden="1" outlineLevel="1" x14ac:dyDescent="0.25">
      <c r="A38" s="46"/>
      <c r="B38" s="11" t="str">
        <f>CONCATENATE("          ", "5025", " - ", "PURCHASES @ COST-TEST FORMS")</f>
        <v xml:space="preserve">          5025 - PURCHASES @ COST-TEST FORMS</v>
      </c>
      <c r="C38" s="11"/>
      <c r="D38" s="2">
        <v>1351.03</v>
      </c>
      <c r="E38" s="2"/>
      <c r="F38" s="19">
        <f t="shared" si="4"/>
        <v>2.0484335365548563E-2</v>
      </c>
      <c r="G38" s="2"/>
      <c r="H38" s="2"/>
      <c r="I38" s="2"/>
      <c r="J38" s="19">
        <f t="shared" si="5"/>
        <v>0</v>
      </c>
      <c r="K38" s="2"/>
      <c r="L38" s="2">
        <f t="shared" si="6"/>
        <v>1351.03</v>
      </c>
      <c r="M38" s="2"/>
      <c r="N38" s="19">
        <f t="shared" si="7"/>
        <v>0</v>
      </c>
      <c r="O38" s="11"/>
      <c r="P38" s="2">
        <v>3108.17</v>
      </c>
      <c r="Q38" s="2"/>
      <c r="R38" s="19">
        <f t="shared" si="8"/>
        <v>1.9142522263820641E-2</v>
      </c>
      <c r="S38" s="2"/>
      <c r="T38" s="2"/>
      <c r="U38" s="2"/>
      <c r="V38" s="19">
        <f t="shared" si="9"/>
        <v>0</v>
      </c>
      <c r="W38" s="2"/>
      <c r="X38" s="2">
        <f t="shared" si="10"/>
        <v>3108.17</v>
      </c>
      <c r="Y38" s="2"/>
      <c r="Z38" s="19">
        <f t="shared" si="11"/>
        <v>0</v>
      </c>
    </row>
    <row r="39" spans="1:26" s="24" customFormat="1" hidden="1" outlineLevel="1" x14ac:dyDescent="0.25">
      <c r="A39" s="46"/>
      <c r="B39" s="11" t="str">
        <f>CONCATENATE("          ", "5026", " - ", "PURCHASES @ COST-WRITING INSTR")</f>
        <v xml:space="preserve">          5026 - PURCHASES @ COST-WRITING INSTR</v>
      </c>
      <c r="C39" s="11"/>
      <c r="D39" s="2">
        <v>2090.38</v>
      </c>
      <c r="E39" s="2"/>
      <c r="F39" s="19">
        <f t="shared" si="4"/>
        <v>3.1694370192694027E-2</v>
      </c>
      <c r="G39" s="2"/>
      <c r="H39" s="2"/>
      <c r="I39" s="2"/>
      <c r="J39" s="19">
        <f t="shared" si="5"/>
        <v>0</v>
      </c>
      <c r="K39" s="2"/>
      <c r="L39" s="2">
        <f t="shared" si="6"/>
        <v>2090.38</v>
      </c>
      <c r="M39" s="2"/>
      <c r="N39" s="19">
        <f t="shared" si="7"/>
        <v>0</v>
      </c>
      <c r="O39" s="11"/>
      <c r="P39" s="2">
        <v>14289.71</v>
      </c>
      <c r="Q39" s="2"/>
      <c r="R39" s="19">
        <f t="shared" si="8"/>
        <v>8.8007120530260718E-2</v>
      </c>
      <c r="S39" s="2"/>
      <c r="T39" s="2"/>
      <c r="U39" s="2"/>
      <c r="V39" s="19">
        <f t="shared" si="9"/>
        <v>0</v>
      </c>
      <c r="W39" s="2"/>
      <c r="X39" s="2">
        <f t="shared" si="10"/>
        <v>14289.71</v>
      </c>
      <c r="Y39" s="2"/>
      <c r="Z39" s="19">
        <f t="shared" si="11"/>
        <v>0</v>
      </c>
    </row>
    <row r="40" spans="1:26" s="24" customFormat="1" hidden="1" outlineLevel="1" x14ac:dyDescent="0.25">
      <c r="A40" s="46"/>
      <c r="B40" s="11" t="str">
        <f>CONCATENATE("          ", "5027", " - ", "PURCHASES @ COST-SCHOOL SUPPLI")</f>
        <v xml:space="preserve">          5027 - PURCHASES @ COST-SCHOOL SUPPLI</v>
      </c>
      <c r="C40" s="11"/>
      <c r="D40" s="2">
        <v>12324.55</v>
      </c>
      <c r="E40" s="2"/>
      <c r="F40" s="19">
        <f t="shared" si="4"/>
        <v>0.18686499591383726</v>
      </c>
      <c r="G40" s="2"/>
      <c r="H40" s="2"/>
      <c r="I40" s="2"/>
      <c r="J40" s="19">
        <f t="shared" si="5"/>
        <v>0</v>
      </c>
      <c r="K40" s="2"/>
      <c r="L40" s="2">
        <f t="shared" si="6"/>
        <v>12324.55</v>
      </c>
      <c r="M40" s="2"/>
      <c r="N40" s="19">
        <f t="shared" si="7"/>
        <v>0</v>
      </c>
      <c r="O40" s="11"/>
      <c r="P40" s="2">
        <v>61391.03</v>
      </c>
      <c r="Q40" s="2"/>
      <c r="R40" s="19">
        <f t="shared" si="8"/>
        <v>0.37809359159051176</v>
      </c>
      <c r="S40" s="2"/>
      <c r="T40" s="2"/>
      <c r="U40" s="2"/>
      <c r="V40" s="19">
        <f t="shared" si="9"/>
        <v>0</v>
      </c>
      <c r="W40" s="2"/>
      <c r="X40" s="2">
        <f t="shared" si="10"/>
        <v>61391.03</v>
      </c>
      <c r="Y40" s="2"/>
      <c r="Z40" s="19">
        <f t="shared" si="11"/>
        <v>0</v>
      </c>
    </row>
    <row r="41" spans="1:26" s="24" customFormat="1" hidden="1" outlineLevel="1" x14ac:dyDescent="0.25">
      <c r="A41" s="46"/>
      <c r="B41" s="11" t="str">
        <f>CONCATENATE("          ", "5028", " - ", "PURCHASES @ COST-ART/TECH")</f>
        <v xml:space="preserve">          5028 - PURCHASES @ COST-ART/TECH</v>
      </c>
      <c r="C41" s="11"/>
      <c r="D41" s="2">
        <v>462.63</v>
      </c>
      <c r="E41" s="2"/>
      <c r="F41" s="19">
        <f t="shared" si="4"/>
        <v>7.0144023968111233E-3</v>
      </c>
      <c r="G41" s="2"/>
      <c r="H41" s="2"/>
      <c r="I41" s="2"/>
      <c r="J41" s="19">
        <f t="shared" si="5"/>
        <v>0</v>
      </c>
      <c r="K41" s="2"/>
      <c r="L41" s="2">
        <f t="shared" si="6"/>
        <v>462.63</v>
      </c>
      <c r="M41" s="2"/>
      <c r="N41" s="19">
        <f t="shared" si="7"/>
        <v>0</v>
      </c>
      <c r="O41" s="11"/>
      <c r="P41" s="2">
        <v>3078.83</v>
      </c>
      <c r="Q41" s="2"/>
      <c r="R41" s="19">
        <f t="shared" si="8"/>
        <v>1.8961823781041224E-2</v>
      </c>
      <c r="S41" s="2"/>
      <c r="T41" s="2"/>
      <c r="U41" s="2"/>
      <c r="V41" s="19">
        <f t="shared" si="9"/>
        <v>0</v>
      </c>
      <c r="W41" s="2"/>
      <c r="X41" s="2">
        <f t="shared" si="10"/>
        <v>3078.83</v>
      </c>
      <c r="Y41" s="2"/>
      <c r="Z41" s="19">
        <f t="shared" si="11"/>
        <v>0</v>
      </c>
    </row>
    <row r="42" spans="1:26" s="24" customFormat="1" hidden="1" outlineLevel="1" x14ac:dyDescent="0.25">
      <c r="A42" s="46"/>
      <c r="B42" s="11" t="str">
        <f>CONCATENATE("          ", "5031", " - ", "PURCHASES @ COST-FOOD")</f>
        <v xml:space="preserve">          5031 - PURCHASES @ COST-FOOD</v>
      </c>
      <c r="C42" s="11"/>
      <c r="D42" s="2"/>
      <c r="E42" s="2"/>
      <c r="F42" s="19">
        <f t="shared" si="4"/>
        <v>0</v>
      </c>
      <c r="G42" s="2"/>
      <c r="H42" s="2"/>
      <c r="I42" s="2"/>
      <c r="J42" s="19">
        <f t="shared" si="5"/>
        <v>0</v>
      </c>
      <c r="K42" s="2"/>
      <c r="L42" s="2">
        <f t="shared" si="6"/>
        <v>0</v>
      </c>
      <c r="M42" s="2"/>
      <c r="N42" s="19">
        <f t="shared" si="7"/>
        <v>0</v>
      </c>
      <c r="O42" s="11"/>
      <c r="P42" s="2">
        <v>149.11000000000001</v>
      </c>
      <c r="Q42" s="2"/>
      <c r="R42" s="19">
        <f t="shared" si="8"/>
        <v>9.1833506364140188E-4</v>
      </c>
      <c r="S42" s="2"/>
      <c r="T42" s="2"/>
      <c r="U42" s="2"/>
      <c r="V42" s="19">
        <f t="shared" si="9"/>
        <v>0</v>
      </c>
      <c r="W42" s="2"/>
      <c r="X42" s="2">
        <f t="shared" si="10"/>
        <v>149.11000000000001</v>
      </c>
      <c r="Y42" s="2"/>
      <c r="Z42" s="19">
        <f t="shared" si="11"/>
        <v>0</v>
      </c>
    </row>
    <row r="43" spans="1:26" s="24" customFormat="1" hidden="1" outlineLevel="1" x14ac:dyDescent="0.25">
      <c r="A43" s="46"/>
      <c r="B43" s="11" t="str">
        <f>CONCATENATE("          ", "5033", " - ", "PURCHASES @ COST-CANDY")</f>
        <v xml:space="preserve">          5033 - PURCHASES @ COST-CANDY</v>
      </c>
      <c r="C43" s="11"/>
      <c r="D43" s="2"/>
      <c r="E43" s="2"/>
      <c r="F43" s="19">
        <f t="shared" si="4"/>
        <v>0</v>
      </c>
      <c r="G43" s="2"/>
      <c r="H43" s="2"/>
      <c r="I43" s="2"/>
      <c r="J43" s="19">
        <f t="shared" si="5"/>
        <v>0</v>
      </c>
      <c r="K43" s="2"/>
      <c r="L43" s="2">
        <f t="shared" si="6"/>
        <v>0</v>
      </c>
      <c r="M43" s="2"/>
      <c r="N43" s="19">
        <f t="shared" si="7"/>
        <v>0</v>
      </c>
      <c r="O43" s="11"/>
      <c r="P43" s="2">
        <v>80.95</v>
      </c>
      <c r="Q43" s="2"/>
      <c r="R43" s="19">
        <f t="shared" si="8"/>
        <v>4.9855290323768677E-4</v>
      </c>
      <c r="S43" s="2"/>
      <c r="T43" s="2"/>
      <c r="U43" s="2"/>
      <c r="V43" s="19">
        <f t="shared" si="9"/>
        <v>0</v>
      </c>
      <c r="W43" s="2"/>
      <c r="X43" s="2">
        <f t="shared" si="10"/>
        <v>80.95</v>
      </c>
      <c r="Y43" s="2"/>
      <c r="Z43" s="19">
        <f t="shared" si="11"/>
        <v>0</v>
      </c>
    </row>
    <row r="44" spans="1:26" s="24" customFormat="1" hidden="1" outlineLevel="1" x14ac:dyDescent="0.25">
      <c r="A44" s="46"/>
      <c r="B44" s="11" t="str">
        <f>CONCATENATE("          ", "5035", " - ", "PURCHASES @ COST-HEALTH &amp; BEAU")</f>
        <v xml:space="preserve">          5035 - PURCHASES @ COST-HEALTH &amp; BEAU</v>
      </c>
      <c r="C44" s="11"/>
      <c r="D44" s="2"/>
      <c r="E44" s="2"/>
      <c r="F44" s="19">
        <f t="shared" si="4"/>
        <v>0</v>
      </c>
      <c r="G44" s="2"/>
      <c r="H44" s="2"/>
      <c r="I44" s="2"/>
      <c r="J44" s="19">
        <f t="shared" si="5"/>
        <v>0</v>
      </c>
      <c r="K44" s="2"/>
      <c r="L44" s="2">
        <f t="shared" si="6"/>
        <v>0</v>
      </c>
      <c r="M44" s="2"/>
      <c r="N44" s="19">
        <f t="shared" si="7"/>
        <v>0</v>
      </c>
      <c r="O44" s="11"/>
      <c r="P44" s="2">
        <v>34.49</v>
      </c>
      <c r="Q44" s="2"/>
      <c r="R44" s="19">
        <f t="shared" si="8"/>
        <v>2.1241617829114042E-4</v>
      </c>
      <c r="S44" s="2"/>
      <c r="T44" s="2"/>
      <c r="U44" s="2"/>
      <c r="V44" s="19">
        <f t="shared" si="9"/>
        <v>0</v>
      </c>
      <c r="W44" s="2"/>
      <c r="X44" s="2">
        <f t="shared" si="10"/>
        <v>34.49</v>
      </c>
      <c r="Y44" s="2"/>
      <c r="Z44" s="19">
        <f t="shared" si="11"/>
        <v>0</v>
      </c>
    </row>
    <row r="45" spans="1:26" s="24" customFormat="1" hidden="1" outlineLevel="1" x14ac:dyDescent="0.25">
      <c r="A45" s="46"/>
      <c r="B45" s="11" t="str">
        <f>CONCATENATE("          ", "5200", " - ", "PURCHASES OFFSET")</f>
        <v xml:space="preserve">          5200 - PURCHASES OFFSET</v>
      </c>
      <c r="C45" s="11"/>
      <c r="D45" s="2">
        <v>-16222</v>
      </c>
      <c r="E45" s="2"/>
      <c r="F45" s="19">
        <f t="shared" si="4"/>
        <v>-0.24595818619862533</v>
      </c>
      <c r="G45" s="2"/>
      <c r="H45" s="2"/>
      <c r="I45" s="2"/>
      <c r="J45" s="19">
        <f t="shared" si="5"/>
        <v>0</v>
      </c>
      <c r="K45" s="2"/>
      <c r="L45" s="2">
        <f t="shared" si="6"/>
        <v>-16222</v>
      </c>
      <c r="M45" s="2"/>
      <c r="N45" s="19">
        <f t="shared" si="7"/>
        <v>0</v>
      </c>
      <c r="O45" s="11"/>
      <c r="P45" s="2">
        <v>-82627</v>
      </c>
      <c r="Q45" s="2"/>
      <c r="R45" s="19">
        <f t="shared" si="8"/>
        <v>-0.50888117030043667</v>
      </c>
      <c r="S45" s="2"/>
      <c r="T45" s="2"/>
      <c r="U45" s="2"/>
      <c r="V45" s="19">
        <f t="shared" si="9"/>
        <v>0</v>
      </c>
      <c r="W45" s="2"/>
      <c r="X45" s="2">
        <f t="shared" si="10"/>
        <v>-82627</v>
      </c>
      <c r="Y45" s="2"/>
      <c r="Z45" s="19">
        <f t="shared" si="11"/>
        <v>0</v>
      </c>
    </row>
    <row r="46" spans="1:26" s="24" customFormat="1" hidden="1" outlineLevel="1" x14ac:dyDescent="0.25">
      <c r="A46" s="46"/>
      <c r="B46" s="11" t="str">
        <f>CONCATENATE("          ", "5300", " - ", "COG$ OFFSET")</f>
        <v xml:space="preserve">          5300 - COG$ OFFSET</v>
      </c>
      <c r="C46" s="11"/>
      <c r="D46" s="2">
        <v>32019</v>
      </c>
      <c r="E46" s="2"/>
      <c r="F46" s="19">
        <f t="shared" si="4"/>
        <v>0.48547251657587137</v>
      </c>
      <c r="G46" s="2"/>
      <c r="H46" s="2"/>
      <c r="I46" s="2"/>
      <c r="J46" s="19">
        <f t="shared" si="5"/>
        <v>0</v>
      </c>
      <c r="K46" s="2"/>
      <c r="L46" s="2">
        <f t="shared" si="6"/>
        <v>32019</v>
      </c>
      <c r="M46" s="2"/>
      <c r="N46" s="19">
        <f t="shared" si="7"/>
        <v>0</v>
      </c>
      <c r="O46" s="11"/>
      <c r="P46" s="2">
        <v>74628</v>
      </c>
      <c r="Q46" s="2"/>
      <c r="R46" s="19">
        <f t="shared" si="8"/>
        <v>0.45961712245610981</v>
      </c>
      <c r="S46" s="2"/>
      <c r="T46" s="2"/>
      <c r="U46" s="2"/>
      <c r="V46" s="19">
        <f t="shared" si="9"/>
        <v>0</v>
      </c>
      <c r="W46" s="2"/>
      <c r="X46" s="2">
        <f t="shared" si="10"/>
        <v>74628</v>
      </c>
      <c r="Y46" s="2"/>
      <c r="Z46" s="19">
        <f t="shared" si="11"/>
        <v>0</v>
      </c>
    </row>
    <row r="47" spans="1:26" s="24" customFormat="1" hidden="1" outlineLevel="1" x14ac:dyDescent="0.25">
      <c r="A47" s="46"/>
      <c r="B47" s="11" t="str">
        <f>CONCATENATE("          ", "5500", " - ", "FREIGHT-IN")</f>
        <v xml:space="preserve">          5500 - FREIGHT-IN</v>
      </c>
      <c r="C47" s="11"/>
      <c r="D47" s="2">
        <v>-49</v>
      </c>
      <c r="E47" s="2"/>
      <c r="F47" s="19">
        <f t="shared" si="4"/>
        <v>-7.4293867117079533E-4</v>
      </c>
      <c r="G47" s="2"/>
      <c r="H47" s="2"/>
      <c r="I47" s="2"/>
      <c r="J47" s="19">
        <f t="shared" si="5"/>
        <v>0</v>
      </c>
      <c r="K47" s="2"/>
      <c r="L47" s="2">
        <f t="shared" si="6"/>
        <v>-49</v>
      </c>
      <c r="M47" s="2"/>
      <c r="N47" s="19">
        <f t="shared" si="7"/>
        <v>0</v>
      </c>
      <c r="O47" s="11"/>
      <c r="P47" s="2">
        <v>0</v>
      </c>
      <c r="Q47" s="2"/>
      <c r="R47" s="19">
        <f t="shared" si="8"/>
        <v>0</v>
      </c>
      <c r="S47" s="2"/>
      <c r="T47" s="2"/>
      <c r="U47" s="2"/>
      <c r="V47" s="19">
        <f t="shared" si="9"/>
        <v>0</v>
      </c>
      <c r="W47" s="2"/>
      <c r="X47" s="2">
        <f t="shared" si="10"/>
        <v>0</v>
      </c>
      <c r="Y47" s="2"/>
      <c r="Z47" s="19">
        <f t="shared" si="11"/>
        <v>0</v>
      </c>
    </row>
    <row r="48" spans="1:26" s="24" customFormat="1" hidden="1" outlineLevel="1" x14ac:dyDescent="0.25">
      <c r="A48" s="46"/>
      <c r="B48" s="11" t="str">
        <f>CONCATENATE("          ", "5526", " - ", "FREIGHT-IN-WRITING INSTRUMENTS")</f>
        <v xml:space="preserve">          5526 - FREIGHT-IN-WRITING INSTRUMENTS</v>
      </c>
      <c r="C48" s="11"/>
      <c r="D48" s="2"/>
      <c r="E48" s="2"/>
      <c r="F48" s="19">
        <f t="shared" si="4"/>
        <v>0</v>
      </c>
      <c r="G48" s="2"/>
      <c r="H48" s="2"/>
      <c r="I48" s="2"/>
      <c r="J48" s="19">
        <f t="shared" si="5"/>
        <v>0</v>
      </c>
      <c r="K48" s="2"/>
      <c r="L48" s="2">
        <f t="shared" si="6"/>
        <v>0</v>
      </c>
      <c r="M48" s="2"/>
      <c r="N48" s="19">
        <f t="shared" si="7"/>
        <v>0</v>
      </c>
      <c r="O48" s="11"/>
      <c r="P48" s="2">
        <v>56.57</v>
      </c>
      <c r="Q48" s="2"/>
      <c r="R48" s="19">
        <f t="shared" si="8"/>
        <v>3.4840194856276639E-4</v>
      </c>
      <c r="S48" s="2"/>
      <c r="T48" s="2"/>
      <c r="U48" s="2"/>
      <c r="V48" s="19">
        <f t="shared" si="9"/>
        <v>0</v>
      </c>
      <c r="W48" s="2"/>
      <c r="X48" s="2">
        <f t="shared" si="10"/>
        <v>56.57</v>
      </c>
      <c r="Y48" s="2"/>
      <c r="Z48" s="19">
        <f t="shared" si="11"/>
        <v>0</v>
      </c>
    </row>
    <row r="49" spans="1:26" s="24" customFormat="1" hidden="1" outlineLevel="1" x14ac:dyDescent="0.25">
      <c r="A49" s="46"/>
      <c r="B49" s="11" t="str">
        <f>CONCATENATE("          ", "5527", " - ", "FREIGHT-IN-SCHOOL SUPPLIES")</f>
        <v xml:space="preserve">          5527 - FREIGHT-IN-SCHOOL SUPPLIES</v>
      </c>
      <c r="C49" s="11"/>
      <c r="D49" s="2">
        <v>133.38999999999999</v>
      </c>
      <c r="E49" s="2"/>
      <c r="F49" s="19">
        <f t="shared" si="4"/>
        <v>2.022461007091273E-3</v>
      </c>
      <c r="G49" s="2"/>
      <c r="H49" s="2"/>
      <c r="I49" s="2"/>
      <c r="J49" s="19">
        <f t="shared" si="5"/>
        <v>0</v>
      </c>
      <c r="K49" s="2"/>
      <c r="L49" s="2">
        <f t="shared" si="6"/>
        <v>133.38999999999999</v>
      </c>
      <c r="M49" s="2"/>
      <c r="N49" s="19">
        <f t="shared" si="7"/>
        <v>0</v>
      </c>
      <c r="O49" s="11"/>
      <c r="P49" s="2">
        <v>393.9</v>
      </c>
      <c r="Q49" s="2"/>
      <c r="R49" s="19">
        <f t="shared" si="8"/>
        <v>2.4259417984598495E-3</v>
      </c>
      <c r="S49" s="2"/>
      <c r="T49" s="2"/>
      <c r="U49" s="2"/>
      <c r="V49" s="19">
        <f t="shared" si="9"/>
        <v>0</v>
      </c>
      <c r="W49" s="2"/>
      <c r="X49" s="2">
        <f t="shared" si="10"/>
        <v>393.9</v>
      </c>
      <c r="Y49" s="2"/>
      <c r="Z49" s="19">
        <f t="shared" si="11"/>
        <v>0</v>
      </c>
    </row>
    <row r="50" spans="1:26" s="24" customFormat="1" hidden="1" outlineLevel="1" x14ac:dyDescent="0.25">
      <c r="A50" s="46"/>
      <c r="B50" s="11" t="str">
        <f>CONCATENATE("          ", "5528", " - ", "FREIGHT-IN-ART/TECH")</f>
        <v xml:space="preserve">          5528 - FREIGHT-IN-ART/TECH</v>
      </c>
      <c r="C50" s="11"/>
      <c r="D50" s="2"/>
      <c r="E50" s="2"/>
      <c r="F50" s="19">
        <f t="shared" si="4"/>
        <v>0</v>
      </c>
      <c r="G50" s="2"/>
      <c r="H50" s="2"/>
      <c r="I50" s="2"/>
      <c r="J50" s="19">
        <f t="shared" si="5"/>
        <v>0</v>
      </c>
      <c r="K50" s="2"/>
      <c r="L50" s="2">
        <f t="shared" si="6"/>
        <v>0</v>
      </c>
      <c r="M50" s="2"/>
      <c r="N50" s="19">
        <f t="shared" si="7"/>
        <v>0</v>
      </c>
      <c r="O50" s="11"/>
      <c r="P50" s="2">
        <v>44</v>
      </c>
      <c r="Q50" s="2"/>
      <c r="R50" s="19">
        <f t="shared" si="8"/>
        <v>2.709861364108489E-4</v>
      </c>
      <c r="S50" s="2"/>
      <c r="T50" s="2"/>
      <c r="U50" s="2"/>
      <c r="V50" s="19">
        <f t="shared" si="9"/>
        <v>0</v>
      </c>
      <c r="W50" s="2"/>
      <c r="X50" s="2">
        <f t="shared" si="10"/>
        <v>44</v>
      </c>
      <c r="Y50" s="2"/>
      <c r="Z50" s="19">
        <f t="shared" si="11"/>
        <v>0</v>
      </c>
    </row>
    <row r="51" spans="1:26" x14ac:dyDescent="0.25">
      <c r="A51" s="9"/>
      <c r="B51" s="10"/>
      <c r="C51" s="10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O51" s="10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x14ac:dyDescent="0.25">
      <c r="A52" s="10"/>
      <c r="B52" s="29" t="s">
        <v>6</v>
      </c>
      <c r="C52" s="29"/>
      <c r="D52" s="22">
        <f>D12-D35</f>
        <v>33984.180000000022</v>
      </c>
      <c r="E52" s="14"/>
      <c r="F52" s="20">
        <f>IF(D$12=0,0,D52/D$12)</f>
        <v>0.51526860265365582</v>
      </c>
      <c r="G52" s="14"/>
      <c r="H52" s="22">
        <f>H12-H35</f>
        <v>37649</v>
      </c>
      <c r="I52" s="14"/>
      <c r="J52" s="20">
        <f>IF(H$12=0,0,H52/H$12)</f>
        <v>0.49001080264990304</v>
      </c>
      <c r="K52" s="15"/>
      <c r="L52" s="22">
        <f>+D52-H52</f>
        <v>-3664.8199999999779</v>
      </c>
      <c r="M52" s="15"/>
      <c r="N52" s="20">
        <f>IF(H52=0,0,L52/H52)</f>
        <v>-9.7341762065392912E-2</v>
      </c>
      <c r="O52" s="28"/>
      <c r="P52" s="22">
        <f>P12-P35</f>
        <v>87742.170000000042</v>
      </c>
      <c r="Q52" s="14"/>
      <c r="R52" s="20">
        <f>IF(P$12=0,0,P52/P$12)</f>
        <v>0.5403843556500888</v>
      </c>
      <c r="S52" s="14"/>
      <c r="T52" s="22">
        <f>T12-T35</f>
        <v>90852</v>
      </c>
      <c r="U52" s="14"/>
      <c r="V52" s="20">
        <f>IF(T$12=0,0,T52/T$12)</f>
        <v>0.49000593279758375</v>
      </c>
      <c r="W52" s="15"/>
      <c r="X52" s="22">
        <f>+P52-T52</f>
        <v>-3109.8299999999581</v>
      </c>
      <c r="Y52" s="15"/>
      <c r="Z52" s="20">
        <f>IF(T52=0,0,X52/T52)</f>
        <v>-3.4229626205256443E-2</v>
      </c>
    </row>
    <row r="53" spans="1:26" x14ac:dyDescent="0.25">
      <c r="A53" s="9"/>
      <c r="B53" s="10"/>
      <c r="C53" s="9"/>
      <c r="D53" s="1"/>
      <c r="E53" s="1"/>
      <c r="F53" s="5"/>
      <c r="G53" s="1"/>
      <c r="H53" s="1"/>
      <c r="I53" s="1"/>
      <c r="J53" s="5"/>
      <c r="K53" s="1"/>
      <c r="L53" s="1"/>
      <c r="M53" s="1"/>
      <c r="N53" s="5"/>
      <c r="O53" s="36"/>
      <c r="P53" s="1"/>
      <c r="Q53" s="1"/>
      <c r="R53" s="5"/>
      <c r="S53" s="1"/>
      <c r="T53" s="1"/>
      <c r="U53" s="1"/>
      <c r="V53" s="5"/>
      <c r="W53" s="1"/>
      <c r="X53" s="1"/>
      <c r="Y53" s="1"/>
      <c r="Z53" s="5"/>
    </row>
    <row r="54" spans="1:26" s="23" customFormat="1" x14ac:dyDescent="0.25">
      <c r="A54" s="10"/>
      <c r="B54" s="28" t="s">
        <v>9</v>
      </c>
      <c r="C54" s="10"/>
      <c r="D54" s="21">
        <f>SUM(OSRRefD22x_0)</f>
        <v>8563.07</v>
      </c>
      <c r="E54" s="21"/>
      <c r="F54" s="33">
        <f t="shared" ref="F54:F63" si="12">IF(D$12=0,0,D54/D$12)</f>
        <v>0.12983338463147964</v>
      </c>
      <c r="G54" s="21"/>
      <c r="H54" s="21">
        <f>SUM(OSRRefH22x_0)</f>
        <v>9937.1697055446111</v>
      </c>
      <c r="I54" s="21"/>
      <c r="J54" s="33">
        <f t="shared" ref="J54:J63" si="13">IF(H$12=0,0,H54/H$12)</f>
        <v>0.12933465705549194</v>
      </c>
      <c r="K54" s="4"/>
      <c r="L54" s="21">
        <f t="shared" ref="L54:L63" si="14">+D54-H54</f>
        <v>-1374.0997055446114</v>
      </c>
      <c r="M54" s="4"/>
      <c r="N54" s="33">
        <f t="shared" ref="N54:N63" si="15">IF(H54=0,0,L54/H54)</f>
        <v>-0.13827878020216455</v>
      </c>
      <c r="O54" s="10"/>
      <c r="P54" s="21">
        <f>SUM(OSRRefP22x_0)</f>
        <v>31002.400000000009</v>
      </c>
      <c r="Q54" s="21"/>
      <c r="R54" s="33">
        <f t="shared" ref="R54:R63" si="16">IF(P$12=0,0,P54/P$12)</f>
        <v>0.19093683171508419</v>
      </c>
      <c r="S54" s="21"/>
      <c r="T54" s="21">
        <f>SUM(OSRRefT22x_0)</f>
        <v>31230.68599301999</v>
      </c>
      <c r="U54" s="21"/>
      <c r="V54" s="33">
        <f t="shared" ref="V54:V63" si="17">IF(T$12=0,0,T54/T$12)</f>
        <v>0.16844121672520354</v>
      </c>
      <c r="W54" s="4"/>
      <c r="X54" s="21">
        <f t="shared" ref="X54:X63" si="18">+P54-T54</f>
        <v>-228.28599301998111</v>
      </c>
      <c r="Y54" s="4"/>
      <c r="Z54" s="33">
        <f t="shared" ref="Z54:Z63" si="19">IF(T54=0,0,X54/T54)</f>
        <v>-7.3096695048902437E-3</v>
      </c>
    </row>
    <row r="55" spans="1:26" s="26" customFormat="1" outlineLevel="1" collapsed="1" x14ac:dyDescent="0.25">
      <c r="A55" s="27"/>
      <c r="B55" s="13" t="str">
        <f>CONCATENATE("     ","*Benefits                                         ")</f>
        <v xml:space="preserve">     *Benefits                                         </v>
      </c>
      <c r="C55" s="13"/>
      <c r="D55" s="1">
        <f>SUM(OSRRefD22_0x_0)</f>
        <v>1426.7799999999997</v>
      </c>
      <c r="E55" s="1"/>
      <c r="F55" s="5">
        <f t="shared" si="12"/>
        <v>2.1632857903123821E-2</v>
      </c>
      <c r="G55" s="1"/>
      <c r="H55" s="1">
        <f>SUM(OSRRefH22_0x_0)</f>
        <v>1546.5121116984608</v>
      </c>
      <c r="I55" s="1"/>
      <c r="J55" s="5">
        <f t="shared" si="13"/>
        <v>2.0128227606607329E-2</v>
      </c>
      <c r="K55" s="1"/>
      <c r="L55" s="1">
        <f t="shared" si="14"/>
        <v>-119.73211169846104</v>
      </c>
      <c r="M55" s="1"/>
      <c r="N55" s="5">
        <f t="shared" si="15"/>
        <v>-7.7420739736053512E-2</v>
      </c>
      <c r="O55" s="13"/>
      <c r="P55" s="1">
        <f>SUM(OSRRefP22_0x_0)</f>
        <v>5794.63</v>
      </c>
      <c r="Q55" s="1"/>
      <c r="R55" s="5">
        <f t="shared" si="16"/>
        <v>3.5687827173418118E-2</v>
      </c>
      <c r="S55" s="1"/>
      <c r="T55" s="1">
        <f>SUM(OSRRefT22_0x_0)</f>
        <v>5534.4863130199983</v>
      </c>
      <c r="U55" s="1"/>
      <c r="V55" s="5">
        <f t="shared" si="17"/>
        <v>2.9849988204627573E-2</v>
      </c>
      <c r="W55" s="1"/>
      <c r="X55" s="1">
        <f t="shared" si="18"/>
        <v>260.1436869800018</v>
      </c>
      <c r="Y55" s="1"/>
      <c r="Z55" s="5">
        <f t="shared" si="19"/>
        <v>4.700412509251458E-2</v>
      </c>
    </row>
    <row r="56" spans="1:26" s="24" customFormat="1" hidden="1" outlineLevel="2" x14ac:dyDescent="0.25">
      <c r="A56" s="25"/>
      <c r="B56" s="11" t="str">
        <f>CONCATENATE("          ", "6111", " - ", "F.I.C.A.")</f>
        <v xml:space="preserve">          6111 - F.I.C.A.</v>
      </c>
      <c r="C56" s="11"/>
      <c r="D56" s="7">
        <v>107.46</v>
      </c>
      <c r="E56" s="2"/>
      <c r="F56" s="6">
        <f t="shared" si="12"/>
        <v>1.6293099919186462E-3</v>
      </c>
      <c r="G56" s="2"/>
      <c r="H56" s="7">
        <v>174.43080234461499</v>
      </c>
      <c r="I56" s="2"/>
      <c r="J56" s="6">
        <f t="shared" si="13"/>
        <v>2.2702589036561762E-3</v>
      </c>
      <c r="K56" s="2"/>
      <c r="L56" s="7">
        <f t="shared" si="14"/>
        <v>-66.970802344614995</v>
      </c>
      <c r="M56" s="2"/>
      <c r="N56" s="6">
        <f t="shared" si="15"/>
        <v>-0.38393908326067222</v>
      </c>
      <c r="O56" s="11"/>
      <c r="P56" s="7">
        <v>1073.08</v>
      </c>
      <c r="Q56" s="2"/>
      <c r="R56" s="6">
        <f t="shared" si="16"/>
        <v>6.6088591649944026E-3</v>
      </c>
      <c r="S56" s="2"/>
      <c r="T56" s="7">
        <v>1311.345682619999</v>
      </c>
      <c r="U56" s="2"/>
      <c r="V56" s="6">
        <f t="shared" si="17"/>
        <v>7.0726804520791706E-3</v>
      </c>
      <c r="W56" s="2"/>
      <c r="X56" s="7">
        <f t="shared" si="18"/>
        <v>-238.2656826199991</v>
      </c>
      <c r="Y56" s="2"/>
      <c r="Z56" s="6">
        <f t="shared" si="19"/>
        <v>-0.18169555577744911</v>
      </c>
    </row>
    <row r="57" spans="1:26" s="24" customFormat="1" hidden="1" outlineLevel="2" x14ac:dyDescent="0.25">
      <c r="A57" s="25"/>
      <c r="B57" s="11" t="str">
        <f>CONCATENATE("          ", "6112", " - ", "COMPENSATION INSURANCE")</f>
        <v xml:space="preserve">          6112 - COMPENSATION INSURANCE</v>
      </c>
      <c r="C57" s="11"/>
      <c r="D57" s="7">
        <v>135.99</v>
      </c>
      <c r="E57" s="2"/>
      <c r="F57" s="6">
        <f t="shared" si="12"/>
        <v>2.0618822427044175E-3</v>
      </c>
      <c r="G57" s="2"/>
      <c r="H57" s="7">
        <v>135.716950307692</v>
      </c>
      <c r="I57" s="2"/>
      <c r="J57" s="6">
        <f t="shared" si="13"/>
        <v>1.766388795279268E-3</v>
      </c>
      <c r="K57" s="2"/>
      <c r="L57" s="7">
        <f t="shared" si="14"/>
        <v>0.2730496923080068</v>
      </c>
      <c r="M57" s="2"/>
      <c r="N57" s="6">
        <f t="shared" si="15"/>
        <v>2.0119055997718746E-3</v>
      </c>
      <c r="O57" s="11"/>
      <c r="P57" s="7">
        <v>375.75</v>
      </c>
      <c r="Q57" s="2"/>
      <c r="R57" s="6">
        <f t="shared" si="16"/>
        <v>2.3141600171903746E-3</v>
      </c>
      <c r="S57" s="2"/>
      <c r="T57" s="7">
        <v>417.97727599999899</v>
      </c>
      <c r="U57" s="2"/>
      <c r="V57" s="6">
        <f t="shared" si="17"/>
        <v>2.2543405210074916E-3</v>
      </c>
      <c r="W57" s="2"/>
      <c r="X57" s="7">
        <f t="shared" si="18"/>
        <v>-42.227275999998994</v>
      </c>
      <c r="Y57" s="2"/>
      <c r="Z57" s="6">
        <f t="shared" si="19"/>
        <v>-0.10102768361981261</v>
      </c>
    </row>
    <row r="58" spans="1:26" s="24" customFormat="1" hidden="1" outlineLevel="2" x14ac:dyDescent="0.25">
      <c r="A58" s="25"/>
      <c r="B58" s="11" t="str">
        <f>CONCATENATE("          ", "6113", " - ", "GROUP INSURANCE")</f>
        <v xml:space="preserve">          6113 - GROUP INSURANCE</v>
      </c>
      <c r="C58" s="11"/>
      <c r="D58" s="7">
        <v>462.13</v>
      </c>
      <c r="E58" s="2"/>
      <c r="F58" s="6">
        <f t="shared" si="12"/>
        <v>7.0068213899624416E-3</v>
      </c>
      <c r="G58" s="2"/>
      <c r="H58" s="7">
        <v>790.8</v>
      </c>
      <c r="I58" s="2"/>
      <c r="J58" s="6">
        <f t="shared" si="13"/>
        <v>1.0292452461832805E-2</v>
      </c>
      <c r="K58" s="2"/>
      <c r="L58" s="7">
        <f t="shared" si="14"/>
        <v>-328.66999999999996</v>
      </c>
      <c r="M58" s="2"/>
      <c r="N58" s="6">
        <f t="shared" si="15"/>
        <v>-0.4156170966110268</v>
      </c>
      <c r="O58" s="11"/>
      <c r="P58" s="7">
        <v>2310.63</v>
      </c>
      <c r="Q58" s="2"/>
      <c r="R58" s="6">
        <f t="shared" si="16"/>
        <v>1.4230652190340904E-2</v>
      </c>
      <c r="S58" s="2"/>
      <c r="T58" s="7">
        <v>2372.4</v>
      </c>
      <c r="U58" s="2"/>
      <c r="V58" s="6">
        <f t="shared" si="17"/>
        <v>1.2795426352408178E-2</v>
      </c>
      <c r="W58" s="2"/>
      <c r="X58" s="7">
        <f t="shared" si="18"/>
        <v>-61.769999999999982</v>
      </c>
      <c r="Y58" s="2"/>
      <c r="Z58" s="6">
        <f t="shared" si="19"/>
        <v>-2.6036924633282742E-2</v>
      </c>
    </row>
    <row r="59" spans="1:26" s="24" customFormat="1" hidden="1" outlineLevel="2" x14ac:dyDescent="0.25">
      <c r="A59" s="25"/>
      <c r="B59" s="11" t="str">
        <f>CONCATENATE("          ", "6114", " - ", "STATE UNEMPLOYMENT INSURANCE")</f>
        <v xml:space="preserve">          6114 - STATE UNEMPLOYMENT INSURANCE</v>
      </c>
      <c r="C59" s="11"/>
      <c r="D59" s="7">
        <v>18.61</v>
      </c>
      <c r="E59" s="2"/>
      <c r="F59" s="6">
        <f t="shared" si="12"/>
        <v>2.8216507490792857E-4</v>
      </c>
      <c r="G59" s="2"/>
      <c r="H59" s="7">
        <v>18.571793199999998</v>
      </c>
      <c r="I59" s="2"/>
      <c r="J59" s="6">
        <f t="shared" si="13"/>
        <v>2.4171636145926879E-4</v>
      </c>
      <c r="K59" s="2"/>
      <c r="L59" s="7">
        <f t="shared" si="14"/>
        <v>3.8206800000001095E-2</v>
      </c>
      <c r="M59" s="2"/>
      <c r="N59" s="6">
        <f t="shared" si="15"/>
        <v>2.0572488390620835E-3</v>
      </c>
      <c r="O59" s="11"/>
      <c r="P59" s="7">
        <v>51.42</v>
      </c>
      <c r="Q59" s="2"/>
      <c r="R59" s="6">
        <f t="shared" si="16"/>
        <v>3.1668425305104205E-4</v>
      </c>
      <c r="S59" s="2"/>
      <c r="T59" s="7">
        <v>57.196890400000001</v>
      </c>
      <c r="U59" s="2"/>
      <c r="V59" s="6">
        <f t="shared" si="17"/>
        <v>3.0848870287471009E-4</v>
      </c>
      <c r="W59" s="2"/>
      <c r="X59" s="7">
        <f t="shared" si="18"/>
        <v>-5.7768903999999992</v>
      </c>
      <c r="Y59" s="2"/>
      <c r="Z59" s="6">
        <f t="shared" si="19"/>
        <v>-0.10100007814410832</v>
      </c>
    </row>
    <row r="60" spans="1:26" s="24" customFormat="1" hidden="1" outlineLevel="2" x14ac:dyDescent="0.25">
      <c r="A60" s="25"/>
      <c r="B60" s="11" t="str">
        <f>CONCATENATE("          ", "6115", " - ", "P.E.R.S.")</f>
        <v xml:space="preserve">          6115 - P.E.R.S.</v>
      </c>
      <c r="C60" s="11"/>
      <c r="D60" s="7">
        <v>98.12</v>
      </c>
      <c r="E60" s="2"/>
      <c r="F60" s="6">
        <f t="shared" si="12"/>
        <v>1.4876967839852744E-3</v>
      </c>
      <c r="G60" s="2"/>
      <c r="H60" s="7">
        <v>196.01527507692302</v>
      </c>
      <c r="I60" s="2"/>
      <c r="J60" s="6">
        <f t="shared" si="13"/>
        <v>2.5511860148233574E-3</v>
      </c>
      <c r="K60" s="2"/>
      <c r="L60" s="7">
        <f t="shared" si="14"/>
        <v>-97.895275076923014</v>
      </c>
      <c r="M60" s="2"/>
      <c r="N60" s="6">
        <f t="shared" si="15"/>
        <v>-0.49942676680940096</v>
      </c>
      <c r="O60" s="11"/>
      <c r="P60" s="7">
        <v>464.92</v>
      </c>
      <c r="Q60" s="2"/>
      <c r="R60" s="6">
        <f t="shared" si="16"/>
        <v>2.8633380577302698E-3</v>
      </c>
      <c r="S60" s="2"/>
      <c r="T60" s="7">
        <v>637.04964399999994</v>
      </c>
      <c r="U60" s="2"/>
      <c r="V60" s="6">
        <f t="shared" si="17"/>
        <v>3.4358968987648992E-3</v>
      </c>
      <c r="W60" s="2"/>
      <c r="X60" s="7">
        <f t="shared" si="18"/>
        <v>-172.12964399999993</v>
      </c>
      <c r="Y60" s="2"/>
      <c r="Z60" s="6">
        <f t="shared" si="19"/>
        <v>-0.27019816370857269</v>
      </c>
    </row>
    <row r="61" spans="1:26" s="24" customFormat="1" hidden="1" outlineLevel="2" x14ac:dyDescent="0.25">
      <c r="A61" s="25"/>
      <c r="B61" s="11" t="str">
        <f>CONCATENATE("          ", "6116", " - ", "EDUCATIONAL BENEFITS")</f>
        <v xml:space="preserve">          6116 - EDUCATIONAL BENEFITS</v>
      </c>
      <c r="C61" s="11"/>
      <c r="D61" s="7"/>
      <c r="E61" s="2"/>
      <c r="F61" s="6">
        <f t="shared" si="12"/>
        <v>0</v>
      </c>
      <c r="G61" s="2"/>
      <c r="H61" s="7">
        <v>0</v>
      </c>
      <c r="I61" s="2"/>
      <c r="J61" s="6">
        <f t="shared" si="13"/>
        <v>0</v>
      </c>
      <c r="K61" s="2"/>
      <c r="L61" s="7">
        <f t="shared" si="14"/>
        <v>0</v>
      </c>
      <c r="M61" s="2"/>
      <c r="N61" s="6">
        <f t="shared" si="15"/>
        <v>0</v>
      </c>
      <c r="O61" s="11"/>
      <c r="P61" s="7"/>
      <c r="Q61" s="2"/>
      <c r="R61" s="6">
        <f t="shared" si="16"/>
        <v>0</v>
      </c>
      <c r="S61" s="2"/>
      <c r="T61" s="7">
        <v>0</v>
      </c>
      <c r="U61" s="2"/>
      <c r="V61" s="6">
        <f t="shared" si="17"/>
        <v>0</v>
      </c>
      <c r="W61" s="2"/>
      <c r="X61" s="7">
        <f t="shared" si="18"/>
        <v>0</v>
      </c>
      <c r="Y61" s="2"/>
      <c r="Z61" s="6">
        <f t="shared" si="19"/>
        <v>0</v>
      </c>
    </row>
    <row r="62" spans="1:26" s="24" customFormat="1" hidden="1" outlineLevel="2" x14ac:dyDescent="0.25">
      <c r="A62" s="25"/>
      <c r="B62" s="11" t="str">
        <f>CONCATENATE("          ", "6118", " - ", "VACATION")</f>
        <v xml:space="preserve">          6118 - VACATION</v>
      </c>
      <c r="C62" s="11"/>
      <c r="D62" s="7">
        <v>286.32</v>
      </c>
      <c r="E62" s="2"/>
      <c r="F62" s="6">
        <f t="shared" si="12"/>
        <v>4.3411877618290224E-3</v>
      </c>
      <c r="G62" s="2"/>
      <c r="H62" s="7">
        <v>113.962369230769</v>
      </c>
      <c r="I62" s="2"/>
      <c r="J62" s="6">
        <f t="shared" si="13"/>
        <v>1.4832476830368331E-3</v>
      </c>
      <c r="K62" s="2"/>
      <c r="L62" s="7">
        <f t="shared" si="14"/>
        <v>172.35763076923098</v>
      </c>
      <c r="M62" s="2"/>
      <c r="N62" s="6">
        <f t="shared" si="15"/>
        <v>1.5124082794401548</v>
      </c>
      <c r="O62" s="11"/>
      <c r="P62" s="7">
        <v>750.95</v>
      </c>
      <c r="Q62" s="2"/>
      <c r="R62" s="6">
        <f t="shared" si="16"/>
        <v>4.6249327076756134E-3</v>
      </c>
      <c r="S62" s="2"/>
      <c r="T62" s="7">
        <v>370.3777</v>
      </c>
      <c r="U62" s="2"/>
      <c r="V62" s="6">
        <f t="shared" si="17"/>
        <v>1.9976144760261044E-3</v>
      </c>
      <c r="W62" s="2"/>
      <c r="X62" s="7">
        <f t="shared" si="18"/>
        <v>380.57230000000004</v>
      </c>
      <c r="Y62" s="2"/>
      <c r="Z62" s="6">
        <f t="shared" si="19"/>
        <v>1.0275248752827182</v>
      </c>
    </row>
    <row r="63" spans="1:26" s="24" customFormat="1" hidden="1" outlineLevel="2" x14ac:dyDescent="0.25">
      <c r="A63" s="25"/>
      <c r="B63" s="11" t="str">
        <f>CONCATENATE("          ", "6119", " - ", "SICK LEAVE")</f>
        <v xml:space="preserve">          6119 - SICK LEAVE</v>
      </c>
      <c r="C63" s="11"/>
      <c r="D63" s="7">
        <v>318.14999999999998</v>
      </c>
      <c r="E63" s="2"/>
      <c r="F63" s="6">
        <f t="shared" si="12"/>
        <v>4.8237946578160926E-3</v>
      </c>
      <c r="G63" s="2"/>
      <c r="H63" s="7">
        <v>117.014921538462</v>
      </c>
      <c r="I63" s="2"/>
      <c r="J63" s="6">
        <f t="shared" si="13"/>
        <v>1.5229773865196206E-3</v>
      </c>
      <c r="K63" s="2"/>
      <c r="L63" s="7">
        <f t="shared" si="14"/>
        <v>201.13507846153797</v>
      </c>
      <c r="M63" s="2"/>
      <c r="N63" s="6">
        <f t="shared" si="15"/>
        <v>1.7188840176714235</v>
      </c>
      <c r="O63" s="11"/>
      <c r="P63" s="7">
        <v>767.88</v>
      </c>
      <c r="Q63" s="2"/>
      <c r="R63" s="6">
        <f t="shared" si="16"/>
        <v>4.7292007824355151E-3</v>
      </c>
      <c r="S63" s="2"/>
      <c r="T63" s="7">
        <v>368.13912000000101</v>
      </c>
      <c r="U63" s="2"/>
      <c r="V63" s="6">
        <f t="shared" si="17"/>
        <v>1.9855408014670243E-3</v>
      </c>
      <c r="W63" s="2"/>
      <c r="X63" s="7">
        <f t="shared" si="18"/>
        <v>399.74087999999898</v>
      </c>
      <c r="Y63" s="2"/>
      <c r="Z63" s="6">
        <f t="shared" si="19"/>
        <v>1.0858418958571909</v>
      </c>
    </row>
    <row r="64" spans="1:26" s="26" customFormat="1" outlineLevel="1" collapsed="1" x14ac:dyDescent="0.25">
      <c r="A64" s="27"/>
      <c r="B64" s="13" t="str">
        <f>CONCATENATE("     ","*Payroll                                          ")</f>
        <v xml:space="preserve">     *Payroll                                          </v>
      </c>
      <c r="C64" s="13"/>
      <c r="D64" s="1">
        <f>SUM(OSRRefD22_1x_0)</f>
        <v>6768.49</v>
      </c>
      <c r="E64" s="1"/>
      <c r="F64" s="5">
        <f t="shared" ref="F64:F74" si="20">IF(D$12=0,0,D64/D$12)</f>
        <v>0.10262393809046565</v>
      </c>
      <c r="G64" s="1"/>
      <c r="H64" s="1">
        <f>SUM(OSRRefH22_1x_0)</f>
        <v>6960.6575938461501</v>
      </c>
      <c r="I64" s="1"/>
      <c r="J64" s="5">
        <f t="shared" ref="J64:J74" si="21">IF(H$12=0,0,H64/H$12)</f>
        <v>9.0594635037629018E-2</v>
      </c>
      <c r="K64" s="1"/>
      <c r="L64" s="1">
        <f t="shared" ref="L64:L74" si="22">+D64-H64</f>
        <v>-192.16759384615034</v>
      </c>
      <c r="M64" s="1"/>
      <c r="N64" s="5">
        <f t="shared" ref="N64:N74" si="23">IF(H64=0,0,L64/H64)</f>
        <v>-2.7607678046977033E-2</v>
      </c>
      <c r="O64" s="13"/>
      <c r="P64" s="1">
        <f>SUM(OSRRefP22_1x_0)</f>
        <v>21461.17</v>
      </c>
      <c r="Q64" s="1"/>
      <c r="R64" s="5">
        <f t="shared" ref="R64:R74" si="24">IF(P$12=0,0,P64/P$12)</f>
        <v>0.13217453502628221</v>
      </c>
      <c r="S64" s="1"/>
      <c r="T64" s="1">
        <f>SUM(OSRRefT22_1x_0)</f>
        <v>21406.199679999991</v>
      </c>
      <c r="U64" s="1"/>
      <c r="V64" s="5">
        <f t="shared" ref="V64:V74" si="25">IF(T$12=0,0,T64/T$12)</f>
        <v>0.11545331794401592</v>
      </c>
      <c r="W64" s="1"/>
      <c r="X64" s="1">
        <f t="shared" ref="X64:X74" si="26">+P64-T64</f>
        <v>54.970320000007632</v>
      </c>
      <c r="Y64" s="1"/>
      <c r="Z64" s="5">
        <f t="shared" ref="Z64:Z74" si="27">IF(T64=0,0,X64/T64)</f>
        <v>2.5679625912939097E-3</v>
      </c>
    </row>
    <row r="65" spans="1:26" s="24" customFormat="1" hidden="1" outlineLevel="2" x14ac:dyDescent="0.25">
      <c r="A65" s="25"/>
      <c r="B65" s="11" t="str">
        <f>CONCATENATE("          ", "6001", " - ", "ADMINISTRATIVE SALARIES")</f>
        <v xml:space="preserve">          6001 - ADMINISTRATIVE SALARIES</v>
      </c>
      <c r="C65" s="11"/>
      <c r="D65" s="7"/>
      <c r="E65" s="2"/>
      <c r="F65" s="6">
        <f t="shared" si="20"/>
        <v>0</v>
      </c>
      <c r="G65" s="2"/>
      <c r="H65" s="7">
        <v>2096.9075938461501</v>
      </c>
      <c r="I65" s="2"/>
      <c r="J65" s="6">
        <f t="shared" si="21"/>
        <v>2.7291757367877735E-2</v>
      </c>
      <c r="K65" s="2"/>
      <c r="L65" s="7">
        <f t="shared" si="22"/>
        <v>-2096.9075938461501</v>
      </c>
      <c r="M65" s="2"/>
      <c r="N65" s="6">
        <f t="shared" si="23"/>
        <v>-1</v>
      </c>
      <c r="O65" s="11"/>
      <c r="P65" s="7"/>
      <c r="Q65" s="2"/>
      <c r="R65" s="6">
        <f t="shared" si="24"/>
        <v>0</v>
      </c>
      <c r="S65" s="2"/>
      <c r="T65" s="7">
        <v>6814.9496799999906</v>
      </c>
      <c r="U65" s="2"/>
      <c r="V65" s="6">
        <f t="shared" si="25"/>
        <v>3.6756106358880269E-2</v>
      </c>
      <c r="W65" s="2"/>
      <c r="X65" s="7">
        <f t="shared" si="26"/>
        <v>-6814.9496799999906</v>
      </c>
      <c r="Y65" s="2"/>
      <c r="Z65" s="6">
        <f t="shared" si="27"/>
        <v>-1</v>
      </c>
    </row>
    <row r="66" spans="1:26" s="24" customFormat="1" hidden="1" outlineLevel="2" x14ac:dyDescent="0.25">
      <c r="A66" s="25"/>
      <c r="B66" s="11" t="str">
        <f>CONCATENATE("          ", "6002", " - ", "STAFF SALARIES")</f>
        <v xml:space="preserve">          6002 - STAFF SALARIES</v>
      </c>
      <c r="C66" s="11"/>
      <c r="D66" s="7">
        <v>1098.8</v>
      </c>
      <c r="E66" s="2"/>
      <c r="F66" s="6">
        <f t="shared" si="20"/>
        <v>1.666002065066265E-2</v>
      </c>
      <c r="G66" s="2"/>
      <c r="H66" s="7">
        <v>0</v>
      </c>
      <c r="I66" s="2"/>
      <c r="J66" s="6">
        <f t="shared" si="21"/>
        <v>0</v>
      </c>
      <c r="K66" s="2"/>
      <c r="L66" s="7">
        <f t="shared" si="22"/>
        <v>1098.8</v>
      </c>
      <c r="M66" s="2"/>
      <c r="N66" s="6">
        <f t="shared" si="23"/>
        <v>0</v>
      </c>
      <c r="O66" s="11"/>
      <c r="P66" s="7">
        <v>6875.91</v>
      </c>
      <c r="Q66" s="2"/>
      <c r="R66" s="6">
        <f t="shared" si="24"/>
        <v>4.234718830019818E-2</v>
      </c>
      <c r="S66" s="2"/>
      <c r="T66" s="7">
        <v>0</v>
      </c>
      <c r="U66" s="2"/>
      <c r="V66" s="6">
        <f t="shared" si="25"/>
        <v>0</v>
      </c>
      <c r="W66" s="2"/>
      <c r="X66" s="7">
        <f t="shared" si="26"/>
        <v>6875.91</v>
      </c>
      <c r="Y66" s="2"/>
      <c r="Z66" s="6">
        <f t="shared" si="27"/>
        <v>0</v>
      </c>
    </row>
    <row r="67" spans="1:26" s="24" customFormat="1" hidden="1" outlineLevel="2" x14ac:dyDescent="0.25">
      <c r="A67" s="25"/>
      <c r="B67" s="11" t="str">
        <f>CONCATENATE("          ", "6003", " - ", "STAFF HOURLY-9 MONTH")</f>
        <v xml:space="preserve">          6003 - STAFF HOURLY-9 MONTH</v>
      </c>
      <c r="C67" s="11"/>
      <c r="D67" s="7"/>
      <c r="E67" s="2"/>
      <c r="F67" s="6">
        <f t="shared" si="20"/>
        <v>0</v>
      </c>
      <c r="G67" s="2"/>
      <c r="H67" s="7">
        <v>0</v>
      </c>
      <c r="I67" s="2"/>
      <c r="J67" s="6">
        <f t="shared" si="21"/>
        <v>0</v>
      </c>
      <c r="K67" s="2"/>
      <c r="L67" s="7">
        <f t="shared" si="22"/>
        <v>0</v>
      </c>
      <c r="M67" s="2"/>
      <c r="N67" s="6">
        <f t="shared" si="23"/>
        <v>0</v>
      </c>
      <c r="O67" s="11"/>
      <c r="P67" s="7"/>
      <c r="Q67" s="2"/>
      <c r="R67" s="6">
        <f t="shared" si="24"/>
        <v>0</v>
      </c>
      <c r="S67" s="2"/>
      <c r="T67" s="7">
        <v>0</v>
      </c>
      <c r="U67" s="2"/>
      <c r="V67" s="6">
        <f t="shared" si="25"/>
        <v>0</v>
      </c>
      <c r="W67" s="2"/>
      <c r="X67" s="7">
        <f t="shared" si="26"/>
        <v>0</v>
      </c>
      <c r="Y67" s="2"/>
      <c r="Z67" s="6">
        <f t="shared" si="27"/>
        <v>0</v>
      </c>
    </row>
    <row r="68" spans="1:26" s="24" customFormat="1" hidden="1" outlineLevel="2" x14ac:dyDescent="0.25">
      <c r="A68" s="25"/>
      <c r="B68" s="11" t="str">
        <f>CONCATENATE("          ", "6004", " - ", "STAFF HOURLY")</f>
        <v xml:space="preserve">          6004 - STAFF HOURLY</v>
      </c>
      <c r="C68" s="11"/>
      <c r="D68" s="7"/>
      <c r="E68" s="2"/>
      <c r="F68" s="6">
        <f t="shared" si="20"/>
        <v>0</v>
      </c>
      <c r="G68" s="2"/>
      <c r="H68" s="7">
        <v>0</v>
      </c>
      <c r="I68" s="2"/>
      <c r="J68" s="6">
        <f t="shared" si="21"/>
        <v>0</v>
      </c>
      <c r="K68" s="2"/>
      <c r="L68" s="7">
        <f t="shared" si="22"/>
        <v>0</v>
      </c>
      <c r="M68" s="2"/>
      <c r="N68" s="6">
        <f t="shared" si="23"/>
        <v>0</v>
      </c>
      <c r="O68" s="11"/>
      <c r="P68" s="7"/>
      <c r="Q68" s="2"/>
      <c r="R68" s="6">
        <f t="shared" si="24"/>
        <v>0</v>
      </c>
      <c r="S68" s="2"/>
      <c r="T68" s="7">
        <v>0</v>
      </c>
      <c r="U68" s="2"/>
      <c r="V68" s="6">
        <f t="shared" si="25"/>
        <v>0</v>
      </c>
      <c r="W68" s="2"/>
      <c r="X68" s="7">
        <f t="shared" si="26"/>
        <v>0</v>
      </c>
      <c r="Y68" s="2"/>
      <c r="Z68" s="6">
        <f t="shared" si="27"/>
        <v>0</v>
      </c>
    </row>
    <row r="69" spans="1:26" s="24" customFormat="1" hidden="1" outlineLevel="2" x14ac:dyDescent="0.25">
      <c r="A69" s="25"/>
      <c r="B69" s="11" t="str">
        <f>CONCATENATE("          ", "6005", " - ", "TEMPORARY WAGES-HOURLY")</f>
        <v xml:space="preserve">          6005 - TEMPORARY WAGES-HOURLY</v>
      </c>
      <c r="C69" s="11"/>
      <c r="D69" s="7"/>
      <c r="E69" s="2"/>
      <c r="F69" s="6">
        <f t="shared" si="20"/>
        <v>0</v>
      </c>
      <c r="G69" s="2"/>
      <c r="H69" s="7">
        <v>0</v>
      </c>
      <c r="I69" s="2"/>
      <c r="J69" s="6">
        <f t="shared" si="21"/>
        <v>0</v>
      </c>
      <c r="K69" s="2"/>
      <c r="L69" s="7">
        <f t="shared" si="22"/>
        <v>0</v>
      </c>
      <c r="M69" s="2"/>
      <c r="N69" s="6">
        <f t="shared" si="23"/>
        <v>0</v>
      </c>
      <c r="O69" s="11"/>
      <c r="P69" s="7"/>
      <c r="Q69" s="2"/>
      <c r="R69" s="6">
        <f t="shared" si="24"/>
        <v>0</v>
      </c>
      <c r="S69" s="2"/>
      <c r="T69" s="7">
        <v>0</v>
      </c>
      <c r="U69" s="2"/>
      <c r="V69" s="6">
        <f t="shared" si="25"/>
        <v>0</v>
      </c>
      <c r="W69" s="2"/>
      <c r="X69" s="7">
        <f t="shared" si="26"/>
        <v>0</v>
      </c>
      <c r="Y69" s="2"/>
      <c r="Z69" s="6">
        <f t="shared" si="27"/>
        <v>0</v>
      </c>
    </row>
    <row r="70" spans="1:26" s="24" customFormat="1" hidden="1" outlineLevel="2" x14ac:dyDescent="0.25">
      <c r="A70" s="25"/>
      <c r="B70" s="11" t="str">
        <f>CONCATENATE("          ", "6006", " - ", "TEMPORARY PART TIME")</f>
        <v xml:space="preserve">          6006 - TEMPORARY PART TIME</v>
      </c>
      <c r="C70" s="11"/>
      <c r="D70" s="7"/>
      <c r="E70" s="2"/>
      <c r="F70" s="6">
        <f t="shared" si="20"/>
        <v>0</v>
      </c>
      <c r="G70" s="2"/>
      <c r="H70" s="7">
        <v>0</v>
      </c>
      <c r="I70" s="2"/>
      <c r="J70" s="6">
        <f t="shared" si="21"/>
        <v>0</v>
      </c>
      <c r="K70" s="2"/>
      <c r="L70" s="7">
        <f t="shared" si="22"/>
        <v>0</v>
      </c>
      <c r="M70" s="2"/>
      <c r="N70" s="6">
        <f t="shared" si="23"/>
        <v>0</v>
      </c>
      <c r="O70" s="11"/>
      <c r="P70" s="7"/>
      <c r="Q70" s="2"/>
      <c r="R70" s="6">
        <f t="shared" si="24"/>
        <v>0</v>
      </c>
      <c r="S70" s="2"/>
      <c r="T70" s="7">
        <v>0</v>
      </c>
      <c r="U70" s="2"/>
      <c r="V70" s="6">
        <f t="shared" si="25"/>
        <v>0</v>
      </c>
      <c r="W70" s="2"/>
      <c r="X70" s="7">
        <f t="shared" si="26"/>
        <v>0</v>
      </c>
      <c r="Y70" s="2"/>
      <c r="Z70" s="6">
        <f t="shared" si="27"/>
        <v>0</v>
      </c>
    </row>
    <row r="71" spans="1:26" s="24" customFormat="1" hidden="1" outlineLevel="2" x14ac:dyDescent="0.25">
      <c r="A71" s="25"/>
      <c r="B71" s="11" t="str">
        <f>CONCATENATE("          ", "6007", " - ", "STUDENT HOURLY")</f>
        <v xml:space="preserve">          6007 - STUDENT HOURLY</v>
      </c>
      <c r="C71" s="11"/>
      <c r="D71" s="7">
        <v>5669.69</v>
      </c>
      <c r="E71" s="2"/>
      <c r="F71" s="6">
        <f t="shared" si="20"/>
        <v>8.5963917439802986E-2</v>
      </c>
      <c r="G71" s="2"/>
      <c r="H71" s="7">
        <v>0</v>
      </c>
      <c r="I71" s="2"/>
      <c r="J71" s="6">
        <f t="shared" si="21"/>
        <v>0</v>
      </c>
      <c r="K71" s="2"/>
      <c r="L71" s="7">
        <f t="shared" si="22"/>
        <v>5669.69</v>
      </c>
      <c r="M71" s="2"/>
      <c r="N71" s="6">
        <f t="shared" si="23"/>
        <v>0</v>
      </c>
      <c r="O71" s="11"/>
      <c r="P71" s="7">
        <v>14585.26</v>
      </c>
      <c r="Q71" s="2"/>
      <c r="R71" s="6">
        <f t="shared" si="24"/>
        <v>8.9827346726084042E-2</v>
      </c>
      <c r="S71" s="2"/>
      <c r="T71" s="7">
        <v>9727.5</v>
      </c>
      <c r="U71" s="2"/>
      <c r="V71" s="6">
        <f t="shared" si="25"/>
        <v>5.2464807723423761E-2</v>
      </c>
      <c r="W71" s="2"/>
      <c r="X71" s="7">
        <f t="shared" si="26"/>
        <v>4857.76</v>
      </c>
      <c r="Y71" s="2"/>
      <c r="Z71" s="6">
        <f t="shared" si="27"/>
        <v>0.49938421999485993</v>
      </c>
    </row>
    <row r="72" spans="1:26" s="24" customFormat="1" hidden="1" outlineLevel="2" x14ac:dyDescent="0.25">
      <c r="A72" s="25"/>
      <c r="B72" s="11" t="str">
        <f>CONCATENATE("          ", "6008", " - ", "STUDENT HOURLY-FICA EXEMPT")</f>
        <v xml:space="preserve">          6008 - STUDENT HOURLY-FICA EXEMPT</v>
      </c>
      <c r="C72" s="11"/>
      <c r="D72" s="7"/>
      <c r="E72" s="2"/>
      <c r="F72" s="6">
        <f t="shared" si="20"/>
        <v>0</v>
      </c>
      <c r="G72" s="2"/>
      <c r="H72" s="7">
        <v>4863.75</v>
      </c>
      <c r="I72" s="2"/>
      <c r="J72" s="6">
        <f t="shared" si="21"/>
        <v>6.3302877669751276E-2</v>
      </c>
      <c r="K72" s="2"/>
      <c r="L72" s="7">
        <f t="shared" si="22"/>
        <v>-4863.75</v>
      </c>
      <c r="M72" s="2"/>
      <c r="N72" s="6">
        <f t="shared" si="23"/>
        <v>-1</v>
      </c>
      <c r="O72" s="11"/>
      <c r="P72" s="7"/>
      <c r="Q72" s="2"/>
      <c r="R72" s="6">
        <f t="shared" si="24"/>
        <v>0</v>
      </c>
      <c r="S72" s="2"/>
      <c r="T72" s="7">
        <v>4863.75</v>
      </c>
      <c r="U72" s="2"/>
      <c r="V72" s="6">
        <f t="shared" si="25"/>
        <v>2.623240386171188E-2</v>
      </c>
      <c r="W72" s="2"/>
      <c r="X72" s="7">
        <f t="shared" si="26"/>
        <v>-4863.75</v>
      </c>
      <c r="Y72" s="2"/>
      <c r="Z72" s="6">
        <f t="shared" si="27"/>
        <v>-1</v>
      </c>
    </row>
    <row r="73" spans="1:26" s="24" customFormat="1" hidden="1" outlineLevel="2" x14ac:dyDescent="0.25">
      <c r="A73" s="25"/>
      <c r="B73" s="11" t="str">
        <f>CONCATENATE("          ", "6009", " - ", "TEMPORARY-SEASONAL")</f>
        <v xml:space="preserve">          6009 - TEMPORARY-SEASONAL</v>
      </c>
      <c r="C73" s="11"/>
      <c r="D73" s="7"/>
      <c r="E73" s="2"/>
      <c r="F73" s="6">
        <f t="shared" si="20"/>
        <v>0</v>
      </c>
      <c r="G73" s="2"/>
      <c r="H73" s="7">
        <v>0</v>
      </c>
      <c r="I73" s="2"/>
      <c r="J73" s="6">
        <f t="shared" si="21"/>
        <v>0</v>
      </c>
      <c r="K73" s="2"/>
      <c r="L73" s="7">
        <f t="shared" si="22"/>
        <v>0</v>
      </c>
      <c r="M73" s="2"/>
      <c r="N73" s="6">
        <f t="shared" si="23"/>
        <v>0</v>
      </c>
      <c r="O73" s="11"/>
      <c r="P73" s="7"/>
      <c r="Q73" s="2"/>
      <c r="R73" s="6">
        <f t="shared" si="24"/>
        <v>0</v>
      </c>
      <c r="S73" s="2"/>
      <c r="T73" s="7">
        <v>0</v>
      </c>
      <c r="U73" s="2"/>
      <c r="V73" s="6">
        <f t="shared" si="25"/>
        <v>0</v>
      </c>
      <c r="W73" s="2"/>
      <c r="X73" s="7">
        <f t="shared" si="26"/>
        <v>0</v>
      </c>
      <c r="Y73" s="2"/>
      <c r="Z73" s="6">
        <f t="shared" si="27"/>
        <v>0</v>
      </c>
    </row>
    <row r="74" spans="1:26" s="24" customFormat="1" hidden="1" outlineLevel="2" x14ac:dyDescent="0.25">
      <c r="A74" s="25"/>
      <c r="B74" s="11" t="str">
        <f>CONCATENATE("          ", "6010", " - ", "GRATUITY")</f>
        <v xml:space="preserve">          6010 - GRATUITY</v>
      </c>
      <c r="C74" s="11"/>
      <c r="D74" s="7"/>
      <c r="E74" s="2"/>
      <c r="F74" s="6">
        <f t="shared" si="20"/>
        <v>0</v>
      </c>
      <c r="G74" s="2"/>
      <c r="H74" s="7">
        <v>0</v>
      </c>
      <c r="I74" s="2"/>
      <c r="J74" s="6">
        <f t="shared" si="21"/>
        <v>0</v>
      </c>
      <c r="K74" s="2"/>
      <c r="L74" s="7">
        <f t="shared" si="22"/>
        <v>0</v>
      </c>
      <c r="M74" s="2"/>
      <c r="N74" s="6">
        <f t="shared" si="23"/>
        <v>0</v>
      </c>
      <c r="O74" s="11"/>
      <c r="P74" s="7"/>
      <c r="Q74" s="2"/>
      <c r="R74" s="6">
        <f t="shared" si="24"/>
        <v>0</v>
      </c>
      <c r="S74" s="2"/>
      <c r="T74" s="7">
        <v>0</v>
      </c>
      <c r="U74" s="2"/>
      <c r="V74" s="6">
        <f t="shared" si="25"/>
        <v>0</v>
      </c>
      <c r="W74" s="2"/>
      <c r="X74" s="7">
        <f t="shared" si="26"/>
        <v>0</v>
      </c>
      <c r="Y74" s="2"/>
      <c r="Z74" s="6">
        <f t="shared" si="27"/>
        <v>0</v>
      </c>
    </row>
    <row r="75" spans="1:26" s="26" customFormat="1" outlineLevel="1" collapsed="1" x14ac:dyDescent="0.25">
      <c r="A75" s="27"/>
      <c r="B75" s="13" t="str">
        <f>CONCATENATE("     ","Advertising/Promo                                 ")</f>
        <v xml:space="preserve">     Advertising/Promo                                 </v>
      </c>
      <c r="C75" s="13"/>
      <c r="D75" s="1">
        <f>SUM(OSRRefD22_2x_0)</f>
        <v>45.86</v>
      </c>
      <c r="E75" s="1"/>
      <c r="F75" s="5">
        <f t="shared" ref="F75:F79" si="28">IF(D$12=0,0,D75/D$12)</f>
        <v>6.95329948161075E-4</v>
      </c>
      <c r="G75" s="1"/>
      <c r="H75" s="1">
        <f>SUM(OSRRefH22_2x_0)</f>
        <v>80</v>
      </c>
      <c r="I75" s="1"/>
      <c r="J75" s="5">
        <f t="shared" ref="J75:J79" si="29">IF(H$12=0,0,H75/H$12)</f>
        <v>1.0412192677625499E-3</v>
      </c>
      <c r="K75" s="1"/>
      <c r="L75" s="1">
        <f t="shared" ref="L75:L79" si="30">+D75-H75</f>
        <v>-34.14</v>
      </c>
      <c r="M75" s="1"/>
      <c r="N75" s="5">
        <f t="shared" ref="N75:N79" si="31">IF(H75=0,0,L75/H75)</f>
        <v>-0.42675000000000002</v>
      </c>
      <c r="O75" s="13"/>
      <c r="P75" s="1">
        <f>SUM(OSRRefP22_2x_0)</f>
        <v>45.86</v>
      </c>
      <c r="Q75" s="1"/>
      <c r="R75" s="5">
        <f t="shared" ref="R75:R79" si="32">IF(P$12=0,0,P75/P$12)</f>
        <v>2.824414594500348E-4</v>
      </c>
      <c r="S75" s="1"/>
      <c r="T75" s="1">
        <f>SUM(OSRRefT22_2x_0)</f>
        <v>240</v>
      </c>
      <c r="U75" s="1"/>
      <c r="V75" s="5">
        <f t="shared" ref="V75:V79" si="33">IF(T$12=0,0,T75/T$12)</f>
        <v>1.2944285637236394E-3</v>
      </c>
      <c r="W75" s="1"/>
      <c r="X75" s="1">
        <f t="shared" ref="X75:X79" si="34">+P75-T75</f>
        <v>-194.14</v>
      </c>
      <c r="Y75" s="1"/>
      <c r="Z75" s="5">
        <f t="shared" ref="Z75:Z79" si="35">IF(T75=0,0,X75/T75)</f>
        <v>-0.80891666666666662</v>
      </c>
    </row>
    <row r="76" spans="1:26" s="24" customFormat="1" hidden="1" outlineLevel="2" x14ac:dyDescent="0.25">
      <c r="A76" s="25"/>
      <c r="B76" s="11" t="str">
        <f>CONCATENATE("          ", "6362", " - ", "ADVERTISING EXPENSE")</f>
        <v xml:space="preserve">          6362 - ADVERTISING EXPENSE</v>
      </c>
      <c r="C76" s="11"/>
      <c r="D76" s="7">
        <v>45.86</v>
      </c>
      <c r="E76" s="2"/>
      <c r="F76" s="6">
        <f t="shared" si="28"/>
        <v>6.95329948161075E-4</v>
      </c>
      <c r="G76" s="2"/>
      <c r="H76" s="7">
        <v>80</v>
      </c>
      <c r="I76" s="2"/>
      <c r="J76" s="6">
        <f t="shared" si="29"/>
        <v>1.0412192677625499E-3</v>
      </c>
      <c r="K76" s="2"/>
      <c r="L76" s="7">
        <f t="shared" si="30"/>
        <v>-34.14</v>
      </c>
      <c r="M76" s="2"/>
      <c r="N76" s="6">
        <f t="shared" si="31"/>
        <v>-0.42675000000000002</v>
      </c>
      <c r="O76" s="11"/>
      <c r="P76" s="7">
        <v>45.86</v>
      </c>
      <c r="Q76" s="2"/>
      <c r="R76" s="6">
        <f t="shared" si="32"/>
        <v>2.824414594500348E-4</v>
      </c>
      <c r="S76" s="2"/>
      <c r="T76" s="7">
        <v>240</v>
      </c>
      <c r="U76" s="2"/>
      <c r="V76" s="6">
        <f t="shared" si="33"/>
        <v>1.2944285637236394E-3</v>
      </c>
      <c r="W76" s="2"/>
      <c r="X76" s="7">
        <f t="shared" si="34"/>
        <v>-194.14</v>
      </c>
      <c r="Y76" s="2"/>
      <c r="Z76" s="6">
        <f t="shared" si="35"/>
        <v>-0.80891666666666662</v>
      </c>
    </row>
    <row r="77" spans="1:26" s="26" customFormat="1" outlineLevel="1" collapsed="1" x14ac:dyDescent="0.25">
      <c r="A77" s="27"/>
      <c r="B77" s="13" t="str">
        <f>CONCATENATE("     ","Discounts and Markdowns                           ")</f>
        <v xml:space="preserve">     Discounts and Markdowns                           </v>
      </c>
      <c r="C77" s="13"/>
      <c r="D77" s="1">
        <f>SUM(OSRRefD22_3x_0)</f>
        <v>321.94</v>
      </c>
      <c r="E77" s="1"/>
      <c r="F77" s="5">
        <f t="shared" si="28"/>
        <v>4.8812586897290988E-3</v>
      </c>
      <c r="G77" s="1"/>
      <c r="H77" s="1">
        <f>SUM(OSRRefH22_3x_0)</f>
        <v>1250</v>
      </c>
      <c r="I77" s="1"/>
      <c r="J77" s="5">
        <f t="shared" si="29"/>
        <v>1.6269051058789844E-2</v>
      </c>
      <c r="K77" s="1"/>
      <c r="L77" s="1">
        <f t="shared" si="30"/>
        <v>-928.06</v>
      </c>
      <c r="M77" s="1"/>
      <c r="N77" s="5">
        <f t="shared" si="31"/>
        <v>-0.742448</v>
      </c>
      <c r="O77" s="13"/>
      <c r="P77" s="1">
        <f>SUM(OSRRefP22_3x_0)</f>
        <v>3382.41</v>
      </c>
      <c r="Q77" s="1"/>
      <c r="R77" s="5">
        <f t="shared" si="32"/>
        <v>2.0831504946759533E-2</v>
      </c>
      <c r="S77" s="1"/>
      <c r="T77" s="1">
        <f>SUM(OSRRefT22_3x_0)</f>
        <v>3750</v>
      </c>
      <c r="U77" s="1"/>
      <c r="V77" s="5">
        <f t="shared" si="33"/>
        <v>2.0225446308181867E-2</v>
      </c>
      <c r="W77" s="1"/>
      <c r="X77" s="1">
        <f t="shared" si="34"/>
        <v>-367.59000000000015</v>
      </c>
      <c r="Y77" s="1"/>
      <c r="Z77" s="5">
        <f t="shared" si="35"/>
        <v>-9.8024000000000042E-2</v>
      </c>
    </row>
    <row r="78" spans="1:26" s="24" customFormat="1" hidden="1" outlineLevel="2" x14ac:dyDescent="0.25">
      <c r="A78" s="25"/>
      <c r="B78" s="11" t="str">
        <f>CONCATENATE("          ", "6382", " - ", "DISCOUNTS/MARK DOWNS")</f>
        <v xml:space="preserve">          6382 - DISCOUNTS/MARK DOWNS</v>
      </c>
      <c r="C78" s="11"/>
      <c r="D78" s="7">
        <v>373.06</v>
      </c>
      <c r="E78" s="2"/>
      <c r="F78" s="6">
        <f t="shared" si="28"/>
        <v>5.656340829938304E-3</v>
      </c>
      <c r="G78" s="2"/>
      <c r="H78" s="7">
        <v>1250</v>
      </c>
      <c r="I78" s="2"/>
      <c r="J78" s="6">
        <f t="shared" si="29"/>
        <v>1.6269051058789844E-2</v>
      </c>
      <c r="K78" s="2"/>
      <c r="L78" s="7">
        <f t="shared" si="30"/>
        <v>-876.94</v>
      </c>
      <c r="M78" s="2"/>
      <c r="N78" s="6">
        <f t="shared" si="31"/>
        <v>-0.70155200000000006</v>
      </c>
      <c r="O78" s="11"/>
      <c r="P78" s="7">
        <v>3488.33</v>
      </c>
      <c r="Q78" s="2"/>
      <c r="R78" s="6">
        <f t="shared" si="32"/>
        <v>2.1483842482410375E-2</v>
      </c>
      <c r="S78" s="2"/>
      <c r="T78" s="7">
        <v>3750</v>
      </c>
      <c r="U78" s="2"/>
      <c r="V78" s="6">
        <f t="shared" si="33"/>
        <v>2.0225446308181867E-2</v>
      </c>
      <c r="W78" s="2"/>
      <c r="X78" s="7">
        <f t="shared" si="34"/>
        <v>-261.67000000000007</v>
      </c>
      <c r="Y78" s="2"/>
      <c r="Z78" s="6">
        <f t="shared" si="35"/>
        <v>-6.9778666666666683E-2</v>
      </c>
    </row>
    <row r="79" spans="1:26" s="24" customFormat="1" hidden="1" outlineLevel="2" x14ac:dyDescent="0.25">
      <c r="A79" s="25"/>
      <c r="B79" s="11" t="str">
        <f>CONCATENATE("          ", "9175", " - ", "EARNED DISCOUNTS")</f>
        <v xml:space="preserve">          9175 - EARNED DISCOUNTS</v>
      </c>
      <c r="C79" s="11"/>
      <c r="D79" s="7">
        <v>-51.12</v>
      </c>
      <c r="E79" s="2"/>
      <c r="F79" s="6">
        <f t="shared" si="28"/>
        <v>-7.7508214020920521E-4</v>
      </c>
      <c r="G79" s="2"/>
      <c r="H79" s="7"/>
      <c r="I79" s="2"/>
      <c r="J79" s="6">
        <f t="shared" si="29"/>
        <v>0</v>
      </c>
      <c r="K79" s="2"/>
      <c r="L79" s="7">
        <f t="shared" si="30"/>
        <v>-51.12</v>
      </c>
      <c r="M79" s="2"/>
      <c r="N79" s="6">
        <f t="shared" si="31"/>
        <v>0</v>
      </c>
      <c r="O79" s="11"/>
      <c r="P79" s="7">
        <v>-105.92</v>
      </c>
      <c r="Q79" s="2"/>
      <c r="R79" s="6">
        <f t="shared" si="32"/>
        <v>-6.5233753565084357E-4</v>
      </c>
      <c r="S79" s="2"/>
      <c r="T79" s="7"/>
      <c r="U79" s="2"/>
      <c r="V79" s="6">
        <f t="shared" si="33"/>
        <v>0</v>
      </c>
      <c r="W79" s="2"/>
      <c r="X79" s="7">
        <f t="shared" si="34"/>
        <v>-105.92</v>
      </c>
      <c r="Y79" s="2"/>
      <c r="Z79" s="6">
        <f t="shared" si="35"/>
        <v>0</v>
      </c>
    </row>
    <row r="80" spans="1:26" s="26" customFormat="1" outlineLevel="1" collapsed="1" x14ac:dyDescent="0.25">
      <c r="A80" s="27"/>
      <c r="B80" s="13" t="str">
        <f>CONCATENATE("     ","Employees' Appreciation                           ")</f>
        <v xml:space="preserve">     Employees' Appreciation                           </v>
      </c>
      <c r="C80" s="13"/>
      <c r="D80" s="1">
        <f>SUM(OSRRefD22_4x_0)</f>
        <v>0</v>
      </c>
      <c r="E80" s="1"/>
      <c r="F80" s="5">
        <f t="shared" ref="F80:F87" si="36">IF(D$12=0,0,D80/D$12)</f>
        <v>0</v>
      </c>
      <c r="G80" s="1"/>
      <c r="H80" s="1">
        <f>SUM(OSRRefH22_4x_0)</f>
        <v>25</v>
      </c>
      <c r="I80" s="1"/>
      <c r="J80" s="5">
        <f t="shared" ref="J80:J87" si="37">IF(H$12=0,0,H80/H$12)</f>
        <v>3.2538102117579687E-4</v>
      </c>
      <c r="K80" s="1"/>
      <c r="L80" s="1">
        <f t="shared" ref="L80:L87" si="38">+D80-H80</f>
        <v>-25</v>
      </c>
      <c r="M80" s="1"/>
      <c r="N80" s="5">
        <f t="shared" ref="N80:N87" si="39">IF(H80=0,0,L80/H80)</f>
        <v>-1</v>
      </c>
      <c r="O80" s="13"/>
      <c r="P80" s="1">
        <f>SUM(OSRRefP22_4x_0)</f>
        <v>0</v>
      </c>
      <c r="Q80" s="1"/>
      <c r="R80" s="5">
        <f t="shared" ref="R80:R87" si="40">IF(P$12=0,0,P80/P$12)</f>
        <v>0</v>
      </c>
      <c r="S80" s="1"/>
      <c r="T80" s="1">
        <f>SUM(OSRRefT22_4x_0)</f>
        <v>75</v>
      </c>
      <c r="U80" s="1"/>
      <c r="V80" s="5">
        <f t="shared" ref="V80:V87" si="41">IF(T$12=0,0,T80/T$12)</f>
        <v>4.0450892616363736E-4</v>
      </c>
      <c r="W80" s="1"/>
      <c r="X80" s="1">
        <f t="shared" ref="X80:X87" si="42">+P80-T80</f>
        <v>-75</v>
      </c>
      <c r="Y80" s="1"/>
      <c r="Z80" s="5">
        <f t="shared" ref="Z80:Z87" si="43">IF(T80=0,0,X80/T80)</f>
        <v>-1</v>
      </c>
    </row>
    <row r="81" spans="1:26" s="24" customFormat="1" hidden="1" outlineLevel="2" x14ac:dyDescent="0.25">
      <c r="A81" s="25"/>
      <c r="B81" s="11" t="str">
        <f>CONCATENATE("          ", "6277", " - ", "EMPLOYEE APPRECIATION")</f>
        <v xml:space="preserve">          6277 - EMPLOYEE APPRECIATION</v>
      </c>
      <c r="C81" s="11"/>
      <c r="D81" s="7"/>
      <c r="E81" s="2"/>
      <c r="F81" s="6">
        <f t="shared" si="36"/>
        <v>0</v>
      </c>
      <c r="G81" s="2"/>
      <c r="H81" s="7">
        <v>25</v>
      </c>
      <c r="I81" s="2"/>
      <c r="J81" s="6">
        <f t="shared" si="37"/>
        <v>3.2538102117579687E-4</v>
      </c>
      <c r="K81" s="2"/>
      <c r="L81" s="7">
        <f t="shared" si="38"/>
        <v>-25</v>
      </c>
      <c r="M81" s="2"/>
      <c r="N81" s="6">
        <f t="shared" si="39"/>
        <v>-1</v>
      </c>
      <c r="O81" s="11"/>
      <c r="P81" s="7"/>
      <c r="Q81" s="2"/>
      <c r="R81" s="6">
        <f t="shared" si="40"/>
        <v>0</v>
      </c>
      <c r="S81" s="2"/>
      <c r="T81" s="7">
        <v>75</v>
      </c>
      <c r="U81" s="2"/>
      <c r="V81" s="6">
        <f t="shared" si="41"/>
        <v>4.0450892616363736E-4</v>
      </c>
      <c r="W81" s="2"/>
      <c r="X81" s="7">
        <f t="shared" si="42"/>
        <v>-75</v>
      </c>
      <c r="Y81" s="2"/>
      <c r="Z81" s="6">
        <f t="shared" si="43"/>
        <v>-1</v>
      </c>
    </row>
    <row r="82" spans="1:26" s="26" customFormat="1" outlineLevel="1" collapsed="1" x14ac:dyDescent="0.25">
      <c r="A82" s="27"/>
      <c r="B82" s="13" t="str">
        <f>CONCATENATE("     ","General                                           ")</f>
        <v xml:space="preserve">     General                                           </v>
      </c>
      <c r="C82" s="13"/>
      <c r="D82" s="1">
        <f>SUM(OSRRefD22_5x_0)</f>
        <v>0</v>
      </c>
      <c r="E82" s="1"/>
      <c r="F82" s="5">
        <f t="shared" si="36"/>
        <v>0</v>
      </c>
      <c r="G82" s="1"/>
      <c r="H82" s="1">
        <f>SUM(OSRRefH22_5x_0)</f>
        <v>0</v>
      </c>
      <c r="I82" s="1"/>
      <c r="J82" s="5">
        <f t="shared" si="37"/>
        <v>0</v>
      </c>
      <c r="K82" s="1"/>
      <c r="L82" s="1">
        <f t="shared" si="38"/>
        <v>0</v>
      </c>
      <c r="M82" s="1"/>
      <c r="N82" s="5">
        <f t="shared" si="39"/>
        <v>0</v>
      </c>
      <c r="O82" s="13"/>
      <c r="P82" s="1">
        <f>SUM(OSRRefP22_5x_0)</f>
        <v>0</v>
      </c>
      <c r="Q82" s="1"/>
      <c r="R82" s="5">
        <f t="shared" si="40"/>
        <v>0</v>
      </c>
      <c r="S82" s="1"/>
      <c r="T82" s="1">
        <f>SUM(OSRRefT22_5x_0)</f>
        <v>0</v>
      </c>
      <c r="U82" s="1"/>
      <c r="V82" s="5">
        <f t="shared" si="41"/>
        <v>0</v>
      </c>
      <c r="W82" s="1"/>
      <c r="X82" s="1">
        <f t="shared" si="42"/>
        <v>0</v>
      </c>
      <c r="Y82" s="1"/>
      <c r="Z82" s="5">
        <f t="shared" si="43"/>
        <v>0</v>
      </c>
    </row>
    <row r="83" spans="1:26" s="24" customFormat="1" hidden="1" outlineLevel="2" x14ac:dyDescent="0.25">
      <c r="A83" s="25"/>
      <c r="B83" s="11" t="str">
        <f>CONCATENATE("          ", "6279", " - ", "GENERAL EXPENSE")</f>
        <v xml:space="preserve">          6279 - GENERAL EXPENSE</v>
      </c>
      <c r="C83" s="11"/>
      <c r="D83" s="7"/>
      <c r="E83" s="2"/>
      <c r="F83" s="6">
        <f t="shared" si="36"/>
        <v>0</v>
      </c>
      <c r="G83" s="2"/>
      <c r="H83" s="7">
        <v>0</v>
      </c>
      <c r="I83" s="2"/>
      <c r="J83" s="6">
        <f t="shared" si="37"/>
        <v>0</v>
      </c>
      <c r="K83" s="2"/>
      <c r="L83" s="7">
        <f t="shared" si="38"/>
        <v>0</v>
      </c>
      <c r="M83" s="2"/>
      <c r="N83" s="6">
        <f t="shared" si="39"/>
        <v>0</v>
      </c>
      <c r="O83" s="11"/>
      <c r="P83" s="7"/>
      <c r="Q83" s="2"/>
      <c r="R83" s="6">
        <f t="shared" si="40"/>
        <v>0</v>
      </c>
      <c r="S83" s="2"/>
      <c r="T83" s="7">
        <v>0</v>
      </c>
      <c r="U83" s="2"/>
      <c r="V83" s="6">
        <f t="shared" si="41"/>
        <v>0</v>
      </c>
      <c r="W83" s="2"/>
      <c r="X83" s="7">
        <f t="shared" si="42"/>
        <v>0</v>
      </c>
      <c r="Y83" s="2"/>
      <c r="Z83" s="6">
        <f t="shared" si="43"/>
        <v>0</v>
      </c>
    </row>
    <row r="84" spans="1:26" s="26" customFormat="1" outlineLevel="1" collapsed="1" x14ac:dyDescent="0.25">
      <c r="A84" s="27"/>
      <c r="B84" s="13" t="str">
        <f>CONCATENATE("     ","Subscriptions &amp; Dues                              ")</f>
        <v xml:space="preserve">     Subscriptions &amp; Dues                              </v>
      </c>
      <c r="C84" s="13"/>
      <c r="D84" s="1">
        <f>SUM(OSRRefD22_6x_0)</f>
        <v>0</v>
      </c>
      <c r="E84" s="1"/>
      <c r="F84" s="5">
        <f t="shared" si="36"/>
        <v>0</v>
      </c>
      <c r="G84" s="1"/>
      <c r="H84" s="1">
        <f>SUM(OSRRefH22_6x_0)</f>
        <v>0</v>
      </c>
      <c r="I84" s="1"/>
      <c r="J84" s="5">
        <f t="shared" si="37"/>
        <v>0</v>
      </c>
      <c r="K84" s="1"/>
      <c r="L84" s="1">
        <f t="shared" si="38"/>
        <v>0</v>
      </c>
      <c r="M84" s="1"/>
      <c r="N84" s="5">
        <f t="shared" si="39"/>
        <v>0</v>
      </c>
      <c r="O84" s="13"/>
      <c r="P84" s="1">
        <f>SUM(OSRRefP22_6x_0)</f>
        <v>120</v>
      </c>
      <c r="Q84" s="1"/>
      <c r="R84" s="5">
        <f t="shared" si="40"/>
        <v>7.3905309930231522E-4</v>
      </c>
      <c r="S84" s="1"/>
      <c r="T84" s="1">
        <f>SUM(OSRRefT22_6x_0)</f>
        <v>0</v>
      </c>
      <c r="U84" s="1"/>
      <c r="V84" s="5">
        <f t="shared" si="41"/>
        <v>0</v>
      </c>
      <c r="W84" s="1"/>
      <c r="X84" s="1">
        <f t="shared" si="42"/>
        <v>120</v>
      </c>
      <c r="Y84" s="1"/>
      <c r="Z84" s="5">
        <f t="shared" si="43"/>
        <v>0</v>
      </c>
    </row>
    <row r="85" spans="1:26" s="24" customFormat="1" hidden="1" outlineLevel="2" x14ac:dyDescent="0.25">
      <c r="A85" s="25"/>
      <c r="B85" s="11" t="str">
        <f>CONCATENATE("          ", "6258", " - ", "MEMBERSHIP DUES")</f>
        <v xml:space="preserve">          6258 - MEMBERSHIP DUES</v>
      </c>
      <c r="C85" s="11"/>
      <c r="D85" s="7"/>
      <c r="E85" s="2"/>
      <c r="F85" s="6">
        <f t="shared" si="36"/>
        <v>0</v>
      </c>
      <c r="G85" s="2"/>
      <c r="H85" s="7"/>
      <c r="I85" s="2"/>
      <c r="J85" s="6">
        <f t="shared" si="37"/>
        <v>0</v>
      </c>
      <c r="K85" s="2"/>
      <c r="L85" s="7">
        <f t="shared" si="38"/>
        <v>0</v>
      </c>
      <c r="M85" s="2"/>
      <c r="N85" s="6">
        <f t="shared" si="39"/>
        <v>0</v>
      </c>
      <c r="O85" s="11"/>
      <c r="P85" s="7">
        <v>120</v>
      </c>
      <c r="Q85" s="2"/>
      <c r="R85" s="6">
        <f t="shared" si="40"/>
        <v>7.3905309930231522E-4</v>
      </c>
      <c r="S85" s="2"/>
      <c r="T85" s="7"/>
      <c r="U85" s="2"/>
      <c r="V85" s="6">
        <f t="shared" si="41"/>
        <v>0</v>
      </c>
      <c r="W85" s="2"/>
      <c r="X85" s="7">
        <f t="shared" si="42"/>
        <v>120</v>
      </c>
      <c r="Y85" s="2"/>
      <c r="Z85" s="6">
        <f t="shared" si="43"/>
        <v>0</v>
      </c>
    </row>
    <row r="86" spans="1:26" s="26" customFormat="1" outlineLevel="1" collapsed="1" x14ac:dyDescent="0.25">
      <c r="A86" s="27"/>
      <c r="B86" s="13" t="str">
        <f>CONCATENATE("     ","Supplies                                          ")</f>
        <v xml:space="preserve">     Supplies                                          </v>
      </c>
      <c r="C86" s="13"/>
      <c r="D86" s="1">
        <f>SUM(OSRRefD22_7x_0)</f>
        <v>0</v>
      </c>
      <c r="E86" s="1"/>
      <c r="F86" s="5">
        <f t="shared" si="36"/>
        <v>0</v>
      </c>
      <c r="G86" s="1"/>
      <c r="H86" s="1">
        <f>SUM(OSRRefH22_7x_0)</f>
        <v>75</v>
      </c>
      <c r="I86" s="1"/>
      <c r="J86" s="5">
        <f t="shared" si="37"/>
        <v>9.7614306352739055E-4</v>
      </c>
      <c r="K86" s="1"/>
      <c r="L86" s="1">
        <f t="shared" si="38"/>
        <v>-75</v>
      </c>
      <c r="M86" s="1"/>
      <c r="N86" s="5">
        <f t="shared" si="39"/>
        <v>-1</v>
      </c>
      <c r="O86" s="13"/>
      <c r="P86" s="1">
        <f>SUM(OSRRefP22_7x_0)</f>
        <v>198.33</v>
      </c>
      <c r="Q86" s="1"/>
      <c r="R86" s="5">
        <f t="shared" si="40"/>
        <v>1.2214700098719014E-3</v>
      </c>
      <c r="S86" s="1"/>
      <c r="T86" s="1">
        <f>SUM(OSRRefT22_7x_0)</f>
        <v>225</v>
      </c>
      <c r="U86" s="1"/>
      <c r="V86" s="5">
        <f t="shared" si="41"/>
        <v>1.2135267784909121E-3</v>
      </c>
      <c r="W86" s="1"/>
      <c r="X86" s="1">
        <f t="shared" si="42"/>
        <v>-26.669999999999987</v>
      </c>
      <c r="Y86" s="1"/>
      <c r="Z86" s="5">
        <f t="shared" si="43"/>
        <v>-0.11853333333333328</v>
      </c>
    </row>
    <row r="87" spans="1:26" s="24" customFormat="1" hidden="1" outlineLevel="2" x14ac:dyDescent="0.25">
      <c r="A87" s="25"/>
      <c r="B87" s="11" t="str">
        <f>CONCATENATE("          ", "6241", " - ", "OFFICE EXPENSE")</f>
        <v xml:space="preserve">          6241 - OFFICE EXPENSE</v>
      </c>
      <c r="C87" s="11"/>
      <c r="D87" s="7"/>
      <c r="E87" s="2"/>
      <c r="F87" s="6">
        <f t="shared" si="36"/>
        <v>0</v>
      </c>
      <c r="G87" s="2"/>
      <c r="H87" s="7">
        <v>75</v>
      </c>
      <c r="I87" s="2"/>
      <c r="J87" s="6">
        <f t="shared" si="37"/>
        <v>9.7614306352739055E-4</v>
      </c>
      <c r="K87" s="2"/>
      <c r="L87" s="7">
        <f t="shared" si="38"/>
        <v>-75</v>
      </c>
      <c r="M87" s="2"/>
      <c r="N87" s="6">
        <f t="shared" si="39"/>
        <v>-1</v>
      </c>
      <c r="O87" s="11"/>
      <c r="P87" s="7">
        <v>198.33</v>
      </c>
      <c r="Q87" s="2"/>
      <c r="R87" s="6">
        <f t="shared" si="40"/>
        <v>1.2214700098719014E-3</v>
      </c>
      <c r="S87" s="2"/>
      <c r="T87" s="7">
        <v>225</v>
      </c>
      <c r="U87" s="2"/>
      <c r="V87" s="6">
        <f t="shared" si="41"/>
        <v>1.2135267784909121E-3</v>
      </c>
      <c r="W87" s="2"/>
      <c r="X87" s="7">
        <f t="shared" si="42"/>
        <v>-26.669999999999987</v>
      </c>
      <c r="Y87" s="2"/>
      <c r="Z87" s="6">
        <f t="shared" si="43"/>
        <v>-0.11853333333333328</v>
      </c>
    </row>
    <row r="88" spans="1:26" s="63" customFormat="1" x14ac:dyDescent="0.25">
      <c r="A88" s="36"/>
      <c r="B88" s="36"/>
      <c r="C88" s="36"/>
      <c r="D88" s="1"/>
      <c r="E88" s="1"/>
      <c r="F88" s="5"/>
      <c r="G88" s="1"/>
      <c r="H88" s="1"/>
      <c r="I88" s="1"/>
      <c r="J88" s="5"/>
      <c r="K88" s="1"/>
      <c r="L88" s="1"/>
      <c r="M88" s="1"/>
      <c r="N88" s="5"/>
      <c r="O88" s="36"/>
      <c r="P88" s="1"/>
      <c r="Q88" s="1"/>
      <c r="R88" s="5"/>
      <c r="S88" s="1"/>
      <c r="T88" s="1"/>
      <c r="U88" s="1"/>
      <c r="V88" s="5"/>
      <c r="W88" s="1"/>
      <c r="X88" s="1"/>
      <c r="Y88" s="1"/>
      <c r="Z88" s="5"/>
    </row>
    <row r="89" spans="1:26" s="23" customFormat="1" x14ac:dyDescent="0.25">
      <c r="A89" s="10"/>
      <c r="B89" s="28" t="s">
        <v>0</v>
      </c>
      <c r="C89" s="10"/>
      <c r="D89" s="4">
        <f>SUM(0)</f>
        <v>0</v>
      </c>
      <c r="E89" s="4"/>
      <c r="F89" s="12">
        <f>IF(D$12=0,0,D89/D$12)</f>
        <v>0</v>
      </c>
      <c r="G89" s="4"/>
      <c r="H89" s="4">
        <f>SUM(0)</f>
        <v>0</v>
      </c>
      <c r="I89" s="4"/>
      <c r="J89" s="12">
        <f>IF(H$12=0,0,H89/H$12)</f>
        <v>0</v>
      </c>
      <c r="K89" s="4"/>
      <c r="L89" s="4">
        <f>+D89-H89</f>
        <v>0</v>
      </c>
      <c r="M89" s="4"/>
      <c r="N89" s="12">
        <f>IF(H89=0,0,L89/H89)</f>
        <v>0</v>
      </c>
      <c r="O89" s="10"/>
      <c r="P89" s="4">
        <f>SUM(0)</f>
        <v>0</v>
      </c>
      <c r="Q89" s="4"/>
      <c r="R89" s="12">
        <f>IF(P$12=0,0,P89/P$12)</f>
        <v>0</v>
      </c>
      <c r="S89" s="4"/>
      <c r="T89" s="4">
        <f>SUM(0)</f>
        <v>0</v>
      </c>
      <c r="U89" s="4"/>
      <c r="V89" s="12">
        <f>IF(T$12=0,0,T89/T$12)</f>
        <v>0</v>
      </c>
      <c r="W89" s="4"/>
      <c r="X89" s="4">
        <f>+P89-T89</f>
        <v>0</v>
      </c>
      <c r="Y89" s="4"/>
      <c r="Z89" s="12">
        <f>IF(T89=0,0,X89/T89)</f>
        <v>0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25">
      <c r="A91" s="10"/>
      <c r="B91" s="29" t="s">
        <v>3</v>
      </c>
      <c r="C91" s="29"/>
      <c r="D91" s="22">
        <f>+D52-D54+D89</f>
        <v>25421.110000000022</v>
      </c>
      <c r="E91" s="14"/>
      <c r="F91" s="20">
        <f>IF(D$12=0,0,D91/D$12)</f>
        <v>0.38543521802217617</v>
      </c>
      <c r="G91" s="14"/>
      <c r="H91" s="22">
        <f>+H52-H54+H89</f>
        <v>27711.830294455387</v>
      </c>
      <c r="I91" s="14"/>
      <c r="J91" s="20">
        <f>IF(H$12=0,0,H91/H$12)</f>
        <v>0.36067614559441108</v>
      </c>
      <c r="K91" s="15"/>
      <c r="L91" s="22">
        <f>+D91-H91</f>
        <v>-2290.7202944553646</v>
      </c>
      <c r="M91" s="15"/>
      <c r="N91" s="20">
        <f>IF(H91=0,0,L91/H91)</f>
        <v>-8.2662179658111373E-2</v>
      </c>
      <c r="O91" s="28"/>
      <c r="P91" s="22">
        <f>+P52-P54+P89</f>
        <v>56739.770000000033</v>
      </c>
      <c r="Q91" s="14"/>
      <c r="R91" s="20">
        <f>IF(P$12=0,0,P91/P$12)</f>
        <v>0.34944752393500456</v>
      </c>
      <c r="S91" s="14"/>
      <c r="T91" s="22">
        <f>+T52-T54+T89</f>
        <v>59621.314006980014</v>
      </c>
      <c r="U91" s="14"/>
      <c r="V91" s="20">
        <f>IF(T$12=0,0,T91/T$12)</f>
        <v>0.32156471607238019</v>
      </c>
      <c r="W91" s="15"/>
      <c r="X91" s="22">
        <f>+P91-T91</f>
        <v>-2881.5440069799806</v>
      </c>
      <c r="Y91" s="15"/>
      <c r="Z91" s="20">
        <f>IF(T91=0,0,X91/T91)</f>
        <v>-4.8330769876065313E-2</v>
      </c>
    </row>
    <row r="92" spans="1:26" x14ac:dyDescent="0.25">
      <c r="A92" s="9"/>
      <c r="B92" s="10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52"/>
      <c r="B93" s="10" t="s">
        <v>14</v>
      </c>
      <c r="C93" s="10"/>
      <c r="D93" s="4">
        <v>5419.41</v>
      </c>
      <c r="E93" s="4"/>
      <c r="F93" s="12">
        <f>IF(D$12=0,0,D93/D$12)</f>
        <v>8.2169168651626934E-2</v>
      </c>
      <c r="G93" s="4"/>
      <c r="H93" s="4">
        <v>5818</v>
      </c>
      <c r="I93" s="4"/>
      <c r="J93" s="12">
        <f>IF(H$12=0,0,H93/H$12)</f>
        <v>7.5722671248031448E-2</v>
      </c>
      <c r="K93" s="4"/>
      <c r="L93" s="4">
        <f>+D93-H93</f>
        <v>-398.59000000000015</v>
      </c>
      <c r="M93" s="4"/>
      <c r="N93" s="12">
        <f>IF(H93=0,0,L93/H93)</f>
        <v>-6.850979718116193E-2</v>
      </c>
      <c r="O93" s="10"/>
      <c r="P93" s="4">
        <v>17440.68</v>
      </c>
      <c r="Q93" s="4"/>
      <c r="R93" s="12">
        <f>IF(P$12=0,0,P93/P$12)</f>
        <v>0.10741323839949919</v>
      </c>
      <c r="S93" s="4"/>
      <c r="T93" s="4">
        <v>23451</v>
      </c>
      <c r="U93" s="4"/>
      <c r="V93" s="12">
        <f>IF(T$12=0,0,T93/T$12)</f>
        <v>0.12648185103284612</v>
      </c>
      <c r="W93" s="4"/>
      <c r="X93" s="4">
        <f>+P93-T93</f>
        <v>-6010.32</v>
      </c>
      <c r="Y93" s="4"/>
      <c r="Z93" s="12">
        <f>IF(T93=0,0,X93/T93)</f>
        <v>-0.25629269540744531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.75" thickBot="1" x14ac:dyDescent="0.3">
      <c r="A95" s="10"/>
      <c r="B95" s="29" t="s">
        <v>4</v>
      </c>
      <c r="C95" s="29"/>
      <c r="D95" s="35">
        <f>+D91-D93</f>
        <v>20001.700000000023</v>
      </c>
      <c r="E95" s="14"/>
      <c r="F95" s="32">
        <f>IF(D$12=0,0,D95/D$12)</f>
        <v>0.30326604937054924</v>
      </c>
      <c r="G95" s="14"/>
      <c r="H95" s="35">
        <f>+H91-H93</f>
        <v>21893.830294455387</v>
      </c>
      <c r="I95" s="14"/>
      <c r="J95" s="32">
        <f>IF(H$12=0,0,H95/H$12)</f>
        <v>0.28495347434637963</v>
      </c>
      <c r="K95" s="15"/>
      <c r="L95" s="35">
        <f>D95-H95</f>
        <v>-1892.1302944553645</v>
      </c>
      <c r="M95" s="15"/>
      <c r="N95" s="32">
        <f>IF(H95=0,0,L95/H95)</f>
        <v>-8.6422990815569922E-2</v>
      </c>
      <c r="O95" s="28"/>
      <c r="P95" s="35">
        <f>+P91-P93</f>
        <v>39299.090000000033</v>
      </c>
      <c r="Q95" s="14"/>
      <c r="R95" s="32">
        <f>IF(P$12=0,0,P95/P$12)</f>
        <v>0.24203428553550538</v>
      </c>
      <c r="S95" s="14"/>
      <c r="T95" s="35">
        <f>+T91-T93</f>
        <v>36170.314006980014</v>
      </c>
      <c r="U95" s="14"/>
      <c r="V95" s="32">
        <f>IF(T$12=0,0,T95/T$12)</f>
        <v>0.19508286503953409</v>
      </c>
      <c r="W95" s="15"/>
      <c r="X95" s="35">
        <f>P95-T95</f>
        <v>3128.7759930200191</v>
      </c>
      <c r="Y95" s="15"/>
      <c r="Z95" s="32">
        <f>IF(T95=0,0,X95/T95)</f>
        <v>8.6501211806351452E-2</v>
      </c>
    </row>
    <row r="96" spans="1:26" ht="15.75" thickTop="1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ht="15.75" thickBot="1" x14ac:dyDescent="0.3">
      <c r="A98" s="10"/>
      <c r="B98" s="29" t="s">
        <v>5</v>
      </c>
      <c r="C98" s="29"/>
      <c r="D98" s="30">
        <f>SUM(D95:D97)</f>
        <v>20001.700000000023</v>
      </c>
      <c r="E98" s="14"/>
      <c r="F98" s="31">
        <f>IF(D$12=0,0,D98/D$12)</f>
        <v>0.30326604937054924</v>
      </c>
      <c r="G98" s="14"/>
      <c r="H98" s="30">
        <f>SUM(H95:H97)</f>
        <v>21893.830294455387</v>
      </c>
      <c r="I98" s="14"/>
      <c r="J98" s="31">
        <f>IF(H$12=0,0,H98/H$12)</f>
        <v>0.28495347434637963</v>
      </c>
      <c r="K98" s="15"/>
      <c r="L98" s="30">
        <f>+D98-H98</f>
        <v>-1892.1302944553645</v>
      </c>
      <c r="M98" s="15"/>
      <c r="N98" s="31">
        <f>IF(H98=0,0,L98/H98)</f>
        <v>-8.6422990815569922E-2</v>
      </c>
      <c r="O98" s="28"/>
      <c r="P98" s="30">
        <f>SUM(P95:P97)</f>
        <v>39299.090000000033</v>
      </c>
      <c r="Q98" s="14"/>
      <c r="R98" s="31">
        <f>IF(P$12=0,0,P98/P$12)</f>
        <v>0.24203428553550538</v>
      </c>
      <c r="S98" s="14"/>
      <c r="T98" s="30">
        <f>SUM(T95:T97)</f>
        <v>36170.314006980014</v>
      </c>
      <c r="U98" s="14"/>
      <c r="V98" s="31">
        <f>IF(T$12=0,0,T98/T$12)</f>
        <v>0.19508286503953409</v>
      </c>
      <c r="W98" s="15"/>
      <c r="X98" s="30">
        <f>+P98-T98</f>
        <v>3128.7759930200191</v>
      </c>
      <c r="Y98" s="15"/>
      <c r="Z98" s="31">
        <f>IF(T98=0,0,X98/T98)</f>
        <v>8.6501211806351452E-2</v>
      </c>
    </row>
    <row r="99" spans="1:26" ht="15.75" thickTop="1" x14ac:dyDescent="0.25">
      <c r="A99" s="9"/>
      <c r="C99" s="9"/>
      <c r="D99" s="18"/>
      <c r="E99" s="18"/>
      <c r="G99" s="18"/>
      <c r="H99" s="18"/>
      <c r="I99" s="18"/>
      <c r="J99" s="43"/>
      <c r="K99" s="18"/>
      <c r="L99" s="18"/>
      <c r="M99" s="18"/>
      <c r="P99" s="18"/>
      <c r="Q99" s="18"/>
      <c r="R99" s="43"/>
      <c r="S99" s="18"/>
      <c r="T99" s="18"/>
      <c r="U99" s="18"/>
      <c r="V99" s="43"/>
      <c r="W99" s="18"/>
      <c r="X99" s="18"/>
    </row>
    <row r="100" spans="1:26" x14ac:dyDescent="0.25">
      <c r="A100" s="9"/>
      <c r="B100" s="53">
        <v>43756.452340821757</v>
      </c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6" x14ac:dyDescent="0.25">
      <c r="A101" s="9"/>
      <c r="B101" s="55" t="s">
        <v>314</v>
      </c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  <row r="102" spans="1:26" x14ac:dyDescent="0.25">
      <c r="A102" s="9"/>
      <c r="B102" s="56"/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  <row r="103" spans="1:26" x14ac:dyDescent="0.25">
      <c r="D103" s="18"/>
      <c r="E103" s="18"/>
      <c r="G103" s="18"/>
      <c r="H103" s="18"/>
      <c r="I103" s="18"/>
      <c r="J103" s="43"/>
      <c r="K103" s="18"/>
      <c r="L103" s="18"/>
      <c r="M103" s="18"/>
      <c r="P103" s="18"/>
      <c r="Q103" s="18"/>
      <c r="R103" s="43"/>
      <c r="S103" s="18"/>
      <c r="T103" s="18"/>
      <c r="U103" s="18"/>
      <c r="V103" s="43"/>
      <c r="W103" s="18"/>
      <c r="X103" s="18"/>
    </row>
  </sheetData>
  <pageMargins left="0.25" right="0.25" top="0.75" bottom="0.75" header="0.3" footer="0.3"/>
  <pageSetup scale="55" fitToWidth="2" orientation="landscape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3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str">
        <f>CONCATENATE("Period ",RIGHT(202003,2),", ",2020)</f>
        <v>Period 03, 2020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43736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">
        <v>303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577911.13000000024</v>
      </c>
      <c r="E12" s="4"/>
      <c r="F12" s="12"/>
      <c r="G12" s="4"/>
      <c r="H12" s="4">
        <f>SUM(OSRRefH13x_0)</f>
        <v>604203</v>
      </c>
      <c r="I12" s="4"/>
      <c r="J12" s="12"/>
      <c r="K12" s="4"/>
      <c r="L12" s="4">
        <f t="shared" ref="L12:L38" si="0">+D12-H12</f>
        <v>-26291.869999999763</v>
      </c>
      <c r="M12" s="4"/>
      <c r="N12" s="12">
        <f t="shared" ref="N12:N38" si="1">IF(H12=0,0,L12/H12)</f>
        <v>-4.351496103130862E-2</v>
      </c>
      <c r="O12" s="10"/>
      <c r="P12" s="4">
        <f>SUM(OSRRefP13x_0)</f>
        <v>2819726.6999999979</v>
      </c>
      <c r="Q12" s="4"/>
      <c r="R12" s="12"/>
      <c r="S12" s="4"/>
      <c r="T12" s="4">
        <f>SUM(OSRRefT13x_0)</f>
        <v>3049029</v>
      </c>
      <c r="U12" s="4"/>
      <c r="V12" s="12"/>
      <c r="W12" s="4"/>
      <c r="X12" s="4">
        <f t="shared" ref="X12:X38" si="2">+P12-T12</f>
        <v>-229302.30000000214</v>
      </c>
      <c r="Y12" s="4"/>
      <c r="Z12" s="12">
        <f t="shared" ref="Z12:Z38" si="3">IF(T12=0,0,X12/T12)</f>
        <v>-7.5205024288060932E-2</v>
      </c>
    </row>
    <row r="13" spans="1:26" s="24" customFormat="1" hidden="1" outlineLevel="1" x14ac:dyDescent="0.25">
      <c r="A13" s="46"/>
      <c r="B13" s="11" t="str">
        <f>CONCATENATE("          ", "4001", " - ", "TAXABLE SALES-NEW TEXT")</f>
        <v xml:space="preserve">          4001 - TAXABLE SALES-NEW TEXT</v>
      </c>
      <c r="C13" s="11"/>
      <c r="D13" s="2">
        <f>--336733.45</f>
        <v>336733.45</v>
      </c>
      <c r="E13" s="2"/>
      <c r="F13" s="19"/>
      <c r="G13" s="2"/>
      <c r="H13" s="2"/>
      <c r="I13" s="2"/>
      <c r="J13" s="19"/>
      <c r="K13" s="2"/>
      <c r="L13" s="2">
        <f t="shared" si="0"/>
        <v>336733.45</v>
      </c>
      <c r="M13" s="2"/>
      <c r="N13" s="19">
        <f t="shared" si="1"/>
        <v>0</v>
      </c>
      <c r="O13" s="11"/>
      <c r="P13" s="2">
        <f>--1463955.42</f>
        <v>1463955.42</v>
      </c>
      <c r="Q13" s="2"/>
      <c r="R13" s="19"/>
      <c r="S13" s="2"/>
      <c r="T13" s="2"/>
      <c r="U13" s="2"/>
      <c r="V13" s="19"/>
      <c r="W13" s="2"/>
      <c r="X13" s="2">
        <f t="shared" si="2"/>
        <v>1463955.42</v>
      </c>
      <c r="Y13" s="2"/>
      <c r="Z13" s="19">
        <f t="shared" si="3"/>
        <v>0</v>
      </c>
    </row>
    <row r="14" spans="1:26" s="24" customFormat="1" hidden="1" outlineLevel="1" x14ac:dyDescent="0.25">
      <c r="A14" s="46"/>
      <c r="B14" s="11" t="str">
        <f>CONCATENATE("          ", "4002", " - ", "TAXABLE SALES-USED TEXT")</f>
        <v xml:space="preserve">          4002 - TAXABLE SALES-USED TEXT</v>
      </c>
      <c r="C14" s="11"/>
      <c r="D14" s="2">
        <f>--101849.66</f>
        <v>101849.66</v>
      </c>
      <c r="E14" s="2"/>
      <c r="F14" s="19"/>
      <c r="G14" s="2"/>
      <c r="H14" s="2"/>
      <c r="I14" s="2"/>
      <c r="J14" s="19"/>
      <c r="K14" s="2"/>
      <c r="L14" s="2">
        <f t="shared" si="0"/>
        <v>101849.66</v>
      </c>
      <c r="M14" s="2"/>
      <c r="N14" s="19">
        <f t="shared" si="1"/>
        <v>0</v>
      </c>
      <c r="O14" s="11"/>
      <c r="P14" s="2">
        <f>--657310.58</f>
        <v>657310.57999999996</v>
      </c>
      <c r="Q14" s="2"/>
      <c r="R14" s="19"/>
      <c r="S14" s="2"/>
      <c r="T14" s="2"/>
      <c r="U14" s="2"/>
      <c r="V14" s="19"/>
      <c r="W14" s="2"/>
      <c r="X14" s="2">
        <f t="shared" si="2"/>
        <v>657310.57999999996</v>
      </c>
      <c r="Y14" s="2"/>
      <c r="Z14" s="19">
        <f t="shared" si="3"/>
        <v>0</v>
      </c>
    </row>
    <row r="15" spans="1:26" s="24" customFormat="1" hidden="1" outlineLevel="1" x14ac:dyDescent="0.25">
      <c r="A15" s="46"/>
      <c r="B15" s="11" t="str">
        <f>CONCATENATE("          ", "4003", " - ", "TAXABLE SALES-RENTAL TEXT")</f>
        <v xml:space="preserve">          4003 - TAXABLE SALES-RENTAL TEXT</v>
      </c>
      <c r="C15" s="11"/>
      <c r="D15" s="2">
        <f>--2800.64</f>
        <v>2800.64</v>
      </c>
      <c r="E15" s="2"/>
      <c r="F15" s="19"/>
      <c r="G15" s="2"/>
      <c r="H15" s="2"/>
      <c r="I15" s="2"/>
      <c r="J15" s="19"/>
      <c r="K15" s="2"/>
      <c r="L15" s="2">
        <f t="shared" si="0"/>
        <v>2800.64</v>
      </c>
      <c r="M15" s="2"/>
      <c r="N15" s="19">
        <f t="shared" si="1"/>
        <v>0</v>
      </c>
      <c r="O15" s="11"/>
      <c r="P15" s="2">
        <f>--15536.69</f>
        <v>15536.69</v>
      </c>
      <c r="Q15" s="2"/>
      <c r="R15" s="19"/>
      <c r="S15" s="2"/>
      <c r="T15" s="2"/>
      <c r="U15" s="2"/>
      <c r="V15" s="19"/>
      <c r="W15" s="2"/>
      <c r="X15" s="2">
        <f t="shared" si="2"/>
        <v>15536.69</v>
      </c>
      <c r="Y15" s="2"/>
      <c r="Z15" s="19">
        <f t="shared" si="3"/>
        <v>0</v>
      </c>
    </row>
    <row r="16" spans="1:26" s="24" customFormat="1" hidden="1" outlineLevel="1" x14ac:dyDescent="0.25">
      <c r="A16" s="46"/>
      <c r="B16" s="11" t="str">
        <f>CONCATENATE("          ", "4004", " - ", "TAXABLE SALES-DIGITAL TEXT")</f>
        <v xml:space="preserve">          4004 - TAXABLE SALES-DIGITAL TEXT</v>
      </c>
      <c r="C16" s="11"/>
      <c r="D16" s="2">
        <f>--7290.37</f>
        <v>7290.37</v>
      </c>
      <c r="E16" s="2"/>
      <c r="F16" s="19"/>
      <c r="G16" s="2"/>
      <c r="H16" s="2"/>
      <c r="I16" s="2"/>
      <c r="J16" s="19"/>
      <c r="K16" s="2"/>
      <c r="L16" s="2">
        <f t="shared" si="0"/>
        <v>7290.37</v>
      </c>
      <c r="M16" s="2"/>
      <c r="N16" s="19">
        <f t="shared" si="1"/>
        <v>0</v>
      </c>
      <c r="O16" s="11"/>
      <c r="P16" s="2">
        <f>--29700.44</f>
        <v>29700.44</v>
      </c>
      <c r="Q16" s="2"/>
      <c r="R16" s="19"/>
      <c r="S16" s="2"/>
      <c r="T16" s="2"/>
      <c r="U16" s="2"/>
      <c r="V16" s="19"/>
      <c r="W16" s="2"/>
      <c r="X16" s="2">
        <f t="shared" si="2"/>
        <v>29700.44</v>
      </c>
      <c r="Y16" s="2"/>
      <c r="Z16" s="19">
        <f t="shared" si="3"/>
        <v>0</v>
      </c>
    </row>
    <row r="17" spans="1:26" s="24" customFormat="1" hidden="1" outlineLevel="1" x14ac:dyDescent="0.25">
      <c r="A17" s="46"/>
      <c r="B17" s="11" t="str">
        <f>CONCATENATE("          ", "4011", " - ", "TAXABLE SALES-NO VALUE TEXT")</f>
        <v xml:space="preserve">          4011 - TAXABLE SALES-NO VALUE TEXT</v>
      </c>
      <c r="C17" s="11"/>
      <c r="D17" s="2">
        <f>--9.6</f>
        <v>9.6</v>
      </c>
      <c r="E17" s="2"/>
      <c r="F17" s="19"/>
      <c r="G17" s="2"/>
      <c r="H17" s="2"/>
      <c r="I17" s="2"/>
      <c r="J17" s="19"/>
      <c r="K17" s="2"/>
      <c r="L17" s="2">
        <f t="shared" si="0"/>
        <v>9.6</v>
      </c>
      <c r="M17" s="2"/>
      <c r="N17" s="19">
        <f t="shared" si="1"/>
        <v>0</v>
      </c>
      <c r="O17" s="11"/>
      <c r="P17" s="2">
        <f>--9.6</f>
        <v>9.6</v>
      </c>
      <c r="Q17" s="2"/>
      <c r="R17" s="19"/>
      <c r="S17" s="2"/>
      <c r="T17" s="2"/>
      <c r="U17" s="2"/>
      <c r="V17" s="19"/>
      <c r="W17" s="2"/>
      <c r="X17" s="2">
        <f t="shared" si="2"/>
        <v>9.6</v>
      </c>
      <c r="Y17" s="2"/>
      <c r="Z17" s="19">
        <f t="shared" si="3"/>
        <v>0</v>
      </c>
    </row>
    <row r="18" spans="1:26" s="24" customFormat="1" hidden="1" outlineLevel="1" x14ac:dyDescent="0.25">
      <c r="A18" s="46"/>
      <c r="B18" s="11" t="str">
        <f>CONCATENATE("          ", "4013", " - ", "TAXABLE SALES-TRADE BOOKS")</f>
        <v xml:space="preserve">          4013 - TAXABLE SALES-TRADE BOOKS</v>
      </c>
      <c r="C18" s="11"/>
      <c r="D18" s="2">
        <f>--29.95</f>
        <v>29.95</v>
      </c>
      <c r="E18" s="2"/>
      <c r="F18" s="19"/>
      <c r="G18" s="2"/>
      <c r="H18" s="2"/>
      <c r="I18" s="2"/>
      <c r="J18" s="19"/>
      <c r="K18" s="2"/>
      <c r="L18" s="2">
        <f t="shared" si="0"/>
        <v>29.95</v>
      </c>
      <c r="M18" s="2"/>
      <c r="N18" s="19">
        <f t="shared" si="1"/>
        <v>0</v>
      </c>
      <c r="O18" s="11"/>
      <c r="P18" s="2">
        <f>--140.76</f>
        <v>140.76</v>
      </c>
      <c r="Q18" s="2"/>
      <c r="R18" s="19"/>
      <c r="S18" s="2"/>
      <c r="T18" s="2"/>
      <c r="U18" s="2"/>
      <c r="V18" s="19"/>
      <c r="W18" s="2"/>
      <c r="X18" s="2">
        <f t="shared" si="2"/>
        <v>140.76</v>
      </c>
      <c r="Y18" s="2"/>
      <c r="Z18" s="19">
        <f t="shared" si="3"/>
        <v>0</v>
      </c>
    </row>
    <row r="19" spans="1:26" s="24" customFormat="1" hidden="1" outlineLevel="1" x14ac:dyDescent="0.25">
      <c r="A19" s="46"/>
      <c r="B19" s="11" t="str">
        <f>CONCATENATE("          ", "4014", " - ", "TAXABLE SALES-REMAINDERS")</f>
        <v xml:space="preserve">          4014 - TAXABLE SALES-REMAINDERS</v>
      </c>
      <c r="C19" s="11"/>
      <c r="D19" s="2">
        <f>--97.44</f>
        <v>97.44</v>
      </c>
      <c r="E19" s="2"/>
      <c r="F19" s="19"/>
      <c r="G19" s="2"/>
      <c r="H19" s="2"/>
      <c r="I19" s="2"/>
      <c r="J19" s="19"/>
      <c r="K19" s="2"/>
      <c r="L19" s="2">
        <f t="shared" si="0"/>
        <v>97.44</v>
      </c>
      <c r="M19" s="2"/>
      <c r="N19" s="19">
        <f t="shared" si="1"/>
        <v>0</v>
      </c>
      <c r="O19" s="11"/>
      <c r="P19" s="2">
        <f>--523.09</f>
        <v>523.09</v>
      </c>
      <c r="Q19" s="2"/>
      <c r="R19" s="19"/>
      <c r="S19" s="2"/>
      <c r="T19" s="2"/>
      <c r="U19" s="2"/>
      <c r="V19" s="19"/>
      <c r="W19" s="2"/>
      <c r="X19" s="2">
        <f t="shared" si="2"/>
        <v>523.09</v>
      </c>
      <c r="Y19" s="2"/>
      <c r="Z19" s="19">
        <f t="shared" si="3"/>
        <v>0</v>
      </c>
    </row>
    <row r="20" spans="1:26" s="24" customFormat="1" hidden="1" outlineLevel="1" x14ac:dyDescent="0.25">
      <c r="A20" s="46"/>
      <c r="B20" s="11" t="str">
        <f>CONCATENATE("          ", "4018", " - ", "TAXABLE SALES-STUDY GUIDES")</f>
        <v xml:space="preserve">          4018 - TAXABLE SALES-STUDY GUIDES</v>
      </c>
      <c r="C20" s="11"/>
      <c r="D20" s="2">
        <f>--696.02</f>
        <v>696.02</v>
      </c>
      <c r="E20" s="2"/>
      <c r="F20" s="19"/>
      <c r="G20" s="2"/>
      <c r="H20" s="2"/>
      <c r="I20" s="2"/>
      <c r="J20" s="19"/>
      <c r="K20" s="2"/>
      <c r="L20" s="2">
        <f t="shared" si="0"/>
        <v>696.02</v>
      </c>
      <c r="M20" s="2"/>
      <c r="N20" s="19">
        <f t="shared" si="1"/>
        <v>0</v>
      </c>
      <c r="O20" s="11"/>
      <c r="P20" s="2">
        <f>--2060.15</f>
        <v>2060.15</v>
      </c>
      <c r="Q20" s="2"/>
      <c r="R20" s="19"/>
      <c r="S20" s="2"/>
      <c r="T20" s="2"/>
      <c r="U20" s="2"/>
      <c r="V20" s="19"/>
      <c r="W20" s="2"/>
      <c r="X20" s="2">
        <f t="shared" si="2"/>
        <v>2060.15</v>
      </c>
      <c r="Y20" s="2"/>
      <c r="Z20" s="19">
        <f t="shared" si="3"/>
        <v>0</v>
      </c>
    </row>
    <row r="21" spans="1:26" s="24" customFormat="1" hidden="1" outlineLevel="1" x14ac:dyDescent="0.25">
      <c r="A21" s="46"/>
      <c r="B21" s="11" t="str">
        <f>CONCATENATE("          ", "4100", " - ", "NON-TAXABLE SALES")</f>
        <v xml:space="preserve">          4100 - NON-TAXABLE SALES</v>
      </c>
      <c r="C21" s="11"/>
      <c r="D21" s="2">
        <f>--66153.34</f>
        <v>66153.34</v>
      </c>
      <c r="E21" s="2"/>
      <c r="F21" s="19"/>
      <c r="G21" s="2"/>
      <c r="H21" s="2">
        <v>604203</v>
      </c>
      <c r="I21" s="2"/>
      <c r="J21" s="19"/>
      <c r="K21" s="2"/>
      <c r="L21" s="2">
        <f t="shared" si="0"/>
        <v>-538049.66</v>
      </c>
      <c r="M21" s="2"/>
      <c r="N21" s="19">
        <f t="shared" si="1"/>
        <v>-0.89051140096954173</v>
      </c>
      <c r="O21" s="11"/>
      <c r="P21" s="2">
        <f>--331667.77</f>
        <v>331667.77</v>
      </c>
      <c r="Q21" s="2"/>
      <c r="R21" s="19"/>
      <c r="S21" s="2"/>
      <c r="T21" s="2">
        <v>3049029</v>
      </c>
      <c r="U21" s="2"/>
      <c r="V21" s="19"/>
      <c r="W21" s="2"/>
      <c r="X21" s="2">
        <f t="shared" si="2"/>
        <v>-2717361.23</v>
      </c>
      <c r="Y21" s="2"/>
      <c r="Z21" s="19">
        <f t="shared" si="3"/>
        <v>-0.89122183816552747</v>
      </c>
    </row>
    <row r="22" spans="1:26" s="24" customFormat="1" hidden="1" outlineLevel="1" x14ac:dyDescent="0.25">
      <c r="A22" s="46"/>
      <c r="B22" s="11" t="str">
        <f>CONCATENATE("          ", "4101", " - ", "NON-TAXABLE SALES-NEW TEXT")</f>
        <v xml:space="preserve">          4101 - NON-TAXABLE SALES-NEW TEXT</v>
      </c>
      <c r="C22" s="11"/>
      <c r="D22" s="2">
        <f>--27999.53</f>
        <v>27999.53</v>
      </c>
      <c r="E22" s="2"/>
      <c r="F22" s="19"/>
      <c r="G22" s="2"/>
      <c r="H22" s="2"/>
      <c r="I22" s="2"/>
      <c r="J22" s="19"/>
      <c r="K22" s="2"/>
      <c r="L22" s="2">
        <f t="shared" si="0"/>
        <v>27999.53</v>
      </c>
      <c r="M22" s="2"/>
      <c r="N22" s="19">
        <f t="shared" si="1"/>
        <v>0</v>
      </c>
      <c r="O22" s="11"/>
      <c r="P22" s="2">
        <f>--83892.55</f>
        <v>83892.55</v>
      </c>
      <c r="Q22" s="2"/>
      <c r="R22" s="19"/>
      <c r="S22" s="2"/>
      <c r="T22" s="2"/>
      <c r="U22" s="2"/>
      <c r="V22" s="19"/>
      <c r="W22" s="2"/>
      <c r="X22" s="2">
        <f t="shared" si="2"/>
        <v>83892.55</v>
      </c>
      <c r="Y22" s="2"/>
      <c r="Z22" s="19">
        <f t="shared" si="3"/>
        <v>0</v>
      </c>
    </row>
    <row r="23" spans="1:26" s="24" customFormat="1" hidden="1" outlineLevel="1" x14ac:dyDescent="0.25">
      <c r="A23" s="46"/>
      <c r="B23" s="11" t="str">
        <f>CONCATENATE("          ", "4102", " - ", "NON-TAXABLE SALES-USED TEXT")</f>
        <v xml:space="preserve">          4102 - NON-TAXABLE SALES-USED TEXT</v>
      </c>
      <c r="C23" s="11"/>
      <c r="D23" s="2">
        <f>--3969.18</f>
        <v>3969.18</v>
      </c>
      <c r="E23" s="2"/>
      <c r="F23" s="19"/>
      <c r="G23" s="2"/>
      <c r="H23" s="2"/>
      <c r="I23" s="2"/>
      <c r="J23" s="19"/>
      <c r="K23" s="2"/>
      <c r="L23" s="2">
        <f t="shared" si="0"/>
        <v>3969.18</v>
      </c>
      <c r="M23" s="2"/>
      <c r="N23" s="19">
        <f t="shared" si="1"/>
        <v>0</v>
      </c>
      <c r="O23" s="11"/>
      <c r="P23" s="2">
        <f>--36443.51</f>
        <v>36443.51</v>
      </c>
      <c r="Q23" s="2"/>
      <c r="R23" s="19"/>
      <c r="S23" s="2"/>
      <c r="T23" s="2"/>
      <c r="U23" s="2"/>
      <c r="V23" s="19"/>
      <c r="W23" s="2"/>
      <c r="X23" s="2">
        <f t="shared" si="2"/>
        <v>36443.51</v>
      </c>
      <c r="Y23" s="2"/>
      <c r="Z23" s="19">
        <f t="shared" si="3"/>
        <v>0</v>
      </c>
    </row>
    <row r="24" spans="1:26" s="24" customFormat="1" hidden="1" outlineLevel="1" x14ac:dyDescent="0.25">
      <c r="A24" s="46"/>
      <c r="B24" s="11" t="str">
        <f>CONCATENATE("          ", "4103", " - ", "NON-TAXABLE SALES-RENTAL TEXT")</f>
        <v xml:space="preserve">          4103 - NON-TAXABLE SALES-RENTAL TEXT</v>
      </c>
      <c r="C24" s="11"/>
      <c r="D24" s="2">
        <f>-144.99</f>
        <v>-144.99</v>
      </c>
      <c r="E24" s="2"/>
      <c r="F24" s="19"/>
      <c r="G24" s="2"/>
      <c r="H24" s="2"/>
      <c r="I24" s="2"/>
      <c r="J24" s="19"/>
      <c r="K24" s="2"/>
      <c r="L24" s="2">
        <f t="shared" si="0"/>
        <v>-144.99</v>
      </c>
      <c r="M24" s="2"/>
      <c r="N24" s="19">
        <f t="shared" si="1"/>
        <v>0</v>
      </c>
      <c r="O24" s="11"/>
      <c r="P24" s="2">
        <f>--329.98</f>
        <v>329.98</v>
      </c>
      <c r="Q24" s="2"/>
      <c r="R24" s="19"/>
      <c r="S24" s="2"/>
      <c r="T24" s="2"/>
      <c r="U24" s="2"/>
      <c r="V24" s="19"/>
      <c r="W24" s="2"/>
      <c r="X24" s="2">
        <f t="shared" si="2"/>
        <v>329.98</v>
      </c>
      <c r="Y24" s="2"/>
      <c r="Z24" s="19">
        <f t="shared" si="3"/>
        <v>0</v>
      </c>
    </row>
    <row r="25" spans="1:26" s="24" customFormat="1" hidden="1" outlineLevel="1" x14ac:dyDescent="0.25">
      <c r="A25" s="46"/>
      <c r="B25" s="11" t="str">
        <f>CONCATENATE("          ", "4104", " - ", "NON-TAXABLE SALES-DIGITAL TEXT")</f>
        <v xml:space="preserve">          4104 - NON-TAXABLE SALES-DIGITAL TEXT</v>
      </c>
      <c r="C25" s="11"/>
      <c r="D25" s="2">
        <f>--59065.75</f>
        <v>59065.75</v>
      </c>
      <c r="E25" s="2"/>
      <c r="F25" s="19"/>
      <c r="G25" s="2"/>
      <c r="H25" s="2"/>
      <c r="I25" s="2"/>
      <c r="J25" s="19"/>
      <c r="K25" s="2"/>
      <c r="L25" s="2">
        <f t="shared" si="0"/>
        <v>59065.75</v>
      </c>
      <c r="M25" s="2"/>
      <c r="N25" s="19">
        <f t="shared" si="1"/>
        <v>0</v>
      </c>
      <c r="O25" s="11"/>
      <c r="P25" s="2">
        <f>--318933.82</f>
        <v>318933.82</v>
      </c>
      <c r="Q25" s="2"/>
      <c r="R25" s="19"/>
      <c r="S25" s="2"/>
      <c r="T25" s="2"/>
      <c r="U25" s="2"/>
      <c r="V25" s="19"/>
      <c r="W25" s="2"/>
      <c r="X25" s="2">
        <f t="shared" si="2"/>
        <v>318933.82</v>
      </c>
      <c r="Y25" s="2"/>
      <c r="Z25" s="19">
        <f t="shared" si="3"/>
        <v>0</v>
      </c>
    </row>
    <row r="26" spans="1:26" s="24" customFormat="1" hidden="1" outlineLevel="1" x14ac:dyDescent="0.25">
      <c r="A26" s="46"/>
      <c r="B26" s="11" t="str">
        <f>CONCATENATE("          ", "4111", " - ", "NON-TAXABLE SALES-NO VALUE TEX")</f>
        <v xml:space="preserve">          4111 - NON-TAXABLE SALES-NO VALUE TEX</v>
      </c>
      <c r="C26" s="11"/>
      <c r="D26" s="2">
        <f>--594.06</f>
        <v>594.05999999999995</v>
      </c>
      <c r="E26" s="2"/>
      <c r="F26" s="19"/>
      <c r="G26" s="2"/>
      <c r="H26" s="2"/>
      <c r="I26" s="2"/>
      <c r="J26" s="19"/>
      <c r="K26" s="2"/>
      <c r="L26" s="2">
        <f t="shared" si="0"/>
        <v>594.05999999999995</v>
      </c>
      <c r="M26" s="2"/>
      <c r="N26" s="19">
        <f t="shared" si="1"/>
        <v>0</v>
      </c>
      <c r="O26" s="11"/>
      <c r="P26" s="2">
        <f>--6342.17</f>
        <v>6342.17</v>
      </c>
      <c r="Q26" s="2"/>
      <c r="R26" s="19"/>
      <c r="S26" s="2"/>
      <c r="T26" s="2"/>
      <c r="U26" s="2"/>
      <c r="V26" s="19"/>
      <c r="W26" s="2"/>
      <c r="X26" s="2">
        <f t="shared" si="2"/>
        <v>6342.17</v>
      </c>
      <c r="Y26" s="2"/>
      <c r="Z26" s="19">
        <f t="shared" si="3"/>
        <v>0</v>
      </c>
    </row>
    <row r="27" spans="1:26" s="24" customFormat="1" hidden="1" outlineLevel="1" x14ac:dyDescent="0.25">
      <c r="A27" s="46"/>
      <c r="B27" s="11" t="str">
        <f>CONCATENATE("          ", "4113", " - ", "NON-TAXABLE SALES-TRADE BOOKS")</f>
        <v xml:space="preserve">          4113 - NON-TAXABLE SALES-TRADE BOOKS</v>
      </c>
      <c r="C27" s="11"/>
      <c r="D27" s="2">
        <f>0</f>
        <v>0</v>
      </c>
      <c r="E27" s="2"/>
      <c r="F27" s="19"/>
      <c r="G27" s="2"/>
      <c r="H27" s="2"/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--1146.72</f>
        <v>1146.72</v>
      </c>
      <c r="Q27" s="2"/>
      <c r="R27" s="19"/>
      <c r="S27" s="2"/>
      <c r="T27" s="2"/>
      <c r="U27" s="2"/>
      <c r="V27" s="19"/>
      <c r="W27" s="2"/>
      <c r="X27" s="2">
        <f t="shared" si="2"/>
        <v>1146.72</v>
      </c>
      <c r="Y27" s="2"/>
      <c r="Z27" s="19">
        <f t="shared" si="3"/>
        <v>0</v>
      </c>
    </row>
    <row r="28" spans="1:26" s="24" customFormat="1" hidden="1" outlineLevel="1" x14ac:dyDescent="0.25">
      <c r="A28" s="46"/>
      <c r="B28" s="11" t="str">
        <f>CONCATENATE("          ", "4118", " - ", "NON-TAXABLE SALES-STUDY GUIDES")</f>
        <v xml:space="preserve">          4118 - NON-TAXABLE SALES-STUDY GUIDES</v>
      </c>
      <c r="C28" s="11"/>
      <c r="D28" s="2">
        <f>--6.95</f>
        <v>6.95</v>
      </c>
      <c r="E28" s="2"/>
      <c r="F28" s="19"/>
      <c r="G28" s="2"/>
      <c r="H28" s="2"/>
      <c r="I28" s="2"/>
      <c r="J28" s="19"/>
      <c r="K28" s="2"/>
      <c r="L28" s="2">
        <f t="shared" si="0"/>
        <v>6.95</v>
      </c>
      <c r="M28" s="2"/>
      <c r="N28" s="19">
        <f t="shared" si="1"/>
        <v>0</v>
      </c>
      <c r="O28" s="11"/>
      <c r="P28" s="2">
        <f>--20.92</f>
        <v>20.92</v>
      </c>
      <c r="Q28" s="2"/>
      <c r="R28" s="19"/>
      <c r="S28" s="2"/>
      <c r="T28" s="2"/>
      <c r="U28" s="2"/>
      <c r="V28" s="19"/>
      <c r="W28" s="2"/>
      <c r="X28" s="2">
        <f t="shared" si="2"/>
        <v>20.92</v>
      </c>
      <c r="Y28" s="2"/>
      <c r="Z28" s="19">
        <f t="shared" si="3"/>
        <v>0</v>
      </c>
    </row>
    <row r="29" spans="1:26" s="24" customFormat="1" hidden="1" outlineLevel="1" x14ac:dyDescent="0.25">
      <c r="A29" s="46"/>
      <c r="B29" s="11" t="str">
        <f>CONCATENATE("          ", "4201", " - ", "SALES RETURN TAXABLE-NEW TEXT")</f>
        <v xml:space="preserve">          4201 - SALES RETURN TAXABLE-NEW TEXT</v>
      </c>
      <c r="C29" s="11"/>
      <c r="D29" s="2">
        <f>-14069.34</f>
        <v>-14069.34</v>
      </c>
      <c r="E29" s="2"/>
      <c r="F29" s="19"/>
      <c r="G29" s="2"/>
      <c r="H29" s="2"/>
      <c r="I29" s="2"/>
      <c r="J29" s="19"/>
      <c r="K29" s="2"/>
      <c r="L29" s="2">
        <f t="shared" si="0"/>
        <v>-14069.34</v>
      </c>
      <c r="M29" s="2"/>
      <c r="N29" s="19">
        <f t="shared" si="1"/>
        <v>0</v>
      </c>
      <c r="O29" s="11"/>
      <c r="P29" s="2">
        <f>-73239.75</f>
        <v>-73239.75</v>
      </c>
      <c r="Q29" s="2"/>
      <c r="R29" s="19"/>
      <c r="S29" s="2"/>
      <c r="T29" s="2"/>
      <c r="U29" s="2"/>
      <c r="V29" s="19"/>
      <c r="W29" s="2"/>
      <c r="X29" s="2">
        <f t="shared" si="2"/>
        <v>-73239.75</v>
      </c>
      <c r="Y29" s="2"/>
      <c r="Z29" s="19">
        <f t="shared" si="3"/>
        <v>0</v>
      </c>
    </row>
    <row r="30" spans="1:26" s="24" customFormat="1" hidden="1" outlineLevel="1" x14ac:dyDescent="0.25">
      <c r="A30" s="46"/>
      <c r="B30" s="11" t="str">
        <f>CONCATENATE("          ", "4202", " - ", "SALES RETURN TAXABLE-USED TEXT")</f>
        <v xml:space="preserve">          4202 - SALES RETURN TAXABLE-USED TEXT</v>
      </c>
      <c r="C30" s="11"/>
      <c r="D30" s="2">
        <f>-2096.65</f>
        <v>-2096.65</v>
      </c>
      <c r="E30" s="2"/>
      <c r="F30" s="19"/>
      <c r="G30" s="2"/>
      <c r="H30" s="2"/>
      <c r="I30" s="2"/>
      <c r="J30" s="19"/>
      <c r="K30" s="2"/>
      <c r="L30" s="2">
        <f t="shared" si="0"/>
        <v>-2096.65</v>
      </c>
      <c r="M30" s="2"/>
      <c r="N30" s="19">
        <f t="shared" si="1"/>
        <v>0</v>
      </c>
      <c r="O30" s="11"/>
      <c r="P30" s="2">
        <f>-23351.1</f>
        <v>-23351.1</v>
      </c>
      <c r="Q30" s="2"/>
      <c r="R30" s="19"/>
      <c r="S30" s="2"/>
      <c r="T30" s="2"/>
      <c r="U30" s="2"/>
      <c r="V30" s="19"/>
      <c r="W30" s="2"/>
      <c r="X30" s="2">
        <f t="shared" si="2"/>
        <v>-23351.1</v>
      </c>
      <c r="Y30" s="2"/>
      <c r="Z30" s="19">
        <f t="shared" si="3"/>
        <v>0</v>
      </c>
    </row>
    <row r="31" spans="1:26" s="24" customFormat="1" hidden="1" outlineLevel="1" x14ac:dyDescent="0.25">
      <c r="A31" s="46"/>
      <c r="B31" s="11" t="str">
        <f>CONCATENATE("          ", "4203", " - ", "SALES RETURN TAXABLE-RENTAL TE")</f>
        <v xml:space="preserve">          4203 - SALES RETURN TAXABLE-RENTAL TE</v>
      </c>
      <c r="C31" s="11"/>
      <c r="D31" s="2">
        <f>-144.99</f>
        <v>-144.99</v>
      </c>
      <c r="E31" s="2"/>
      <c r="F31" s="19"/>
      <c r="G31" s="2"/>
      <c r="H31" s="2"/>
      <c r="I31" s="2"/>
      <c r="J31" s="19"/>
      <c r="K31" s="2"/>
      <c r="L31" s="2">
        <f t="shared" si="0"/>
        <v>-144.99</v>
      </c>
      <c r="M31" s="2"/>
      <c r="N31" s="19">
        <f t="shared" si="1"/>
        <v>0</v>
      </c>
      <c r="O31" s="11"/>
      <c r="P31" s="2">
        <f>-144.99</f>
        <v>-144.99</v>
      </c>
      <c r="Q31" s="2"/>
      <c r="R31" s="19"/>
      <c r="S31" s="2"/>
      <c r="T31" s="2"/>
      <c r="U31" s="2"/>
      <c r="V31" s="19"/>
      <c r="W31" s="2"/>
      <c r="X31" s="2">
        <f t="shared" si="2"/>
        <v>-144.99</v>
      </c>
      <c r="Y31" s="2"/>
      <c r="Z31" s="19">
        <f t="shared" si="3"/>
        <v>0</v>
      </c>
    </row>
    <row r="32" spans="1:26" s="24" customFormat="1" hidden="1" outlineLevel="1" x14ac:dyDescent="0.25">
      <c r="A32" s="46"/>
      <c r="B32" s="11" t="str">
        <f>CONCATENATE("          ", "4204", " - ", "SALES RETURN TAXABLE-DIGITAL T")</f>
        <v xml:space="preserve">          4204 - SALES RETURN TAXABLE-DIGITAL T</v>
      </c>
      <c r="C32" s="11"/>
      <c r="D32" s="2">
        <f>-4208.35</f>
        <v>-4208.3500000000004</v>
      </c>
      <c r="E32" s="2"/>
      <c r="F32" s="19"/>
      <c r="G32" s="2"/>
      <c r="H32" s="2"/>
      <c r="I32" s="2"/>
      <c r="J32" s="19"/>
      <c r="K32" s="2"/>
      <c r="L32" s="2">
        <f t="shared" si="0"/>
        <v>-4208.3500000000004</v>
      </c>
      <c r="M32" s="2"/>
      <c r="N32" s="19">
        <f t="shared" si="1"/>
        <v>0</v>
      </c>
      <c r="O32" s="11"/>
      <c r="P32" s="2">
        <f>-11056.72</f>
        <v>-11056.72</v>
      </c>
      <c r="Q32" s="2"/>
      <c r="R32" s="19"/>
      <c r="S32" s="2"/>
      <c r="T32" s="2"/>
      <c r="U32" s="2"/>
      <c r="V32" s="19"/>
      <c r="W32" s="2"/>
      <c r="X32" s="2">
        <f t="shared" si="2"/>
        <v>-11056.72</v>
      </c>
      <c r="Y32" s="2"/>
      <c r="Z32" s="19">
        <f t="shared" si="3"/>
        <v>0</v>
      </c>
    </row>
    <row r="33" spans="1:26" s="24" customFormat="1" hidden="1" outlineLevel="1" x14ac:dyDescent="0.25">
      <c r="A33" s="46"/>
      <c r="B33" s="11" t="str">
        <f>CONCATENATE("          ", "4218", " - ", "SALES RETURN TAXABLE-STUDY GUI")</f>
        <v xml:space="preserve">          4218 - SALES RETURN TAXABLE-STUDY GUI</v>
      </c>
      <c r="C33" s="11"/>
      <c r="D33" s="2">
        <f>-5.95</f>
        <v>-5.95</v>
      </c>
      <c r="E33" s="2"/>
      <c r="F33" s="19"/>
      <c r="G33" s="2"/>
      <c r="H33" s="2"/>
      <c r="I33" s="2"/>
      <c r="J33" s="19"/>
      <c r="K33" s="2"/>
      <c r="L33" s="2">
        <f t="shared" si="0"/>
        <v>-5.95</v>
      </c>
      <c r="M33" s="2"/>
      <c r="N33" s="19">
        <f t="shared" si="1"/>
        <v>0</v>
      </c>
      <c r="O33" s="11"/>
      <c r="P33" s="2">
        <f>-32.75</f>
        <v>-32.75</v>
      </c>
      <c r="Q33" s="2"/>
      <c r="R33" s="19"/>
      <c r="S33" s="2"/>
      <c r="T33" s="2"/>
      <c r="U33" s="2"/>
      <c r="V33" s="19"/>
      <c r="W33" s="2"/>
      <c r="X33" s="2">
        <f t="shared" si="2"/>
        <v>-32.75</v>
      </c>
      <c r="Y33" s="2"/>
      <c r="Z33" s="19">
        <f t="shared" si="3"/>
        <v>0</v>
      </c>
    </row>
    <row r="34" spans="1:26" s="24" customFormat="1" hidden="1" outlineLevel="1" x14ac:dyDescent="0.25">
      <c r="A34" s="46"/>
      <c r="B34" s="11" t="str">
        <f>CONCATENATE("          ", "4301", " - ", "SALES RETURN NON TAXABLE-NEW T")</f>
        <v xml:space="preserve">          4301 - SALES RETURN NON TAXABLE-NEW T</v>
      </c>
      <c r="C34" s="11"/>
      <c r="D34" s="2">
        <f>-3805.44</f>
        <v>-3805.44</v>
      </c>
      <c r="E34" s="2"/>
      <c r="F34" s="19"/>
      <c r="G34" s="2"/>
      <c r="H34" s="2"/>
      <c r="I34" s="2"/>
      <c r="J34" s="19"/>
      <c r="K34" s="2"/>
      <c r="L34" s="2">
        <f t="shared" si="0"/>
        <v>-3805.44</v>
      </c>
      <c r="M34" s="2"/>
      <c r="N34" s="19">
        <f t="shared" si="1"/>
        <v>0</v>
      </c>
      <c r="O34" s="11"/>
      <c r="P34" s="2">
        <f>-6725.22</f>
        <v>-6725.22</v>
      </c>
      <c r="Q34" s="2"/>
      <c r="R34" s="19"/>
      <c r="S34" s="2"/>
      <c r="T34" s="2"/>
      <c r="U34" s="2"/>
      <c r="V34" s="19"/>
      <c r="W34" s="2"/>
      <c r="X34" s="2">
        <f t="shared" si="2"/>
        <v>-6725.22</v>
      </c>
      <c r="Y34" s="2"/>
      <c r="Z34" s="19">
        <f t="shared" si="3"/>
        <v>0</v>
      </c>
    </row>
    <row r="35" spans="1:26" s="24" customFormat="1" hidden="1" outlineLevel="1" x14ac:dyDescent="0.25">
      <c r="A35" s="46"/>
      <c r="B35" s="11" t="str">
        <f>CONCATENATE("          ", "4302", " - ", "SALES RETURN NON TAXABLE-TEXT")</f>
        <v xml:space="preserve">          4302 - SALES RETURN NON TAXABLE-TEXT</v>
      </c>
      <c r="C35" s="11"/>
      <c r="D35" s="2">
        <f>-398.45</f>
        <v>-398.45</v>
      </c>
      <c r="E35" s="2"/>
      <c r="F35" s="19"/>
      <c r="G35" s="2"/>
      <c r="H35" s="2"/>
      <c r="I35" s="2"/>
      <c r="J35" s="19"/>
      <c r="K35" s="2"/>
      <c r="L35" s="2">
        <f t="shared" si="0"/>
        <v>-398.45</v>
      </c>
      <c r="M35" s="2"/>
      <c r="N35" s="19">
        <f t="shared" si="1"/>
        <v>0</v>
      </c>
      <c r="O35" s="11"/>
      <c r="P35" s="2">
        <f>-648.7</f>
        <v>-648.70000000000005</v>
      </c>
      <c r="Q35" s="2"/>
      <c r="R35" s="19"/>
      <c r="S35" s="2"/>
      <c r="T35" s="2"/>
      <c r="U35" s="2"/>
      <c r="V35" s="19"/>
      <c r="W35" s="2"/>
      <c r="X35" s="2">
        <f t="shared" si="2"/>
        <v>-648.70000000000005</v>
      </c>
      <c r="Y35" s="2"/>
      <c r="Z35" s="19">
        <f t="shared" si="3"/>
        <v>0</v>
      </c>
    </row>
    <row r="36" spans="1:26" s="24" customFormat="1" hidden="1" outlineLevel="1" x14ac:dyDescent="0.25">
      <c r="A36" s="46"/>
      <c r="B36" s="11" t="str">
        <f>CONCATENATE("          ", "4303", " - ", "SALES RETURN NON-TAXABLE-RENTA")</f>
        <v xml:space="preserve">          4303 - SALES RETURN NON-TAXABLE-RENTA</v>
      </c>
      <c r="C36" s="11"/>
      <c r="D36" s="2">
        <f>-184.99</f>
        <v>-184.99</v>
      </c>
      <c r="E36" s="2"/>
      <c r="F36" s="19"/>
      <c r="G36" s="2"/>
      <c r="H36" s="2"/>
      <c r="I36" s="2"/>
      <c r="J36" s="19"/>
      <c r="K36" s="2"/>
      <c r="L36" s="2">
        <f t="shared" si="0"/>
        <v>-184.99</v>
      </c>
      <c r="M36" s="2"/>
      <c r="N36" s="19">
        <f t="shared" si="1"/>
        <v>0</v>
      </c>
      <c r="O36" s="11"/>
      <c r="P36" s="2">
        <f>-184.99</f>
        <v>-184.99</v>
      </c>
      <c r="Q36" s="2"/>
      <c r="R36" s="19"/>
      <c r="S36" s="2"/>
      <c r="T36" s="2"/>
      <c r="U36" s="2"/>
      <c r="V36" s="19"/>
      <c r="W36" s="2"/>
      <c r="X36" s="2">
        <f t="shared" si="2"/>
        <v>-184.99</v>
      </c>
      <c r="Y36" s="2"/>
      <c r="Z36" s="19">
        <f t="shared" si="3"/>
        <v>0</v>
      </c>
    </row>
    <row r="37" spans="1:26" s="24" customFormat="1" hidden="1" outlineLevel="1" x14ac:dyDescent="0.25">
      <c r="A37" s="46"/>
      <c r="B37" s="11" t="str">
        <f>CONCATENATE("          ", "4304", " - ", "SALES RETURN NON TAXABLE-DIGIT")</f>
        <v xml:space="preserve">          4304 - SALES RETURN NON TAXABLE-DIGIT</v>
      </c>
      <c r="C37" s="11"/>
      <c r="D37" s="2">
        <f>-4048.76</f>
        <v>-4048.76</v>
      </c>
      <c r="E37" s="2"/>
      <c r="F37" s="19"/>
      <c r="G37" s="2"/>
      <c r="H37" s="2"/>
      <c r="I37" s="2"/>
      <c r="J37" s="19"/>
      <c r="K37" s="2"/>
      <c r="L37" s="2">
        <f t="shared" si="0"/>
        <v>-4048.76</v>
      </c>
      <c r="M37" s="2"/>
      <c r="N37" s="19">
        <f t="shared" si="1"/>
        <v>0</v>
      </c>
      <c r="O37" s="11"/>
      <c r="P37" s="2">
        <f>-12515.31</f>
        <v>-12515.31</v>
      </c>
      <c r="Q37" s="2"/>
      <c r="R37" s="19"/>
      <c r="S37" s="2"/>
      <c r="T37" s="2"/>
      <c r="U37" s="2"/>
      <c r="V37" s="19"/>
      <c r="W37" s="2"/>
      <c r="X37" s="2">
        <f t="shared" si="2"/>
        <v>-12515.31</v>
      </c>
      <c r="Y37" s="2"/>
      <c r="Z37" s="19">
        <f t="shared" si="3"/>
        <v>0</v>
      </c>
    </row>
    <row r="38" spans="1:26" s="24" customFormat="1" hidden="1" outlineLevel="1" x14ac:dyDescent="0.25">
      <c r="A38" s="46"/>
      <c r="B38" s="11" t="str">
        <f>CONCATENATE("          ", "4311", " - ", "SALES RETURN NON TAXABLE-NO VA")</f>
        <v xml:space="preserve">          4311 - SALES RETURN NON TAXABLE-NO VA</v>
      </c>
      <c r="C38" s="11"/>
      <c r="D38" s="2">
        <f>-276.9</f>
        <v>-276.89999999999998</v>
      </c>
      <c r="E38" s="2"/>
      <c r="F38" s="19"/>
      <c r="G38" s="2"/>
      <c r="H38" s="2"/>
      <c r="I38" s="2"/>
      <c r="J38" s="19"/>
      <c r="K38" s="2"/>
      <c r="L38" s="2">
        <f t="shared" si="0"/>
        <v>-276.89999999999998</v>
      </c>
      <c r="M38" s="2"/>
      <c r="N38" s="19">
        <f t="shared" si="1"/>
        <v>0</v>
      </c>
      <c r="O38" s="11"/>
      <c r="P38" s="2">
        <f>-387.94</f>
        <v>-387.94</v>
      </c>
      <c r="Q38" s="2"/>
      <c r="R38" s="19"/>
      <c r="S38" s="2"/>
      <c r="T38" s="2"/>
      <c r="U38" s="2"/>
      <c r="V38" s="19"/>
      <c r="W38" s="2"/>
      <c r="X38" s="2">
        <f t="shared" si="2"/>
        <v>-387.94</v>
      </c>
      <c r="Y38" s="2"/>
      <c r="Z38" s="19">
        <f t="shared" si="3"/>
        <v>0</v>
      </c>
    </row>
    <row r="39" spans="1:26" x14ac:dyDescent="0.25">
      <c r="A39" s="9"/>
      <c r="B39" s="10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collapsed="1" x14ac:dyDescent="0.25">
      <c r="A40" s="10"/>
      <c r="B40" s="28" t="s">
        <v>8</v>
      </c>
      <c r="C40" s="10"/>
      <c r="D40" s="4">
        <f>SUM(OSRRefD16x_0)</f>
        <v>430599.13999999996</v>
      </c>
      <c r="E40" s="4"/>
      <c r="F40" s="12">
        <f t="shared" ref="F40:F54" si="4">IF(D$12=0,0,D40/D$12)</f>
        <v>0.74509577277046002</v>
      </c>
      <c r="G40" s="4"/>
      <c r="H40" s="4">
        <f>SUM(OSRRefH16x_0)</f>
        <v>445062.41</v>
      </c>
      <c r="I40" s="4"/>
      <c r="J40" s="12">
        <f t="shared" ref="J40:J54" si="5">IF(H$12=0,0,H40/H$12)</f>
        <v>0.7366107252032843</v>
      </c>
      <c r="K40" s="4"/>
      <c r="L40" s="4">
        <f t="shared" ref="L40:L54" si="6">+D40-H40</f>
        <v>-14463.270000000019</v>
      </c>
      <c r="M40" s="4"/>
      <c r="N40" s="12">
        <f t="shared" ref="N40:N54" si="7">IF(H40=0,0,L40/H40)</f>
        <v>-3.2497172699891726E-2</v>
      </c>
      <c r="O40" s="10"/>
      <c r="P40" s="4">
        <f>SUM(OSRRefP16x_0)</f>
        <v>2068241.5300000005</v>
      </c>
      <c r="Q40" s="4"/>
      <c r="R40" s="12">
        <f t="shared" ref="R40:R54" si="8">IF(P$12=0,0,P40/P$12)</f>
        <v>0.73349006838145059</v>
      </c>
      <c r="S40" s="4"/>
      <c r="T40" s="4">
        <f>SUM(OSRRefT16x_0)</f>
        <v>2203198.65</v>
      </c>
      <c r="U40" s="4"/>
      <c r="V40" s="12">
        <f t="shared" ref="V40:V54" si="9">IF(T$12=0,0,T40/T$12)</f>
        <v>0.72259025742293692</v>
      </c>
      <c r="W40" s="4"/>
      <c r="X40" s="4">
        <f t="shared" ref="X40:X54" si="10">+P40-T40</f>
        <v>-134957.11999999941</v>
      </c>
      <c r="Y40" s="4"/>
      <c r="Z40" s="12">
        <f t="shared" ref="Z40:Z54" si="11">IF(T40=0,0,X40/T40)</f>
        <v>-6.1255084737819453E-2</v>
      </c>
    </row>
    <row r="41" spans="1:26" s="24" customFormat="1" hidden="1" outlineLevel="1" x14ac:dyDescent="0.25">
      <c r="A41" s="46"/>
      <c r="B41" s="11" t="str">
        <f>CONCATENATE("          ", "5000", " - ", "PURCHASES @ COST")</f>
        <v xml:space="preserve">          5000 - PURCHASES @ COST</v>
      </c>
      <c r="C41" s="11"/>
      <c r="D41" s="2"/>
      <c r="E41" s="2"/>
      <c r="F41" s="19">
        <f t="shared" si="4"/>
        <v>0</v>
      </c>
      <c r="G41" s="2"/>
      <c r="H41" s="2">
        <v>445062.41</v>
      </c>
      <c r="I41" s="2"/>
      <c r="J41" s="19">
        <f t="shared" si="5"/>
        <v>0.7366107252032843</v>
      </c>
      <c r="K41" s="2"/>
      <c r="L41" s="2">
        <f t="shared" si="6"/>
        <v>-445062.41</v>
      </c>
      <c r="M41" s="2"/>
      <c r="N41" s="19">
        <f t="shared" si="7"/>
        <v>-1</v>
      </c>
      <c r="O41" s="11"/>
      <c r="P41" s="2"/>
      <c r="Q41" s="2"/>
      <c r="R41" s="19">
        <f t="shared" si="8"/>
        <v>0</v>
      </c>
      <c r="S41" s="2"/>
      <c r="T41" s="2">
        <v>2203198.65</v>
      </c>
      <c r="U41" s="2"/>
      <c r="V41" s="19">
        <f t="shared" si="9"/>
        <v>0.72259025742293692</v>
      </c>
      <c r="W41" s="2"/>
      <c r="X41" s="2">
        <f t="shared" si="10"/>
        <v>-2203198.65</v>
      </c>
      <c r="Y41" s="2"/>
      <c r="Z41" s="19">
        <f t="shared" si="11"/>
        <v>-1</v>
      </c>
    </row>
    <row r="42" spans="1:26" s="24" customFormat="1" hidden="1" outlineLevel="1" x14ac:dyDescent="0.25">
      <c r="A42" s="46"/>
      <c r="B42" s="11" t="str">
        <f>CONCATENATE("          ", "5001", " - ", "PURCHASES @ COST-NEW TEXT")</f>
        <v xml:space="preserve">          5001 - PURCHASES @ COST-NEW TEXT</v>
      </c>
      <c r="C42" s="11"/>
      <c r="D42" s="2">
        <v>104892.25</v>
      </c>
      <c r="E42" s="2"/>
      <c r="F42" s="19">
        <f t="shared" si="4"/>
        <v>0.18150238774601893</v>
      </c>
      <c r="G42" s="2"/>
      <c r="H42" s="2"/>
      <c r="I42" s="2"/>
      <c r="J42" s="19">
        <f t="shared" si="5"/>
        <v>0</v>
      </c>
      <c r="K42" s="2"/>
      <c r="L42" s="2">
        <f t="shared" si="6"/>
        <v>104892.25</v>
      </c>
      <c r="M42" s="2"/>
      <c r="N42" s="19">
        <f t="shared" si="7"/>
        <v>0</v>
      </c>
      <c r="O42" s="11"/>
      <c r="P42" s="2">
        <v>1932650.95</v>
      </c>
      <c r="Q42" s="2"/>
      <c r="R42" s="19">
        <f t="shared" si="8"/>
        <v>0.68540364213311933</v>
      </c>
      <c r="S42" s="2"/>
      <c r="T42" s="2"/>
      <c r="U42" s="2"/>
      <c r="V42" s="19">
        <f t="shared" si="9"/>
        <v>0</v>
      </c>
      <c r="W42" s="2"/>
      <c r="X42" s="2">
        <f t="shared" si="10"/>
        <v>1932650.95</v>
      </c>
      <c r="Y42" s="2"/>
      <c r="Z42" s="19">
        <f t="shared" si="11"/>
        <v>0</v>
      </c>
    </row>
    <row r="43" spans="1:26" s="24" customFormat="1" hidden="1" outlineLevel="1" x14ac:dyDescent="0.25">
      <c r="A43" s="46"/>
      <c r="B43" s="11" t="str">
        <f>CONCATENATE("          ", "5002", " - ", "PURCHASES @ COST-USED TEXT")</f>
        <v xml:space="preserve">          5002 - PURCHASES @ COST-USED TEXT</v>
      </c>
      <c r="C43" s="11"/>
      <c r="D43" s="2">
        <v>18830.57</v>
      </c>
      <c r="E43" s="2"/>
      <c r="F43" s="19">
        <f t="shared" si="4"/>
        <v>3.2583850738434457E-2</v>
      </c>
      <c r="G43" s="2"/>
      <c r="H43" s="2"/>
      <c r="I43" s="2"/>
      <c r="J43" s="19">
        <f t="shared" si="5"/>
        <v>0</v>
      </c>
      <c r="K43" s="2"/>
      <c r="L43" s="2">
        <f t="shared" si="6"/>
        <v>18830.57</v>
      </c>
      <c r="M43" s="2"/>
      <c r="N43" s="19">
        <f t="shared" si="7"/>
        <v>0</v>
      </c>
      <c r="O43" s="11"/>
      <c r="P43" s="2">
        <v>353811.24</v>
      </c>
      <c r="Q43" s="2"/>
      <c r="R43" s="19">
        <f t="shared" si="8"/>
        <v>0.1254771393270136</v>
      </c>
      <c r="S43" s="2"/>
      <c r="T43" s="2"/>
      <c r="U43" s="2"/>
      <c r="V43" s="19">
        <f t="shared" si="9"/>
        <v>0</v>
      </c>
      <c r="W43" s="2"/>
      <c r="X43" s="2">
        <f t="shared" si="10"/>
        <v>353811.24</v>
      </c>
      <c r="Y43" s="2"/>
      <c r="Z43" s="19">
        <f t="shared" si="11"/>
        <v>0</v>
      </c>
    </row>
    <row r="44" spans="1:26" s="24" customFormat="1" hidden="1" outlineLevel="1" x14ac:dyDescent="0.25">
      <c r="A44" s="46"/>
      <c r="B44" s="11" t="str">
        <f>CONCATENATE("          ", "5003", " - ", "PURCHASES @ COST-RENTAL TEXT")</f>
        <v xml:space="preserve">          5003 - PURCHASES @ COST-RENTAL TEXT</v>
      </c>
      <c r="C44" s="11"/>
      <c r="D44" s="2"/>
      <c r="E44" s="2"/>
      <c r="F44" s="19">
        <f t="shared" si="4"/>
        <v>0</v>
      </c>
      <c r="G44" s="2"/>
      <c r="H44" s="2"/>
      <c r="I44" s="2"/>
      <c r="J44" s="19">
        <f t="shared" si="5"/>
        <v>0</v>
      </c>
      <c r="K44" s="2"/>
      <c r="L44" s="2">
        <f t="shared" si="6"/>
        <v>0</v>
      </c>
      <c r="M44" s="2"/>
      <c r="N44" s="19">
        <f t="shared" si="7"/>
        <v>0</v>
      </c>
      <c r="O44" s="11"/>
      <c r="P44" s="2">
        <v>-78.400000000000006</v>
      </c>
      <c r="Q44" s="2"/>
      <c r="R44" s="19">
        <f t="shared" si="8"/>
        <v>-2.7804113072376861E-5</v>
      </c>
      <c r="S44" s="2"/>
      <c r="T44" s="2"/>
      <c r="U44" s="2"/>
      <c r="V44" s="19">
        <f t="shared" si="9"/>
        <v>0</v>
      </c>
      <c r="W44" s="2"/>
      <c r="X44" s="2">
        <f t="shared" si="10"/>
        <v>-78.400000000000006</v>
      </c>
      <c r="Y44" s="2"/>
      <c r="Z44" s="19">
        <f t="shared" si="11"/>
        <v>0</v>
      </c>
    </row>
    <row r="45" spans="1:26" s="24" customFormat="1" hidden="1" outlineLevel="1" x14ac:dyDescent="0.25">
      <c r="A45" s="46"/>
      <c r="B45" s="11" t="str">
        <f>CONCATENATE("          ", "5004", " - ", "PURCHASES @ COST-DIGITAL TEXT")</f>
        <v xml:space="preserve">          5004 - PURCHASES @ COST-DIGITAL TEXT</v>
      </c>
      <c r="C45" s="11"/>
      <c r="D45" s="2">
        <v>50761.9</v>
      </c>
      <c r="E45" s="2"/>
      <c r="F45" s="19">
        <f t="shared" si="4"/>
        <v>8.7836861698787461E-2</v>
      </c>
      <c r="G45" s="2"/>
      <c r="H45" s="2"/>
      <c r="I45" s="2"/>
      <c r="J45" s="19">
        <f t="shared" si="5"/>
        <v>0</v>
      </c>
      <c r="K45" s="2"/>
      <c r="L45" s="2">
        <f t="shared" si="6"/>
        <v>50761.9</v>
      </c>
      <c r="M45" s="2"/>
      <c r="N45" s="19">
        <f t="shared" si="7"/>
        <v>0</v>
      </c>
      <c r="O45" s="11"/>
      <c r="P45" s="2">
        <v>353728.39</v>
      </c>
      <c r="Q45" s="2"/>
      <c r="R45" s="19">
        <f t="shared" si="8"/>
        <v>0.12544775704680894</v>
      </c>
      <c r="S45" s="2"/>
      <c r="T45" s="2"/>
      <c r="U45" s="2"/>
      <c r="V45" s="19">
        <f t="shared" si="9"/>
        <v>0</v>
      </c>
      <c r="W45" s="2"/>
      <c r="X45" s="2">
        <f t="shared" si="10"/>
        <v>353728.39</v>
      </c>
      <c r="Y45" s="2"/>
      <c r="Z45" s="19">
        <f t="shared" si="11"/>
        <v>0</v>
      </c>
    </row>
    <row r="46" spans="1:26" s="24" customFormat="1" hidden="1" outlineLevel="1" x14ac:dyDescent="0.25">
      <c r="A46" s="46"/>
      <c r="B46" s="11" t="str">
        <f>CONCATENATE("          ", "5011", " - ", "PURCHASES @ COST-NO VALUE TEXT")</f>
        <v xml:space="preserve">          5011 - PURCHASES @ COST-NO VALUE TEXT</v>
      </c>
      <c r="C46" s="11"/>
      <c r="D46" s="2">
        <v>2928</v>
      </c>
      <c r="E46" s="2"/>
      <c r="F46" s="19">
        <f t="shared" si="4"/>
        <v>5.0665229444534126E-3</v>
      </c>
      <c r="G46" s="2"/>
      <c r="H46" s="2"/>
      <c r="I46" s="2"/>
      <c r="J46" s="19">
        <f t="shared" si="5"/>
        <v>0</v>
      </c>
      <c r="K46" s="2"/>
      <c r="L46" s="2">
        <f t="shared" si="6"/>
        <v>2928</v>
      </c>
      <c r="M46" s="2"/>
      <c r="N46" s="19">
        <f t="shared" si="7"/>
        <v>0</v>
      </c>
      <c r="O46" s="11"/>
      <c r="P46" s="2">
        <v>3585</v>
      </c>
      <c r="Q46" s="2"/>
      <c r="R46" s="19">
        <f t="shared" si="8"/>
        <v>1.2713998133223347E-3</v>
      </c>
      <c r="S46" s="2"/>
      <c r="T46" s="2"/>
      <c r="U46" s="2"/>
      <c r="V46" s="19">
        <f t="shared" si="9"/>
        <v>0</v>
      </c>
      <c r="W46" s="2"/>
      <c r="X46" s="2">
        <f t="shared" si="10"/>
        <v>3585</v>
      </c>
      <c r="Y46" s="2"/>
      <c r="Z46" s="19">
        <f t="shared" si="11"/>
        <v>0</v>
      </c>
    </row>
    <row r="47" spans="1:26" s="24" customFormat="1" hidden="1" outlineLevel="1" x14ac:dyDescent="0.25">
      <c r="A47" s="46"/>
      <c r="B47" s="11" t="str">
        <f>CONCATENATE("          ", "5013", " - ", "PURCHASES @ COST-TRADE BOOKS")</f>
        <v xml:space="preserve">          5013 - PURCHASES @ COST-TRADE BOOKS</v>
      </c>
      <c r="C47" s="11"/>
      <c r="D47" s="2">
        <v>269.89</v>
      </c>
      <c r="E47" s="2"/>
      <c r="F47" s="19">
        <f t="shared" si="4"/>
        <v>4.6700952099676618E-4</v>
      </c>
      <c r="G47" s="2"/>
      <c r="H47" s="2"/>
      <c r="I47" s="2"/>
      <c r="J47" s="19">
        <f t="shared" si="5"/>
        <v>0</v>
      </c>
      <c r="K47" s="2"/>
      <c r="L47" s="2">
        <f t="shared" si="6"/>
        <v>269.89</v>
      </c>
      <c r="M47" s="2"/>
      <c r="N47" s="19">
        <f t="shared" si="7"/>
        <v>0</v>
      </c>
      <c r="O47" s="11"/>
      <c r="P47" s="2">
        <v>474.79</v>
      </c>
      <c r="Q47" s="2"/>
      <c r="R47" s="19">
        <f t="shared" si="8"/>
        <v>1.683815669085945E-4</v>
      </c>
      <c r="S47" s="2"/>
      <c r="T47" s="2"/>
      <c r="U47" s="2"/>
      <c r="V47" s="19">
        <f t="shared" si="9"/>
        <v>0</v>
      </c>
      <c r="W47" s="2"/>
      <c r="X47" s="2">
        <f t="shared" si="10"/>
        <v>474.79</v>
      </c>
      <c r="Y47" s="2"/>
      <c r="Z47" s="19">
        <f t="shared" si="11"/>
        <v>0</v>
      </c>
    </row>
    <row r="48" spans="1:26" s="24" customFormat="1" hidden="1" outlineLevel="1" x14ac:dyDescent="0.25">
      <c r="A48" s="46"/>
      <c r="B48" s="11" t="str">
        <f>CONCATENATE("          ", "5014", " - ", "PURCHASES @ COST-REMAINDERS")</f>
        <v xml:space="preserve">          5014 - PURCHASES @ COST-REMAINDERS</v>
      </c>
      <c r="C48" s="11"/>
      <c r="D48" s="2">
        <v>55.65</v>
      </c>
      <c r="E48" s="2"/>
      <c r="F48" s="19">
        <f t="shared" si="4"/>
        <v>9.6295082602060241E-5</v>
      </c>
      <c r="G48" s="2"/>
      <c r="H48" s="2"/>
      <c r="I48" s="2"/>
      <c r="J48" s="19">
        <f t="shared" si="5"/>
        <v>0</v>
      </c>
      <c r="K48" s="2"/>
      <c r="L48" s="2">
        <f t="shared" si="6"/>
        <v>55.65</v>
      </c>
      <c r="M48" s="2"/>
      <c r="N48" s="19">
        <f t="shared" si="7"/>
        <v>0</v>
      </c>
      <c r="O48" s="11"/>
      <c r="P48" s="2">
        <v>289.97000000000003</v>
      </c>
      <c r="Q48" s="2"/>
      <c r="R48" s="19">
        <f t="shared" si="8"/>
        <v>1.0283620749486121E-4</v>
      </c>
      <c r="S48" s="2"/>
      <c r="T48" s="2"/>
      <c r="U48" s="2"/>
      <c r="V48" s="19">
        <f t="shared" si="9"/>
        <v>0</v>
      </c>
      <c r="W48" s="2"/>
      <c r="X48" s="2">
        <f t="shared" si="10"/>
        <v>289.97000000000003</v>
      </c>
      <c r="Y48" s="2"/>
      <c r="Z48" s="19">
        <f t="shared" si="11"/>
        <v>0</v>
      </c>
    </row>
    <row r="49" spans="1:26" s="24" customFormat="1" hidden="1" outlineLevel="1" x14ac:dyDescent="0.25">
      <c r="A49" s="46"/>
      <c r="B49" s="11" t="str">
        <f>CONCATENATE("          ", "5018", " - ", "PURCHASES @ COST-STUDY GUIDES")</f>
        <v xml:space="preserve">          5018 - PURCHASES @ COST-STUDY GUIDES</v>
      </c>
      <c r="C49" s="11"/>
      <c r="D49" s="2"/>
      <c r="E49" s="2"/>
      <c r="F49" s="19">
        <f t="shared" si="4"/>
        <v>0</v>
      </c>
      <c r="G49" s="2"/>
      <c r="H49" s="2"/>
      <c r="I49" s="2"/>
      <c r="J49" s="19">
        <f t="shared" si="5"/>
        <v>0</v>
      </c>
      <c r="K49" s="2"/>
      <c r="L49" s="2">
        <f t="shared" si="6"/>
        <v>0</v>
      </c>
      <c r="M49" s="2"/>
      <c r="N49" s="19">
        <f t="shared" si="7"/>
        <v>0</v>
      </c>
      <c r="O49" s="11"/>
      <c r="P49" s="2">
        <v>503.93</v>
      </c>
      <c r="Q49" s="2"/>
      <c r="R49" s="19">
        <f t="shared" si="8"/>
        <v>1.7871590179289375E-4</v>
      </c>
      <c r="S49" s="2"/>
      <c r="T49" s="2"/>
      <c r="U49" s="2"/>
      <c r="V49" s="19">
        <f t="shared" si="9"/>
        <v>0</v>
      </c>
      <c r="W49" s="2"/>
      <c r="X49" s="2">
        <f t="shared" si="10"/>
        <v>503.93</v>
      </c>
      <c r="Y49" s="2"/>
      <c r="Z49" s="19">
        <f t="shared" si="11"/>
        <v>0</v>
      </c>
    </row>
    <row r="50" spans="1:26" s="24" customFormat="1" hidden="1" outlineLevel="1" x14ac:dyDescent="0.25">
      <c r="A50" s="46"/>
      <c r="B50" s="11" t="str">
        <f>CONCATENATE("          ", "5200", " - ", "PURCHASES OFFSET")</f>
        <v xml:space="preserve">          5200 - PURCHASES OFFSET</v>
      </c>
      <c r="C50" s="11"/>
      <c r="D50" s="2">
        <v>-53957</v>
      </c>
      <c r="E50" s="2"/>
      <c r="F50" s="19">
        <f t="shared" si="4"/>
        <v>-9.3365566432333597E-2</v>
      </c>
      <c r="G50" s="2"/>
      <c r="H50" s="2"/>
      <c r="I50" s="2"/>
      <c r="J50" s="19">
        <f t="shared" si="5"/>
        <v>0</v>
      </c>
      <c r="K50" s="2"/>
      <c r="L50" s="2">
        <f t="shared" si="6"/>
        <v>-53957</v>
      </c>
      <c r="M50" s="2"/>
      <c r="N50" s="19">
        <f t="shared" si="7"/>
        <v>0</v>
      </c>
      <c r="O50" s="11"/>
      <c r="P50" s="2">
        <v>-2003459</v>
      </c>
      <c r="Q50" s="2"/>
      <c r="R50" s="19">
        <f t="shared" si="8"/>
        <v>-0.7105153134167228</v>
      </c>
      <c r="S50" s="2"/>
      <c r="T50" s="2"/>
      <c r="U50" s="2"/>
      <c r="V50" s="19">
        <f t="shared" si="9"/>
        <v>0</v>
      </c>
      <c r="W50" s="2"/>
      <c r="X50" s="2">
        <f t="shared" si="10"/>
        <v>-2003459</v>
      </c>
      <c r="Y50" s="2"/>
      <c r="Z50" s="19">
        <f t="shared" si="11"/>
        <v>0</v>
      </c>
    </row>
    <row r="51" spans="1:26" s="24" customFormat="1" hidden="1" outlineLevel="1" x14ac:dyDescent="0.25">
      <c r="A51" s="46"/>
      <c r="B51" s="11" t="str">
        <f>CONCATENATE("          ", "5300", " - ", "COG$ OFFSET")</f>
        <v xml:space="preserve">          5300 - COG$ OFFSET</v>
      </c>
      <c r="C51" s="11"/>
      <c r="D51" s="2">
        <v>290960</v>
      </c>
      <c r="E51" s="2"/>
      <c r="F51" s="19">
        <f t="shared" si="4"/>
        <v>0.50346841390647712</v>
      </c>
      <c r="G51" s="2"/>
      <c r="H51" s="2"/>
      <c r="I51" s="2"/>
      <c r="J51" s="19">
        <f t="shared" si="5"/>
        <v>0</v>
      </c>
      <c r="K51" s="2"/>
      <c r="L51" s="2">
        <f t="shared" si="6"/>
        <v>290960</v>
      </c>
      <c r="M51" s="2"/>
      <c r="N51" s="19">
        <f t="shared" si="7"/>
        <v>0</v>
      </c>
      <c r="O51" s="11"/>
      <c r="P51" s="2">
        <v>1393883</v>
      </c>
      <c r="Q51" s="2"/>
      <c r="R51" s="19">
        <f t="shared" si="8"/>
        <v>0.49433265997020243</v>
      </c>
      <c r="S51" s="2"/>
      <c r="T51" s="2"/>
      <c r="U51" s="2"/>
      <c r="V51" s="19">
        <f t="shared" si="9"/>
        <v>0</v>
      </c>
      <c r="W51" s="2"/>
      <c r="X51" s="2">
        <f t="shared" si="10"/>
        <v>1393883</v>
      </c>
      <c r="Y51" s="2"/>
      <c r="Z51" s="19">
        <f t="shared" si="11"/>
        <v>0</v>
      </c>
    </row>
    <row r="52" spans="1:26" s="24" customFormat="1" hidden="1" outlineLevel="1" x14ac:dyDescent="0.25">
      <c r="A52" s="46"/>
      <c r="B52" s="11" t="str">
        <f>CONCATENATE("          ", "5501", " - ", "FREIGHT-IN-NEW TEXT")</f>
        <v xml:space="preserve">          5501 - FREIGHT-IN-NEW TEXT</v>
      </c>
      <c r="C52" s="11"/>
      <c r="D52" s="2">
        <v>13859.22</v>
      </c>
      <c r="E52" s="2"/>
      <c r="F52" s="19">
        <f t="shared" si="4"/>
        <v>2.3981576544476645E-2</v>
      </c>
      <c r="G52" s="2"/>
      <c r="H52" s="2"/>
      <c r="I52" s="2"/>
      <c r="J52" s="19">
        <f t="shared" si="5"/>
        <v>0</v>
      </c>
      <c r="K52" s="2"/>
      <c r="L52" s="2">
        <f t="shared" si="6"/>
        <v>13859.22</v>
      </c>
      <c r="M52" s="2"/>
      <c r="N52" s="19">
        <f t="shared" si="7"/>
        <v>0</v>
      </c>
      <c r="O52" s="11"/>
      <c r="P52" s="2">
        <v>26583.46</v>
      </c>
      <c r="Q52" s="2"/>
      <c r="R52" s="19">
        <f t="shared" si="8"/>
        <v>9.4276725471301951E-3</v>
      </c>
      <c r="S52" s="2"/>
      <c r="T52" s="2"/>
      <c r="U52" s="2"/>
      <c r="V52" s="19">
        <f t="shared" si="9"/>
        <v>0</v>
      </c>
      <c r="W52" s="2"/>
      <c r="X52" s="2">
        <f t="shared" si="10"/>
        <v>26583.46</v>
      </c>
      <c r="Y52" s="2"/>
      <c r="Z52" s="19">
        <f t="shared" si="11"/>
        <v>0</v>
      </c>
    </row>
    <row r="53" spans="1:26" s="24" customFormat="1" hidden="1" outlineLevel="1" x14ac:dyDescent="0.25">
      <c r="A53" s="46"/>
      <c r="B53" s="11" t="str">
        <f>CONCATENATE("          ", "5502", " - ", "FREIGHT-IN-USED TEXT")</f>
        <v xml:space="preserve">          5502 - FREIGHT-IN-USED TEXT</v>
      </c>
      <c r="C53" s="11"/>
      <c r="D53" s="2">
        <v>1998.66</v>
      </c>
      <c r="E53" s="2"/>
      <c r="F53" s="19">
        <f t="shared" si="4"/>
        <v>3.4584210205468777E-3</v>
      </c>
      <c r="G53" s="2"/>
      <c r="H53" s="2"/>
      <c r="I53" s="2"/>
      <c r="J53" s="19">
        <f t="shared" si="5"/>
        <v>0</v>
      </c>
      <c r="K53" s="2"/>
      <c r="L53" s="2">
        <f t="shared" si="6"/>
        <v>1998.66</v>
      </c>
      <c r="M53" s="2"/>
      <c r="N53" s="19">
        <f t="shared" si="7"/>
        <v>0</v>
      </c>
      <c r="O53" s="11"/>
      <c r="P53" s="2">
        <v>6261.17</v>
      </c>
      <c r="Q53" s="2"/>
      <c r="R53" s="19">
        <f t="shared" si="8"/>
        <v>2.2204882480277273E-3</v>
      </c>
      <c r="S53" s="2"/>
      <c r="T53" s="2"/>
      <c r="U53" s="2"/>
      <c r="V53" s="19">
        <f t="shared" si="9"/>
        <v>0</v>
      </c>
      <c r="W53" s="2"/>
      <c r="X53" s="2">
        <f t="shared" si="10"/>
        <v>6261.17</v>
      </c>
      <c r="Y53" s="2"/>
      <c r="Z53" s="19">
        <f t="shared" si="11"/>
        <v>0</v>
      </c>
    </row>
    <row r="54" spans="1:26" s="24" customFormat="1" hidden="1" outlineLevel="1" x14ac:dyDescent="0.25">
      <c r="A54" s="46"/>
      <c r="B54" s="11" t="str">
        <f>CONCATENATE("          ", "5504", " - ", "FREIGHT-IN-DIGITAL TEXT")</f>
        <v xml:space="preserve">          5504 - FREIGHT-IN-DIGITAL TEXT</v>
      </c>
      <c r="C54" s="11"/>
      <c r="D54" s="2"/>
      <c r="E54" s="2"/>
      <c r="F54" s="19">
        <f t="shared" si="4"/>
        <v>0</v>
      </c>
      <c r="G54" s="2"/>
      <c r="H54" s="2"/>
      <c r="I54" s="2"/>
      <c r="J54" s="19">
        <f t="shared" si="5"/>
        <v>0</v>
      </c>
      <c r="K54" s="2"/>
      <c r="L54" s="2">
        <f t="shared" si="6"/>
        <v>0</v>
      </c>
      <c r="M54" s="2"/>
      <c r="N54" s="19">
        <f t="shared" si="7"/>
        <v>0</v>
      </c>
      <c r="O54" s="11"/>
      <c r="P54" s="2">
        <v>7.03</v>
      </c>
      <c r="Q54" s="2"/>
      <c r="R54" s="19">
        <f t="shared" si="8"/>
        <v>2.4931494247297109E-6</v>
      </c>
      <c r="S54" s="2"/>
      <c r="T54" s="2"/>
      <c r="U54" s="2"/>
      <c r="V54" s="19">
        <f t="shared" si="9"/>
        <v>0</v>
      </c>
      <c r="W54" s="2"/>
      <c r="X54" s="2">
        <f t="shared" si="10"/>
        <v>7.03</v>
      </c>
      <c r="Y54" s="2"/>
      <c r="Z54" s="19">
        <f t="shared" si="11"/>
        <v>0</v>
      </c>
    </row>
    <row r="55" spans="1:26" x14ac:dyDescent="0.25">
      <c r="A55" s="9"/>
      <c r="B55" s="10"/>
      <c r="C55" s="10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O55" s="10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x14ac:dyDescent="0.25">
      <c r="A56" s="10"/>
      <c r="B56" s="29" t="s">
        <v>6</v>
      </c>
      <c r="C56" s="29"/>
      <c r="D56" s="22">
        <f>D12-D40</f>
        <v>147311.99000000028</v>
      </c>
      <c r="E56" s="14"/>
      <c r="F56" s="20">
        <f>IF(D$12=0,0,D56/D$12)</f>
        <v>0.25490422722953998</v>
      </c>
      <c r="G56" s="14"/>
      <c r="H56" s="22">
        <f>H12-H40</f>
        <v>159140.59000000003</v>
      </c>
      <c r="I56" s="14"/>
      <c r="J56" s="20">
        <f>IF(H$12=0,0,H56/H$12)</f>
        <v>0.2633892747967157</v>
      </c>
      <c r="K56" s="15"/>
      <c r="L56" s="22">
        <f>+D56-H56</f>
        <v>-11828.599999999744</v>
      </c>
      <c r="M56" s="15"/>
      <c r="N56" s="20">
        <f>IF(H56=0,0,L56/H56)</f>
        <v>-7.4327988855638544E-2</v>
      </c>
      <c r="O56" s="28"/>
      <c r="P56" s="22">
        <f>P12-P40</f>
        <v>751485.16999999736</v>
      </c>
      <c r="Q56" s="14"/>
      <c r="R56" s="20">
        <f>IF(P$12=0,0,P56/P$12)</f>
        <v>0.26650993161854941</v>
      </c>
      <c r="S56" s="14"/>
      <c r="T56" s="22">
        <f>T12-T40</f>
        <v>845830.35000000009</v>
      </c>
      <c r="U56" s="14"/>
      <c r="V56" s="20">
        <f>IF(T$12=0,0,T56/T$12)</f>
        <v>0.27740974257706308</v>
      </c>
      <c r="W56" s="15"/>
      <c r="X56" s="22">
        <f>+P56-T56</f>
        <v>-94345.180000002729</v>
      </c>
      <c r="Y56" s="15"/>
      <c r="Z56" s="20">
        <f>IF(T56=0,0,X56/T56)</f>
        <v>-0.11154149292467777</v>
      </c>
    </row>
    <row r="57" spans="1:26" x14ac:dyDescent="0.25">
      <c r="A57" s="9"/>
      <c r="B57" s="10"/>
      <c r="C57" s="9"/>
      <c r="D57" s="1"/>
      <c r="E57" s="1"/>
      <c r="F57" s="5"/>
      <c r="G57" s="1"/>
      <c r="H57" s="1"/>
      <c r="I57" s="1"/>
      <c r="J57" s="5"/>
      <c r="K57" s="1"/>
      <c r="L57" s="1"/>
      <c r="M57" s="1"/>
      <c r="N57" s="5"/>
      <c r="O57" s="36"/>
      <c r="P57" s="1"/>
      <c r="Q57" s="1"/>
      <c r="R57" s="5"/>
      <c r="S57" s="1"/>
      <c r="T57" s="1"/>
      <c r="U57" s="1"/>
      <c r="V57" s="5"/>
      <c r="W57" s="1"/>
      <c r="X57" s="1"/>
      <c r="Y57" s="1"/>
      <c r="Z57" s="5"/>
    </row>
    <row r="58" spans="1:26" s="23" customFormat="1" x14ac:dyDescent="0.25">
      <c r="A58" s="10"/>
      <c r="B58" s="28" t="s">
        <v>9</v>
      </c>
      <c r="C58" s="10"/>
      <c r="D58" s="21">
        <f>SUM(OSRRefD22x_0)</f>
        <v>23354.710000000003</v>
      </c>
      <c r="E58" s="21"/>
      <c r="F58" s="33">
        <f t="shared" ref="F58:F69" si="12">IF(D$12=0,0,D58/D$12)</f>
        <v>4.0412286228161058E-2</v>
      </c>
      <c r="G58" s="21"/>
      <c r="H58" s="21">
        <f>SUM(OSRRefH22x_0)</f>
        <v>51540.57500829787</v>
      </c>
      <c r="I58" s="21"/>
      <c r="J58" s="33">
        <f t="shared" ref="J58:J69" si="13">IF(H$12=0,0,H58/H$12)</f>
        <v>8.5303407974303122E-2</v>
      </c>
      <c r="K58" s="4"/>
      <c r="L58" s="21">
        <f t="shared" ref="L58:L69" si="14">+D58-H58</f>
        <v>-28185.865008297867</v>
      </c>
      <c r="M58" s="4"/>
      <c r="N58" s="33">
        <f t="shared" ref="N58:N69" si="15">IF(H58=0,0,L58/H58)</f>
        <v>-0.54686749233511722</v>
      </c>
      <c r="O58" s="10"/>
      <c r="P58" s="21">
        <f>SUM(OSRRefP22x_0)</f>
        <v>116991.76999999999</v>
      </c>
      <c r="Q58" s="21"/>
      <c r="R58" s="33">
        <f t="shared" ref="R58:R69" si="16">IF(P$12=0,0,P58/P$12)</f>
        <v>4.1490464306345745E-2</v>
      </c>
      <c r="S58" s="21"/>
      <c r="T58" s="21">
        <f>SUM(OSRRefT22x_0)</f>
        <v>164428.498059968</v>
      </c>
      <c r="U58" s="21"/>
      <c r="V58" s="33">
        <f t="shared" ref="V58:V69" si="17">IF(T$12=0,0,T58/T$12)</f>
        <v>5.3928151572178555E-2</v>
      </c>
      <c r="W58" s="4"/>
      <c r="X58" s="21">
        <f t="shared" ref="X58:X69" si="18">+P58-T58</f>
        <v>-47436.728059968009</v>
      </c>
      <c r="Y58" s="4"/>
      <c r="Z58" s="33">
        <f t="shared" ref="Z58:Z69" si="19">IF(T58=0,0,X58/T58)</f>
        <v>-0.28849456523447392</v>
      </c>
    </row>
    <row r="59" spans="1:26" s="26" customFormat="1" outlineLevel="1" collapsed="1" x14ac:dyDescent="0.25">
      <c r="A59" s="27"/>
      <c r="B59" s="13" t="str">
        <f>CONCATENATE("     ","*Benefits                                         ")</f>
        <v xml:space="preserve">     *Benefits                                         </v>
      </c>
      <c r="C59" s="13"/>
      <c r="D59" s="1">
        <f>SUM(OSRRefD22_0x_0)</f>
        <v>9413.4500000000007</v>
      </c>
      <c r="E59" s="1"/>
      <c r="F59" s="5">
        <f t="shared" si="12"/>
        <v>1.6288750140527657E-2</v>
      </c>
      <c r="G59" s="1"/>
      <c r="H59" s="1">
        <f>SUM(OSRRefH22_0x_0)</f>
        <v>12040.927792574774</v>
      </c>
      <c r="I59" s="1"/>
      <c r="J59" s="5">
        <f t="shared" si="13"/>
        <v>1.9928613053187046E-2</v>
      </c>
      <c r="K59" s="1"/>
      <c r="L59" s="1">
        <f t="shared" si="14"/>
        <v>-2627.477792574773</v>
      </c>
      <c r="M59" s="1"/>
      <c r="N59" s="5">
        <f t="shared" si="15"/>
        <v>-0.2182122372824998</v>
      </c>
      <c r="O59" s="13"/>
      <c r="P59" s="1">
        <f>SUM(OSRRefP22_0x_0)</f>
        <v>30333.209999999992</v>
      </c>
      <c r="Q59" s="1"/>
      <c r="R59" s="5">
        <f t="shared" si="16"/>
        <v>1.0757500008777452E-2</v>
      </c>
      <c r="S59" s="1"/>
      <c r="T59" s="1">
        <f>SUM(OSRRefT22_0x_0)</f>
        <v>38774.389608867998</v>
      </c>
      <c r="U59" s="1"/>
      <c r="V59" s="5">
        <f t="shared" si="17"/>
        <v>1.2716963206603807E-2</v>
      </c>
      <c r="W59" s="1"/>
      <c r="X59" s="1">
        <f t="shared" si="18"/>
        <v>-8441.1796088680057</v>
      </c>
      <c r="Y59" s="1"/>
      <c r="Z59" s="5">
        <f t="shared" si="19"/>
        <v>-0.21769987081724282</v>
      </c>
    </row>
    <row r="60" spans="1:26" s="24" customFormat="1" hidden="1" outlineLevel="2" x14ac:dyDescent="0.25">
      <c r="A60" s="25"/>
      <c r="B60" s="11" t="str">
        <f>CONCATENATE("          ", "6111", " - ", "F.I.C.A.")</f>
        <v xml:space="preserve">          6111 - F.I.C.A.</v>
      </c>
      <c r="C60" s="11"/>
      <c r="D60" s="7">
        <v>1409.9</v>
      </c>
      <c r="E60" s="2"/>
      <c r="F60" s="6">
        <f t="shared" si="12"/>
        <v>2.4396484629046677E-3</v>
      </c>
      <c r="G60" s="2"/>
      <c r="H60" s="7">
        <v>1602.9579046486201</v>
      </c>
      <c r="I60" s="2"/>
      <c r="J60" s="6">
        <f t="shared" si="13"/>
        <v>2.6530121575838255E-3</v>
      </c>
      <c r="K60" s="2"/>
      <c r="L60" s="7">
        <f t="shared" si="14"/>
        <v>-193.05790464862002</v>
      </c>
      <c r="M60" s="2"/>
      <c r="N60" s="6">
        <f t="shared" si="15"/>
        <v>-0.12043853683789638</v>
      </c>
      <c r="O60" s="11"/>
      <c r="P60" s="7">
        <v>4796.1499999999996</v>
      </c>
      <c r="Q60" s="2"/>
      <c r="R60" s="6">
        <f t="shared" si="16"/>
        <v>1.7009272565316359E-3</v>
      </c>
      <c r="S60" s="2"/>
      <c r="T60" s="7">
        <v>5824.3404151080103</v>
      </c>
      <c r="U60" s="2"/>
      <c r="V60" s="6">
        <f t="shared" si="17"/>
        <v>1.9102279496547951E-3</v>
      </c>
      <c r="W60" s="2"/>
      <c r="X60" s="7">
        <f t="shared" si="18"/>
        <v>-1028.1904151080107</v>
      </c>
      <c r="Y60" s="2"/>
      <c r="Z60" s="6">
        <f t="shared" si="19"/>
        <v>-0.17653336546760603</v>
      </c>
    </row>
    <row r="61" spans="1:26" s="24" customFormat="1" hidden="1" outlineLevel="2" x14ac:dyDescent="0.25">
      <c r="A61" s="25"/>
      <c r="B61" s="11" t="str">
        <f>CONCATENATE("          ", "6112", " - ", "COMPENSATION INSURANCE")</f>
        <v xml:space="preserve">          6112 - COMPENSATION INSURANCE</v>
      </c>
      <c r="C61" s="11"/>
      <c r="D61" s="7">
        <v>74.67</v>
      </c>
      <c r="E61" s="2"/>
      <c r="F61" s="6">
        <f t="shared" si="12"/>
        <v>1.2920671730271048E-4</v>
      </c>
      <c r="G61" s="2"/>
      <c r="H61" s="7">
        <v>576.15949950769198</v>
      </c>
      <c r="I61" s="2"/>
      <c r="J61" s="6">
        <f t="shared" si="13"/>
        <v>9.5358596284310403E-4</v>
      </c>
      <c r="K61" s="2"/>
      <c r="L61" s="7">
        <f t="shared" si="14"/>
        <v>-501.48949950769196</v>
      </c>
      <c r="M61" s="2"/>
      <c r="N61" s="6">
        <f t="shared" si="15"/>
        <v>-0.87040047059225278</v>
      </c>
      <c r="O61" s="11"/>
      <c r="P61" s="7">
        <v>256.11</v>
      </c>
      <c r="Q61" s="2"/>
      <c r="R61" s="6">
        <f t="shared" si="16"/>
        <v>9.0827951517429047E-5</v>
      </c>
      <c r="S61" s="2"/>
      <c r="T61" s="7">
        <v>1914.8457183999992</v>
      </c>
      <c r="U61" s="2"/>
      <c r="V61" s="6">
        <f t="shared" si="17"/>
        <v>6.280182046153051E-4</v>
      </c>
      <c r="W61" s="2"/>
      <c r="X61" s="7">
        <f t="shared" si="18"/>
        <v>-1658.7357183999993</v>
      </c>
      <c r="Y61" s="2"/>
      <c r="Z61" s="6">
        <f t="shared" si="19"/>
        <v>-0.86625032108905387</v>
      </c>
    </row>
    <row r="62" spans="1:26" s="24" customFormat="1" hidden="1" outlineLevel="2" x14ac:dyDescent="0.25">
      <c r="A62" s="25"/>
      <c r="B62" s="11" t="str">
        <f>CONCATENATE("          ", "6113", " - ", "GROUP INSURANCE")</f>
        <v xml:space="preserve">          6113 - GROUP INSURANCE</v>
      </c>
      <c r="C62" s="11"/>
      <c r="D62" s="7">
        <v>4168.57</v>
      </c>
      <c r="E62" s="2"/>
      <c r="F62" s="6">
        <f t="shared" si="12"/>
        <v>7.2131678792896718E-3</v>
      </c>
      <c r="G62" s="2"/>
      <c r="H62" s="7">
        <v>5311.7692307692296</v>
      </c>
      <c r="I62" s="2"/>
      <c r="J62" s="6">
        <f t="shared" si="13"/>
        <v>8.7913652046898629E-3</v>
      </c>
      <c r="K62" s="2"/>
      <c r="L62" s="7">
        <f t="shared" si="14"/>
        <v>-1143.1992307692299</v>
      </c>
      <c r="M62" s="2"/>
      <c r="N62" s="6">
        <f t="shared" si="15"/>
        <v>-0.21522004836864425</v>
      </c>
      <c r="O62" s="11"/>
      <c r="P62" s="7">
        <v>12505.71</v>
      </c>
      <c r="Q62" s="2"/>
      <c r="R62" s="6">
        <f t="shared" si="16"/>
        <v>4.4350787613565562E-3</v>
      </c>
      <c r="S62" s="2"/>
      <c r="T62" s="7">
        <v>16407</v>
      </c>
      <c r="U62" s="2"/>
      <c r="V62" s="6">
        <f t="shared" si="17"/>
        <v>5.3810573792509022E-3</v>
      </c>
      <c r="W62" s="2"/>
      <c r="X62" s="7">
        <f t="shared" si="18"/>
        <v>-3901.2900000000009</v>
      </c>
      <c r="Y62" s="2"/>
      <c r="Z62" s="6">
        <f t="shared" si="19"/>
        <v>-0.2377820442494058</v>
      </c>
    </row>
    <row r="63" spans="1:26" s="24" customFormat="1" hidden="1" outlineLevel="2" x14ac:dyDescent="0.25">
      <c r="A63" s="25"/>
      <c r="B63" s="11" t="str">
        <f>CONCATENATE("          ", "6114", " - ", "STATE UNEMPLOYMENT INSURANCE")</f>
        <v xml:space="preserve">          6114 - STATE UNEMPLOYMENT INSURANCE</v>
      </c>
      <c r="C63" s="11"/>
      <c r="D63" s="7">
        <v>57.1</v>
      </c>
      <c r="E63" s="2"/>
      <c r="F63" s="6">
        <f t="shared" si="12"/>
        <v>9.880411889627386E-5</v>
      </c>
      <c r="G63" s="2"/>
      <c r="H63" s="7">
        <v>78.842878880000001</v>
      </c>
      <c r="I63" s="2"/>
      <c r="J63" s="6">
        <f t="shared" si="13"/>
        <v>1.3049071070484589E-4</v>
      </c>
      <c r="K63" s="2"/>
      <c r="L63" s="7">
        <f t="shared" si="14"/>
        <v>-21.742878879999999</v>
      </c>
      <c r="M63" s="2"/>
      <c r="N63" s="6">
        <f t="shared" si="15"/>
        <v>-0.27577479651767883</v>
      </c>
      <c r="O63" s="11"/>
      <c r="P63" s="7">
        <v>170.53</v>
      </c>
      <c r="Q63" s="2"/>
      <c r="R63" s="6">
        <f t="shared" si="16"/>
        <v>6.0477492375413591E-5</v>
      </c>
      <c r="S63" s="2"/>
      <c r="T63" s="7">
        <v>262.03151936</v>
      </c>
      <c r="U63" s="2"/>
      <c r="V63" s="6">
        <f t="shared" si="17"/>
        <v>8.5939333263147051E-5</v>
      </c>
      <c r="W63" s="2"/>
      <c r="X63" s="7">
        <f t="shared" si="18"/>
        <v>-91.501519360000003</v>
      </c>
      <c r="Y63" s="2"/>
      <c r="Z63" s="6">
        <f t="shared" si="19"/>
        <v>-0.34920043048060889</v>
      </c>
    </row>
    <row r="64" spans="1:26" s="24" customFormat="1" hidden="1" outlineLevel="2" x14ac:dyDescent="0.25">
      <c r="A64" s="25"/>
      <c r="B64" s="11" t="str">
        <f>CONCATENATE("          ", "6115", " - ", "P.E.R.S.")</f>
        <v xml:space="preserve">          6115 - P.E.R.S.</v>
      </c>
      <c r="C64" s="11"/>
      <c r="D64" s="7">
        <v>1325.86</v>
      </c>
      <c r="E64" s="2"/>
      <c r="F64" s="6">
        <f t="shared" si="12"/>
        <v>2.2942281800317627E-3</v>
      </c>
      <c r="G64" s="2"/>
      <c r="H64" s="7">
        <v>1235.9586478769202</v>
      </c>
      <c r="I64" s="2"/>
      <c r="J64" s="6">
        <f t="shared" si="13"/>
        <v>2.0456016403045335E-3</v>
      </c>
      <c r="K64" s="2"/>
      <c r="L64" s="7">
        <f t="shared" si="14"/>
        <v>89.901352123079732</v>
      </c>
      <c r="M64" s="2"/>
      <c r="N64" s="6">
        <f t="shared" si="15"/>
        <v>7.273815533999349E-2</v>
      </c>
      <c r="O64" s="11"/>
      <c r="P64" s="7">
        <v>3977.58</v>
      </c>
      <c r="Q64" s="2"/>
      <c r="R64" s="6">
        <f t="shared" si="16"/>
        <v>1.4106260723778666E-3</v>
      </c>
      <c r="S64" s="2"/>
      <c r="T64" s="7">
        <v>4016.86560559999</v>
      </c>
      <c r="U64" s="2"/>
      <c r="V64" s="6">
        <f t="shared" si="17"/>
        <v>1.3174245327282849E-3</v>
      </c>
      <c r="W64" s="2"/>
      <c r="X64" s="7">
        <f t="shared" si="18"/>
        <v>-39.285605599990049</v>
      </c>
      <c r="Y64" s="2"/>
      <c r="Z64" s="6">
        <f t="shared" si="19"/>
        <v>-9.7801643015442748E-3</v>
      </c>
    </row>
    <row r="65" spans="1:26" s="24" customFormat="1" hidden="1" outlineLevel="2" x14ac:dyDescent="0.25">
      <c r="A65" s="25"/>
      <c r="B65" s="11" t="str">
        <f>CONCATENATE("          ", "6116", " - ", "EDUCATIONAL BENEFITS")</f>
        <v xml:space="preserve">          6116 - EDUCATIONAL BENEFITS</v>
      </c>
      <c r="C65" s="11"/>
      <c r="D65" s="7"/>
      <c r="E65" s="2"/>
      <c r="F65" s="6">
        <f t="shared" si="12"/>
        <v>0</v>
      </c>
      <c r="G65" s="2"/>
      <c r="H65" s="7">
        <v>0</v>
      </c>
      <c r="I65" s="2"/>
      <c r="J65" s="6">
        <f t="shared" si="13"/>
        <v>0</v>
      </c>
      <c r="K65" s="2"/>
      <c r="L65" s="7">
        <f t="shared" si="14"/>
        <v>0</v>
      </c>
      <c r="M65" s="2"/>
      <c r="N65" s="6">
        <f t="shared" si="15"/>
        <v>0</v>
      </c>
      <c r="O65" s="11"/>
      <c r="P65" s="7"/>
      <c r="Q65" s="2"/>
      <c r="R65" s="6">
        <f t="shared" si="16"/>
        <v>0</v>
      </c>
      <c r="S65" s="2"/>
      <c r="T65" s="7">
        <v>0</v>
      </c>
      <c r="U65" s="2"/>
      <c r="V65" s="6">
        <f t="shared" si="17"/>
        <v>0</v>
      </c>
      <c r="W65" s="2"/>
      <c r="X65" s="7">
        <f t="shared" si="18"/>
        <v>0</v>
      </c>
      <c r="Y65" s="2"/>
      <c r="Z65" s="6">
        <f t="shared" si="19"/>
        <v>0</v>
      </c>
    </row>
    <row r="66" spans="1:26" s="24" customFormat="1" hidden="1" outlineLevel="2" x14ac:dyDescent="0.25">
      <c r="A66" s="25"/>
      <c r="B66" s="11" t="str">
        <f>CONCATENATE("          ", "6117", " - ", "RETIREMENT STAFF HOURLY")</f>
        <v xml:space="preserve">          6117 - RETIREMENT STAFF HOURLY</v>
      </c>
      <c r="C66" s="11"/>
      <c r="D66" s="7">
        <v>145.97</v>
      </c>
      <c r="E66" s="2"/>
      <c r="F66" s="6">
        <f t="shared" si="12"/>
        <v>2.5258208818369695E-4</v>
      </c>
      <c r="G66" s="2"/>
      <c r="H66" s="7"/>
      <c r="I66" s="2"/>
      <c r="J66" s="6">
        <f t="shared" si="13"/>
        <v>0</v>
      </c>
      <c r="K66" s="2"/>
      <c r="L66" s="7">
        <f t="shared" si="14"/>
        <v>145.97</v>
      </c>
      <c r="M66" s="2"/>
      <c r="N66" s="6">
        <f t="shared" si="15"/>
        <v>0</v>
      </c>
      <c r="O66" s="11"/>
      <c r="P66" s="7">
        <v>461.34</v>
      </c>
      <c r="Q66" s="2"/>
      <c r="R66" s="6">
        <f t="shared" si="16"/>
        <v>1.6361160108176452E-4</v>
      </c>
      <c r="S66" s="2"/>
      <c r="T66" s="7"/>
      <c r="U66" s="2"/>
      <c r="V66" s="6">
        <f t="shared" si="17"/>
        <v>0</v>
      </c>
      <c r="W66" s="2"/>
      <c r="X66" s="7">
        <f t="shared" si="18"/>
        <v>461.34</v>
      </c>
      <c r="Y66" s="2"/>
      <c r="Z66" s="6">
        <f t="shared" si="19"/>
        <v>0</v>
      </c>
    </row>
    <row r="67" spans="1:26" s="24" customFormat="1" hidden="1" outlineLevel="2" x14ac:dyDescent="0.25">
      <c r="A67" s="25"/>
      <c r="B67" s="11" t="str">
        <f>CONCATENATE("          ", "6118", " - ", "VACATION")</f>
        <v xml:space="preserve">          6118 - VACATION</v>
      </c>
      <c r="C67" s="11"/>
      <c r="D67" s="7">
        <v>819.89</v>
      </c>
      <c r="E67" s="2"/>
      <c r="F67" s="6">
        <f t="shared" si="12"/>
        <v>1.4187129429398594E-3</v>
      </c>
      <c r="G67" s="2"/>
      <c r="H67" s="7">
        <v>1427.9603583999999</v>
      </c>
      <c r="I67" s="2"/>
      <c r="J67" s="6">
        <f t="shared" si="13"/>
        <v>2.3633784645226853E-3</v>
      </c>
      <c r="K67" s="2"/>
      <c r="L67" s="7">
        <f t="shared" si="14"/>
        <v>-608.07035839999992</v>
      </c>
      <c r="M67" s="2"/>
      <c r="N67" s="6">
        <f t="shared" si="15"/>
        <v>-0.42583139988656982</v>
      </c>
      <c r="O67" s="11"/>
      <c r="P67" s="7">
        <v>3094.35</v>
      </c>
      <c r="Q67" s="2"/>
      <c r="R67" s="6">
        <f t="shared" si="16"/>
        <v>1.097393587825374E-3</v>
      </c>
      <c r="S67" s="2"/>
      <c r="T67" s="7">
        <v>4640.8711647999999</v>
      </c>
      <c r="U67" s="2"/>
      <c r="V67" s="6">
        <f t="shared" si="17"/>
        <v>1.522081674132978E-3</v>
      </c>
      <c r="W67" s="2"/>
      <c r="X67" s="7">
        <f t="shared" si="18"/>
        <v>-1546.5211648</v>
      </c>
      <c r="Y67" s="2"/>
      <c r="Z67" s="6">
        <f t="shared" si="19"/>
        <v>-0.33323940912861949</v>
      </c>
    </row>
    <row r="68" spans="1:26" s="24" customFormat="1" hidden="1" outlineLevel="2" x14ac:dyDescent="0.25">
      <c r="A68" s="25"/>
      <c r="B68" s="11" t="str">
        <f>CONCATENATE("          ", "6119", " - ", "SICK LEAVE")</f>
        <v xml:space="preserve">          6119 - SICK LEAVE</v>
      </c>
      <c r="C68" s="11"/>
      <c r="D68" s="7">
        <v>801.74</v>
      </c>
      <c r="E68" s="2"/>
      <c r="F68" s="6">
        <f t="shared" si="12"/>
        <v>1.3873067300157374E-3</v>
      </c>
      <c r="G68" s="2"/>
      <c r="H68" s="7">
        <v>1057.2792724923102</v>
      </c>
      <c r="I68" s="2"/>
      <c r="J68" s="6">
        <f t="shared" si="13"/>
        <v>1.7498742516874463E-3</v>
      </c>
      <c r="K68" s="2"/>
      <c r="L68" s="7">
        <f t="shared" si="14"/>
        <v>-255.53927249231015</v>
      </c>
      <c r="M68" s="2"/>
      <c r="N68" s="6">
        <f t="shared" si="15"/>
        <v>-0.24169515012805545</v>
      </c>
      <c r="O68" s="11"/>
      <c r="P68" s="7">
        <v>3314.02</v>
      </c>
      <c r="Q68" s="2"/>
      <c r="R68" s="6">
        <f t="shared" si="16"/>
        <v>1.1752983010729382E-3</v>
      </c>
      <c r="S68" s="2"/>
      <c r="T68" s="7">
        <v>3458.4351855999998</v>
      </c>
      <c r="U68" s="2"/>
      <c r="V68" s="6">
        <f t="shared" si="17"/>
        <v>1.1342742839113697E-3</v>
      </c>
      <c r="W68" s="2"/>
      <c r="X68" s="7">
        <f t="shared" si="18"/>
        <v>-144.41518559999986</v>
      </c>
      <c r="Y68" s="2"/>
      <c r="Z68" s="6">
        <f t="shared" si="19"/>
        <v>-4.1757378077029207E-2</v>
      </c>
    </row>
    <row r="69" spans="1:26" s="24" customFormat="1" hidden="1" outlineLevel="2" x14ac:dyDescent="0.25">
      <c r="A69" s="25"/>
      <c r="B69" s="11" t="str">
        <f>CONCATENATE("          ", "6156", " - ", "EMPLOYEE MEALS")</f>
        <v xml:space="preserve">          6156 - EMPLOYEE MEALS</v>
      </c>
      <c r="C69" s="11"/>
      <c r="D69" s="7">
        <v>609.75</v>
      </c>
      <c r="E69" s="2"/>
      <c r="F69" s="6">
        <f t="shared" si="12"/>
        <v>1.0550930209632747E-3</v>
      </c>
      <c r="G69" s="2"/>
      <c r="H69" s="7">
        <v>750</v>
      </c>
      <c r="I69" s="2"/>
      <c r="J69" s="6">
        <f t="shared" si="13"/>
        <v>1.2413046608507406E-3</v>
      </c>
      <c r="K69" s="2"/>
      <c r="L69" s="7">
        <f t="shared" si="14"/>
        <v>-140.25</v>
      </c>
      <c r="M69" s="2"/>
      <c r="N69" s="6">
        <f t="shared" si="15"/>
        <v>-0.187</v>
      </c>
      <c r="O69" s="11"/>
      <c r="P69" s="7">
        <v>1757.42</v>
      </c>
      <c r="Q69" s="2"/>
      <c r="R69" s="6">
        <f t="shared" si="16"/>
        <v>6.2325898463847624E-4</v>
      </c>
      <c r="S69" s="2"/>
      <c r="T69" s="7">
        <v>2250</v>
      </c>
      <c r="U69" s="2"/>
      <c r="V69" s="6">
        <f t="shared" si="17"/>
        <v>7.3793984904702448E-4</v>
      </c>
      <c r="W69" s="2"/>
      <c r="X69" s="7">
        <f t="shared" si="18"/>
        <v>-492.57999999999993</v>
      </c>
      <c r="Y69" s="2"/>
      <c r="Z69" s="6">
        <f t="shared" si="19"/>
        <v>-0.21892444444444442</v>
      </c>
    </row>
    <row r="70" spans="1:26" s="26" customFormat="1" outlineLevel="1" collapsed="1" x14ac:dyDescent="0.25">
      <c r="A70" s="27"/>
      <c r="B70" s="13" t="str">
        <f>CONCATENATE("     ","*Payroll                                          ")</f>
        <v xml:space="preserve">     *Payroll                                          </v>
      </c>
      <c r="C70" s="13"/>
      <c r="D70" s="1">
        <f>SUM(OSRRefD22_1x_0)</f>
        <v>19518.63</v>
      </c>
      <c r="E70" s="1"/>
      <c r="F70" s="5">
        <f t="shared" ref="F70:F80" si="20">IF(D$12=0,0,D70/D$12)</f>
        <v>3.3774449022983849E-2</v>
      </c>
      <c r="G70" s="1"/>
      <c r="H70" s="1">
        <f>SUM(OSRRefH22_1x_0)</f>
        <v>28009.6472157231</v>
      </c>
      <c r="I70" s="1"/>
      <c r="J70" s="5">
        <f t="shared" ref="J70:J80" si="21">IF(H$12=0,0,H70/H$12)</f>
        <v>4.6358007516882738E-2</v>
      </c>
      <c r="K70" s="1"/>
      <c r="L70" s="1">
        <f t="shared" ref="L70:L80" si="22">+D70-H70</f>
        <v>-8491.0172157230991</v>
      </c>
      <c r="M70" s="1"/>
      <c r="N70" s="5">
        <f t="shared" ref="N70:N80" si="23">IF(H70=0,0,L70/H70)</f>
        <v>-0.30314616783022891</v>
      </c>
      <c r="O70" s="13"/>
      <c r="P70" s="1">
        <f>SUM(OSRRefP22_1x_0)</f>
        <v>70061.78</v>
      </c>
      <c r="Q70" s="1"/>
      <c r="R70" s="5">
        <f t="shared" ref="R70:R80" si="24">IF(P$12=0,0,P70/P$12)</f>
        <v>2.4847010882295809E-2</v>
      </c>
      <c r="S70" s="1"/>
      <c r="T70" s="1">
        <f>SUM(OSRRefT22_1x_0)</f>
        <v>93259.108451099994</v>
      </c>
      <c r="U70" s="1"/>
      <c r="V70" s="5">
        <f t="shared" ref="V70:V80" si="25">IF(T$12=0,0,T70/T$12)</f>
        <v>3.0586494405628807E-2</v>
      </c>
      <c r="W70" s="1"/>
      <c r="X70" s="1">
        <f t="shared" ref="X70:X80" si="26">+P70-T70</f>
        <v>-23197.328451099995</v>
      </c>
      <c r="Y70" s="1"/>
      <c r="Z70" s="5">
        <f t="shared" ref="Z70:Z80" si="27">IF(T70=0,0,X70/T70)</f>
        <v>-0.24874061993916027</v>
      </c>
    </row>
    <row r="71" spans="1:26" s="24" customFormat="1" hidden="1" outlineLevel="2" x14ac:dyDescent="0.25">
      <c r="A71" s="25"/>
      <c r="B71" s="11" t="str">
        <f>CONCATENATE("          ", "6001", " - ", "ADMINISTRATIVE SALARIES")</f>
        <v xml:space="preserve">          6001 - ADMINISTRATIVE SALARIES</v>
      </c>
      <c r="C71" s="11"/>
      <c r="D71" s="7"/>
      <c r="E71" s="2"/>
      <c r="F71" s="6">
        <f t="shared" si="20"/>
        <v>0</v>
      </c>
      <c r="G71" s="2"/>
      <c r="H71" s="7">
        <v>0</v>
      </c>
      <c r="I71" s="2"/>
      <c r="J71" s="6">
        <f t="shared" si="21"/>
        <v>0</v>
      </c>
      <c r="K71" s="2"/>
      <c r="L71" s="7">
        <f t="shared" si="22"/>
        <v>0</v>
      </c>
      <c r="M71" s="2"/>
      <c r="N71" s="6">
        <f t="shared" si="23"/>
        <v>0</v>
      </c>
      <c r="O71" s="11"/>
      <c r="P71" s="7"/>
      <c r="Q71" s="2"/>
      <c r="R71" s="6">
        <f t="shared" si="24"/>
        <v>0</v>
      </c>
      <c r="S71" s="2"/>
      <c r="T71" s="7">
        <v>0</v>
      </c>
      <c r="U71" s="2"/>
      <c r="V71" s="6">
        <f t="shared" si="25"/>
        <v>0</v>
      </c>
      <c r="W71" s="2"/>
      <c r="X71" s="7">
        <f t="shared" si="26"/>
        <v>0</v>
      </c>
      <c r="Y71" s="2"/>
      <c r="Z71" s="6">
        <f t="shared" si="27"/>
        <v>0</v>
      </c>
    </row>
    <row r="72" spans="1:26" s="24" customFormat="1" hidden="1" outlineLevel="2" x14ac:dyDescent="0.25">
      <c r="A72" s="25"/>
      <c r="B72" s="11" t="str">
        <f>CONCATENATE("          ", "6002", " - ", "STAFF SALARIES")</f>
        <v xml:space="preserve">          6002 - STAFF SALARIES</v>
      </c>
      <c r="C72" s="11"/>
      <c r="D72" s="7">
        <v>12677.01</v>
      </c>
      <c r="E72" s="2"/>
      <c r="F72" s="6">
        <f t="shared" si="20"/>
        <v>2.1935915994557839E-2</v>
      </c>
      <c r="G72" s="2"/>
      <c r="H72" s="7">
        <v>12765.0123437231</v>
      </c>
      <c r="I72" s="2"/>
      <c r="J72" s="6">
        <f t="shared" si="21"/>
        <v>2.1127025757440958E-2</v>
      </c>
      <c r="K72" s="2"/>
      <c r="L72" s="7">
        <f t="shared" si="22"/>
        <v>-88.00234372309933</v>
      </c>
      <c r="M72" s="2"/>
      <c r="N72" s="6">
        <f t="shared" si="23"/>
        <v>-6.8940273110172472E-3</v>
      </c>
      <c r="O72" s="11"/>
      <c r="P72" s="7">
        <v>44579.24</v>
      </c>
      <c r="Q72" s="2"/>
      <c r="R72" s="6">
        <f t="shared" si="24"/>
        <v>1.5809773337252874E-2</v>
      </c>
      <c r="S72" s="2"/>
      <c r="T72" s="7">
        <v>41486.290117099998</v>
      </c>
      <c r="U72" s="2"/>
      <c r="V72" s="6">
        <f t="shared" si="25"/>
        <v>1.3606394074015038E-2</v>
      </c>
      <c r="W72" s="2"/>
      <c r="X72" s="7">
        <f t="shared" si="26"/>
        <v>3092.9498829000004</v>
      </c>
      <c r="Y72" s="2"/>
      <c r="Z72" s="6">
        <f t="shared" si="27"/>
        <v>7.4553542246601961E-2</v>
      </c>
    </row>
    <row r="73" spans="1:26" s="24" customFormat="1" hidden="1" outlineLevel="2" x14ac:dyDescent="0.25">
      <c r="A73" s="25"/>
      <c r="B73" s="11" t="str">
        <f>CONCATENATE("          ", "6003", " - ", "STAFF HOURLY-9 MONTH")</f>
        <v xml:space="preserve">          6003 - STAFF HOURLY-9 MONTH</v>
      </c>
      <c r="C73" s="11"/>
      <c r="D73" s="7"/>
      <c r="E73" s="2"/>
      <c r="F73" s="6">
        <f t="shared" si="20"/>
        <v>0</v>
      </c>
      <c r="G73" s="2"/>
      <c r="H73" s="7">
        <v>0</v>
      </c>
      <c r="I73" s="2"/>
      <c r="J73" s="6">
        <f t="shared" si="21"/>
        <v>0</v>
      </c>
      <c r="K73" s="2"/>
      <c r="L73" s="7">
        <f t="shared" si="22"/>
        <v>0</v>
      </c>
      <c r="M73" s="2"/>
      <c r="N73" s="6">
        <f t="shared" si="23"/>
        <v>0</v>
      </c>
      <c r="O73" s="11"/>
      <c r="P73" s="7"/>
      <c r="Q73" s="2"/>
      <c r="R73" s="6">
        <f t="shared" si="24"/>
        <v>0</v>
      </c>
      <c r="S73" s="2"/>
      <c r="T73" s="7">
        <v>0</v>
      </c>
      <c r="U73" s="2"/>
      <c r="V73" s="6">
        <f t="shared" si="25"/>
        <v>0</v>
      </c>
      <c r="W73" s="2"/>
      <c r="X73" s="7">
        <f t="shared" si="26"/>
        <v>0</v>
      </c>
      <c r="Y73" s="2"/>
      <c r="Z73" s="6">
        <f t="shared" si="27"/>
        <v>0</v>
      </c>
    </row>
    <row r="74" spans="1:26" s="24" customFormat="1" hidden="1" outlineLevel="2" x14ac:dyDescent="0.25">
      <c r="A74" s="25"/>
      <c r="B74" s="11" t="str">
        <f>CONCATENATE("          ", "6004", " - ", "STAFF HOURLY")</f>
        <v xml:space="preserve">          6004 - STAFF HOURLY</v>
      </c>
      <c r="C74" s="11"/>
      <c r="D74" s="7">
        <v>2912.97</v>
      </c>
      <c r="E74" s="2"/>
      <c r="F74" s="6">
        <f t="shared" si="20"/>
        <v>5.0405154854864945E-3</v>
      </c>
      <c r="G74" s="2"/>
      <c r="H74" s="7">
        <v>5865.9348719999998</v>
      </c>
      <c r="I74" s="2"/>
      <c r="J74" s="6">
        <f t="shared" si="21"/>
        <v>9.7085497291473227E-3</v>
      </c>
      <c r="K74" s="2"/>
      <c r="L74" s="7">
        <f t="shared" si="22"/>
        <v>-2952.964872</v>
      </c>
      <c r="M74" s="2"/>
      <c r="N74" s="6">
        <f t="shared" si="23"/>
        <v>-0.50340907910441601</v>
      </c>
      <c r="O74" s="11"/>
      <c r="P74" s="7">
        <v>7749.22</v>
      </c>
      <c r="Q74" s="2"/>
      <c r="R74" s="6">
        <f t="shared" si="24"/>
        <v>2.7482166977388293E-3</v>
      </c>
      <c r="S74" s="2"/>
      <c r="T74" s="7">
        <v>19064.288334000001</v>
      </c>
      <c r="U74" s="2"/>
      <c r="V74" s="6">
        <f t="shared" si="25"/>
        <v>6.252576913502627E-3</v>
      </c>
      <c r="W74" s="2"/>
      <c r="X74" s="7">
        <f t="shared" si="26"/>
        <v>-11315.068334</v>
      </c>
      <c r="Y74" s="2"/>
      <c r="Z74" s="6">
        <f t="shared" si="27"/>
        <v>-0.59352167443986159</v>
      </c>
    </row>
    <row r="75" spans="1:26" s="24" customFormat="1" hidden="1" outlineLevel="2" x14ac:dyDescent="0.25">
      <c r="A75" s="25"/>
      <c r="B75" s="11" t="str">
        <f>CONCATENATE("          ", "6005", " - ", "TEMPORARY WAGES-HOURLY")</f>
        <v xml:space="preserve">          6005 - TEMPORARY WAGES-HOURLY</v>
      </c>
      <c r="C75" s="11"/>
      <c r="D75" s="7">
        <v>1592.13</v>
      </c>
      <c r="E75" s="2"/>
      <c r="F75" s="6">
        <f t="shared" si="20"/>
        <v>2.7549737621422855E-3</v>
      </c>
      <c r="G75" s="2"/>
      <c r="H75" s="7">
        <v>3071.2</v>
      </c>
      <c r="I75" s="2"/>
      <c r="J75" s="6">
        <f t="shared" si="21"/>
        <v>5.0830598325397255E-3</v>
      </c>
      <c r="K75" s="2"/>
      <c r="L75" s="7">
        <f t="shared" si="22"/>
        <v>-1479.0699999999997</v>
      </c>
      <c r="M75" s="2"/>
      <c r="N75" s="6">
        <f t="shared" si="23"/>
        <v>-0.48159351393592076</v>
      </c>
      <c r="O75" s="11"/>
      <c r="P75" s="7">
        <v>4261.4799999999996</v>
      </c>
      <c r="Q75" s="2"/>
      <c r="R75" s="6">
        <f t="shared" si="24"/>
        <v>1.5113095889754148E-3</v>
      </c>
      <c r="S75" s="2"/>
      <c r="T75" s="7">
        <v>10023.280000000001</v>
      </c>
      <c r="U75" s="2"/>
      <c r="V75" s="6">
        <f t="shared" si="25"/>
        <v>3.2873678800693601E-3</v>
      </c>
      <c r="W75" s="2"/>
      <c r="X75" s="7">
        <f t="shared" si="26"/>
        <v>-5761.8000000000011</v>
      </c>
      <c r="Y75" s="2"/>
      <c r="Z75" s="6">
        <f t="shared" si="27"/>
        <v>-0.5748417683632504</v>
      </c>
    </row>
    <row r="76" spans="1:26" s="24" customFormat="1" hidden="1" outlineLevel="2" x14ac:dyDescent="0.25">
      <c r="A76" s="25"/>
      <c r="B76" s="11" t="str">
        <f>CONCATENATE("          ", "6006", " - ", "TEMPORARY PART TIME")</f>
        <v xml:space="preserve">          6006 - TEMPORARY PART TIME</v>
      </c>
      <c r="C76" s="11"/>
      <c r="D76" s="7"/>
      <c r="E76" s="2"/>
      <c r="F76" s="6">
        <f t="shared" si="20"/>
        <v>0</v>
      </c>
      <c r="G76" s="2"/>
      <c r="H76" s="7">
        <v>0</v>
      </c>
      <c r="I76" s="2"/>
      <c r="J76" s="6">
        <f t="shared" si="21"/>
        <v>0</v>
      </c>
      <c r="K76" s="2"/>
      <c r="L76" s="7">
        <f t="shared" si="22"/>
        <v>0</v>
      </c>
      <c r="M76" s="2"/>
      <c r="N76" s="6">
        <f t="shared" si="23"/>
        <v>0</v>
      </c>
      <c r="O76" s="11"/>
      <c r="P76" s="7"/>
      <c r="Q76" s="2"/>
      <c r="R76" s="6">
        <f t="shared" si="24"/>
        <v>0</v>
      </c>
      <c r="S76" s="2"/>
      <c r="T76" s="7">
        <v>0</v>
      </c>
      <c r="U76" s="2"/>
      <c r="V76" s="6">
        <f t="shared" si="25"/>
        <v>0</v>
      </c>
      <c r="W76" s="2"/>
      <c r="X76" s="7">
        <f t="shared" si="26"/>
        <v>0</v>
      </c>
      <c r="Y76" s="2"/>
      <c r="Z76" s="6">
        <f t="shared" si="27"/>
        <v>0</v>
      </c>
    </row>
    <row r="77" spans="1:26" s="24" customFormat="1" hidden="1" outlineLevel="2" x14ac:dyDescent="0.25">
      <c r="A77" s="25"/>
      <c r="B77" s="11" t="str">
        <f>CONCATENATE("          ", "6007", " - ", "STUDENT HOURLY")</f>
        <v xml:space="preserve">          6007 - STUDENT HOURLY</v>
      </c>
      <c r="C77" s="11"/>
      <c r="D77" s="7">
        <v>2336.52</v>
      </c>
      <c r="E77" s="2"/>
      <c r="F77" s="6">
        <f t="shared" si="20"/>
        <v>4.0430437807972295E-3</v>
      </c>
      <c r="G77" s="2"/>
      <c r="H77" s="7">
        <v>0</v>
      </c>
      <c r="I77" s="2"/>
      <c r="J77" s="6">
        <f t="shared" si="21"/>
        <v>0</v>
      </c>
      <c r="K77" s="2"/>
      <c r="L77" s="7">
        <f t="shared" si="22"/>
        <v>2336.52</v>
      </c>
      <c r="M77" s="2"/>
      <c r="N77" s="6">
        <f t="shared" si="23"/>
        <v>0</v>
      </c>
      <c r="O77" s="11"/>
      <c r="P77" s="7">
        <v>13471.84</v>
      </c>
      <c r="Q77" s="2"/>
      <c r="R77" s="6">
        <f t="shared" si="24"/>
        <v>4.7777112583286922E-3</v>
      </c>
      <c r="S77" s="2"/>
      <c r="T77" s="7">
        <v>8032.5</v>
      </c>
      <c r="U77" s="2"/>
      <c r="V77" s="6">
        <f t="shared" si="25"/>
        <v>2.6344452610978773E-3</v>
      </c>
      <c r="W77" s="2"/>
      <c r="X77" s="7">
        <f t="shared" si="26"/>
        <v>5439.34</v>
      </c>
      <c r="Y77" s="2"/>
      <c r="Z77" s="6">
        <f t="shared" si="27"/>
        <v>0.67716651104886405</v>
      </c>
    </row>
    <row r="78" spans="1:26" s="24" customFormat="1" hidden="1" outlineLevel="2" x14ac:dyDescent="0.25">
      <c r="A78" s="25"/>
      <c r="B78" s="11" t="str">
        <f>CONCATENATE("          ", "6008", " - ", "STUDENT HOURLY-FICA EXEMPT")</f>
        <v xml:space="preserve">          6008 - STUDENT HOURLY-FICA EXEMPT</v>
      </c>
      <c r="C78" s="11"/>
      <c r="D78" s="7"/>
      <c r="E78" s="2"/>
      <c r="F78" s="6">
        <f t="shared" si="20"/>
        <v>0</v>
      </c>
      <c r="G78" s="2"/>
      <c r="H78" s="7">
        <v>6307.5</v>
      </c>
      <c r="I78" s="2"/>
      <c r="J78" s="6">
        <f t="shared" si="21"/>
        <v>1.0439372197754728E-2</v>
      </c>
      <c r="K78" s="2"/>
      <c r="L78" s="7">
        <f t="shared" si="22"/>
        <v>-6307.5</v>
      </c>
      <c r="M78" s="2"/>
      <c r="N78" s="6">
        <f t="shared" si="23"/>
        <v>-1</v>
      </c>
      <c r="O78" s="11"/>
      <c r="P78" s="7"/>
      <c r="Q78" s="2"/>
      <c r="R78" s="6">
        <f t="shared" si="24"/>
        <v>0</v>
      </c>
      <c r="S78" s="2"/>
      <c r="T78" s="7">
        <v>14652.75</v>
      </c>
      <c r="U78" s="2"/>
      <c r="V78" s="6">
        <f t="shared" si="25"/>
        <v>4.8057102769439057E-3</v>
      </c>
      <c r="W78" s="2"/>
      <c r="X78" s="7">
        <f t="shared" si="26"/>
        <v>-14652.75</v>
      </c>
      <c r="Y78" s="2"/>
      <c r="Z78" s="6">
        <f t="shared" si="27"/>
        <v>-1</v>
      </c>
    </row>
    <row r="79" spans="1:26" s="24" customFormat="1" hidden="1" outlineLevel="2" x14ac:dyDescent="0.25">
      <c r="A79" s="25"/>
      <c r="B79" s="11" t="str">
        <f>CONCATENATE("          ", "6009", " - ", "TEMPORARY-SEASONAL")</f>
        <v xml:space="preserve">          6009 - TEMPORARY-SEASONAL</v>
      </c>
      <c r="C79" s="11"/>
      <c r="D79" s="7"/>
      <c r="E79" s="2"/>
      <c r="F79" s="6">
        <f t="shared" si="20"/>
        <v>0</v>
      </c>
      <c r="G79" s="2"/>
      <c r="H79" s="7">
        <v>0</v>
      </c>
      <c r="I79" s="2"/>
      <c r="J79" s="6">
        <f t="shared" si="21"/>
        <v>0</v>
      </c>
      <c r="K79" s="2"/>
      <c r="L79" s="7">
        <f t="shared" si="22"/>
        <v>0</v>
      </c>
      <c r="M79" s="2"/>
      <c r="N79" s="6">
        <f t="shared" si="23"/>
        <v>0</v>
      </c>
      <c r="O79" s="11"/>
      <c r="P79" s="7"/>
      <c r="Q79" s="2"/>
      <c r="R79" s="6">
        <f t="shared" si="24"/>
        <v>0</v>
      </c>
      <c r="S79" s="2"/>
      <c r="T79" s="7">
        <v>0</v>
      </c>
      <c r="U79" s="2"/>
      <c r="V79" s="6">
        <f t="shared" si="25"/>
        <v>0</v>
      </c>
      <c r="W79" s="2"/>
      <c r="X79" s="7">
        <f t="shared" si="26"/>
        <v>0</v>
      </c>
      <c r="Y79" s="2"/>
      <c r="Z79" s="6">
        <f t="shared" si="27"/>
        <v>0</v>
      </c>
    </row>
    <row r="80" spans="1:26" s="24" customFormat="1" hidden="1" outlineLevel="2" x14ac:dyDescent="0.25">
      <c r="A80" s="25"/>
      <c r="B80" s="11" t="str">
        <f>CONCATENATE("          ", "6010", " - ", "GRATUITY")</f>
        <v xml:space="preserve">          6010 - GRATUITY</v>
      </c>
      <c r="C80" s="11"/>
      <c r="D80" s="7"/>
      <c r="E80" s="2"/>
      <c r="F80" s="6">
        <f t="shared" si="20"/>
        <v>0</v>
      </c>
      <c r="G80" s="2"/>
      <c r="H80" s="7">
        <v>0</v>
      </c>
      <c r="I80" s="2"/>
      <c r="J80" s="6">
        <f t="shared" si="21"/>
        <v>0</v>
      </c>
      <c r="K80" s="2"/>
      <c r="L80" s="7">
        <f t="shared" si="22"/>
        <v>0</v>
      </c>
      <c r="M80" s="2"/>
      <c r="N80" s="6">
        <f t="shared" si="23"/>
        <v>0</v>
      </c>
      <c r="O80" s="11"/>
      <c r="P80" s="7"/>
      <c r="Q80" s="2"/>
      <c r="R80" s="6">
        <f t="shared" si="24"/>
        <v>0</v>
      </c>
      <c r="S80" s="2"/>
      <c r="T80" s="7">
        <v>0</v>
      </c>
      <c r="U80" s="2"/>
      <c r="V80" s="6">
        <f t="shared" si="25"/>
        <v>0</v>
      </c>
      <c r="W80" s="2"/>
      <c r="X80" s="7">
        <f t="shared" si="26"/>
        <v>0</v>
      </c>
      <c r="Y80" s="2"/>
      <c r="Z80" s="6">
        <f t="shared" si="27"/>
        <v>0</v>
      </c>
    </row>
    <row r="81" spans="1:26" s="26" customFormat="1" outlineLevel="1" collapsed="1" x14ac:dyDescent="0.25">
      <c r="A81" s="27"/>
      <c r="B81" s="13" t="str">
        <f>CONCATENATE("     ","Advertising/Promo                                 ")</f>
        <v xml:space="preserve">     Advertising/Promo                                 </v>
      </c>
      <c r="C81" s="13"/>
      <c r="D81" s="1">
        <f>SUM(OSRRefD22_2x_0)</f>
        <v>58.83</v>
      </c>
      <c r="E81" s="1"/>
      <c r="F81" s="5">
        <f t="shared" ref="F81:F85" si="28">IF(D$12=0,0,D81/D$12)</f>
        <v>1.017976587507494E-4</v>
      </c>
      <c r="G81" s="1"/>
      <c r="H81" s="1">
        <f>SUM(OSRRefH22_2x_0)</f>
        <v>200</v>
      </c>
      <c r="I81" s="1"/>
      <c r="J81" s="5">
        <f t="shared" ref="J81:J85" si="29">IF(H$12=0,0,H81/H$12)</f>
        <v>3.3101457622686416E-4</v>
      </c>
      <c r="K81" s="1"/>
      <c r="L81" s="1">
        <f t="shared" ref="L81:L85" si="30">+D81-H81</f>
        <v>-141.17000000000002</v>
      </c>
      <c r="M81" s="1"/>
      <c r="N81" s="5">
        <f t="shared" ref="N81:N85" si="31">IF(H81=0,0,L81/H81)</f>
        <v>-0.70585000000000009</v>
      </c>
      <c r="O81" s="13"/>
      <c r="P81" s="1">
        <f>SUM(OSRRefP22_2x_0)</f>
        <v>3055.02</v>
      </c>
      <c r="Q81" s="1"/>
      <c r="R81" s="5">
        <f t="shared" ref="R81:R85" si="32">IF(P$12=0,0,P81/P$12)</f>
        <v>1.0834454275302646E-3</v>
      </c>
      <c r="S81" s="1"/>
      <c r="T81" s="1">
        <f>SUM(OSRRefT22_2x_0)</f>
        <v>2000</v>
      </c>
      <c r="U81" s="1"/>
      <c r="V81" s="5">
        <f t="shared" ref="V81:V85" si="33">IF(T$12=0,0,T81/T$12)</f>
        <v>6.5594653248624403E-4</v>
      </c>
      <c r="W81" s="1"/>
      <c r="X81" s="1">
        <f t="shared" ref="X81:X85" si="34">+P81-T81</f>
        <v>1055.02</v>
      </c>
      <c r="Y81" s="1"/>
      <c r="Z81" s="5">
        <f t="shared" ref="Z81:Z85" si="35">IF(T81=0,0,X81/T81)</f>
        <v>0.52751000000000003</v>
      </c>
    </row>
    <row r="82" spans="1:26" s="24" customFormat="1" hidden="1" outlineLevel="2" x14ac:dyDescent="0.25">
      <c r="A82" s="25"/>
      <c r="B82" s="11" t="str">
        <f>CONCATENATE("          ", "6362", " - ", "ADVERTISING EXPENSE")</f>
        <v xml:space="preserve">          6362 - ADVERTISING EXPENSE</v>
      </c>
      <c r="C82" s="11"/>
      <c r="D82" s="7">
        <v>58.83</v>
      </c>
      <c r="E82" s="2"/>
      <c r="F82" s="6">
        <f t="shared" si="28"/>
        <v>1.017976587507494E-4</v>
      </c>
      <c r="G82" s="2"/>
      <c r="H82" s="7">
        <v>200</v>
      </c>
      <c r="I82" s="2"/>
      <c r="J82" s="6">
        <f t="shared" si="29"/>
        <v>3.3101457622686416E-4</v>
      </c>
      <c r="K82" s="2"/>
      <c r="L82" s="7">
        <f t="shared" si="30"/>
        <v>-141.17000000000002</v>
      </c>
      <c r="M82" s="2"/>
      <c r="N82" s="6">
        <f t="shared" si="31"/>
        <v>-0.70585000000000009</v>
      </c>
      <c r="O82" s="11"/>
      <c r="P82" s="7">
        <v>3055.02</v>
      </c>
      <c r="Q82" s="2"/>
      <c r="R82" s="6">
        <f t="shared" si="32"/>
        <v>1.0834454275302646E-3</v>
      </c>
      <c r="S82" s="2"/>
      <c r="T82" s="7">
        <v>2000</v>
      </c>
      <c r="U82" s="2"/>
      <c r="V82" s="6">
        <f t="shared" si="33"/>
        <v>6.5594653248624403E-4</v>
      </c>
      <c r="W82" s="2"/>
      <c r="X82" s="7">
        <f t="shared" si="34"/>
        <v>1055.02</v>
      </c>
      <c r="Y82" s="2"/>
      <c r="Z82" s="6">
        <f t="shared" si="35"/>
        <v>0.52751000000000003</v>
      </c>
    </row>
    <row r="83" spans="1:26" s="26" customFormat="1" outlineLevel="1" collapsed="1" x14ac:dyDescent="0.25">
      <c r="A83" s="27"/>
      <c r="B83" s="13" t="str">
        <f>CONCATENATE("     ","Discounts and Markdowns                           ")</f>
        <v xml:space="preserve">     Discounts and Markdowns                           </v>
      </c>
      <c r="C83" s="13"/>
      <c r="D83" s="1">
        <f>SUM(OSRRefD22_3x_0)</f>
        <v>-9830.91</v>
      </c>
      <c r="E83" s="1"/>
      <c r="F83" s="5">
        <f t="shared" si="28"/>
        <v>-1.7011110341481044E-2</v>
      </c>
      <c r="G83" s="1"/>
      <c r="H83" s="1">
        <f>SUM(OSRRefH22_3x_0)</f>
        <v>2025</v>
      </c>
      <c r="I83" s="1"/>
      <c r="J83" s="5">
        <f t="shared" si="29"/>
        <v>3.3515225842969997E-3</v>
      </c>
      <c r="K83" s="1"/>
      <c r="L83" s="1">
        <f t="shared" si="30"/>
        <v>-11855.91</v>
      </c>
      <c r="M83" s="1"/>
      <c r="N83" s="5">
        <f t="shared" si="31"/>
        <v>-5.8547703703703702</v>
      </c>
      <c r="O83" s="13"/>
      <c r="P83" s="1">
        <f>SUM(OSRRefP22_3x_0)</f>
        <v>-3197.4300000000003</v>
      </c>
      <c r="Q83" s="1"/>
      <c r="R83" s="5">
        <f t="shared" si="32"/>
        <v>-1.1339503222067594E-3</v>
      </c>
      <c r="S83" s="1"/>
      <c r="T83" s="1">
        <f>SUM(OSRRefT22_3x_0)</f>
        <v>9875</v>
      </c>
      <c r="U83" s="1"/>
      <c r="V83" s="5">
        <f t="shared" si="33"/>
        <v>3.2387360041508297E-3</v>
      </c>
      <c r="W83" s="1"/>
      <c r="X83" s="1">
        <f t="shared" si="34"/>
        <v>-13072.43</v>
      </c>
      <c r="Y83" s="1"/>
      <c r="Z83" s="5">
        <f t="shared" si="35"/>
        <v>-1.3237903797468356</v>
      </c>
    </row>
    <row r="84" spans="1:26" s="24" customFormat="1" hidden="1" outlineLevel="2" x14ac:dyDescent="0.25">
      <c r="A84" s="25"/>
      <c r="B84" s="11" t="str">
        <f>CONCATENATE("          ", "6382", " - ", "DISCOUNTS/MARK DOWNS")</f>
        <v xml:space="preserve">          6382 - DISCOUNTS/MARK DOWNS</v>
      </c>
      <c r="C84" s="11"/>
      <c r="D84" s="7">
        <v>-9813.15</v>
      </c>
      <c r="E84" s="2"/>
      <c r="F84" s="6">
        <f t="shared" si="28"/>
        <v>-1.6980378972801573E-2</v>
      </c>
      <c r="G84" s="2"/>
      <c r="H84" s="7">
        <v>2025</v>
      </c>
      <c r="I84" s="2"/>
      <c r="J84" s="6">
        <f t="shared" si="29"/>
        <v>3.3515225842969997E-3</v>
      </c>
      <c r="K84" s="2"/>
      <c r="L84" s="7">
        <f t="shared" si="30"/>
        <v>-11838.15</v>
      </c>
      <c r="M84" s="2"/>
      <c r="N84" s="6">
        <f t="shared" si="31"/>
        <v>-5.8460000000000001</v>
      </c>
      <c r="O84" s="11"/>
      <c r="P84" s="7">
        <v>-2756.94</v>
      </c>
      <c r="Q84" s="2"/>
      <c r="R84" s="6">
        <f t="shared" si="32"/>
        <v>-9.7773305476732972E-4</v>
      </c>
      <c r="S84" s="2"/>
      <c r="T84" s="7">
        <v>9875</v>
      </c>
      <c r="U84" s="2"/>
      <c r="V84" s="6">
        <f t="shared" si="33"/>
        <v>3.2387360041508297E-3</v>
      </c>
      <c r="W84" s="2"/>
      <c r="X84" s="7">
        <f t="shared" si="34"/>
        <v>-12631.94</v>
      </c>
      <c r="Y84" s="2"/>
      <c r="Z84" s="6">
        <f t="shared" si="35"/>
        <v>-1.2791837974683544</v>
      </c>
    </row>
    <row r="85" spans="1:26" s="24" customFormat="1" hidden="1" outlineLevel="2" x14ac:dyDescent="0.25">
      <c r="A85" s="25"/>
      <c r="B85" s="11" t="str">
        <f>CONCATENATE("          ", "9175", " - ", "EARNED DISCOUNTS")</f>
        <v xml:space="preserve">          9175 - EARNED DISCOUNTS</v>
      </c>
      <c r="C85" s="11"/>
      <c r="D85" s="7">
        <v>-17.760000000000002</v>
      </c>
      <c r="E85" s="2"/>
      <c r="F85" s="6">
        <f t="shared" si="28"/>
        <v>-3.0731368679471522E-5</v>
      </c>
      <c r="G85" s="2"/>
      <c r="H85" s="7"/>
      <c r="I85" s="2"/>
      <c r="J85" s="6">
        <f t="shared" si="29"/>
        <v>0</v>
      </c>
      <c r="K85" s="2"/>
      <c r="L85" s="7">
        <f t="shared" si="30"/>
        <v>-17.760000000000002</v>
      </c>
      <c r="M85" s="2"/>
      <c r="N85" s="6">
        <f t="shared" si="31"/>
        <v>0</v>
      </c>
      <c r="O85" s="11"/>
      <c r="P85" s="7">
        <v>-440.49</v>
      </c>
      <c r="Q85" s="2"/>
      <c r="R85" s="6">
        <f t="shared" si="32"/>
        <v>-1.5621726743942962E-4</v>
      </c>
      <c r="S85" s="2"/>
      <c r="T85" s="7"/>
      <c r="U85" s="2"/>
      <c r="V85" s="6">
        <f t="shared" si="33"/>
        <v>0</v>
      </c>
      <c r="W85" s="2"/>
      <c r="X85" s="7">
        <f t="shared" si="34"/>
        <v>-440.49</v>
      </c>
      <c r="Y85" s="2"/>
      <c r="Z85" s="6">
        <f t="shared" si="35"/>
        <v>0</v>
      </c>
    </row>
    <row r="86" spans="1:26" s="26" customFormat="1" outlineLevel="1" collapsed="1" x14ac:dyDescent="0.25">
      <c r="A86" s="27"/>
      <c r="B86" s="13" t="str">
        <f>CONCATENATE("     ","Employees' Appreciation                           ")</f>
        <v xml:space="preserve">     Employees' Appreciation                           </v>
      </c>
      <c r="C86" s="13"/>
      <c r="D86" s="1">
        <f>SUM(OSRRefD22_4x_0)</f>
        <v>0</v>
      </c>
      <c r="E86" s="1"/>
      <c r="F86" s="5">
        <f t="shared" ref="F86:F92" si="36">IF(D$12=0,0,D86/D$12)</f>
        <v>0</v>
      </c>
      <c r="G86" s="1"/>
      <c r="H86" s="1">
        <f>SUM(OSRRefH22_4x_0)</f>
        <v>100</v>
      </c>
      <c r="I86" s="1"/>
      <c r="J86" s="5">
        <f t="shared" ref="J86:J92" si="37">IF(H$12=0,0,H86/H$12)</f>
        <v>1.6550728811343208E-4</v>
      </c>
      <c r="K86" s="1"/>
      <c r="L86" s="1">
        <f t="shared" ref="L86:L92" si="38">+D86-H86</f>
        <v>-100</v>
      </c>
      <c r="M86" s="1"/>
      <c r="N86" s="5">
        <f t="shared" ref="N86:N92" si="39">IF(H86=0,0,L86/H86)</f>
        <v>-1</v>
      </c>
      <c r="O86" s="13"/>
      <c r="P86" s="1">
        <f>SUM(OSRRefP22_4x_0)</f>
        <v>0</v>
      </c>
      <c r="Q86" s="1"/>
      <c r="R86" s="5">
        <f t="shared" ref="R86:R92" si="40">IF(P$12=0,0,P86/P$12)</f>
        <v>0</v>
      </c>
      <c r="S86" s="1"/>
      <c r="T86" s="1">
        <f>SUM(OSRRefT22_4x_0)</f>
        <v>300</v>
      </c>
      <c r="U86" s="1"/>
      <c r="V86" s="5">
        <f t="shared" ref="V86:V92" si="41">IF(T$12=0,0,T86/T$12)</f>
        <v>9.8391979872936602E-5</v>
      </c>
      <c r="W86" s="1"/>
      <c r="X86" s="1">
        <f t="shared" ref="X86:X92" si="42">+P86-T86</f>
        <v>-300</v>
      </c>
      <c r="Y86" s="1"/>
      <c r="Z86" s="5">
        <f t="shared" ref="Z86:Z92" si="43">IF(T86=0,0,X86/T86)</f>
        <v>-1</v>
      </c>
    </row>
    <row r="87" spans="1:26" s="24" customFormat="1" hidden="1" outlineLevel="2" x14ac:dyDescent="0.25">
      <c r="A87" s="25"/>
      <c r="B87" s="11" t="str">
        <f>CONCATENATE("          ", "6277", " - ", "EMPLOYEE APPRECIATION")</f>
        <v xml:space="preserve">          6277 - EMPLOYEE APPRECIATION</v>
      </c>
      <c r="C87" s="11"/>
      <c r="D87" s="7"/>
      <c r="E87" s="2"/>
      <c r="F87" s="6">
        <f t="shared" si="36"/>
        <v>0</v>
      </c>
      <c r="G87" s="2"/>
      <c r="H87" s="7">
        <v>100</v>
      </c>
      <c r="I87" s="2"/>
      <c r="J87" s="6">
        <f t="shared" si="37"/>
        <v>1.6550728811343208E-4</v>
      </c>
      <c r="K87" s="2"/>
      <c r="L87" s="7">
        <f t="shared" si="38"/>
        <v>-100</v>
      </c>
      <c r="M87" s="2"/>
      <c r="N87" s="6">
        <f t="shared" si="39"/>
        <v>-1</v>
      </c>
      <c r="O87" s="11"/>
      <c r="P87" s="7"/>
      <c r="Q87" s="2"/>
      <c r="R87" s="6">
        <f t="shared" si="40"/>
        <v>0</v>
      </c>
      <c r="S87" s="2"/>
      <c r="T87" s="7">
        <v>300</v>
      </c>
      <c r="U87" s="2"/>
      <c r="V87" s="6">
        <f t="shared" si="41"/>
        <v>9.8391979872936602E-5</v>
      </c>
      <c r="W87" s="2"/>
      <c r="X87" s="7">
        <f t="shared" si="42"/>
        <v>-300</v>
      </c>
      <c r="Y87" s="2"/>
      <c r="Z87" s="6">
        <f t="shared" si="43"/>
        <v>-1</v>
      </c>
    </row>
    <row r="88" spans="1:26" s="26" customFormat="1" outlineLevel="1" collapsed="1" x14ac:dyDescent="0.25">
      <c r="A88" s="27"/>
      <c r="B88" s="13" t="str">
        <f>CONCATENATE("     ","Equipment Rental                                  ")</f>
        <v xml:space="preserve">     Equipment Rental                                  </v>
      </c>
      <c r="C88" s="13"/>
      <c r="D88" s="1">
        <f>SUM(OSRRefD22_5x_0)</f>
        <v>91.26</v>
      </c>
      <c r="E88" s="1"/>
      <c r="F88" s="5">
        <f t="shared" si="36"/>
        <v>1.5791355324823035E-4</v>
      </c>
      <c r="G88" s="1"/>
      <c r="H88" s="1">
        <f>SUM(OSRRefH22_5x_0)</f>
        <v>100</v>
      </c>
      <c r="I88" s="1"/>
      <c r="J88" s="5">
        <f t="shared" si="37"/>
        <v>1.6550728811343208E-4</v>
      </c>
      <c r="K88" s="1"/>
      <c r="L88" s="1">
        <f t="shared" si="38"/>
        <v>-8.7399999999999949</v>
      </c>
      <c r="M88" s="1"/>
      <c r="N88" s="5">
        <f t="shared" si="39"/>
        <v>-8.739999999999995E-2</v>
      </c>
      <c r="O88" s="13"/>
      <c r="P88" s="1">
        <f>SUM(OSRRefP22_5x_0)</f>
        <v>273.77999999999997</v>
      </c>
      <c r="Q88" s="1"/>
      <c r="R88" s="5">
        <f t="shared" si="40"/>
        <v>9.7094516287695609E-5</v>
      </c>
      <c r="S88" s="1"/>
      <c r="T88" s="1">
        <f>SUM(OSRRefT22_5x_0)</f>
        <v>300</v>
      </c>
      <c r="U88" s="1"/>
      <c r="V88" s="5">
        <f t="shared" si="41"/>
        <v>9.8391979872936602E-5</v>
      </c>
      <c r="W88" s="1"/>
      <c r="X88" s="1">
        <f t="shared" si="42"/>
        <v>-26.220000000000027</v>
      </c>
      <c r="Y88" s="1"/>
      <c r="Z88" s="5">
        <f t="shared" si="43"/>
        <v>-8.7400000000000089E-2</v>
      </c>
    </row>
    <row r="89" spans="1:26" s="24" customFormat="1" hidden="1" outlineLevel="2" x14ac:dyDescent="0.25">
      <c r="A89" s="25"/>
      <c r="B89" s="11" t="str">
        <f>CONCATENATE("          ", "6351", " - ", "EQUIPMENT RENTAL")</f>
        <v xml:space="preserve">          6351 - EQUIPMENT RENTAL</v>
      </c>
      <c r="C89" s="11"/>
      <c r="D89" s="7">
        <v>91.26</v>
      </c>
      <c r="E89" s="2"/>
      <c r="F89" s="6">
        <f t="shared" si="36"/>
        <v>1.5791355324823035E-4</v>
      </c>
      <c r="G89" s="2"/>
      <c r="H89" s="7">
        <v>100</v>
      </c>
      <c r="I89" s="2"/>
      <c r="J89" s="6">
        <f t="shared" si="37"/>
        <v>1.6550728811343208E-4</v>
      </c>
      <c r="K89" s="2"/>
      <c r="L89" s="7">
        <f t="shared" si="38"/>
        <v>-8.7399999999999949</v>
      </c>
      <c r="M89" s="2"/>
      <c r="N89" s="6">
        <f t="shared" si="39"/>
        <v>-8.739999999999995E-2</v>
      </c>
      <c r="O89" s="11"/>
      <c r="P89" s="7">
        <v>273.77999999999997</v>
      </c>
      <c r="Q89" s="2"/>
      <c r="R89" s="6">
        <f t="shared" si="40"/>
        <v>9.7094516287695609E-5</v>
      </c>
      <c r="S89" s="2"/>
      <c r="T89" s="7">
        <v>300</v>
      </c>
      <c r="U89" s="2"/>
      <c r="V89" s="6">
        <f t="shared" si="41"/>
        <v>9.8391979872936602E-5</v>
      </c>
      <c r="W89" s="2"/>
      <c r="X89" s="7">
        <f t="shared" si="42"/>
        <v>-26.220000000000027</v>
      </c>
      <c r="Y89" s="2"/>
      <c r="Z89" s="6">
        <f t="shared" si="43"/>
        <v>-8.7400000000000089E-2</v>
      </c>
    </row>
    <row r="90" spans="1:26" s="26" customFormat="1" outlineLevel="1" collapsed="1" x14ac:dyDescent="0.25">
      <c r="A90" s="27"/>
      <c r="B90" s="13" t="str">
        <f>CONCATENATE("     ","Freight out/Postage                               ")</f>
        <v xml:space="preserve">     Freight out/Postage                               </v>
      </c>
      <c r="C90" s="13"/>
      <c r="D90" s="1">
        <f>SUM(OSRRefD22_6x_0)</f>
        <v>2138.08</v>
      </c>
      <c r="E90" s="1"/>
      <c r="F90" s="5">
        <f t="shared" si="36"/>
        <v>3.6996691861601611E-3</v>
      </c>
      <c r="G90" s="1"/>
      <c r="H90" s="1">
        <f>SUM(OSRRefH22_6x_0)</f>
        <v>4200</v>
      </c>
      <c r="I90" s="1"/>
      <c r="J90" s="5">
        <f t="shared" si="37"/>
        <v>6.951306100764147E-3</v>
      </c>
      <c r="K90" s="1"/>
      <c r="L90" s="1">
        <f t="shared" si="38"/>
        <v>-2061.92</v>
      </c>
      <c r="M90" s="1"/>
      <c r="N90" s="5">
        <f t="shared" si="39"/>
        <v>-0.49093333333333333</v>
      </c>
      <c r="O90" s="13"/>
      <c r="P90" s="1">
        <f>SUM(OSRRefP22_6x_0)</f>
        <v>2802.41</v>
      </c>
      <c r="Q90" s="1"/>
      <c r="R90" s="5">
        <f t="shared" si="40"/>
        <v>9.9385873106070961E-4</v>
      </c>
      <c r="S90" s="1"/>
      <c r="T90" s="1">
        <f>SUM(OSRRefT22_6x_0)</f>
        <v>5700</v>
      </c>
      <c r="U90" s="1"/>
      <c r="V90" s="5">
        <f t="shared" si="41"/>
        <v>1.8694476175857954E-3</v>
      </c>
      <c r="W90" s="1"/>
      <c r="X90" s="1">
        <f t="shared" si="42"/>
        <v>-2897.59</v>
      </c>
      <c r="Y90" s="1"/>
      <c r="Z90" s="5">
        <f t="shared" si="43"/>
        <v>-0.50834912280701761</v>
      </c>
    </row>
    <row r="91" spans="1:26" s="24" customFormat="1" hidden="1" outlineLevel="2" x14ac:dyDescent="0.25">
      <c r="A91" s="25"/>
      <c r="B91" s="11" t="str">
        <f>CONCATENATE("          ", "6305", " - ", "FREIGHT OUT")</f>
        <v xml:space="preserve">          6305 - FREIGHT OUT</v>
      </c>
      <c r="C91" s="11"/>
      <c r="D91" s="7">
        <v>2137.58</v>
      </c>
      <c r="E91" s="2"/>
      <c r="F91" s="6">
        <f t="shared" si="36"/>
        <v>3.698804001231122E-3</v>
      </c>
      <c r="G91" s="2"/>
      <c r="H91" s="7">
        <v>4200</v>
      </c>
      <c r="I91" s="2"/>
      <c r="J91" s="6">
        <f t="shared" si="37"/>
        <v>6.951306100764147E-3</v>
      </c>
      <c r="K91" s="2"/>
      <c r="L91" s="7">
        <f t="shared" si="38"/>
        <v>-2062.42</v>
      </c>
      <c r="M91" s="2"/>
      <c r="N91" s="6">
        <f t="shared" si="39"/>
        <v>-0.49105238095238096</v>
      </c>
      <c r="O91" s="11"/>
      <c r="P91" s="7">
        <v>2801.91</v>
      </c>
      <c r="Q91" s="2"/>
      <c r="R91" s="6">
        <f t="shared" si="40"/>
        <v>9.9368140891101329E-4</v>
      </c>
      <c r="S91" s="2"/>
      <c r="T91" s="7">
        <v>5700</v>
      </c>
      <c r="U91" s="2"/>
      <c r="V91" s="6">
        <f t="shared" si="41"/>
        <v>1.8694476175857954E-3</v>
      </c>
      <c r="W91" s="2"/>
      <c r="X91" s="7">
        <f t="shared" si="42"/>
        <v>-2898.09</v>
      </c>
      <c r="Y91" s="2"/>
      <c r="Z91" s="6">
        <f t="shared" si="43"/>
        <v>-0.50843684210526319</v>
      </c>
    </row>
    <row r="92" spans="1:26" s="24" customFormat="1" hidden="1" outlineLevel="2" x14ac:dyDescent="0.25">
      <c r="A92" s="25"/>
      <c r="B92" s="11" t="str">
        <f>CONCATENATE("          ", "6307", " - ", "POSTAGE")</f>
        <v xml:space="preserve">          6307 - POSTAGE</v>
      </c>
      <c r="C92" s="11"/>
      <c r="D92" s="7">
        <v>0.5</v>
      </c>
      <c r="E92" s="2"/>
      <c r="F92" s="6">
        <f t="shared" si="36"/>
        <v>8.6518492903917565E-7</v>
      </c>
      <c r="G92" s="2"/>
      <c r="H92" s="7"/>
      <c r="I92" s="2"/>
      <c r="J92" s="6">
        <f t="shared" si="37"/>
        <v>0</v>
      </c>
      <c r="K92" s="2"/>
      <c r="L92" s="7">
        <f t="shared" si="38"/>
        <v>0.5</v>
      </c>
      <c r="M92" s="2"/>
      <c r="N92" s="6">
        <f t="shared" si="39"/>
        <v>0</v>
      </c>
      <c r="O92" s="11"/>
      <c r="P92" s="7">
        <v>0.5</v>
      </c>
      <c r="Q92" s="2"/>
      <c r="R92" s="6">
        <f t="shared" si="40"/>
        <v>1.7732214969628098E-7</v>
      </c>
      <c r="S92" s="2"/>
      <c r="T92" s="7"/>
      <c r="U92" s="2"/>
      <c r="V92" s="6">
        <f t="shared" si="41"/>
        <v>0</v>
      </c>
      <c r="W92" s="2"/>
      <c r="X92" s="7">
        <f t="shared" si="42"/>
        <v>0.5</v>
      </c>
      <c r="Y92" s="2"/>
      <c r="Z92" s="6">
        <f t="shared" si="43"/>
        <v>0</v>
      </c>
    </row>
    <row r="93" spans="1:26" s="26" customFormat="1" outlineLevel="1" collapsed="1" x14ac:dyDescent="0.25">
      <c r="A93" s="27"/>
      <c r="B93" s="13" t="str">
        <f>CONCATENATE("     ","General                                           ")</f>
        <v xml:space="preserve">     General                                           </v>
      </c>
      <c r="C93" s="13"/>
      <c r="D93" s="1">
        <f>SUM(OSRRefD22_7x_0)</f>
        <v>-1500</v>
      </c>
      <c r="E93" s="1"/>
      <c r="F93" s="5">
        <f t="shared" ref="F93:F99" si="44">IF(D$12=0,0,D93/D$12)</f>
        <v>-2.5955547871175269E-3</v>
      </c>
      <c r="G93" s="1"/>
      <c r="H93" s="1">
        <f>SUM(OSRRefH22_7x_0)</f>
        <v>0</v>
      </c>
      <c r="I93" s="1"/>
      <c r="J93" s="5">
        <f t="shared" ref="J93:J99" si="45">IF(H$12=0,0,H93/H$12)</f>
        <v>0</v>
      </c>
      <c r="K93" s="1"/>
      <c r="L93" s="1">
        <f t="shared" ref="L93:L99" si="46">+D93-H93</f>
        <v>-1500</v>
      </c>
      <c r="M93" s="1"/>
      <c r="N93" s="5">
        <f t="shared" ref="N93:N99" si="47">IF(H93=0,0,L93/H93)</f>
        <v>0</v>
      </c>
      <c r="O93" s="13"/>
      <c r="P93" s="1">
        <f>SUM(OSRRefP22_7x_0)</f>
        <v>-1492.16</v>
      </c>
      <c r="Q93" s="1"/>
      <c r="R93" s="5">
        <f t="shared" ref="R93:R99" si="48">IF(P$12=0,0,P93/P$12)</f>
        <v>-5.2918603778160528E-4</v>
      </c>
      <c r="S93" s="1"/>
      <c r="T93" s="1">
        <f>SUM(OSRRefT22_7x_0)</f>
        <v>0</v>
      </c>
      <c r="U93" s="1"/>
      <c r="V93" s="5">
        <f t="shared" ref="V93:V99" si="49">IF(T$12=0,0,T93/T$12)</f>
        <v>0</v>
      </c>
      <c r="W93" s="1"/>
      <c r="X93" s="1">
        <f t="shared" ref="X93:X99" si="50">+P93-T93</f>
        <v>-1492.16</v>
      </c>
      <c r="Y93" s="1"/>
      <c r="Z93" s="5">
        <f t="shared" ref="Z93:Z99" si="51">IF(T93=0,0,X93/T93)</f>
        <v>0</v>
      </c>
    </row>
    <row r="94" spans="1:26" s="24" customFormat="1" hidden="1" outlineLevel="2" x14ac:dyDescent="0.25">
      <c r="A94" s="25"/>
      <c r="B94" s="11" t="str">
        <f>CONCATENATE("          ", "6279", " - ", "GENERAL EXPENSE")</f>
        <v xml:space="preserve">          6279 - GENERAL EXPENSE</v>
      </c>
      <c r="C94" s="11"/>
      <c r="D94" s="7">
        <v>-1500</v>
      </c>
      <c r="E94" s="2"/>
      <c r="F94" s="6">
        <f t="shared" si="44"/>
        <v>-2.5955547871175269E-3</v>
      </c>
      <c r="G94" s="2"/>
      <c r="H94" s="7"/>
      <c r="I94" s="2"/>
      <c r="J94" s="6">
        <f t="shared" si="45"/>
        <v>0</v>
      </c>
      <c r="K94" s="2"/>
      <c r="L94" s="7">
        <f t="shared" si="46"/>
        <v>-1500</v>
      </c>
      <c r="M94" s="2"/>
      <c r="N94" s="6">
        <f t="shared" si="47"/>
        <v>0</v>
      </c>
      <c r="O94" s="11"/>
      <c r="P94" s="7">
        <v>-1492.16</v>
      </c>
      <c r="Q94" s="2"/>
      <c r="R94" s="6">
        <f t="shared" si="48"/>
        <v>-5.2918603778160528E-4</v>
      </c>
      <c r="S94" s="2"/>
      <c r="T94" s="7"/>
      <c r="U94" s="2"/>
      <c r="V94" s="6">
        <f t="shared" si="49"/>
        <v>0</v>
      </c>
      <c r="W94" s="2"/>
      <c r="X94" s="7">
        <f t="shared" si="50"/>
        <v>-1492.16</v>
      </c>
      <c r="Y94" s="2"/>
      <c r="Z94" s="6">
        <f t="shared" si="51"/>
        <v>0</v>
      </c>
    </row>
    <row r="95" spans="1:26" s="26" customFormat="1" outlineLevel="1" collapsed="1" x14ac:dyDescent="0.25">
      <c r="A95" s="27"/>
      <c r="B95" s="13" t="str">
        <f>CONCATENATE("     ","Inventory Adjustment                              ")</f>
        <v xml:space="preserve">     Inventory Adjustment                              </v>
      </c>
      <c r="C95" s="13"/>
      <c r="D95" s="1">
        <f>SUM(OSRRefD22_8x_0)</f>
        <v>1000</v>
      </c>
      <c r="E95" s="1"/>
      <c r="F95" s="5">
        <f t="shared" si="44"/>
        <v>1.7303698580783513E-3</v>
      </c>
      <c r="G95" s="1"/>
      <c r="H95" s="1">
        <f>SUM(OSRRefH22_8x_0)</f>
        <v>1000</v>
      </c>
      <c r="I95" s="1"/>
      <c r="J95" s="5">
        <f t="shared" si="45"/>
        <v>1.6550728811343207E-3</v>
      </c>
      <c r="K95" s="1"/>
      <c r="L95" s="1">
        <f t="shared" si="46"/>
        <v>0</v>
      </c>
      <c r="M95" s="1"/>
      <c r="N95" s="5">
        <f t="shared" si="47"/>
        <v>0</v>
      </c>
      <c r="O95" s="13"/>
      <c r="P95" s="1">
        <f>SUM(OSRRefP22_8x_0)</f>
        <v>3000</v>
      </c>
      <c r="Q95" s="1"/>
      <c r="R95" s="5">
        <f t="shared" si="48"/>
        <v>1.0639328981776859E-3</v>
      </c>
      <c r="S95" s="1"/>
      <c r="T95" s="1">
        <f>SUM(OSRRefT22_8x_0)</f>
        <v>3000</v>
      </c>
      <c r="U95" s="1"/>
      <c r="V95" s="5">
        <f t="shared" si="49"/>
        <v>9.8391979872936605E-4</v>
      </c>
      <c r="W95" s="1"/>
      <c r="X95" s="1">
        <f t="shared" si="50"/>
        <v>0</v>
      </c>
      <c r="Y95" s="1"/>
      <c r="Z95" s="5">
        <f t="shared" si="51"/>
        <v>0</v>
      </c>
    </row>
    <row r="96" spans="1:26" s="24" customFormat="1" hidden="1" outlineLevel="2" x14ac:dyDescent="0.25">
      <c r="A96" s="25"/>
      <c r="B96" s="11" t="str">
        <f>CONCATENATE("          ", "6408", " - ", "INVENTORY ADJUSTMENT")</f>
        <v xml:space="preserve">          6408 - INVENTORY ADJUSTMENT</v>
      </c>
      <c r="C96" s="11"/>
      <c r="D96" s="7">
        <v>1000</v>
      </c>
      <c r="E96" s="2"/>
      <c r="F96" s="6">
        <f t="shared" si="44"/>
        <v>1.7303698580783513E-3</v>
      </c>
      <c r="G96" s="2"/>
      <c r="H96" s="7">
        <v>1000</v>
      </c>
      <c r="I96" s="2"/>
      <c r="J96" s="6">
        <f t="shared" si="45"/>
        <v>1.6550728811343207E-3</v>
      </c>
      <c r="K96" s="2"/>
      <c r="L96" s="7">
        <f t="shared" si="46"/>
        <v>0</v>
      </c>
      <c r="M96" s="2"/>
      <c r="N96" s="6">
        <f t="shared" si="47"/>
        <v>0</v>
      </c>
      <c r="O96" s="11"/>
      <c r="P96" s="7">
        <v>3000</v>
      </c>
      <c r="Q96" s="2"/>
      <c r="R96" s="6">
        <f t="shared" si="48"/>
        <v>1.0639328981776859E-3</v>
      </c>
      <c r="S96" s="2"/>
      <c r="T96" s="7">
        <v>3000</v>
      </c>
      <c r="U96" s="2"/>
      <c r="V96" s="6">
        <f t="shared" si="49"/>
        <v>9.8391979872936605E-4</v>
      </c>
      <c r="W96" s="2"/>
      <c r="X96" s="7">
        <f t="shared" si="50"/>
        <v>0</v>
      </c>
      <c r="Y96" s="2"/>
      <c r="Z96" s="6">
        <f t="shared" si="51"/>
        <v>0</v>
      </c>
    </row>
    <row r="97" spans="1:26" s="26" customFormat="1" outlineLevel="1" collapsed="1" x14ac:dyDescent="0.25">
      <c r="A97" s="27"/>
      <c r="B97" s="13" t="str">
        <f>CONCATENATE("     ","Repair and Maintenance                            ")</f>
        <v xml:space="preserve">     Repair and Maintenance                            </v>
      </c>
      <c r="C97" s="13"/>
      <c r="D97" s="1">
        <f>SUM(OSRRefD22_9x_0)</f>
        <v>20.78</v>
      </c>
      <c r="E97" s="1"/>
      <c r="F97" s="5">
        <f t="shared" si="44"/>
        <v>3.595708565086814E-5</v>
      </c>
      <c r="G97" s="1"/>
      <c r="H97" s="1">
        <f>SUM(OSRRefH22_9x_0)</f>
        <v>140</v>
      </c>
      <c r="I97" s="1"/>
      <c r="J97" s="5">
        <f t="shared" si="45"/>
        <v>2.3171020335880491E-4</v>
      </c>
      <c r="K97" s="1"/>
      <c r="L97" s="1">
        <f t="shared" si="46"/>
        <v>-119.22</v>
      </c>
      <c r="M97" s="1"/>
      <c r="N97" s="5">
        <f t="shared" si="47"/>
        <v>-0.85157142857142853</v>
      </c>
      <c r="O97" s="13"/>
      <c r="P97" s="1">
        <f>SUM(OSRRefP22_9x_0)</f>
        <v>70.2</v>
      </c>
      <c r="Q97" s="1"/>
      <c r="R97" s="5">
        <f t="shared" si="48"/>
        <v>2.4896029817357852E-5</v>
      </c>
      <c r="S97" s="1"/>
      <c r="T97" s="1">
        <f>SUM(OSRRefT22_9x_0)</f>
        <v>420</v>
      </c>
      <c r="U97" s="1"/>
      <c r="V97" s="5">
        <f t="shared" si="49"/>
        <v>1.3774877182211122E-4</v>
      </c>
      <c r="W97" s="1"/>
      <c r="X97" s="1">
        <f t="shared" si="50"/>
        <v>-349.8</v>
      </c>
      <c r="Y97" s="1"/>
      <c r="Z97" s="5">
        <f t="shared" si="51"/>
        <v>-0.83285714285714285</v>
      </c>
    </row>
    <row r="98" spans="1:26" s="24" customFormat="1" hidden="1" outlineLevel="2" x14ac:dyDescent="0.25">
      <c r="A98" s="25"/>
      <c r="B98" s="11" t="str">
        <f>CONCATENATE("          ", "6373", " - ", "MAINTENANCE CONTRACTS")</f>
        <v xml:space="preserve">          6373 - MAINTENANCE CONTRACTS</v>
      </c>
      <c r="C98" s="11"/>
      <c r="D98" s="7">
        <v>20.78</v>
      </c>
      <c r="E98" s="2"/>
      <c r="F98" s="6">
        <f t="shared" si="44"/>
        <v>3.595708565086814E-5</v>
      </c>
      <c r="G98" s="2"/>
      <c r="H98" s="7">
        <v>40</v>
      </c>
      <c r="I98" s="2"/>
      <c r="J98" s="6">
        <f t="shared" si="45"/>
        <v>6.6202915245372831E-5</v>
      </c>
      <c r="K98" s="2"/>
      <c r="L98" s="7">
        <f t="shared" si="46"/>
        <v>-19.22</v>
      </c>
      <c r="M98" s="2"/>
      <c r="N98" s="6">
        <f t="shared" si="47"/>
        <v>-0.48049999999999998</v>
      </c>
      <c r="O98" s="11"/>
      <c r="P98" s="7">
        <v>70.2</v>
      </c>
      <c r="Q98" s="2"/>
      <c r="R98" s="6">
        <f t="shared" si="48"/>
        <v>2.4896029817357852E-5</v>
      </c>
      <c r="S98" s="2"/>
      <c r="T98" s="7">
        <v>120</v>
      </c>
      <c r="U98" s="2"/>
      <c r="V98" s="6">
        <f t="shared" si="49"/>
        <v>3.9356791949174636E-5</v>
      </c>
      <c r="W98" s="2"/>
      <c r="X98" s="7">
        <f t="shared" si="50"/>
        <v>-49.8</v>
      </c>
      <c r="Y98" s="2"/>
      <c r="Z98" s="6">
        <f t="shared" si="51"/>
        <v>-0.41499999999999998</v>
      </c>
    </row>
    <row r="99" spans="1:26" s="24" customFormat="1" hidden="1" outlineLevel="2" x14ac:dyDescent="0.25">
      <c r="A99" s="25"/>
      <c r="B99" s="11" t="str">
        <f>CONCATENATE("          ", "6375", " - ", "OUTSIDE REPAIRS &amp; MAINTENANCE")</f>
        <v xml:space="preserve">          6375 - OUTSIDE REPAIRS &amp; MAINTENANCE</v>
      </c>
      <c r="C99" s="11"/>
      <c r="D99" s="7"/>
      <c r="E99" s="2"/>
      <c r="F99" s="6">
        <f t="shared" si="44"/>
        <v>0</v>
      </c>
      <c r="G99" s="2"/>
      <c r="H99" s="7">
        <v>100</v>
      </c>
      <c r="I99" s="2"/>
      <c r="J99" s="6">
        <f t="shared" si="45"/>
        <v>1.6550728811343208E-4</v>
      </c>
      <c r="K99" s="2"/>
      <c r="L99" s="7">
        <f t="shared" si="46"/>
        <v>-100</v>
      </c>
      <c r="M99" s="2"/>
      <c r="N99" s="6">
        <f t="shared" si="47"/>
        <v>-1</v>
      </c>
      <c r="O99" s="11"/>
      <c r="P99" s="7"/>
      <c r="Q99" s="2"/>
      <c r="R99" s="6">
        <f t="shared" si="48"/>
        <v>0</v>
      </c>
      <c r="S99" s="2"/>
      <c r="T99" s="7">
        <v>300</v>
      </c>
      <c r="U99" s="2"/>
      <c r="V99" s="6">
        <f t="shared" si="49"/>
        <v>9.8391979872936602E-5</v>
      </c>
      <c r="W99" s="2"/>
      <c r="X99" s="7">
        <f t="shared" si="50"/>
        <v>-300</v>
      </c>
      <c r="Y99" s="2"/>
      <c r="Z99" s="6">
        <f t="shared" si="51"/>
        <v>-1</v>
      </c>
    </row>
    <row r="100" spans="1:26" s="26" customFormat="1" outlineLevel="1" collapsed="1" x14ac:dyDescent="0.25">
      <c r="A100" s="27"/>
      <c r="B100" s="13" t="str">
        <f>CONCATENATE("     ","Subscriptions &amp; Dues                              ")</f>
        <v xml:space="preserve">     Subscriptions &amp; Dues                              </v>
      </c>
      <c r="C100" s="13"/>
      <c r="D100" s="1">
        <f>SUM(OSRRefD22_10x_0)</f>
        <v>250</v>
      </c>
      <c r="E100" s="1"/>
      <c r="F100" s="5">
        <f t="shared" ref="F100:F105" si="52">IF(D$12=0,0,D100/D$12)</f>
        <v>4.3259246451958781E-4</v>
      </c>
      <c r="G100" s="1"/>
      <c r="H100" s="1">
        <f>SUM(OSRRefH22_10x_0)</f>
        <v>300</v>
      </c>
      <c r="I100" s="1"/>
      <c r="J100" s="5">
        <f t="shared" ref="J100:J105" si="53">IF(H$12=0,0,H100/H$12)</f>
        <v>4.9652186434029626E-4</v>
      </c>
      <c r="K100" s="1"/>
      <c r="L100" s="1">
        <f t="shared" ref="L100:L105" si="54">+D100-H100</f>
        <v>-50</v>
      </c>
      <c r="M100" s="1"/>
      <c r="N100" s="5">
        <f t="shared" ref="N100:N105" si="55">IF(H100=0,0,L100/H100)</f>
        <v>-0.16666666666666666</v>
      </c>
      <c r="O100" s="13"/>
      <c r="P100" s="1">
        <f>SUM(OSRRefP22_10x_0)</f>
        <v>788.85</v>
      </c>
      <c r="Q100" s="1"/>
      <c r="R100" s="5">
        <f t="shared" ref="R100:R105" si="56">IF(P$12=0,0,P100/P$12)</f>
        <v>2.7976115557582252E-4</v>
      </c>
      <c r="S100" s="1"/>
      <c r="T100" s="1">
        <f>SUM(OSRRefT22_10x_0)</f>
        <v>900</v>
      </c>
      <c r="U100" s="1"/>
      <c r="V100" s="5">
        <f t="shared" ref="V100:V105" si="57">IF(T$12=0,0,T100/T$12)</f>
        <v>2.9517593961880979E-4</v>
      </c>
      <c r="W100" s="1"/>
      <c r="X100" s="1">
        <f t="shared" ref="X100:X105" si="58">+P100-T100</f>
        <v>-111.14999999999998</v>
      </c>
      <c r="Y100" s="1"/>
      <c r="Z100" s="5">
        <f t="shared" ref="Z100:Z105" si="59">IF(T100=0,0,X100/T100)</f>
        <v>-0.12349999999999997</v>
      </c>
    </row>
    <row r="101" spans="1:26" s="24" customFormat="1" hidden="1" outlineLevel="2" x14ac:dyDescent="0.25">
      <c r="A101" s="25"/>
      <c r="B101" s="11" t="str">
        <f>CONCATENATE("          ", "6258", " - ", "MEMBERSHIP DUES")</f>
        <v xml:space="preserve">          6258 - MEMBERSHIP DUES</v>
      </c>
      <c r="C101" s="11"/>
      <c r="D101" s="7">
        <v>250</v>
      </c>
      <c r="E101" s="2"/>
      <c r="F101" s="6">
        <f t="shared" si="52"/>
        <v>4.3259246451958781E-4</v>
      </c>
      <c r="G101" s="2"/>
      <c r="H101" s="7">
        <v>300</v>
      </c>
      <c r="I101" s="2"/>
      <c r="J101" s="6">
        <f t="shared" si="53"/>
        <v>4.9652186434029626E-4</v>
      </c>
      <c r="K101" s="2"/>
      <c r="L101" s="7">
        <f t="shared" si="54"/>
        <v>-50</v>
      </c>
      <c r="M101" s="2"/>
      <c r="N101" s="6">
        <f t="shared" si="55"/>
        <v>-0.16666666666666666</v>
      </c>
      <c r="O101" s="11"/>
      <c r="P101" s="7">
        <v>788.85</v>
      </c>
      <c r="Q101" s="2"/>
      <c r="R101" s="6">
        <f t="shared" si="56"/>
        <v>2.7976115557582252E-4</v>
      </c>
      <c r="S101" s="2"/>
      <c r="T101" s="7">
        <v>900</v>
      </c>
      <c r="U101" s="2"/>
      <c r="V101" s="6">
        <f t="shared" si="57"/>
        <v>2.9517593961880979E-4</v>
      </c>
      <c r="W101" s="2"/>
      <c r="X101" s="7">
        <f t="shared" si="58"/>
        <v>-111.14999999999998</v>
      </c>
      <c r="Y101" s="2"/>
      <c r="Z101" s="6">
        <f t="shared" si="59"/>
        <v>-0.12349999999999997</v>
      </c>
    </row>
    <row r="102" spans="1:26" s="26" customFormat="1" outlineLevel="1" collapsed="1" x14ac:dyDescent="0.25">
      <c r="A102" s="27"/>
      <c r="B102" s="13" t="str">
        <f>CONCATENATE("     ","Supplies                                          ")</f>
        <v xml:space="preserve">     Supplies                                          </v>
      </c>
      <c r="C102" s="13"/>
      <c r="D102" s="1">
        <f>SUM(OSRRefD22_11x_0)</f>
        <v>149.59</v>
      </c>
      <c r="E102" s="1"/>
      <c r="F102" s="5">
        <f t="shared" si="52"/>
        <v>2.5884602706994055E-4</v>
      </c>
      <c r="G102" s="1"/>
      <c r="H102" s="1">
        <f>SUM(OSRRefH22_11x_0)</f>
        <v>1725</v>
      </c>
      <c r="I102" s="1"/>
      <c r="J102" s="5">
        <f t="shared" si="53"/>
        <v>2.8550007199567031E-3</v>
      </c>
      <c r="K102" s="1"/>
      <c r="L102" s="1">
        <f t="shared" si="54"/>
        <v>-1575.41</v>
      </c>
      <c r="M102" s="1"/>
      <c r="N102" s="5">
        <f t="shared" si="55"/>
        <v>-0.91328115942028987</v>
      </c>
      <c r="O102" s="13"/>
      <c r="P102" s="1">
        <f>SUM(OSRRefP22_11x_0)</f>
        <v>7349.1399999999994</v>
      </c>
      <c r="Q102" s="1"/>
      <c r="R102" s="5">
        <f t="shared" si="56"/>
        <v>2.6063306064378526E-3</v>
      </c>
      <c r="S102" s="1"/>
      <c r="T102" s="1">
        <f>SUM(OSRRefT22_11x_0)</f>
        <v>5850</v>
      </c>
      <c r="U102" s="1"/>
      <c r="V102" s="5">
        <f t="shared" si="57"/>
        <v>1.9186436075222637E-3</v>
      </c>
      <c r="W102" s="1"/>
      <c r="X102" s="1">
        <f t="shared" si="58"/>
        <v>1499.1399999999994</v>
      </c>
      <c r="Y102" s="1"/>
      <c r="Z102" s="5">
        <f t="shared" si="59"/>
        <v>0.25626324786324778</v>
      </c>
    </row>
    <row r="103" spans="1:26" s="24" customFormat="1" hidden="1" outlineLevel="2" x14ac:dyDescent="0.25">
      <c r="A103" s="25"/>
      <c r="B103" s="11" t="str">
        <f>CONCATENATE("          ", "6241", " - ", "OFFICE EXPENSE")</f>
        <v xml:space="preserve">          6241 - OFFICE EXPENSE</v>
      </c>
      <c r="C103" s="11"/>
      <c r="D103" s="7">
        <v>132.74</v>
      </c>
      <c r="E103" s="2"/>
      <c r="F103" s="6">
        <f t="shared" si="52"/>
        <v>2.2968929496132036E-4</v>
      </c>
      <c r="G103" s="2"/>
      <c r="H103" s="7">
        <v>125</v>
      </c>
      <c r="I103" s="2"/>
      <c r="J103" s="6">
        <f t="shared" si="53"/>
        <v>2.0688411014179009E-4</v>
      </c>
      <c r="K103" s="2"/>
      <c r="L103" s="7">
        <f t="shared" si="54"/>
        <v>7.7400000000000091</v>
      </c>
      <c r="M103" s="2"/>
      <c r="N103" s="6">
        <f t="shared" si="55"/>
        <v>6.1920000000000072E-2</v>
      </c>
      <c r="O103" s="11"/>
      <c r="P103" s="7">
        <v>2337.8200000000002</v>
      </c>
      <c r="Q103" s="2"/>
      <c r="R103" s="6">
        <f t="shared" si="56"/>
        <v>8.2909453600591928E-4</v>
      </c>
      <c r="S103" s="2"/>
      <c r="T103" s="7">
        <v>550</v>
      </c>
      <c r="U103" s="2"/>
      <c r="V103" s="6">
        <f t="shared" si="57"/>
        <v>1.8038529643371709E-4</v>
      </c>
      <c r="W103" s="2"/>
      <c r="X103" s="7">
        <f t="shared" si="58"/>
        <v>1787.8200000000002</v>
      </c>
      <c r="Y103" s="2"/>
      <c r="Z103" s="6">
        <f t="shared" si="59"/>
        <v>3.2505818181818187</v>
      </c>
    </row>
    <row r="104" spans="1:26" s="24" customFormat="1" hidden="1" outlineLevel="2" x14ac:dyDescent="0.25">
      <c r="A104" s="25"/>
      <c r="B104" s="11" t="str">
        <f>CONCATENATE("          ", "6245", " - ", "PRINTING")</f>
        <v xml:space="preserve">          6245 - PRINTING</v>
      </c>
      <c r="C104" s="11"/>
      <c r="D104" s="7"/>
      <c r="E104" s="2"/>
      <c r="F104" s="6">
        <f t="shared" si="52"/>
        <v>0</v>
      </c>
      <c r="G104" s="2"/>
      <c r="H104" s="7">
        <v>100</v>
      </c>
      <c r="I104" s="2"/>
      <c r="J104" s="6">
        <f t="shared" si="53"/>
        <v>1.6550728811343208E-4</v>
      </c>
      <c r="K104" s="2"/>
      <c r="L104" s="7">
        <f t="shared" si="54"/>
        <v>-100</v>
      </c>
      <c r="M104" s="2"/>
      <c r="N104" s="6">
        <f t="shared" si="55"/>
        <v>-1</v>
      </c>
      <c r="O104" s="11"/>
      <c r="P104" s="7">
        <v>4978.08</v>
      </c>
      <c r="Q104" s="2"/>
      <c r="R104" s="6">
        <f t="shared" si="56"/>
        <v>1.7654476939201248E-3</v>
      </c>
      <c r="S104" s="2"/>
      <c r="T104" s="7">
        <v>700</v>
      </c>
      <c r="U104" s="2"/>
      <c r="V104" s="6">
        <f t="shared" si="57"/>
        <v>2.295812863701854E-4</v>
      </c>
      <c r="W104" s="2"/>
      <c r="X104" s="7">
        <f t="shared" si="58"/>
        <v>4278.08</v>
      </c>
      <c r="Y104" s="2"/>
      <c r="Z104" s="6">
        <f t="shared" si="59"/>
        <v>6.1115428571428572</v>
      </c>
    </row>
    <row r="105" spans="1:26" s="24" customFormat="1" hidden="1" outlineLevel="2" x14ac:dyDescent="0.25">
      <c r="A105" s="25"/>
      <c r="B105" s="11" t="str">
        <f>CONCATENATE("          ", "6247", " - ", "STORE SUPPLIES")</f>
        <v xml:space="preserve">          6247 - STORE SUPPLIES</v>
      </c>
      <c r="C105" s="11"/>
      <c r="D105" s="7">
        <v>16.850000000000001</v>
      </c>
      <c r="E105" s="2"/>
      <c r="F105" s="6">
        <f t="shared" si="52"/>
        <v>2.9156732108620221E-5</v>
      </c>
      <c r="G105" s="2"/>
      <c r="H105" s="7">
        <v>1500</v>
      </c>
      <c r="I105" s="2"/>
      <c r="J105" s="6">
        <f t="shared" si="53"/>
        <v>2.4826093217014812E-3</v>
      </c>
      <c r="K105" s="2"/>
      <c r="L105" s="7">
        <f t="shared" si="54"/>
        <v>-1483.15</v>
      </c>
      <c r="M105" s="2"/>
      <c r="N105" s="6">
        <f t="shared" si="55"/>
        <v>-0.98876666666666668</v>
      </c>
      <c r="O105" s="11"/>
      <c r="P105" s="7">
        <v>33.24</v>
      </c>
      <c r="Q105" s="2"/>
      <c r="R105" s="6">
        <f t="shared" si="56"/>
        <v>1.178837651180876E-5</v>
      </c>
      <c r="S105" s="2"/>
      <c r="T105" s="7">
        <v>4600</v>
      </c>
      <c r="U105" s="2"/>
      <c r="V105" s="6">
        <f t="shared" si="57"/>
        <v>1.5086770247183612E-3</v>
      </c>
      <c r="W105" s="2"/>
      <c r="X105" s="7">
        <f t="shared" si="58"/>
        <v>-4566.76</v>
      </c>
      <c r="Y105" s="2"/>
      <c r="Z105" s="6">
        <f t="shared" si="59"/>
        <v>-0.99277391304347828</v>
      </c>
    </row>
    <row r="106" spans="1:26" s="26" customFormat="1" outlineLevel="1" collapsed="1" x14ac:dyDescent="0.25">
      <c r="A106" s="27"/>
      <c r="B106" s="13" t="str">
        <f>CONCATENATE("     ","Telephone/Data Lines                              ")</f>
        <v xml:space="preserve">     Telephone/Data Lines                              </v>
      </c>
      <c r="C106" s="13"/>
      <c r="D106" s="1">
        <f>SUM(OSRRefD22_12x_0)</f>
        <v>2045</v>
      </c>
      <c r="E106" s="1"/>
      <c r="F106" s="5">
        <f t="shared" ref="F106:F108" si="60">IF(D$12=0,0,D106/D$12)</f>
        <v>3.5386063597702281E-3</v>
      </c>
      <c r="G106" s="1"/>
      <c r="H106" s="1">
        <f>SUM(OSRRefH22_12x_0)</f>
        <v>1700</v>
      </c>
      <c r="I106" s="1"/>
      <c r="J106" s="5">
        <f t="shared" ref="J106:J108" si="61">IF(H$12=0,0,H106/H$12)</f>
        <v>2.8136238979283453E-3</v>
      </c>
      <c r="K106" s="1"/>
      <c r="L106" s="1">
        <f t="shared" ref="L106:L108" si="62">+D106-H106</f>
        <v>345</v>
      </c>
      <c r="M106" s="1"/>
      <c r="N106" s="5">
        <f t="shared" ref="N106:N108" si="63">IF(H106=0,0,L106/H106)</f>
        <v>0.20294117647058824</v>
      </c>
      <c r="O106" s="13"/>
      <c r="P106" s="1">
        <f>SUM(OSRRefP22_12x_0)</f>
        <v>3399.5</v>
      </c>
      <c r="Q106" s="1"/>
      <c r="R106" s="5">
        <f t="shared" ref="R106:R108" si="64">IF(P$12=0,0,P106/P$12)</f>
        <v>1.2056132957850144E-3</v>
      </c>
      <c r="S106" s="1"/>
      <c r="T106" s="1">
        <f>SUM(OSRRefT22_12x_0)</f>
        <v>3300</v>
      </c>
      <c r="U106" s="1"/>
      <c r="V106" s="5">
        <f t="shared" ref="V106:V108" si="65">IF(T$12=0,0,T106/T$12)</f>
        <v>1.0823117786023025E-3</v>
      </c>
      <c r="W106" s="1"/>
      <c r="X106" s="1">
        <f t="shared" ref="X106:X108" si="66">+P106-T106</f>
        <v>99.5</v>
      </c>
      <c r="Y106" s="1"/>
      <c r="Z106" s="5">
        <f t="shared" ref="Z106:Z108" si="67">IF(T106=0,0,X106/T106)</f>
        <v>3.0151515151515151E-2</v>
      </c>
    </row>
    <row r="107" spans="1:26" s="24" customFormat="1" hidden="1" outlineLevel="2" x14ac:dyDescent="0.25">
      <c r="A107" s="25"/>
      <c r="B107" s="11" t="str">
        <f>CONCATENATE("          ", "6303", " - ", "DATA PHONE LINES")</f>
        <v xml:space="preserve">          6303 - DATA PHONE LINES</v>
      </c>
      <c r="C107" s="11"/>
      <c r="D107" s="7">
        <v>295</v>
      </c>
      <c r="E107" s="2"/>
      <c r="F107" s="6">
        <f t="shared" si="60"/>
        <v>5.1045910813311357E-4</v>
      </c>
      <c r="G107" s="2"/>
      <c r="H107" s="7">
        <v>300</v>
      </c>
      <c r="I107" s="2"/>
      <c r="J107" s="6">
        <f t="shared" si="61"/>
        <v>4.9652186434029626E-4</v>
      </c>
      <c r="K107" s="2"/>
      <c r="L107" s="7">
        <f t="shared" si="62"/>
        <v>-5</v>
      </c>
      <c r="M107" s="2"/>
      <c r="N107" s="6">
        <f t="shared" si="63"/>
        <v>-1.6666666666666666E-2</v>
      </c>
      <c r="O107" s="11"/>
      <c r="P107" s="7">
        <v>885</v>
      </c>
      <c r="Q107" s="2"/>
      <c r="R107" s="6">
        <f t="shared" si="64"/>
        <v>3.1386020496241733E-4</v>
      </c>
      <c r="S107" s="2"/>
      <c r="T107" s="7">
        <v>900</v>
      </c>
      <c r="U107" s="2"/>
      <c r="V107" s="6">
        <f t="shared" si="65"/>
        <v>2.9517593961880979E-4</v>
      </c>
      <c r="W107" s="2"/>
      <c r="X107" s="7">
        <f t="shared" si="66"/>
        <v>-15</v>
      </c>
      <c r="Y107" s="2"/>
      <c r="Z107" s="6">
        <f t="shared" si="67"/>
        <v>-1.6666666666666666E-2</v>
      </c>
    </row>
    <row r="108" spans="1:26" s="24" customFormat="1" hidden="1" outlineLevel="2" x14ac:dyDescent="0.25">
      <c r="A108" s="25"/>
      <c r="B108" s="11" t="str">
        <f>CONCATENATE("          ", "6309", " - ", "TELEPHONE")</f>
        <v xml:space="preserve">          6309 - TELEPHONE</v>
      </c>
      <c r="C108" s="11"/>
      <c r="D108" s="7">
        <v>1750</v>
      </c>
      <c r="E108" s="2"/>
      <c r="F108" s="6">
        <f t="shared" si="60"/>
        <v>3.0281472516371145E-3</v>
      </c>
      <c r="G108" s="2"/>
      <c r="H108" s="7">
        <v>1400</v>
      </c>
      <c r="I108" s="2"/>
      <c r="J108" s="6">
        <f t="shared" si="61"/>
        <v>2.3171020335880491E-3</v>
      </c>
      <c r="K108" s="2"/>
      <c r="L108" s="7">
        <f t="shared" si="62"/>
        <v>350</v>
      </c>
      <c r="M108" s="2"/>
      <c r="N108" s="6">
        <f t="shared" si="63"/>
        <v>0.25</v>
      </c>
      <c r="O108" s="11"/>
      <c r="P108" s="7">
        <v>2514.5</v>
      </c>
      <c r="Q108" s="2"/>
      <c r="R108" s="6">
        <f t="shared" si="64"/>
        <v>8.9175309082259707E-4</v>
      </c>
      <c r="S108" s="2"/>
      <c r="T108" s="7">
        <v>2400</v>
      </c>
      <c r="U108" s="2"/>
      <c r="V108" s="6">
        <f t="shared" si="65"/>
        <v>7.8713583898349282E-4</v>
      </c>
      <c r="W108" s="2"/>
      <c r="X108" s="7">
        <f t="shared" si="66"/>
        <v>114.5</v>
      </c>
      <c r="Y108" s="2"/>
      <c r="Z108" s="6">
        <f t="shared" si="67"/>
        <v>4.7708333333333332E-2</v>
      </c>
    </row>
    <row r="109" spans="1:26" s="26" customFormat="1" outlineLevel="1" collapsed="1" x14ac:dyDescent="0.25">
      <c r="A109" s="27"/>
      <c r="B109" s="13" t="str">
        <f>CONCATENATE("     ","Training                                          ")</f>
        <v xml:space="preserve">     Training                                          </v>
      </c>
      <c r="C109" s="13"/>
      <c r="D109" s="1">
        <f>SUM(OSRRefD22_13x_0)</f>
        <v>0</v>
      </c>
      <c r="E109" s="1"/>
      <c r="F109" s="5">
        <f t="shared" ref="F109:F112" si="68">IF(D$12=0,0,D109/D$12)</f>
        <v>0</v>
      </c>
      <c r="G109" s="1"/>
      <c r="H109" s="1">
        <f>SUM(OSRRefH22_13x_0)</f>
        <v>0</v>
      </c>
      <c r="I109" s="1"/>
      <c r="J109" s="5">
        <f t="shared" ref="J109:J112" si="69">IF(H$12=0,0,H109/H$12)</f>
        <v>0</v>
      </c>
      <c r="K109" s="1"/>
      <c r="L109" s="1">
        <f t="shared" ref="L109:L112" si="70">+D109-H109</f>
        <v>0</v>
      </c>
      <c r="M109" s="1"/>
      <c r="N109" s="5">
        <f t="shared" ref="N109:N112" si="71">IF(H109=0,0,L109/H109)</f>
        <v>0</v>
      </c>
      <c r="O109" s="13"/>
      <c r="P109" s="1">
        <f>SUM(OSRRefP22_13x_0)</f>
        <v>547.47</v>
      </c>
      <c r="Q109" s="1"/>
      <c r="R109" s="5">
        <f t="shared" ref="R109:R112" si="72">IF(P$12=0,0,P109/P$12)</f>
        <v>1.9415711458844591E-4</v>
      </c>
      <c r="S109" s="1"/>
      <c r="T109" s="1">
        <f>SUM(OSRRefT22_13x_0)</f>
        <v>300</v>
      </c>
      <c r="U109" s="1"/>
      <c r="V109" s="5">
        <f t="shared" ref="V109:V112" si="73">IF(T$12=0,0,T109/T$12)</f>
        <v>9.8391979872936602E-5</v>
      </c>
      <c r="W109" s="1"/>
      <c r="X109" s="1">
        <f t="shared" ref="X109:X112" si="74">+P109-T109</f>
        <v>247.47000000000003</v>
      </c>
      <c r="Y109" s="1"/>
      <c r="Z109" s="5">
        <f t="shared" ref="Z109:Z112" si="75">IF(T109=0,0,X109/T109)</f>
        <v>0.82490000000000008</v>
      </c>
    </row>
    <row r="110" spans="1:26" s="24" customFormat="1" hidden="1" outlineLevel="2" x14ac:dyDescent="0.25">
      <c r="A110" s="25"/>
      <c r="B110" s="11" t="str">
        <f>CONCATENATE("          ", "6376", " - ", "TRAINING")</f>
        <v xml:space="preserve">          6376 - TRAINING</v>
      </c>
      <c r="C110" s="11"/>
      <c r="D110" s="7"/>
      <c r="E110" s="2"/>
      <c r="F110" s="6">
        <f t="shared" si="68"/>
        <v>0</v>
      </c>
      <c r="G110" s="2"/>
      <c r="H110" s="7"/>
      <c r="I110" s="2"/>
      <c r="J110" s="6">
        <f t="shared" si="69"/>
        <v>0</v>
      </c>
      <c r="K110" s="2"/>
      <c r="L110" s="7">
        <f t="shared" si="70"/>
        <v>0</v>
      </c>
      <c r="M110" s="2"/>
      <c r="N110" s="6">
        <f t="shared" si="71"/>
        <v>0</v>
      </c>
      <c r="O110" s="11"/>
      <c r="P110" s="7">
        <v>547.47</v>
      </c>
      <c r="Q110" s="2"/>
      <c r="R110" s="6">
        <f t="shared" si="72"/>
        <v>1.9415711458844591E-4</v>
      </c>
      <c r="S110" s="2"/>
      <c r="T110" s="7">
        <v>300</v>
      </c>
      <c r="U110" s="2"/>
      <c r="V110" s="6">
        <f t="shared" si="73"/>
        <v>9.8391979872936602E-5</v>
      </c>
      <c r="W110" s="2"/>
      <c r="X110" s="7">
        <f t="shared" si="74"/>
        <v>247.47000000000003</v>
      </c>
      <c r="Y110" s="2"/>
      <c r="Z110" s="6">
        <f t="shared" si="75"/>
        <v>0.82490000000000008</v>
      </c>
    </row>
    <row r="111" spans="1:26" s="26" customFormat="1" outlineLevel="1" collapsed="1" x14ac:dyDescent="0.25">
      <c r="A111" s="27"/>
      <c r="B111" s="13" t="str">
        <f>CONCATENATE("     ","Travel                                            ")</f>
        <v xml:space="preserve">     Travel                                            </v>
      </c>
      <c r="C111" s="13"/>
      <c r="D111" s="1">
        <f>SUM(OSRRefD22_14x_0)</f>
        <v>0</v>
      </c>
      <c r="E111" s="1"/>
      <c r="F111" s="5">
        <f t="shared" si="68"/>
        <v>0</v>
      </c>
      <c r="G111" s="1"/>
      <c r="H111" s="1">
        <f>SUM(OSRRefH22_14x_0)</f>
        <v>0</v>
      </c>
      <c r="I111" s="1"/>
      <c r="J111" s="5">
        <f t="shared" si="69"/>
        <v>0</v>
      </c>
      <c r="K111" s="1"/>
      <c r="L111" s="1">
        <f t="shared" si="70"/>
        <v>0</v>
      </c>
      <c r="M111" s="1"/>
      <c r="N111" s="5">
        <f t="shared" si="71"/>
        <v>0</v>
      </c>
      <c r="O111" s="13"/>
      <c r="P111" s="1">
        <f>SUM(OSRRefP22_14x_0)</f>
        <v>0</v>
      </c>
      <c r="Q111" s="1"/>
      <c r="R111" s="5">
        <f t="shared" si="72"/>
        <v>0</v>
      </c>
      <c r="S111" s="1"/>
      <c r="T111" s="1">
        <f>SUM(OSRRefT22_14x_0)</f>
        <v>450</v>
      </c>
      <c r="U111" s="1"/>
      <c r="V111" s="5">
        <f t="shared" si="73"/>
        <v>1.475879698094049E-4</v>
      </c>
      <c r="W111" s="1"/>
      <c r="X111" s="1">
        <f t="shared" si="74"/>
        <v>-450</v>
      </c>
      <c r="Y111" s="1"/>
      <c r="Z111" s="5">
        <f t="shared" si="75"/>
        <v>-1</v>
      </c>
    </row>
    <row r="112" spans="1:26" s="24" customFormat="1" hidden="1" outlineLevel="2" x14ac:dyDescent="0.25">
      <c r="A112" s="25"/>
      <c r="B112" s="11" t="str">
        <f>CONCATENATE("          ", "6298", " - ", "VEHICLE MILEAGE")</f>
        <v xml:space="preserve">          6298 - VEHICLE MILEAGE</v>
      </c>
      <c r="C112" s="11"/>
      <c r="D112" s="7"/>
      <c r="E112" s="2"/>
      <c r="F112" s="6">
        <f t="shared" si="68"/>
        <v>0</v>
      </c>
      <c r="G112" s="2"/>
      <c r="H112" s="7"/>
      <c r="I112" s="2"/>
      <c r="J112" s="6">
        <f t="shared" si="69"/>
        <v>0</v>
      </c>
      <c r="K112" s="2"/>
      <c r="L112" s="7">
        <f t="shared" si="70"/>
        <v>0</v>
      </c>
      <c r="M112" s="2"/>
      <c r="N112" s="6">
        <f t="shared" si="71"/>
        <v>0</v>
      </c>
      <c r="O112" s="11"/>
      <c r="P112" s="7"/>
      <c r="Q112" s="2"/>
      <c r="R112" s="6">
        <f t="shared" si="72"/>
        <v>0</v>
      </c>
      <c r="S112" s="2"/>
      <c r="T112" s="7">
        <v>450</v>
      </c>
      <c r="U112" s="2"/>
      <c r="V112" s="6">
        <f t="shared" si="73"/>
        <v>1.475879698094049E-4</v>
      </c>
      <c r="W112" s="2"/>
      <c r="X112" s="7">
        <f t="shared" si="74"/>
        <v>-450</v>
      </c>
      <c r="Y112" s="2"/>
      <c r="Z112" s="6">
        <f t="shared" si="75"/>
        <v>-1</v>
      </c>
    </row>
    <row r="113" spans="1:26" s="63" customFormat="1" x14ac:dyDescent="0.25">
      <c r="A113" s="36"/>
      <c r="B113" s="36"/>
      <c r="C113" s="36"/>
      <c r="D113" s="1"/>
      <c r="E113" s="1"/>
      <c r="F113" s="5"/>
      <c r="G113" s="1"/>
      <c r="H113" s="1"/>
      <c r="I113" s="1"/>
      <c r="J113" s="5"/>
      <c r="K113" s="1"/>
      <c r="L113" s="1"/>
      <c r="M113" s="1"/>
      <c r="N113" s="5"/>
      <c r="O113" s="36"/>
      <c r="P113" s="1"/>
      <c r="Q113" s="1"/>
      <c r="R113" s="5"/>
      <c r="S113" s="1"/>
      <c r="T113" s="1"/>
      <c r="U113" s="1"/>
      <c r="V113" s="5"/>
      <c r="W113" s="1"/>
      <c r="X113" s="1"/>
      <c r="Y113" s="1"/>
      <c r="Z113" s="5"/>
    </row>
    <row r="114" spans="1:26" s="23" customFormat="1" collapsed="1" x14ac:dyDescent="0.25">
      <c r="A114" s="10"/>
      <c r="B114" s="28" t="s">
        <v>0</v>
      </c>
      <c r="C114" s="10"/>
      <c r="D114" s="4">
        <f>SUM(OSRRefD25x_0)</f>
        <v>95057.069999999992</v>
      </c>
      <c r="E114" s="4"/>
      <c r="F114" s="12">
        <f t="shared" ref="F114:F118" si="76">IF(D$12=0,0,D114/D$12)</f>
        <v>0.16448388872524389</v>
      </c>
      <c r="G114" s="4"/>
      <c r="H114" s="4">
        <f>SUM(OSRRefH25x_0)</f>
        <v>75000</v>
      </c>
      <c r="I114" s="4"/>
      <c r="J114" s="12">
        <f t="shared" ref="J114:J118" si="77">IF(H$12=0,0,H114/H$12)</f>
        <v>0.12413046608507405</v>
      </c>
      <c r="K114" s="4"/>
      <c r="L114" s="4">
        <f t="shared" ref="L114:L118" si="78">+D114-H114</f>
        <v>20057.069999999992</v>
      </c>
      <c r="M114" s="4"/>
      <c r="N114" s="12">
        <f t="shared" ref="N114:N118" si="79">IF(H114=0,0,L114/H114)</f>
        <v>0.26742759999999988</v>
      </c>
      <c r="O114" s="10"/>
      <c r="P114" s="4">
        <f>SUM(OSRRefP25x_0)</f>
        <v>97383.17</v>
      </c>
      <c r="Q114" s="4"/>
      <c r="R114" s="12">
        <f t="shared" ref="R114:R118" si="80">IF(P$12=0,0,P114/P$12)</f>
        <v>3.4536386097276758E-2</v>
      </c>
      <c r="S114" s="4"/>
      <c r="T114" s="4">
        <f>SUM(OSRRefT25x_0)</f>
        <v>82300</v>
      </c>
      <c r="U114" s="4"/>
      <c r="V114" s="12">
        <f t="shared" ref="V114:V118" si="81">IF(T$12=0,0,T114/T$12)</f>
        <v>2.6992199811808941E-2</v>
      </c>
      <c r="W114" s="4"/>
      <c r="X114" s="4">
        <f t="shared" ref="X114:X118" si="82">+P114-T114</f>
        <v>15083.169999999998</v>
      </c>
      <c r="Y114" s="4"/>
      <c r="Z114" s="12">
        <f t="shared" ref="Z114:Z118" si="83">IF(T114=0,0,X114/T114)</f>
        <v>0.18327059538274604</v>
      </c>
    </row>
    <row r="115" spans="1:26" s="24" customFormat="1" hidden="1" outlineLevel="1" x14ac:dyDescent="0.25">
      <c r="A115" s="46"/>
      <c r="B115" s="11" t="str">
        <f>CONCATENATE("          ", "9150", " - ", "MISC. INCOME")</f>
        <v xml:space="preserve">          9150 - MISC. INCOME</v>
      </c>
      <c r="C115" s="11"/>
      <c r="D115" s="2">
        <f>--6747.28</f>
        <v>6747.28</v>
      </c>
      <c r="E115" s="2"/>
      <c r="F115" s="19">
        <f t="shared" si="76"/>
        <v>1.1675289936014898E-2</v>
      </c>
      <c r="G115" s="2"/>
      <c r="H115" s="2"/>
      <c r="I115" s="2"/>
      <c r="J115" s="19">
        <f t="shared" si="77"/>
        <v>0</v>
      </c>
      <c r="K115" s="2"/>
      <c r="L115" s="2">
        <f t="shared" si="78"/>
        <v>6747.28</v>
      </c>
      <c r="M115" s="2"/>
      <c r="N115" s="19">
        <f t="shared" si="79"/>
        <v>0</v>
      </c>
      <c r="O115" s="11"/>
      <c r="P115" s="2">
        <f>--9065.95</f>
        <v>9065.9500000000007</v>
      </c>
      <c r="Q115" s="2"/>
      <c r="R115" s="19">
        <f t="shared" si="80"/>
        <v>3.2151874860779973E-3</v>
      </c>
      <c r="S115" s="2"/>
      <c r="T115" s="2"/>
      <c r="U115" s="2"/>
      <c r="V115" s="19">
        <f t="shared" si="81"/>
        <v>0</v>
      </c>
      <c r="W115" s="2"/>
      <c r="X115" s="2">
        <f t="shared" si="82"/>
        <v>9065.9500000000007</v>
      </c>
      <c r="Y115" s="2"/>
      <c r="Z115" s="19">
        <f t="shared" si="83"/>
        <v>0</v>
      </c>
    </row>
    <row r="116" spans="1:26" s="24" customFormat="1" hidden="1" outlineLevel="1" x14ac:dyDescent="0.25">
      <c r="A116" s="46"/>
      <c r="B116" s="11" t="str">
        <f>CONCATENATE("          ", "9151", " - ", "MISC. INCOME")</f>
        <v xml:space="preserve">          9151 - MISC. INCOME</v>
      </c>
      <c r="C116" s="11"/>
      <c r="D116" s="2">
        <f>--87676.2</f>
        <v>87676.2</v>
      </c>
      <c r="E116" s="2"/>
      <c r="F116" s="19">
        <f t="shared" si="76"/>
        <v>0.15171225375084912</v>
      </c>
      <c r="G116" s="2"/>
      <c r="H116" s="2"/>
      <c r="I116" s="2"/>
      <c r="J116" s="19">
        <f t="shared" si="77"/>
        <v>0</v>
      </c>
      <c r="K116" s="2"/>
      <c r="L116" s="2">
        <f t="shared" si="78"/>
        <v>87676.2</v>
      </c>
      <c r="M116" s="2"/>
      <c r="N116" s="19">
        <f t="shared" si="79"/>
        <v>0</v>
      </c>
      <c r="O116" s="11"/>
      <c r="P116" s="2">
        <f>--87676.2</f>
        <v>87676.2</v>
      </c>
      <c r="Q116" s="2"/>
      <c r="R116" s="19">
        <f t="shared" si="80"/>
        <v>3.1093864522402141E-2</v>
      </c>
      <c r="S116" s="2"/>
      <c r="T116" s="2"/>
      <c r="U116" s="2"/>
      <c r="V116" s="19">
        <f t="shared" si="81"/>
        <v>0</v>
      </c>
      <c r="W116" s="2"/>
      <c r="X116" s="2">
        <f t="shared" si="82"/>
        <v>87676.2</v>
      </c>
      <c r="Y116" s="2"/>
      <c r="Z116" s="19">
        <f t="shared" si="83"/>
        <v>0</v>
      </c>
    </row>
    <row r="117" spans="1:26" s="24" customFormat="1" hidden="1" outlineLevel="1" x14ac:dyDescent="0.25">
      <c r="A117" s="46"/>
      <c r="B117" s="11" t="str">
        <f>CONCATENATE("          ", "9152", " - ", "MISC. INCOME")</f>
        <v xml:space="preserve">          9152 - MISC. INCOME</v>
      </c>
      <c r="C117" s="11"/>
      <c r="D117" s="2">
        <f>--633.59</f>
        <v>633.59</v>
      </c>
      <c r="E117" s="2"/>
      <c r="F117" s="19">
        <f t="shared" si="76"/>
        <v>1.0963450383798625E-3</v>
      </c>
      <c r="G117" s="2"/>
      <c r="H117" s="2"/>
      <c r="I117" s="2"/>
      <c r="J117" s="19">
        <f t="shared" si="77"/>
        <v>0</v>
      </c>
      <c r="K117" s="2"/>
      <c r="L117" s="2">
        <f t="shared" si="78"/>
        <v>633.59</v>
      </c>
      <c r="M117" s="2"/>
      <c r="N117" s="19">
        <f t="shared" si="79"/>
        <v>0</v>
      </c>
      <c r="O117" s="11"/>
      <c r="P117" s="2">
        <f>--641.02</f>
        <v>641.02</v>
      </c>
      <c r="Q117" s="2"/>
      <c r="R117" s="19">
        <f t="shared" si="80"/>
        <v>2.2733408879662006E-4</v>
      </c>
      <c r="S117" s="2"/>
      <c r="T117" s="2"/>
      <c r="U117" s="2"/>
      <c r="V117" s="19">
        <f t="shared" si="81"/>
        <v>0</v>
      </c>
      <c r="W117" s="2"/>
      <c r="X117" s="2">
        <f t="shared" si="82"/>
        <v>641.02</v>
      </c>
      <c r="Y117" s="2"/>
      <c r="Z117" s="19">
        <f t="shared" si="83"/>
        <v>0</v>
      </c>
    </row>
    <row r="118" spans="1:26" s="24" customFormat="1" hidden="1" outlineLevel="1" x14ac:dyDescent="0.25">
      <c r="A118" s="46"/>
      <c r="B118" s="11" t="str">
        <f>CONCATENATE("          ", "9160", " - ", "MISC. INCOME")</f>
        <v xml:space="preserve">          9160 - MISC. INCOME</v>
      </c>
      <c r="C118" s="11"/>
      <c r="D118" s="2">
        <f>0</f>
        <v>0</v>
      </c>
      <c r="E118" s="2"/>
      <c r="F118" s="19">
        <f t="shared" si="76"/>
        <v>0</v>
      </c>
      <c r="G118" s="2"/>
      <c r="H118" s="2">
        <v>75000</v>
      </c>
      <c r="I118" s="2"/>
      <c r="J118" s="19">
        <f t="shared" si="77"/>
        <v>0.12413046608507405</v>
      </c>
      <c r="K118" s="2"/>
      <c r="L118" s="2">
        <f t="shared" si="78"/>
        <v>-75000</v>
      </c>
      <c r="M118" s="2"/>
      <c r="N118" s="19">
        <f t="shared" si="79"/>
        <v>-1</v>
      </c>
      <c r="O118" s="11"/>
      <c r="P118" s="2">
        <f>0</f>
        <v>0</v>
      </c>
      <c r="Q118" s="2"/>
      <c r="R118" s="19">
        <f t="shared" si="80"/>
        <v>0</v>
      </c>
      <c r="S118" s="2"/>
      <c r="T118" s="2">
        <v>82300</v>
      </c>
      <c r="U118" s="2"/>
      <c r="V118" s="19">
        <f t="shared" si="81"/>
        <v>2.6992199811808941E-2</v>
      </c>
      <c r="W118" s="2"/>
      <c r="X118" s="2">
        <f t="shared" si="82"/>
        <v>-82300</v>
      </c>
      <c r="Y118" s="2"/>
      <c r="Z118" s="19">
        <f t="shared" si="83"/>
        <v>-1</v>
      </c>
    </row>
    <row r="119" spans="1:26" x14ac:dyDescent="0.25">
      <c r="A119" s="9"/>
      <c r="B119" s="10"/>
      <c r="C119" s="10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O119" s="10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3" customFormat="1" x14ac:dyDescent="0.25">
      <c r="A120" s="10"/>
      <c r="B120" s="29" t="s">
        <v>3</v>
      </c>
      <c r="C120" s="29"/>
      <c r="D120" s="22">
        <f>+D56-D58+D114</f>
        <v>219014.35000000027</v>
      </c>
      <c r="E120" s="14"/>
      <c r="F120" s="20">
        <f>IF(D$12=0,0,D120/D$12)</f>
        <v>0.3789758297266228</v>
      </c>
      <c r="G120" s="14"/>
      <c r="H120" s="22">
        <f>+H56-H58+H114</f>
        <v>182600.01499170216</v>
      </c>
      <c r="I120" s="14"/>
      <c r="J120" s="20">
        <f>IF(H$12=0,0,H120/H$12)</f>
        <v>0.30221633290748667</v>
      </c>
      <c r="K120" s="15"/>
      <c r="L120" s="22">
        <f>+D120-H120</f>
        <v>36414.335008298105</v>
      </c>
      <c r="M120" s="15"/>
      <c r="N120" s="20">
        <f>IF(H120=0,0,L120/H120)</f>
        <v>0.19942131445034586</v>
      </c>
      <c r="O120" s="28"/>
      <c r="P120" s="22">
        <f>+P56-P58+P114</f>
        <v>731876.56999999739</v>
      </c>
      <c r="Q120" s="14"/>
      <c r="R120" s="20">
        <f>IF(P$12=0,0,P120/P$12)</f>
        <v>0.2595558534094804</v>
      </c>
      <c r="S120" s="14"/>
      <c r="T120" s="22">
        <f>+T56-T58+T114</f>
        <v>763701.85194003209</v>
      </c>
      <c r="U120" s="14"/>
      <c r="V120" s="20">
        <f>IF(T$12=0,0,T120/T$12)</f>
        <v>0.25047379081669346</v>
      </c>
      <c r="W120" s="15"/>
      <c r="X120" s="22">
        <f>+P120-T120</f>
        <v>-31825.281940034707</v>
      </c>
      <c r="Y120" s="15"/>
      <c r="Z120" s="20">
        <f>IF(T120=0,0,X120/T120)</f>
        <v>-4.1672390683862991E-2</v>
      </c>
    </row>
    <row r="121" spans="1:26" x14ac:dyDescent="0.25">
      <c r="A121" s="9"/>
      <c r="B121" s="10"/>
      <c r="C121" s="9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x14ac:dyDescent="0.25">
      <c r="A122" s="52"/>
      <c r="B122" s="10" t="s">
        <v>14</v>
      </c>
      <c r="C122" s="10"/>
      <c r="D122" s="4">
        <v>23362.5</v>
      </c>
      <c r="E122" s="4"/>
      <c r="F122" s="12">
        <f>IF(D$12=0,0,D122/D$12)</f>
        <v>4.0425765809355481E-2</v>
      </c>
      <c r="G122" s="4"/>
      <c r="H122" s="4">
        <v>-11391</v>
      </c>
      <c r="I122" s="4"/>
      <c r="J122" s="12">
        <f>IF(H$12=0,0,H122/H$12)</f>
        <v>-1.8852935189001049E-2</v>
      </c>
      <c r="K122" s="4"/>
      <c r="L122" s="4">
        <f>+D122-H122</f>
        <v>34753.5</v>
      </c>
      <c r="M122" s="4"/>
      <c r="N122" s="12">
        <f>IF(H122=0,0,L122/H122)</f>
        <v>-3.0509612852251777</v>
      </c>
      <c r="O122" s="10"/>
      <c r="P122" s="4">
        <v>302876.01</v>
      </c>
      <c r="Q122" s="4"/>
      <c r="R122" s="12">
        <f>IF(P$12=0,0,P122/P$12)</f>
        <v>0.10741325036926459</v>
      </c>
      <c r="S122" s="4"/>
      <c r="T122" s="4">
        <v>385656</v>
      </c>
      <c r="U122" s="4"/>
      <c r="V122" s="12">
        <f>IF(T$12=0,0,T122/T$12)</f>
        <v>0.12648485796625744</v>
      </c>
      <c r="W122" s="4"/>
      <c r="X122" s="4">
        <f>+P122-T122</f>
        <v>-82779.989999999991</v>
      </c>
      <c r="Y122" s="4"/>
      <c r="Z122" s="12">
        <f>IF(T122=0,0,X122/T122)</f>
        <v>-0.21464722446947537</v>
      </c>
    </row>
    <row r="123" spans="1:26" x14ac:dyDescent="0.25">
      <c r="A123" s="9"/>
      <c r="B123" s="10"/>
      <c r="C123" s="10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O123" s="10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ht="15.75" thickBot="1" x14ac:dyDescent="0.3">
      <c r="A124" s="10"/>
      <c r="B124" s="29" t="s">
        <v>4</v>
      </c>
      <c r="C124" s="29"/>
      <c r="D124" s="35">
        <f>+D120-D122</f>
        <v>195651.85000000027</v>
      </c>
      <c r="E124" s="14"/>
      <c r="F124" s="32">
        <f>IF(D$12=0,0,D124/D$12)</f>
        <v>0.33855006391726733</v>
      </c>
      <c r="G124" s="14"/>
      <c r="H124" s="35">
        <f>+H120-H122</f>
        <v>193991.01499170216</v>
      </c>
      <c r="I124" s="14"/>
      <c r="J124" s="32">
        <f>IF(H$12=0,0,H124/H$12)</f>
        <v>0.32106926809648773</v>
      </c>
      <c r="K124" s="15"/>
      <c r="L124" s="35">
        <f>D124-H124</f>
        <v>1660.8350082981051</v>
      </c>
      <c r="M124" s="15"/>
      <c r="N124" s="32">
        <f>IF(H124=0,0,L124/H124)</f>
        <v>8.5614017142450968E-3</v>
      </c>
      <c r="O124" s="28"/>
      <c r="P124" s="35">
        <f>+P120-P122</f>
        <v>429000.55999999738</v>
      </c>
      <c r="Q124" s="14"/>
      <c r="R124" s="32">
        <f>IF(P$12=0,0,P124/P$12)</f>
        <v>0.15214260304021582</v>
      </c>
      <c r="S124" s="14"/>
      <c r="T124" s="35">
        <f>+T120-T122</f>
        <v>378045.85194003209</v>
      </c>
      <c r="U124" s="14"/>
      <c r="V124" s="32">
        <f>IF(T$12=0,0,T124/T$12)</f>
        <v>0.12398893285043602</v>
      </c>
      <c r="W124" s="15"/>
      <c r="X124" s="35">
        <f>P124-T124</f>
        <v>50954.708059965284</v>
      </c>
      <c r="Y124" s="15"/>
      <c r="Z124" s="32">
        <f>IF(T124=0,0,X124/T124)</f>
        <v>0.13478446542523637</v>
      </c>
    </row>
    <row r="125" spans="1:26" ht="15.75" thickTop="1" x14ac:dyDescent="0.25">
      <c r="A125" s="9"/>
      <c r="B125" s="9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x14ac:dyDescent="0.25">
      <c r="A126" s="9"/>
      <c r="B126" s="9"/>
      <c r="C126" s="9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ht="15.75" thickBot="1" x14ac:dyDescent="0.3">
      <c r="A127" s="10"/>
      <c r="B127" s="29" t="s">
        <v>5</v>
      </c>
      <c r="C127" s="29"/>
      <c r="D127" s="30">
        <f>SUM(D124:D126)</f>
        <v>195651.85000000027</v>
      </c>
      <c r="E127" s="14"/>
      <c r="F127" s="31">
        <f>IF(D$12=0,0,D127/D$12)</f>
        <v>0.33855006391726733</v>
      </c>
      <c r="G127" s="14"/>
      <c r="H127" s="30">
        <f>SUM(H124:H126)</f>
        <v>193991.01499170216</v>
      </c>
      <c r="I127" s="14"/>
      <c r="J127" s="31">
        <f>IF(H$12=0,0,H127/H$12)</f>
        <v>0.32106926809648773</v>
      </c>
      <c r="K127" s="15"/>
      <c r="L127" s="30">
        <f>+D127-H127</f>
        <v>1660.8350082981051</v>
      </c>
      <c r="M127" s="15"/>
      <c r="N127" s="31">
        <f>IF(H127=0,0,L127/H127)</f>
        <v>8.5614017142450968E-3</v>
      </c>
      <c r="O127" s="28"/>
      <c r="P127" s="30">
        <f>SUM(P124:P126)</f>
        <v>429000.55999999738</v>
      </c>
      <c r="Q127" s="14"/>
      <c r="R127" s="31">
        <f>IF(P$12=0,0,P127/P$12)</f>
        <v>0.15214260304021582</v>
      </c>
      <c r="S127" s="14"/>
      <c r="T127" s="30">
        <f>SUM(T124:T126)</f>
        <v>378045.85194003209</v>
      </c>
      <c r="U127" s="14"/>
      <c r="V127" s="31">
        <f>IF(T$12=0,0,T127/T$12)</f>
        <v>0.12398893285043602</v>
      </c>
      <c r="W127" s="15"/>
      <c r="X127" s="30">
        <f>+P127-T127</f>
        <v>50954.708059965284</v>
      </c>
      <c r="Y127" s="15"/>
      <c r="Z127" s="31">
        <f>IF(T127=0,0,X127/T127)</f>
        <v>0.13478446542523637</v>
      </c>
    </row>
    <row r="128" spans="1:26" ht="15.75" thickTop="1" x14ac:dyDescent="0.25">
      <c r="A128" s="9"/>
      <c r="C128" s="9"/>
      <c r="D128" s="18"/>
      <c r="E128" s="18"/>
      <c r="G128" s="18"/>
      <c r="H128" s="18"/>
      <c r="I128" s="18"/>
      <c r="J128" s="43"/>
      <c r="K128" s="18"/>
      <c r="L128" s="18"/>
      <c r="M128" s="18"/>
      <c r="P128" s="18"/>
      <c r="Q128" s="18"/>
      <c r="R128" s="43"/>
      <c r="S128" s="18"/>
      <c r="T128" s="18"/>
      <c r="U128" s="18"/>
      <c r="V128" s="43"/>
      <c r="W128" s="18"/>
      <c r="X128" s="18"/>
    </row>
    <row r="129" spans="1:24" x14ac:dyDescent="0.25">
      <c r="A129" s="9"/>
      <c r="B129" s="53">
        <v>43756.451855868057</v>
      </c>
      <c r="D129" s="18"/>
      <c r="E129" s="18"/>
      <c r="G129" s="18"/>
      <c r="H129" s="18"/>
      <c r="I129" s="18"/>
      <c r="J129" s="43"/>
      <c r="K129" s="18"/>
      <c r="L129" s="18"/>
      <c r="M129" s="18"/>
      <c r="P129" s="18"/>
      <c r="Q129" s="18"/>
      <c r="R129" s="43"/>
      <c r="S129" s="18"/>
      <c r="T129" s="18"/>
      <c r="U129" s="18"/>
      <c r="V129" s="43"/>
      <c r="W129" s="18"/>
      <c r="X129" s="18"/>
    </row>
    <row r="130" spans="1:24" x14ac:dyDescent="0.25">
      <c r="A130" s="9"/>
      <c r="B130" s="55" t="s">
        <v>314</v>
      </c>
      <c r="D130" s="18"/>
      <c r="E130" s="18"/>
      <c r="G130" s="18"/>
      <c r="H130" s="18"/>
      <c r="I130" s="18"/>
      <c r="J130" s="43"/>
      <c r="K130" s="18"/>
      <c r="L130" s="18"/>
      <c r="M130" s="18"/>
      <c r="P130" s="18"/>
      <c r="Q130" s="18"/>
      <c r="R130" s="43"/>
      <c r="S130" s="18"/>
      <c r="T130" s="18"/>
      <c r="U130" s="18"/>
      <c r="V130" s="43"/>
      <c r="W130" s="18"/>
      <c r="X130" s="18"/>
    </row>
    <row r="131" spans="1:24" x14ac:dyDescent="0.25">
      <c r="A131" s="9"/>
      <c r="B131" s="56"/>
      <c r="D131" s="18"/>
      <c r="E131" s="18"/>
      <c r="G131" s="18"/>
      <c r="H131" s="18"/>
      <c r="I131" s="18"/>
      <c r="J131" s="43"/>
      <c r="K131" s="18"/>
      <c r="L131" s="18"/>
      <c r="M131" s="18"/>
      <c r="P131" s="18"/>
      <c r="Q131" s="18"/>
      <c r="R131" s="43"/>
      <c r="S131" s="18"/>
      <c r="T131" s="18"/>
      <c r="U131" s="18"/>
      <c r="V131" s="43"/>
      <c r="W131" s="18"/>
      <c r="X131" s="18"/>
    </row>
    <row r="132" spans="1:24" x14ac:dyDescent="0.25">
      <c r="D132" s="18"/>
      <c r="E132" s="18"/>
      <c r="G132" s="18"/>
      <c r="H132" s="18"/>
      <c r="I132" s="18"/>
      <c r="J132" s="43"/>
      <c r="K132" s="18"/>
      <c r="L132" s="18"/>
      <c r="M132" s="18"/>
      <c r="P132" s="18"/>
      <c r="Q132" s="18"/>
      <c r="R132" s="43"/>
      <c r="S132" s="18"/>
      <c r="T132" s="18"/>
      <c r="U132" s="18"/>
      <c r="V132" s="43"/>
      <c r="W132" s="18"/>
      <c r="X132" s="18"/>
    </row>
  </sheetData>
  <pageMargins left="0.25" right="0.25" top="0.75" bottom="0.75" header="0.3" footer="0.3"/>
  <pageSetup scale="55" fitToWidth="2" orientation="landscape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3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str">
        <f>CONCATENATE("Period ",RIGHT(202003,2),", ",2020)</f>
        <v>Period 03, 2020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43736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tr">
        <f>CONCATENATE("Department ","311", " - ", "Textbooks")</f>
        <v>Department 311 - Textbooks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394529.24999999994</v>
      </c>
      <c r="E12" s="4"/>
      <c r="F12" s="12"/>
      <c r="G12" s="4"/>
      <c r="H12" s="4">
        <f>SUM(OSRRefH13x_0)</f>
        <v>393203</v>
      </c>
      <c r="I12" s="4"/>
      <c r="J12" s="12"/>
      <c r="K12" s="4"/>
      <c r="L12" s="4">
        <f t="shared" ref="L12:L38" si="0">+D12-H12</f>
        <v>1326.2499999999418</v>
      </c>
      <c r="M12" s="4"/>
      <c r="N12" s="12">
        <f t="shared" ref="N12:N38" si="1">IF(H12=0,0,L12/H12)</f>
        <v>3.3729396774692505E-3</v>
      </c>
      <c r="O12" s="10"/>
      <c r="P12" s="4">
        <f>SUM(OSRRefP13x_0)</f>
        <v>1929680.19</v>
      </c>
      <c r="Q12" s="4"/>
      <c r="R12" s="12"/>
      <c r="S12" s="4"/>
      <c r="T12" s="4">
        <f>SUM(OSRRefT13x_0)</f>
        <v>2006529</v>
      </c>
      <c r="U12" s="4"/>
      <c r="V12" s="12"/>
      <c r="W12" s="4"/>
      <c r="X12" s="4">
        <f t="shared" ref="X12:X38" si="2">+P12-T12</f>
        <v>-76848.810000000056</v>
      </c>
      <c r="Y12" s="4"/>
      <c r="Z12" s="12">
        <f t="shared" ref="Z12:Z38" si="3">IF(T12=0,0,X12/T12)</f>
        <v>-3.829937668481246E-2</v>
      </c>
    </row>
    <row r="13" spans="1:26" s="24" customFormat="1" hidden="1" outlineLevel="1" x14ac:dyDescent="0.25">
      <c r="A13" s="46"/>
      <c r="B13" s="11" t="str">
        <f>CONCATENATE("          ", "4001", " - ", "TAXABLE SALES-NEW TEXT")</f>
        <v xml:space="preserve">          4001 - TAXABLE SALES-NEW TEXT</v>
      </c>
      <c r="C13" s="11"/>
      <c r="D13" s="2">
        <f>--267141.57</f>
        <v>267141.57</v>
      </c>
      <c r="E13" s="2"/>
      <c r="F13" s="19"/>
      <c r="G13" s="2"/>
      <c r="H13" s="2"/>
      <c r="I13" s="2"/>
      <c r="J13" s="19"/>
      <c r="K13" s="2"/>
      <c r="L13" s="2">
        <f t="shared" si="0"/>
        <v>267141.57</v>
      </c>
      <c r="M13" s="2"/>
      <c r="N13" s="19">
        <f t="shared" si="1"/>
        <v>0</v>
      </c>
      <c r="O13" s="11"/>
      <c r="P13" s="2">
        <f>--1212249.81</f>
        <v>1212249.81</v>
      </c>
      <c r="Q13" s="2"/>
      <c r="R13" s="19"/>
      <c r="S13" s="2"/>
      <c r="T13" s="2"/>
      <c r="U13" s="2"/>
      <c r="V13" s="19"/>
      <c r="W13" s="2"/>
      <c r="X13" s="2">
        <f t="shared" si="2"/>
        <v>1212249.81</v>
      </c>
      <c r="Y13" s="2"/>
      <c r="Z13" s="19">
        <f t="shared" si="3"/>
        <v>0</v>
      </c>
    </row>
    <row r="14" spans="1:26" s="24" customFormat="1" hidden="1" outlineLevel="1" x14ac:dyDescent="0.25">
      <c r="A14" s="46"/>
      <c r="B14" s="11" t="str">
        <f>CONCATENATE("          ", "4002", " - ", "TAXABLE SALES-USED TEXT")</f>
        <v xml:space="preserve">          4002 - TAXABLE SALES-USED TEXT</v>
      </c>
      <c r="C14" s="11"/>
      <c r="D14" s="2">
        <f>--54213</f>
        <v>54213</v>
      </c>
      <c r="E14" s="2"/>
      <c r="F14" s="19"/>
      <c r="G14" s="2"/>
      <c r="H14" s="2"/>
      <c r="I14" s="2"/>
      <c r="J14" s="19"/>
      <c r="K14" s="2"/>
      <c r="L14" s="2">
        <f t="shared" si="0"/>
        <v>54213</v>
      </c>
      <c r="M14" s="2"/>
      <c r="N14" s="19">
        <f t="shared" si="1"/>
        <v>0</v>
      </c>
      <c r="O14" s="11"/>
      <c r="P14" s="2">
        <f>--350637.45</f>
        <v>350637.45</v>
      </c>
      <c r="Q14" s="2"/>
      <c r="R14" s="19"/>
      <c r="S14" s="2"/>
      <c r="T14" s="2"/>
      <c r="U14" s="2"/>
      <c r="V14" s="19"/>
      <c r="W14" s="2"/>
      <c r="X14" s="2">
        <f t="shared" si="2"/>
        <v>350637.45</v>
      </c>
      <c r="Y14" s="2"/>
      <c r="Z14" s="19">
        <f t="shared" si="3"/>
        <v>0</v>
      </c>
    </row>
    <row r="15" spans="1:26" s="24" customFormat="1" hidden="1" outlineLevel="1" x14ac:dyDescent="0.25">
      <c r="A15" s="46"/>
      <c r="B15" s="11" t="str">
        <f>CONCATENATE("          ", "4003", " - ", "TAXABLE SALES-RENTAL TEXT")</f>
        <v xml:space="preserve">          4003 - TAXABLE SALES-RENTAL TEXT</v>
      </c>
      <c r="C15" s="11"/>
      <c r="D15" s="2">
        <f>--2800.64</f>
        <v>2800.64</v>
      </c>
      <c r="E15" s="2"/>
      <c r="F15" s="19"/>
      <c r="G15" s="2"/>
      <c r="H15" s="2"/>
      <c r="I15" s="2"/>
      <c r="J15" s="19"/>
      <c r="K15" s="2"/>
      <c r="L15" s="2">
        <f t="shared" si="0"/>
        <v>2800.64</v>
      </c>
      <c r="M15" s="2"/>
      <c r="N15" s="19">
        <f t="shared" si="1"/>
        <v>0</v>
      </c>
      <c r="O15" s="11"/>
      <c r="P15" s="2">
        <f>--15536.69</f>
        <v>15536.69</v>
      </c>
      <c r="Q15" s="2"/>
      <c r="R15" s="19"/>
      <c r="S15" s="2"/>
      <c r="T15" s="2"/>
      <c r="U15" s="2"/>
      <c r="V15" s="19"/>
      <c r="W15" s="2"/>
      <c r="X15" s="2">
        <f t="shared" si="2"/>
        <v>15536.69</v>
      </c>
      <c r="Y15" s="2"/>
      <c r="Z15" s="19">
        <f t="shared" si="3"/>
        <v>0</v>
      </c>
    </row>
    <row r="16" spans="1:26" s="24" customFormat="1" hidden="1" outlineLevel="1" x14ac:dyDescent="0.25">
      <c r="A16" s="46"/>
      <c r="B16" s="11" t="str">
        <f>CONCATENATE("          ", "4004", " - ", "TAXABLE SALES-DIGITAL TEXT")</f>
        <v xml:space="preserve">          4004 - TAXABLE SALES-DIGITAL TEXT</v>
      </c>
      <c r="C16" s="11"/>
      <c r="D16" s="2">
        <f>--7290.37</f>
        <v>7290.37</v>
      </c>
      <c r="E16" s="2"/>
      <c r="F16" s="19"/>
      <c r="G16" s="2"/>
      <c r="H16" s="2"/>
      <c r="I16" s="2"/>
      <c r="J16" s="19"/>
      <c r="K16" s="2"/>
      <c r="L16" s="2">
        <f t="shared" si="0"/>
        <v>7290.37</v>
      </c>
      <c r="M16" s="2"/>
      <c r="N16" s="19">
        <f t="shared" si="1"/>
        <v>0</v>
      </c>
      <c r="O16" s="11"/>
      <c r="P16" s="2">
        <f>--29700.44</f>
        <v>29700.44</v>
      </c>
      <c r="Q16" s="2"/>
      <c r="R16" s="19"/>
      <c r="S16" s="2"/>
      <c r="T16" s="2"/>
      <c r="U16" s="2"/>
      <c r="V16" s="19"/>
      <c r="W16" s="2"/>
      <c r="X16" s="2">
        <f t="shared" si="2"/>
        <v>29700.44</v>
      </c>
      <c r="Y16" s="2"/>
      <c r="Z16" s="19">
        <f t="shared" si="3"/>
        <v>0</v>
      </c>
    </row>
    <row r="17" spans="1:26" s="24" customFormat="1" hidden="1" outlineLevel="1" x14ac:dyDescent="0.25">
      <c r="A17" s="46"/>
      <c r="B17" s="11" t="str">
        <f>CONCATENATE("          ", "4011", " - ", "TAXABLE SALES-NO VALUE TEXT")</f>
        <v xml:space="preserve">          4011 - TAXABLE SALES-NO VALUE TEXT</v>
      </c>
      <c r="C17" s="11"/>
      <c r="D17" s="2">
        <f>--9.6</f>
        <v>9.6</v>
      </c>
      <c r="E17" s="2"/>
      <c r="F17" s="19"/>
      <c r="G17" s="2"/>
      <c r="H17" s="2"/>
      <c r="I17" s="2"/>
      <c r="J17" s="19"/>
      <c r="K17" s="2"/>
      <c r="L17" s="2">
        <f t="shared" si="0"/>
        <v>9.6</v>
      </c>
      <c r="M17" s="2"/>
      <c r="N17" s="19">
        <f t="shared" si="1"/>
        <v>0</v>
      </c>
      <c r="O17" s="11"/>
      <c r="P17" s="2">
        <f>--9.6</f>
        <v>9.6</v>
      </c>
      <c r="Q17" s="2"/>
      <c r="R17" s="19"/>
      <c r="S17" s="2"/>
      <c r="T17" s="2"/>
      <c r="U17" s="2"/>
      <c r="V17" s="19"/>
      <c r="W17" s="2"/>
      <c r="X17" s="2">
        <f t="shared" si="2"/>
        <v>9.6</v>
      </c>
      <c r="Y17" s="2"/>
      <c r="Z17" s="19">
        <f t="shared" si="3"/>
        <v>0</v>
      </c>
    </row>
    <row r="18" spans="1:26" s="24" customFormat="1" hidden="1" outlineLevel="1" x14ac:dyDescent="0.25">
      <c r="A18" s="46"/>
      <c r="B18" s="11" t="str">
        <f>CONCATENATE("          ", "4013", " - ", "TAXABLE SALES-TRADE BOOKS")</f>
        <v xml:space="preserve">          4013 - TAXABLE SALES-TRADE BOOKS</v>
      </c>
      <c r="C18" s="11"/>
      <c r="D18" s="2">
        <f>--29.95</f>
        <v>29.95</v>
      </c>
      <c r="E18" s="2"/>
      <c r="F18" s="19"/>
      <c r="G18" s="2"/>
      <c r="H18" s="2"/>
      <c r="I18" s="2"/>
      <c r="J18" s="19"/>
      <c r="K18" s="2"/>
      <c r="L18" s="2">
        <f t="shared" si="0"/>
        <v>29.95</v>
      </c>
      <c r="M18" s="2"/>
      <c r="N18" s="19">
        <f t="shared" si="1"/>
        <v>0</v>
      </c>
      <c r="O18" s="11"/>
      <c r="P18" s="2">
        <f>--140.76</f>
        <v>140.76</v>
      </c>
      <c r="Q18" s="2"/>
      <c r="R18" s="19"/>
      <c r="S18" s="2"/>
      <c r="T18" s="2"/>
      <c r="U18" s="2"/>
      <c r="V18" s="19"/>
      <c r="W18" s="2"/>
      <c r="X18" s="2">
        <f t="shared" si="2"/>
        <v>140.76</v>
      </c>
      <c r="Y18" s="2"/>
      <c r="Z18" s="19">
        <f t="shared" si="3"/>
        <v>0</v>
      </c>
    </row>
    <row r="19" spans="1:26" s="24" customFormat="1" hidden="1" outlineLevel="1" x14ac:dyDescent="0.25">
      <c r="A19" s="46"/>
      <c r="B19" s="11" t="str">
        <f>CONCATENATE("          ", "4014", " - ", "TAXABLE SALES-REMAINDERS")</f>
        <v xml:space="preserve">          4014 - TAXABLE SALES-REMAINDERS</v>
      </c>
      <c r="C19" s="11"/>
      <c r="D19" s="2">
        <f>--97.44</f>
        <v>97.44</v>
      </c>
      <c r="E19" s="2"/>
      <c r="F19" s="19"/>
      <c r="G19" s="2"/>
      <c r="H19" s="2"/>
      <c r="I19" s="2"/>
      <c r="J19" s="19"/>
      <c r="K19" s="2"/>
      <c r="L19" s="2">
        <f t="shared" si="0"/>
        <v>97.44</v>
      </c>
      <c r="M19" s="2"/>
      <c r="N19" s="19">
        <f t="shared" si="1"/>
        <v>0</v>
      </c>
      <c r="O19" s="11"/>
      <c r="P19" s="2">
        <f>--523.09</f>
        <v>523.09</v>
      </c>
      <c r="Q19" s="2"/>
      <c r="R19" s="19"/>
      <c r="S19" s="2"/>
      <c r="T19" s="2"/>
      <c r="U19" s="2"/>
      <c r="V19" s="19"/>
      <c r="W19" s="2"/>
      <c r="X19" s="2">
        <f t="shared" si="2"/>
        <v>523.09</v>
      </c>
      <c r="Y19" s="2"/>
      <c r="Z19" s="19">
        <f t="shared" si="3"/>
        <v>0</v>
      </c>
    </row>
    <row r="20" spans="1:26" s="24" customFormat="1" hidden="1" outlineLevel="1" x14ac:dyDescent="0.25">
      <c r="A20" s="46"/>
      <c r="B20" s="11" t="str">
        <f>CONCATENATE("          ", "4018", " - ", "TAXABLE SALES-STUDY GUIDES")</f>
        <v xml:space="preserve">          4018 - TAXABLE SALES-STUDY GUIDES</v>
      </c>
      <c r="C20" s="11"/>
      <c r="D20" s="2">
        <f>--696.02</f>
        <v>696.02</v>
      </c>
      <c r="E20" s="2"/>
      <c r="F20" s="19"/>
      <c r="G20" s="2"/>
      <c r="H20" s="2"/>
      <c r="I20" s="2"/>
      <c r="J20" s="19"/>
      <c r="K20" s="2"/>
      <c r="L20" s="2">
        <f t="shared" si="0"/>
        <v>696.02</v>
      </c>
      <c r="M20" s="2"/>
      <c r="N20" s="19">
        <f t="shared" si="1"/>
        <v>0</v>
      </c>
      <c r="O20" s="11"/>
      <c r="P20" s="2">
        <f>--2060.15</f>
        <v>2060.15</v>
      </c>
      <c r="Q20" s="2"/>
      <c r="R20" s="19"/>
      <c r="S20" s="2"/>
      <c r="T20" s="2"/>
      <c r="U20" s="2"/>
      <c r="V20" s="19"/>
      <c r="W20" s="2"/>
      <c r="X20" s="2">
        <f t="shared" si="2"/>
        <v>2060.15</v>
      </c>
      <c r="Y20" s="2"/>
      <c r="Z20" s="19">
        <f t="shared" si="3"/>
        <v>0</v>
      </c>
    </row>
    <row r="21" spans="1:26" s="24" customFormat="1" hidden="1" outlineLevel="1" x14ac:dyDescent="0.25">
      <c r="A21" s="46"/>
      <c r="B21" s="11" t="str">
        <f>CONCATENATE("          ", "4100", " - ", "NON-TAXABLE SALES")</f>
        <v xml:space="preserve">          4100 - NON-TAXABLE SALES</v>
      </c>
      <c r="C21" s="11"/>
      <c r="D21" s="2">
        <f>0</f>
        <v>0</v>
      </c>
      <c r="E21" s="2"/>
      <c r="F21" s="19"/>
      <c r="G21" s="2"/>
      <c r="H21" s="2">
        <v>393203</v>
      </c>
      <c r="I21" s="2"/>
      <c r="J21" s="19"/>
      <c r="K21" s="2"/>
      <c r="L21" s="2">
        <f t="shared" si="0"/>
        <v>-393203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v>2006529</v>
      </c>
      <c r="U21" s="2"/>
      <c r="V21" s="19"/>
      <c r="W21" s="2"/>
      <c r="X21" s="2">
        <f t="shared" si="2"/>
        <v>-2006529</v>
      </c>
      <c r="Y21" s="2"/>
      <c r="Z21" s="19">
        <f t="shared" si="3"/>
        <v>-1</v>
      </c>
    </row>
    <row r="22" spans="1:26" s="24" customFormat="1" hidden="1" outlineLevel="1" x14ac:dyDescent="0.25">
      <c r="A22" s="46"/>
      <c r="B22" s="11" t="str">
        <f>CONCATENATE("          ", "4101", " - ", "NON-TAXABLE SALES-NEW TEXT")</f>
        <v xml:space="preserve">          4101 - NON-TAXABLE SALES-NEW TEXT</v>
      </c>
      <c r="C22" s="11"/>
      <c r="D22" s="2">
        <f>--27999.53</f>
        <v>27999.53</v>
      </c>
      <c r="E22" s="2"/>
      <c r="F22" s="19"/>
      <c r="G22" s="2"/>
      <c r="H22" s="2"/>
      <c r="I22" s="2"/>
      <c r="J22" s="19"/>
      <c r="K22" s="2"/>
      <c r="L22" s="2">
        <f t="shared" si="0"/>
        <v>27999.53</v>
      </c>
      <c r="M22" s="2"/>
      <c r="N22" s="19">
        <f t="shared" si="1"/>
        <v>0</v>
      </c>
      <c r="O22" s="11"/>
      <c r="P22" s="2">
        <f>--83892.55</f>
        <v>83892.55</v>
      </c>
      <c r="Q22" s="2"/>
      <c r="R22" s="19"/>
      <c r="S22" s="2"/>
      <c r="T22" s="2"/>
      <c r="U22" s="2"/>
      <c r="V22" s="19"/>
      <c r="W22" s="2"/>
      <c r="X22" s="2">
        <f t="shared" si="2"/>
        <v>83892.55</v>
      </c>
      <c r="Y22" s="2"/>
      <c r="Z22" s="19">
        <f t="shared" si="3"/>
        <v>0</v>
      </c>
    </row>
    <row r="23" spans="1:26" s="24" customFormat="1" hidden="1" outlineLevel="1" x14ac:dyDescent="0.25">
      <c r="A23" s="46"/>
      <c r="B23" s="11" t="str">
        <f>CONCATENATE("          ", "4102", " - ", "NON-TAXABLE SALES-USED TEXT")</f>
        <v xml:space="preserve">          4102 - NON-TAXABLE SALES-USED TEXT</v>
      </c>
      <c r="C23" s="11"/>
      <c r="D23" s="2">
        <f>--3969.18</f>
        <v>3969.18</v>
      </c>
      <c r="E23" s="2"/>
      <c r="F23" s="19"/>
      <c r="G23" s="2"/>
      <c r="H23" s="2"/>
      <c r="I23" s="2"/>
      <c r="J23" s="19"/>
      <c r="K23" s="2"/>
      <c r="L23" s="2">
        <f t="shared" si="0"/>
        <v>3969.18</v>
      </c>
      <c r="M23" s="2"/>
      <c r="N23" s="19">
        <f t="shared" si="1"/>
        <v>0</v>
      </c>
      <c r="O23" s="11"/>
      <c r="P23" s="2">
        <f>--36443.51</f>
        <v>36443.51</v>
      </c>
      <c r="Q23" s="2"/>
      <c r="R23" s="19"/>
      <c r="S23" s="2"/>
      <c r="T23" s="2"/>
      <c r="U23" s="2"/>
      <c r="V23" s="19"/>
      <c r="W23" s="2"/>
      <c r="X23" s="2">
        <f t="shared" si="2"/>
        <v>36443.51</v>
      </c>
      <c r="Y23" s="2"/>
      <c r="Z23" s="19">
        <f t="shared" si="3"/>
        <v>0</v>
      </c>
    </row>
    <row r="24" spans="1:26" s="24" customFormat="1" hidden="1" outlineLevel="1" x14ac:dyDescent="0.25">
      <c r="A24" s="46"/>
      <c r="B24" s="11" t="str">
        <f>CONCATENATE("          ", "4103", " - ", "NON-TAXABLE SALES-RENTAL TEXT")</f>
        <v xml:space="preserve">          4103 - NON-TAXABLE SALES-RENTAL TEXT</v>
      </c>
      <c r="C24" s="11"/>
      <c r="D24" s="2">
        <f>-144.99</f>
        <v>-144.99</v>
      </c>
      <c r="E24" s="2"/>
      <c r="F24" s="19"/>
      <c r="G24" s="2"/>
      <c r="H24" s="2"/>
      <c r="I24" s="2"/>
      <c r="J24" s="19"/>
      <c r="K24" s="2"/>
      <c r="L24" s="2">
        <f t="shared" si="0"/>
        <v>-144.99</v>
      </c>
      <c r="M24" s="2"/>
      <c r="N24" s="19">
        <f t="shared" si="1"/>
        <v>0</v>
      </c>
      <c r="O24" s="11"/>
      <c r="P24" s="2">
        <f>--329.98</f>
        <v>329.98</v>
      </c>
      <c r="Q24" s="2"/>
      <c r="R24" s="19"/>
      <c r="S24" s="2"/>
      <c r="T24" s="2"/>
      <c r="U24" s="2"/>
      <c r="V24" s="19"/>
      <c r="W24" s="2"/>
      <c r="X24" s="2">
        <f t="shared" si="2"/>
        <v>329.98</v>
      </c>
      <c r="Y24" s="2"/>
      <c r="Z24" s="19">
        <f t="shared" si="3"/>
        <v>0</v>
      </c>
    </row>
    <row r="25" spans="1:26" s="24" customFormat="1" hidden="1" outlineLevel="1" x14ac:dyDescent="0.25">
      <c r="A25" s="46"/>
      <c r="B25" s="11" t="str">
        <f>CONCATENATE("          ", "4104", " - ", "NON-TAXABLE SALES-DIGITAL TEXT")</f>
        <v xml:space="preserve">          4104 - NON-TAXABLE SALES-DIGITAL TEXT</v>
      </c>
      <c r="C25" s="11"/>
      <c r="D25" s="2">
        <f>--59065.75</f>
        <v>59065.75</v>
      </c>
      <c r="E25" s="2"/>
      <c r="F25" s="19"/>
      <c r="G25" s="2"/>
      <c r="H25" s="2"/>
      <c r="I25" s="2"/>
      <c r="J25" s="19"/>
      <c r="K25" s="2"/>
      <c r="L25" s="2">
        <f t="shared" si="0"/>
        <v>59065.75</v>
      </c>
      <c r="M25" s="2"/>
      <c r="N25" s="19">
        <f t="shared" si="1"/>
        <v>0</v>
      </c>
      <c r="O25" s="11"/>
      <c r="P25" s="2">
        <f>--318933.82</f>
        <v>318933.82</v>
      </c>
      <c r="Q25" s="2"/>
      <c r="R25" s="19"/>
      <c r="S25" s="2"/>
      <c r="T25" s="2"/>
      <c r="U25" s="2"/>
      <c r="V25" s="19"/>
      <c r="W25" s="2"/>
      <c r="X25" s="2">
        <f t="shared" si="2"/>
        <v>318933.82</v>
      </c>
      <c r="Y25" s="2"/>
      <c r="Z25" s="19">
        <f t="shared" si="3"/>
        <v>0</v>
      </c>
    </row>
    <row r="26" spans="1:26" s="24" customFormat="1" hidden="1" outlineLevel="1" x14ac:dyDescent="0.25">
      <c r="A26" s="46"/>
      <c r="B26" s="11" t="str">
        <f>CONCATENATE("          ", "4111", " - ", "NON-TAXABLE SALES-NO VALUE TEX")</f>
        <v xml:space="preserve">          4111 - NON-TAXABLE SALES-NO VALUE TEX</v>
      </c>
      <c r="C26" s="11"/>
      <c r="D26" s="2">
        <f>--594.06</f>
        <v>594.05999999999995</v>
      </c>
      <c r="E26" s="2"/>
      <c r="F26" s="19"/>
      <c r="G26" s="2"/>
      <c r="H26" s="2"/>
      <c r="I26" s="2"/>
      <c r="J26" s="19"/>
      <c r="K26" s="2"/>
      <c r="L26" s="2">
        <f t="shared" si="0"/>
        <v>594.05999999999995</v>
      </c>
      <c r="M26" s="2"/>
      <c r="N26" s="19">
        <f t="shared" si="1"/>
        <v>0</v>
      </c>
      <c r="O26" s="11"/>
      <c r="P26" s="2">
        <f>--6342.17</f>
        <v>6342.17</v>
      </c>
      <c r="Q26" s="2"/>
      <c r="R26" s="19"/>
      <c r="S26" s="2"/>
      <c r="T26" s="2"/>
      <c r="U26" s="2"/>
      <c r="V26" s="19"/>
      <c r="W26" s="2"/>
      <c r="X26" s="2">
        <f t="shared" si="2"/>
        <v>6342.17</v>
      </c>
      <c r="Y26" s="2"/>
      <c r="Z26" s="19">
        <f t="shared" si="3"/>
        <v>0</v>
      </c>
    </row>
    <row r="27" spans="1:26" s="24" customFormat="1" hidden="1" outlineLevel="1" x14ac:dyDescent="0.25">
      <c r="A27" s="46"/>
      <c r="B27" s="11" t="str">
        <f>CONCATENATE("          ", "4113", " - ", "NON-TAXABLE SALES-TRADE BOOKS")</f>
        <v xml:space="preserve">          4113 - NON-TAXABLE SALES-TRADE BOOKS</v>
      </c>
      <c r="C27" s="11"/>
      <c r="D27" s="2">
        <f>0</f>
        <v>0</v>
      </c>
      <c r="E27" s="2"/>
      <c r="F27" s="19"/>
      <c r="G27" s="2"/>
      <c r="H27" s="2"/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--1146.72</f>
        <v>1146.72</v>
      </c>
      <c r="Q27" s="2"/>
      <c r="R27" s="19"/>
      <c r="S27" s="2"/>
      <c r="T27" s="2"/>
      <c r="U27" s="2"/>
      <c r="V27" s="19"/>
      <c r="W27" s="2"/>
      <c r="X27" s="2">
        <f t="shared" si="2"/>
        <v>1146.72</v>
      </c>
      <c r="Y27" s="2"/>
      <c r="Z27" s="19">
        <f t="shared" si="3"/>
        <v>0</v>
      </c>
    </row>
    <row r="28" spans="1:26" s="24" customFormat="1" hidden="1" outlineLevel="1" x14ac:dyDescent="0.25">
      <c r="A28" s="46"/>
      <c r="B28" s="11" t="str">
        <f>CONCATENATE("          ", "4118", " - ", "NON-TAXABLE SALES-STUDY GUIDES")</f>
        <v xml:space="preserve">          4118 - NON-TAXABLE SALES-STUDY GUIDES</v>
      </c>
      <c r="C28" s="11"/>
      <c r="D28" s="2">
        <f>--6.95</f>
        <v>6.95</v>
      </c>
      <c r="E28" s="2"/>
      <c r="F28" s="19"/>
      <c r="G28" s="2"/>
      <c r="H28" s="2"/>
      <c r="I28" s="2"/>
      <c r="J28" s="19"/>
      <c r="K28" s="2"/>
      <c r="L28" s="2">
        <f t="shared" si="0"/>
        <v>6.95</v>
      </c>
      <c r="M28" s="2"/>
      <c r="N28" s="19">
        <f t="shared" si="1"/>
        <v>0</v>
      </c>
      <c r="O28" s="11"/>
      <c r="P28" s="2">
        <f>--20.92</f>
        <v>20.92</v>
      </c>
      <c r="Q28" s="2"/>
      <c r="R28" s="19"/>
      <c r="S28" s="2"/>
      <c r="T28" s="2"/>
      <c r="U28" s="2"/>
      <c r="V28" s="19"/>
      <c r="W28" s="2"/>
      <c r="X28" s="2">
        <f t="shared" si="2"/>
        <v>20.92</v>
      </c>
      <c r="Y28" s="2"/>
      <c r="Z28" s="19">
        <f t="shared" si="3"/>
        <v>0</v>
      </c>
    </row>
    <row r="29" spans="1:26" s="24" customFormat="1" hidden="1" outlineLevel="1" x14ac:dyDescent="0.25">
      <c r="A29" s="46"/>
      <c r="B29" s="11" t="str">
        <f>CONCATENATE("          ", "4201", " - ", "SALES RETURN TAXABLE-NEW TEXT")</f>
        <v xml:space="preserve">          4201 - SALES RETURN TAXABLE-NEW TEXT</v>
      </c>
      <c r="C29" s="11"/>
      <c r="D29" s="2">
        <f>-14069.34</f>
        <v>-14069.34</v>
      </c>
      <c r="E29" s="2"/>
      <c r="F29" s="19"/>
      <c r="G29" s="2"/>
      <c r="H29" s="2"/>
      <c r="I29" s="2"/>
      <c r="J29" s="19"/>
      <c r="K29" s="2"/>
      <c r="L29" s="2">
        <f t="shared" si="0"/>
        <v>-14069.34</v>
      </c>
      <c r="M29" s="2"/>
      <c r="N29" s="19">
        <f t="shared" si="1"/>
        <v>0</v>
      </c>
      <c r="O29" s="11"/>
      <c r="P29" s="2">
        <f>-73239.75</f>
        <v>-73239.75</v>
      </c>
      <c r="Q29" s="2"/>
      <c r="R29" s="19"/>
      <c r="S29" s="2"/>
      <c r="T29" s="2"/>
      <c r="U29" s="2"/>
      <c r="V29" s="19"/>
      <c r="W29" s="2"/>
      <c r="X29" s="2">
        <f t="shared" si="2"/>
        <v>-73239.75</v>
      </c>
      <c r="Y29" s="2"/>
      <c r="Z29" s="19">
        <f t="shared" si="3"/>
        <v>0</v>
      </c>
    </row>
    <row r="30" spans="1:26" s="24" customFormat="1" hidden="1" outlineLevel="1" x14ac:dyDescent="0.25">
      <c r="A30" s="46"/>
      <c r="B30" s="11" t="str">
        <f>CONCATENATE("          ", "4202", " - ", "SALES RETURN TAXABLE-USED TEXT")</f>
        <v xml:space="preserve">          4202 - SALES RETURN TAXABLE-USED TEXT</v>
      </c>
      <c r="C30" s="11"/>
      <c r="D30" s="2">
        <f>-2096.65</f>
        <v>-2096.65</v>
      </c>
      <c r="E30" s="2"/>
      <c r="F30" s="19"/>
      <c r="G30" s="2"/>
      <c r="H30" s="2"/>
      <c r="I30" s="2"/>
      <c r="J30" s="19"/>
      <c r="K30" s="2"/>
      <c r="L30" s="2">
        <f t="shared" si="0"/>
        <v>-2096.65</v>
      </c>
      <c r="M30" s="2"/>
      <c r="N30" s="19">
        <f t="shared" si="1"/>
        <v>0</v>
      </c>
      <c r="O30" s="11"/>
      <c r="P30" s="2">
        <f>-23351.1</f>
        <v>-23351.1</v>
      </c>
      <c r="Q30" s="2"/>
      <c r="R30" s="19"/>
      <c r="S30" s="2"/>
      <c r="T30" s="2"/>
      <c r="U30" s="2"/>
      <c r="V30" s="19"/>
      <c r="W30" s="2"/>
      <c r="X30" s="2">
        <f t="shared" si="2"/>
        <v>-23351.1</v>
      </c>
      <c r="Y30" s="2"/>
      <c r="Z30" s="19">
        <f t="shared" si="3"/>
        <v>0</v>
      </c>
    </row>
    <row r="31" spans="1:26" s="24" customFormat="1" hidden="1" outlineLevel="1" x14ac:dyDescent="0.25">
      <c r="A31" s="46"/>
      <c r="B31" s="11" t="str">
        <f>CONCATENATE("          ", "4203", " - ", "SALES RETURN TAXABLE-RENTAL TE")</f>
        <v xml:space="preserve">          4203 - SALES RETURN TAXABLE-RENTAL TE</v>
      </c>
      <c r="C31" s="11"/>
      <c r="D31" s="2">
        <f>-144.99</f>
        <v>-144.99</v>
      </c>
      <c r="E31" s="2"/>
      <c r="F31" s="19"/>
      <c r="G31" s="2"/>
      <c r="H31" s="2"/>
      <c r="I31" s="2"/>
      <c r="J31" s="19"/>
      <c r="K31" s="2"/>
      <c r="L31" s="2">
        <f t="shared" si="0"/>
        <v>-144.99</v>
      </c>
      <c r="M31" s="2"/>
      <c r="N31" s="19">
        <f t="shared" si="1"/>
        <v>0</v>
      </c>
      <c r="O31" s="11"/>
      <c r="P31" s="2">
        <f>-144.99</f>
        <v>-144.99</v>
      </c>
      <c r="Q31" s="2"/>
      <c r="R31" s="19"/>
      <c r="S31" s="2"/>
      <c r="T31" s="2"/>
      <c r="U31" s="2"/>
      <c r="V31" s="19"/>
      <c r="W31" s="2"/>
      <c r="X31" s="2">
        <f t="shared" si="2"/>
        <v>-144.99</v>
      </c>
      <c r="Y31" s="2"/>
      <c r="Z31" s="19">
        <f t="shared" si="3"/>
        <v>0</v>
      </c>
    </row>
    <row r="32" spans="1:26" s="24" customFormat="1" hidden="1" outlineLevel="1" x14ac:dyDescent="0.25">
      <c r="A32" s="46"/>
      <c r="B32" s="11" t="str">
        <f>CONCATENATE("          ", "4204", " - ", "SALES RETURN TAXABLE-DIGITAL T")</f>
        <v xml:space="preserve">          4204 - SALES RETURN TAXABLE-DIGITAL T</v>
      </c>
      <c r="C32" s="11"/>
      <c r="D32" s="2">
        <f>-4208.35</f>
        <v>-4208.3500000000004</v>
      </c>
      <c r="E32" s="2"/>
      <c r="F32" s="19"/>
      <c r="G32" s="2"/>
      <c r="H32" s="2"/>
      <c r="I32" s="2"/>
      <c r="J32" s="19"/>
      <c r="K32" s="2"/>
      <c r="L32" s="2">
        <f t="shared" si="0"/>
        <v>-4208.3500000000004</v>
      </c>
      <c r="M32" s="2"/>
      <c r="N32" s="19">
        <f t="shared" si="1"/>
        <v>0</v>
      </c>
      <c r="O32" s="11"/>
      <c r="P32" s="2">
        <f>-11056.72</f>
        <v>-11056.72</v>
      </c>
      <c r="Q32" s="2"/>
      <c r="R32" s="19"/>
      <c r="S32" s="2"/>
      <c r="T32" s="2"/>
      <c r="U32" s="2"/>
      <c r="V32" s="19"/>
      <c r="W32" s="2"/>
      <c r="X32" s="2">
        <f t="shared" si="2"/>
        <v>-11056.72</v>
      </c>
      <c r="Y32" s="2"/>
      <c r="Z32" s="19">
        <f t="shared" si="3"/>
        <v>0</v>
      </c>
    </row>
    <row r="33" spans="1:26" s="24" customFormat="1" hidden="1" outlineLevel="1" x14ac:dyDescent="0.25">
      <c r="A33" s="46"/>
      <c r="B33" s="11" t="str">
        <f>CONCATENATE("          ", "4218", " - ", "SALES RETURN TAXABLE-STUDY GUI")</f>
        <v xml:space="preserve">          4218 - SALES RETURN TAXABLE-STUDY GUI</v>
      </c>
      <c r="C33" s="11"/>
      <c r="D33" s="2">
        <f>-5.95</f>
        <v>-5.95</v>
      </c>
      <c r="E33" s="2"/>
      <c r="F33" s="19"/>
      <c r="G33" s="2"/>
      <c r="H33" s="2"/>
      <c r="I33" s="2"/>
      <c r="J33" s="19"/>
      <c r="K33" s="2"/>
      <c r="L33" s="2">
        <f t="shared" si="0"/>
        <v>-5.95</v>
      </c>
      <c r="M33" s="2"/>
      <c r="N33" s="19">
        <f t="shared" si="1"/>
        <v>0</v>
      </c>
      <c r="O33" s="11"/>
      <c r="P33" s="2">
        <f>-32.75</f>
        <v>-32.75</v>
      </c>
      <c r="Q33" s="2"/>
      <c r="R33" s="19"/>
      <c r="S33" s="2"/>
      <c r="T33" s="2"/>
      <c r="U33" s="2"/>
      <c r="V33" s="19"/>
      <c r="W33" s="2"/>
      <c r="X33" s="2">
        <f t="shared" si="2"/>
        <v>-32.75</v>
      </c>
      <c r="Y33" s="2"/>
      <c r="Z33" s="19">
        <f t="shared" si="3"/>
        <v>0</v>
      </c>
    </row>
    <row r="34" spans="1:26" s="24" customFormat="1" hidden="1" outlineLevel="1" x14ac:dyDescent="0.25">
      <c r="A34" s="46"/>
      <c r="B34" s="11" t="str">
        <f>CONCATENATE("          ", "4301", " - ", "SALES RETURN NON TAXABLE-NEW T")</f>
        <v xml:space="preserve">          4301 - SALES RETURN NON TAXABLE-NEW T</v>
      </c>
      <c r="C34" s="11"/>
      <c r="D34" s="2">
        <f>-3805.44</f>
        <v>-3805.44</v>
      </c>
      <c r="E34" s="2"/>
      <c r="F34" s="19"/>
      <c r="G34" s="2"/>
      <c r="H34" s="2"/>
      <c r="I34" s="2"/>
      <c r="J34" s="19"/>
      <c r="K34" s="2"/>
      <c r="L34" s="2">
        <f t="shared" si="0"/>
        <v>-3805.44</v>
      </c>
      <c r="M34" s="2"/>
      <c r="N34" s="19">
        <f t="shared" si="1"/>
        <v>0</v>
      </c>
      <c r="O34" s="11"/>
      <c r="P34" s="2">
        <f>-6725.22</f>
        <v>-6725.22</v>
      </c>
      <c r="Q34" s="2"/>
      <c r="R34" s="19"/>
      <c r="S34" s="2"/>
      <c r="T34" s="2"/>
      <c r="U34" s="2"/>
      <c r="V34" s="19"/>
      <c r="W34" s="2"/>
      <c r="X34" s="2">
        <f t="shared" si="2"/>
        <v>-6725.22</v>
      </c>
      <c r="Y34" s="2"/>
      <c r="Z34" s="19">
        <f t="shared" si="3"/>
        <v>0</v>
      </c>
    </row>
    <row r="35" spans="1:26" s="24" customFormat="1" hidden="1" outlineLevel="1" x14ac:dyDescent="0.25">
      <c r="A35" s="46"/>
      <c r="B35" s="11" t="str">
        <f>CONCATENATE("          ", "4302", " - ", "SALES RETURN NON TAXABLE-TEXT")</f>
        <v xml:space="preserve">          4302 - SALES RETURN NON TAXABLE-TEXT</v>
      </c>
      <c r="C35" s="11"/>
      <c r="D35" s="2">
        <f>-398.45</f>
        <v>-398.45</v>
      </c>
      <c r="E35" s="2"/>
      <c r="F35" s="19"/>
      <c r="G35" s="2"/>
      <c r="H35" s="2"/>
      <c r="I35" s="2"/>
      <c r="J35" s="19"/>
      <c r="K35" s="2"/>
      <c r="L35" s="2">
        <f t="shared" si="0"/>
        <v>-398.45</v>
      </c>
      <c r="M35" s="2"/>
      <c r="N35" s="19">
        <f t="shared" si="1"/>
        <v>0</v>
      </c>
      <c r="O35" s="11"/>
      <c r="P35" s="2">
        <f>-648.7</f>
        <v>-648.70000000000005</v>
      </c>
      <c r="Q35" s="2"/>
      <c r="R35" s="19"/>
      <c r="S35" s="2"/>
      <c r="T35" s="2"/>
      <c r="U35" s="2"/>
      <c r="V35" s="19"/>
      <c r="W35" s="2"/>
      <c r="X35" s="2">
        <f t="shared" si="2"/>
        <v>-648.70000000000005</v>
      </c>
      <c r="Y35" s="2"/>
      <c r="Z35" s="19">
        <f t="shared" si="3"/>
        <v>0</v>
      </c>
    </row>
    <row r="36" spans="1:26" s="24" customFormat="1" hidden="1" outlineLevel="1" x14ac:dyDescent="0.25">
      <c r="A36" s="46"/>
      <c r="B36" s="11" t="str">
        <f>CONCATENATE("          ", "4303", " - ", "SALES RETURN NON-TAXABLE-RENTA")</f>
        <v xml:space="preserve">          4303 - SALES RETURN NON-TAXABLE-RENTA</v>
      </c>
      <c r="C36" s="11"/>
      <c r="D36" s="2">
        <f>-184.99</f>
        <v>-184.99</v>
      </c>
      <c r="E36" s="2"/>
      <c r="F36" s="19"/>
      <c r="G36" s="2"/>
      <c r="H36" s="2"/>
      <c r="I36" s="2"/>
      <c r="J36" s="19"/>
      <c r="K36" s="2"/>
      <c r="L36" s="2">
        <f t="shared" si="0"/>
        <v>-184.99</v>
      </c>
      <c r="M36" s="2"/>
      <c r="N36" s="19">
        <f t="shared" si="1"/>
        <v>0</v>
      </c>
      <c r="O36" s="11"/>
      <c r="P36" s="2">
        <f>-184.99</f>
        <v>-184.99</v>
      </c>
      <c r="Q36" s="2"/>
      <c r="R36" s="19"/>
      <c r="S36" s="2"/>
      <c r="T36" s="2"/>
      <c r="U36" s="2"/>
      <c r="V36" s="19"/>
      <c r="W36" s="2"/>
      <c r="X36" s="2">
        <f t="shared" si="2"/>
        <v>-184.99</v>
      </c>
      <c r="Y36" s="2"/>
      <c r="Z36" s="19">
        <f t="shared" si="3"/>
        <v>0</v>
      </c>
    </row>
    <row r="37" spans="1:26" s="24" customFormat="1" hidden="1" outlineLevel="1" x14ac:dyDescent="0.25">
      <c r="A37" s="46"/>
      <c r="B37" s="11" t="str">
        <f>CONCATENATE("          ", "4304", " - ", "SALES RETURN NON TAXABLE-DIGIT")</f>
        <v xml:space="preserve">          4304 - SALES RETURN NON TAXABLE-DIGIT</v>
      </c>
      <c r="C37" s="11"/>
      <c r="D37" s="2">
        <f>-4048.76</f>
        <v>-4048.76</v>
      </c>
      <c r="E37" s="2"/>
      <c r="F37" s="19"/>
      <c r="G37" s="2"/>
      <c r="H37" s="2"/>
      <c r="I37" s="2"/>
      <c r="J37" s="19"/>
      <c r="K37" s="2"/>
      <c r="L37" s="2">
        <f t="shared" si="0"/>
        <v>-4048.76</v>
      </c>
      <c r="M37" s="2"/>
      <c r="N37" s="19">
        <f t="shared" si="1"/>
        <v>0</v>
      </c>
      <c r="O37" s="11"/>
      <c r="P37" s="2">
        <f>-12515.31</f>
        <v>-12515.31</v>
      </c>
      <c r="Q37" s="2"/>
      <c r="R37" s="19"/>
      <c r="S37" s="2"/>
      <c r="T37" s="2"/>
      <c r="U37" s="2"/>
      <c r="V37" s="19"/>
      <c r="W37" s="2"/>
      <c r="X37" s="2">
        <f t="shared" si="2"/>
        <v>-12515.31</v>
      </c>
      <c r="Y37" s="2"/>
      <c r="Z37" s="19">
        <f t="shared" si="3"/>
        <v>0</v>
      </c>
    </row>
    <row r="38" spans="1:26" s="24" customFormat="1" hidden="1" outlineLevel="1" x14ac:dyDescent="0.25">
      <c r="A38" s="46"/>
      <c r="B38" s="11" t="str">
        <f>CONCATENATE("          ", "4311", " - ", "SALES RETURN NON TAXABLE-NO VA")</f>
        <v xml:space="preserve">          4311 - SALES RETURN NON TAXABLE-NO VA</v>
      </c>
      <c r="C38" s="11"/>
      <c r="D38" s="2">
        <f>-276.9</f>
        <v>-276.89999999999998</v>
      </c>
      <c r="E38" s="2"/>
      <c r="F38" s="19"/>
      <c r="G38" s="2"/>
      <c r="H38" s="2"/>
      <c r="I38" s="2"/>
      <c r="J38" s="19"/>
      <c r="K38" s="2"/>
      <c r="L38" s="2">
        <f t="shared" si="0"/>
        <v>-276.89999999999998</v>
      </c>
      <c r="M38" s="2"/>
      <c r="N38" s="19">
        <f t="shared" si="1"/>
        <v>0</v>
      </c>
      <c r="O38" s="11"/>
      <c r="P38" s="2">
        <f>-387.94</f>
        <v>-387.94</v>
      </c>
      <c r="Q38" s="2"/>
      <c r="R38" s="19"/>
      <c r="S38" s="2"/>
      <c r="T38" s="2"/>
      <c r="U38" s="2"/>
      <c r="V38" s="19"/>
      <c r="W38" s="2"/>
      <c r="X38" s="2">
        <f t="shared" si="2"/>
        <v>-387.94</v>
      </c>
      <c r="Y38" s="2"/>
      <c r="Z38" s="19">
        <f t="shared" si="3"/>
        <v>0</v>
      </c>
    </row>
    <row r="39" spans="1:26" x14ac:dyDescent="0.25">
      <c r="A39" s="9"/>
      <c r="B39" s="10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collapsed="1" x14ac:dyDescent="0.25">
      <c r="A40" s="10"/>
      <c r="B40" s="28" t="s">
        <v>8</v>
      </c>
      <c r="C40" s="10"/>
      <c r="D40" s="4">
        <f>SUM(OSRRefD16x_0)</f>
        <v>290959.48999999993</v>
      </c>
      <c r="E40" s="4"/>
      <c r="F40" s="12">
        <f t="shared" ref="F40:F54" si="4">IF(D$12=0,0,D40/D$12)</f>
        <v>0.73748521814288792</v>
      </c>
      <c r="G40" s="4"/>
      <c r="H40" s="4">
        <f>SUM(OSRRefH16x_0)</f>
        <v>283617</v>
      </c>
      <c r="I40" s="4"/>
      <c r="J40" s="12">
        <f t="shared" ref="J40:J54" si="5">IF(H$12=0,0,H40/H$12)</f>
        <v>0.72129917625247009</v>
      </c>
      <c r="K40" s="4"/>
      <c r="L40" s="4">
        <f t="shared" ref="L40:L54" si="6">+D40-H40</f>
        <v>7342.4899999999325</v>
      </c>
      <c r="M40" s="4"/>
      <c r="N40" s="12">
        <f t="shared" ref="N40:N54" si="7">IF(H40=0,0,L40/H40)</f>
        <v>2.5888751379500991E-2</v>
      </c>
      <c r="O40" s="10"/>
      <c r="P40" s="4">
        <f>SUM(OSRRefP16x_0)</f>
        <v>1393880.9000000001</v>
      </c>
      <c r="Q40" s="4"/>
      <c r="R40" s="12">
        <f t="shared" ref="R40:R54" si="8">IF(P$12=0,0,P40/P$12)</f>
        <v>0.72233777763972395</v>
      </c>
      <c r="S40" s="4"/>
      <c r="T40" s="4">
        <f>SUM(OSRRefT16x_0)</f>
        <v>1443465</v>
      </c>
      <c r="U40" s="4"/>
      <c r="V40" s="12">
        <f t="shared" ref="V40:V54" si="9">IF(T$12=0,0,T40/T$12)</f>
        <v>0.71938407070119592</v>
      </c>
      <c r="W40" s="4"/>
      <c r="X40" s="4">
        <f t="shared" ref="X40:X54" si="10">+P40-T40</f>
        <v>-49584.09999999986</v>
      </c>
      <c r="Y40" s="4"/>
      <c r="Z40" s="12">
        <f t="shared" ref="Z40:Z54" si="11">IF(T40=0,0,X40/T40)</f>
        <v>-3.4350746294506525E-2</v>
      </c>
    </row>
    <row r="41" spans="1:26" s="24" customFormat="1" hidden="1" outlineLevel="1" x14ac:dyDescent="0.25">
      <c r="A41" s="46"/>
      <c r="B41" s="11" t="str">
        <f>CONCATENATE("          ", "5000", " - ", "PURCHASES @ COST")</f>
        <v xml:space="preserve">          5000 - PURCHASES @ COST</v>
      </c>
      <c r="C41" s="11"/>
      <c r="D41" s="2"/>
      <c r="E41" s="2"/>
      <c r="F41" s="19">
        <f t="shared" si="4"/>
        <v>0</v>
      </c>
      <c r="G41" s="2"/>
      <c r="H41" s="2">
        <v>283617</v>
      </c>
      <c r="I41" s="2"/>
      <c r="J41" s="19">
        <f t="shared" si="5"/>
        <v>0.72129917625247009</v>
      </c>
      <c r="K41" s="2"/>
      <c r="L41" s="2">
        <f t="shared" si="6"/>
        <v>-283617</v>
      </c>
      <c r="M41" s="2"/>
      <c r="N41" s="19">
        <f t="shared" si="7"/>
        <v>-1</v>
      </c>
      <c r="O41" s="11"/>
      <c r="P41" s="2"/>
      <c r="Q41" s="2"/>
      <c r="R41" s="19">
        <f t="shared" si="8"/>
        <v>0</v>
      </c>
      <c r="S41" s="2"/>
      <c r="T41" s="2">
        <v>1443465</v>
      </c>
      <c r="U41" s="2"/>
      <c r="V41" s="19">
        <f t="shared" si="9"/>
        <v>0.71938407070119592</v>
      </c>
      <c r="W41" s="2"/>
      <c r="X41" s="2">
        <f t="shared" si="10"/>
        <v>-1443465</v>
      </c>
      <c r="Y41" s="2"/>
      <c r="Z41" s="19">
        <f t="shared" si="11"/>
        <v>-1</v>
      </c>
    </row>
    <row r="42" spans="1:26" s="24" customFormat="1" hidden="1" outlineLevel="1" x14ac:dyDescent="0.25">
      <c r="A42" s="46"/>
      <c r="B42" s="11" t="str">
        <f>CONCATENATE("          ", "5001", " - ", "PURCHASES @ COST-NEW TEXT")</f>
        <v xml:space="preserve">          5001 - PURCHASES @ COST-NEW TEXT</v>
      </c>
      <c r="C42" s="11"/>
      <c r="D42" s="2">
        <v>20162.849999999999</v>
      </c>
      <c r="E42" s="2"/>
      <c r="F42" s="19">
        <f t="shared" si="4"/>
        <v>5.1106096696252566E-2</v>
      </c>
      <c r="G42" s="2"/>
      <c r="H42" s="2"/>
      <c r="I42" s="2"/>
      <c r="J42" s="19">
        <f t="shared" si="5"/>
        <v>0</v>
      </c>
      <c r="K42" s="2"/>
      <c r="L42" s="2">
        <f t="shared" si="6"/>
        <v>20162.849999999999</v>
      </c>
      <c r="M42" s="2"/>
      <c r="N42" s="19">
        <f t="shared" si="7"/>
        <v>0</v>
      </c>
      <c r="O42" s="11"/>
      <c r="P42" s="2">
        <v>1629693.45</v>
      </c>
      <c r="Q42" s="2"/>
      <c r="R42" s="19">
        <f t="shared" si="8"/>
        <v>0.84454069562687484</v>
      </c>
      <c r="S42" s="2"/>
      <c r="T42" s="2"/>
      <c r="U42" s="2"/>
      <c r="V42" s="19">
        <f t="shared" si="9"/>
        <v>0</v>
      </c>
      <c r="W42" s="2"/>
      <c r="X42" s="2">
        <f t="shared" si="10"/>
        <v>1629693.45</v>
      </c>
      <c r="Y42" s="2"/>
      <c r="Z42" s="19">
        <f t="shared" si="11"/>
        <v>0</v>
      </c>
    </row>
    <row r="43" spans="1:26" s="24" customFormat="1" hidden="1" outlineLevel="1" x14ac:dyDescent="0.25">
      <c r="A43" s="46"/>
      <c r="B43" s="11" t="str">
        <f>CONCATENATE("          ", "5002", " - ", "PURCHASES @ COST-USED TEXT")</f>
        <v xml:space="preserve">          5002 - PURCHASES @ COST-USED TEXT</v>
      </c>
      <c r="C43" s="11"/>
      <c r="D43" s="2">
        <v>-36079.68</v>
      </c>
      <c r="E43" s="2"/>
      <c r="F43" s="19">
        <f t="shared" si="4"/>
        <v>-9.1449949528457031E-2</v>
      </c>
      <c r="G43" s="2"/>
      <c r="H43" s="2"/>
      <c r="I43" s="2"/>
      <c r="J43" s="19">
        <f t="shared" si="5"/>
        <v>0</v>
      </c>
      <c r="K43" s="2"/>
      <c r="L43" s="2">
        <f t="shared" si="6"/>
        <v>-36079.68</v>
      </c>
      <c r="M43" s="2"/>
      <c r="N43" s="19">
        <f t="shared" si="7"/>
        <v>0</v>
      </c>
      <c r="O43" s="11"/>
      <c r="P43" s="2">
        <v>-17591.89</v>
      </c>
      <c r="Q43" s="2"/>
      <c r="R43" s="19">
        <f t="shared" si="8"/>
        <v>-9.1164795550914574E-3</v>
      </c>
      <c r="S43" s="2"/>
      <c r="T43" s="2"/>
      <c r="U43" s="2"/>
      <c r="V43" s="19">
        <f t="shared" si="9"/>
        <v>0</v>
      </c>
      <c r="W43" s="2"/>
      <c r="X43" s="2">
        <f t="shared" si="10"/>
        <v>-17591.89</v>
      </c>
      <c r="Y43" s="2"/>
      <c r="Z43" s="19">
        <f t="shared" si="11"/>
        <v>0</v>
      </c>
    </row>
    <row r="44" spans="1:26" s="24" customFormat="1" hidden="1" outlineLevel="1" x14ac:dyDescent="0.25">
      <c r="A44" s="46"/>
      <c r="B44" s="11" t="str">
        <f>CONCATENATE("          ", "5003", " - ", "PURCHASES @ COST-RENTAL TEXT")</f>
        <v xml:space="preserve">          5003 - PURCHASES @ COST-RENTAL TEXT</v>
      </c>
      <c r="C44" s="11"/>
      <c r="D44" s="2"/>
      <c r="E44" s="2"/>
      <c r="F44" s="19">
        <f t="shared" si="4"/>
        <v>0</v>
      </c>
      <c r="G44" s="2"/>
      <c r="H44" s="2"/>
      <c r="I44" s="2"/>
      <c r="J44" s="19">
        <f t="shared" si="5"/>
        <v>0</v>
      </c>
      <c r="K44" s="2"/>
      <c r="L44" s="2">
        <f t="shared" si="6"/>
        <v>0</v>
      </c>
      <c r="M44" s="2"/>
      <c r="N44" s="19">
        <f t="shared" si="7"/>
        <v>0</v>
      </c>
      <c r="O44" s="11"/>
      <c r="P44" s="2">
        <v>-78.400000000000006</v>
      </c>
      <c r="Q44" s="2"/>
      <c r="R44" s="19">
        <f t="shared" si="8"/>
        <v>-4.0628493988944359E-5</v>
      </c>
      <c r="S44" s="2"/>
      <c r="T44" s="2"/>
      <c r="U44" s="2"/>
      <c r="V44" s="19">
        <f t="shared" si="9"/>
        <v>0</v>
      </c>
      <c r="W44" s="2"/>
      <c r="X44" s="2">
        <f t="shared" si="10"/>
        <v>-78.400000000000006</v>
      </c>
      <c r="Y44" s="2"/>
      <c r="Z44" s="19">
        <f t="shared" si="11"/>
        <v>0</v>
      </c>
    </row>
    <row r="45" spans="1:26" s="24" customFormat="1" hidden="1" outlineLevel="1" x14ac:dyDescent="0.25">
      <c r="A45" s="46"/>
      <c r="B45" s="11" t="str">
        <f>CONCATENATE("          ", "5004", " - ", "PURCHASES @ COST-DIGITAL TEXT")</f>
        <v xml:space="preserve">          5004 - PURCHASES @ COST-DIGITAL TEXT</v>
      </c>
      <c r="C45" s="11"/>
      <c r="D45" s="2">
        <v>50761.9</v>
      </c>
      <c r="E45" s="2"/>
      <c r="F45" s="19">
        <f t="shared" si="4"/>
        <v>0.12866447798230424</v>
      </c>
      <c r="G45" s="2"/>
      <c r="H45" s="2"/>
      <c r="I45" s="2"/>
      <c r="J45" s="19">
        <f t="shared" si="5"/>
        <v>0</v>
      </c>
      <c r="K45" s="2"/>
      <c r="L45" s="2">
        <f t="shared" si="6"/>
        <v>50761.9</v>
      </c>
      <c r="M45" s="2"/>
      <c r="N45" s="19">
        <f t="shared" si="7"/>
        <v>0</v>
      </c>
      <c r="O45" s="11"/>
      <c r="P45" s="2">
        <v>353728.39</v>
      </c>
      <c r="Q45" s="2"/>
      <c r="R45" s="19">
        <f t="shared" si="8"/>
        <v>0.18330933376063732</v>
      </c>
      <c r="S45" s="2"/>
      <c r="T45" s="2"/>
      <c r="U45" s="2"/>
      <c r="V45" s="19">
        <f t="shared" si="9"/>
        <v>0</v>
      </c>
      <c r="W45" s="2"/>
      <c r="X45" s="2">
        <f t="shared" si="10"/>
        <v>353728.39</v>
      </c>
      <c r="Y45" s="2"/>
      <c r="Z45" s="19">
        <f t="shared" si="11"/>
        <v>0</v>
      </c>
    </row>
    <row r="46" spans="1:26" s="24" customFormat="1" hidden="1" outlineLevel="1" x14ac:dyDescent="0.25">
      <c r="A46" s="46"/>
      <c r="B46" s="11" t="str">
        <f>CONCATENATE("          ", "5011", " - ", "PURCHASES @ COST-NO VALUE TEXT")</f>
        <v xml:space="preserve">          5011 - PURCHASES @ COST-NO VALUE TEXT</v>
      </c>
      <c r="C46" s="11"/>
      <c r="D46" s="2">
        <v>2928</v>
      </c>
      <c r="E46" s="2"/>
      <c r="F46" s="19">
        <f t="shared" si="4"/>
        <v>7.4215029684110883E-3</v>
      </c>
      <c r="G46" s="2"/>
      <c r="H46" s="2"/>
      <c r="I46" s="2"/>
      <c r="J46" s="19">
        <f t="shared" si="5"/>
        <v>0</v>
      </c>
      <c r="K46" s="2"/>
      <c r="L46" s="2">
        <f t="shared" si="6"/>
        <v>2928</v>
      </c>
      <c r="M46" s="2"/>
      <c r="N46" s="19">
        <f t="shared" si="7"/>
        <v>0</v>
      </c>
      <c r="O46" s="11"/>
      <c r="P46" s="2">
        <v>3585</v>
      </c>
      <c r="Q46" s="2"/>
      <c r="R46" s="19">
        <f t="shared" si="8"/>
        <v>1.8578208029383357E-3</v>
      </c>
      <c r="S46" s="2"/>
      <c r="T46" s="2"/>
      <c r="U46" s="2"/>
      <c r="V46" s="19">
        <f t="shared" si="9"/>
        <v>0</v>
      </c>
      <c r="W46" s="2"/>
      <c r="X46" s="2">
        <f t="shared" si="10"/>
        <v>3585</v>
      </c>
      <c r="Y46" s="2"/>
      <c r="Z46" s="19">
        <f t="shared" si="11"/>
        <v>0</v>
      </c>
    </row>
    <row r="47" spans="1:26" s="24" customFormat="1" hidden="1" outlineLevel="1" x14ac:dyDescent="0.25">
      <c r="A47" s="46"/>
      <c r="B47" s="11" t="str">
        <f>CONCATENATE("          ", "5013", " - ", "PURCHASES @ COST-TRADE BOOKS")</f>
        <v xml:space="preserve">          5013 - PURCHASES @ COST-TRADE BOOKS</v>
      </c>
      <c r="C47" s="11"/>
      <c r="D47" s="2">
        <v>269.89</v>
      </c>
      <c r="E47" s="2"/>
      <c r="F47" s="19">
        <f t="shared" si="4"/>
        <v>6.8408109157939501E-4</v>
      </c>
      <c r="G47" s="2"/>
      <c r="H47" s="2"/>
      <c r="I47" s="2"/>
      <c r="J47" s="19">
        <f t="shared" si="5"/>
        <v>0</v>
      </c>
      <c r="K47" s="2"/>
      <c r="L47" s="2">
        <f t="shared" si="6"/>
        <v>269.89</v>
      </c>
      <c r="M47" s="2"/>
      <c r="N47" s="19">
        <f t="shared" si="7"/>
        <v>0</v>
      </c>
      <c r="O47" s="11"/>
      <c r="P47" s="2">
        <v>474.79</v>
      </c>
      <c r="Q47" s="2"/>
      <c r="R47" s="19">
        <f t="shared" si="8"/>
        <v>2.4604595230881239E-4</v>
      </c>
      <c r="S47" s="2"/>
      <c r="T47" s="2"/>
      <c r="U47" s="2"/>
      <c r="V47" s="19">
        <f t="shared" si="9"/>
        <v>0</v>
      </c>
      <c r="W47" s="2"/>
      <c r="X47" s="2">
        <f t="shared" si="10"/>
        <v>474.79</v>
      </c>
      <c r="Y47" s="2"/>
      <c r="Z47" s="19">
        <f t="shared" si="11"/>
        <v>0</v>
      </c>
    </row>
    <row r="48" spans="1:26" s="24" customFormat="1" hidden="1" outlineLevel="1" x14ac:dyDescent="0.25">
      <c r="A48" s="46"/>
      <c r="B48" s="11" t="str">
        <f>CONCATENATE("          ", "5014", " - ", "PURCHASES @ COST-REMAINDERS")</f>
        <v xml:space="preserve">          5014 - PURCHASES @ COST-REMAINDERS</v>
      </c>
      <c r="C48" s="11"/>
      <c r="D48" s="2">
        <v>55.65</v>
      </c>
      <c r="E48" s="2"/>
      <c r="F48" s="19">
        <f t="shared" si="4"/>
        <v>1.4105418039346893E-4</v>
      </c>
      <c r="G48" s="2"/>
      <c r="H48" s="2"/>
      <c r="I48" s="2"/>
      <c r="J48" s="19">
        <f t="shared" si="5"/>
        <v>0</v>
      </c>
      <c r="K48" s="2"/>
      <c r="L48" s="2">
        <f t="shared" si="6"/>
        <v>55.65</v>
      </c>
      <c r="M48" s="2"/>
      <c r="N48" s="19">
        <f t="shared" si="7"/>
        <v>0</v>
      </c>
      <c r="O48" s="11"/>
      <c r="P48" s="2">
        <v>289.97000000000003</v>
      </c>
      <c r="Q48" s="2"/>
      <c r="R48" s="19">
        <f t="shared" si="8"/>
        <v>1.5026842349456882E-4</v>
      </c>
      <c r="S48" s="2"/>
      <c r="T48" s="2"/>
      <c r="U48" s="2"/>
      <c r="V48" s="19">
        <f t="shared" si="9"/>
        <v>0</v>
      </c>
      <c r="W48" s="2"/>
      <c r="X48" s="2">
        <f t="shared" si="10"/>
        <v>289.97000000000003</v>
      </c>
      <c r="Y48" s="2"/>
      <c r="Z48" s="19">
        <f t="shared" si="11"/>
        <v>0</v>
      </c>
    </row>
    <row r="49" spans="1:26" s="24" customFormat="1" hidden="1" outlineLevel="1" x14ac:dyDescent="0.25">
      <c r="A49" s="46"/>
      <c r="B49" s="11" t="str">
        <f>CONCATENATE("          ", "5018", " - ", "PURCHASES @ COST-STUDY GUIDES")</f>
        <v xml:space="preserve">          5018 - PURCHASES @ COST-STUDY GUIDES</v>
      </c>
      <c r="C49" s="11"/>
      <c r="D49" s="2"/>
      <c r="E49" s="2"/>
      <c r="F49" s="19">
        <f t="shared" si="4"/>
        <v>0</v>
      </c>
      <c r="G49" s="2"/>
      <c r="H49" s="2"/>
      <c r="I49" s="2"/>
      <c r="J49" s="19">
        <f t="shared" si="5"/>
        <v>0</v>
      </c>
      <c r="K49" s="2"/>
      <c r="L49" s="2">
        <f t="shared" si="6"/>
        <v>0</v>
      </c>
      <c r="M49" s="2"/>
      <c r="N49" s="19">
        <f t="shared" si="7"/>
        <v>0</v>
      </c>
      <c r="O49" s="11"/>
      <c r="P49" s="2">
        <v>503.93</v>
      </c>
      <c r="Q49" s="2"/>
      <c r="R49" s="19">
        <f t="shared" si="8"/>
        <v>2.6114690020215216E-4</v>
      </c>
      <c r="S49" s="2"/>
      <c r="T49" s="2"/>
      <c r="U49" s="2"/>
      <c r="V49" s="19">
        <f t="shared" si="9"/>
        <v>0</v>
      </c>
      <c r="W49" s="2"/>
      <c r="X49" s="2">
        <f t="shared" si="10"/>
        <v>503.93</v>
      </c>
      <c r="Y49" s="2"/>
      <c r="Z49" s="19">
        <f t="shared" si="11"/>
        <v>0</v>
      </c>
    </row>
    <row r="50" spans="1:26" s="24" customFormat="1" hidden="1" outlineLevel="1" x14ac:dyDescent="0.25">
      <c r="A50" s="46"/>
      <c r="B50" s="11" t="str">
        <f>CONCATENATE("          ", "5200", " - ", "PURCHASES OFFSET")</f>
        <v xml:space="preserve">          5200 - PURCHASES OFFSET</v>
      </c>
      <c r="C50" s="11"/>
      <c r="D50" s="2">
        <v>-53957</v>
      </c>
      <c r="E50" s="2"/>
      <c r="F50" s="19">
        <f t="shared" si="4"/>
        <v>-0.13676299032327771</v>
      </c>
      <c r="G50" s="2"/>
      <c r="H50" s="2"/>
      <c r="I50" s="2"/>
      <c r="J50" s="19">
        <f t="shared" si="5"/>
        <v>0</v>
      </c>
      <c r="K50" s="2"/>
      <c r="L50" s="2">
        <f t="shared" si="6"/>
        <v>-53957</v>
      </c>
      <c r="M50" s="2"/>
      <c r="N50" s="19">
        <f t="shared" si="7"/>
        <v>0</v>
      </c>
      <c r="O50" s="11"/>
      <c r="P50" s="2">
        <v>-2003459</v>
      </c>
      <c r="Q50" s="2"/>
      <c r="R50" s="19">
        <f t="shared" si="8"/>
        <v>-1.0382336981963836</v>
      </c>
      <c r="S50" s="2"/>
      <c r="T50" s="2"/>
      <c r="U50" s="2"/>
      <c r="V50" s="19">
        <f t="shared" si="9"/>
        <v>0</v>
      </c>
      <c r="W50" s="2"/>
      <c r="X50" s="2">
        <f t="shared" si="10"/>
        <v>-2003459</v>
      </c>
      <c r="Y50" s="2"/>
      <c r="Z50" s="19">
        <f t="shared" si="11"/>
        <v>0</v>
      </c>
    </row>
    <row r="51" spans="1:26" s="24" customFormat="1" hidden="1" outlineLevel="1" x14ac:dyDescent="0.25">
      <c r="A51" s="46"/>
      <c r="B51" s="11" t="str">
        <f>CONCATENATE("          ", "5300", " - ", "COG$ OFFSET")</f>
        <v xml:space="preserve">          5300 - COG$ OFFSET</v>
      </c>
      <c r="C51" s="11"/>
      <c r="D51" s="2">
        <v>290960</v>
      </c>
      <c r="E51" s="2"/>
      <c r="F51" s="19">
        <f t="shared" si="4"/>
        <v>0.73748651082270844</v>
      </c>
      <c r="G51" s="2"/>
      <c r="H51" s="2"/>
      <c r="I51" s="2"/>
      <c r="J51" s="19">
        <f t="shared" si="5"/>
        <v>0</v>
      </c>
      <c r="K51" s="2"/>
      <c r="L51" s="2">
        <f t="shared" si="6"/>
        <v>290960</v>
      </c>
      <c r="M51" s="2"/>
      <c r="N51" s="19">
        <f t="shared" si="7"/>
        <v>0</v>
      </c>
      <c r="O51" s="11"/>
      <c r="P51" s="2">
        <v>1393883</v>
      </c>
      <c r="Q51" s="2"/>
      <c r="R51" s="19">
        <f t="shared" si="8"/>
        <v>0.72233886590295571</v>
      </c>
      <c r="S51" s="2"/>
      <c r="T51" s="2"/>
      <c r="U51" s="2"/>
      <c r="V51" s="19">
        <f t="shared" si="9"/>
        <v>0</v>
      </c>
      <c r="W51" s="2"/>
      <c r="X51" s="2">
        <f t="shared" si="10"/>
        <v>1393883</v>
      </c>
      <c r="Y51" s="2"/>
      <c r="Z51" s="19">
        <f t="shared" si="11"/>
        <v>0</v>
      </c>
    </row>
    <row r="52" spans="1:26" s="24" customFormat="1" hidden="1" outlineLevel="1" x14ac:dyDescent="0.25">
      <c r="A52" s="46"/>
      <c r="B52" s="11" t="str">
        <f>CONCATENATE("          ", "5501", " - ", "FREIGHT-IN-NEW TEXT")</f>
        <v xml:space="preserve">          5501 - FREIGHT-IN-NEW TEXT</v>
      </c>
      <c r="C52" s="11"/>
      <c r="D52" s="2">
        <v>13859.22</v>
      </c>
      <c r="E52" s="2"/>
      <c r="F52" s="19">
        <f t="shared" si="4"/>
        <v>3.5128498077138769E-2</v>
      </c>
      <c r="G52" s="2"/>
      <c r="H52" s="2"/>
      <c r="I52" s="2"/>
      <c r="J52" s="19">
        <f t="shared" si="5"/>
        <v>0</v>
      </c>
      <c r="K52" s="2"/>
      <c r="L52" s="2">
        <f t="shared" si="6"/>
        <v>13859.22</v>
      </c>
      <c r="M52" s="2"/>
      <c r="N52" s="19">
        <f t="shared" si="7"/>
        <v>0</v>
      </c>
      <c r="O52" s="11"/>
      <c r="P52" s="2">
        <v>26583.46</v>
      </c>
      <c r="Q52" s="2"/>
      <c r="R52" s="19">
        <f t="shared" si="8"/>
        <v>1.3776096234889575E-2</v>
      </c>
      <c r="S52" s="2"/>
      <c r="T52" s="2"/>
      <c r="U52" s="2"/>
      <c r="V52" s="19">
        <f t="shared" si="9"/>
        <v>0</v>
      </c>
      <c r="W52" s="2"/>
      <c r="X52" s="2">
        <f t="shared" si="10"/>
        <v>26583.46</v>
      </c>
      <c r="Y52" s="2"/>
      <c r="Z52" s="19">
        <f t="shared" si="11"/>
        <v>0</v>
      </c>
    </row>
    <row r="53" spans="1:26" s="24" customFormat="1" hidden="1" outlineLevel="1" x14ac:dyDescent="0.25">
      <c r="A53" s="46"/>
      <c r="B53" s="11" t="str">
        <f>CONCATENATE("          ", "5502", " - ", "FREIGHT-IN-USED TEXT")</f>
        <v xml:space="preserve">          5502 - FREIGHT-IN-USED TEXT</v>
      </c>
      <c r="C53" s="11"/>
      <c r="D53" s="2">
        <v>1998.66</v>
      </c>
      <c r="E53" s="2"/>
      <c r="F53" s="19">
        <f t="shared" si="4"/>
        <v>5.0659361758348728E-3</v>
      </c>
      <c r="G53" s="2"/>
      <c r="H53" s="2"/>
      <c r="I53" s="2"/>
      <c r="J53" s="19">
        <f t="shared" si="5"/>
        <v>0</v>
      </c>
      <c r="K53" s="2"/>
      <c r="L53" s="2">
        <f t="shared" si="6"/>
        <v>1998.66</v>
      </c>
      <c r="M53" s="2"/>
      <c r="N53" s="19">
        <f t="shared" si="7"/>
        <v>0</v>
      </c>
      <c r="O53" s="11"/>
      <c r="P53" s="2">
        <v>6261.17</v>
      </c>
      <c r="Q53" s="2"/>
      <c r="R53" s="19">
        <f t="shared" si="8"/>
        <v>3.244667190162739E-3</v>
      </c>
      <c r="S53" s="2"/>
      <c r="T53" s="2"/>
      <c r="U53" s="2"/>
      <c r="V53" s="19">
        <f t="shared" si="9"/>
        <v>0</v>
      </c>
      <c r="W53" s="2"/>
      <c r="X53" s="2">
        <f t="shared" si="10"/>
        <v>6261.17</v>
      </c>
      <c r="Y53" s="2"/>
      <c r="Z53" s="19">
        <f t="shared" si="11"/>
        <v>0</v>
      </c>
    </row>
    <row r="54" spans="1:26" s="24" customFormat="1" hidden="1" outlineLevel="1" x14ac:dyDescent="0.25">
      <c r="A54" s="46"/>
      <c r="B54" s="11" t="str">
        <f>CONCATENATE("          ", "5504", " - ", "FREIGHT-IN-DIGITAL TEXT")</f>
        <v xml:space="preserve">          5504 - FREIGHT-IN-DIGITAL TEXT</v>
      </c>
      <c r="C54" s="11"/>
      <c r="D54" s="2"/>
      <c r="E54" s="2"/>
      <c r="F54" s="19">
        <f t="shared" si="4"/>
        <v>0</v>
      </c>
      <c r="G54" s="2"/>
      <c r="H54" s="2"/>
      <c r="I54" s="2"/>
      <c r="J54" s="19">
        <f t="shared" si="5"/>
        <v>0</v>
      </c>
      <c r="K54" s="2"/>
      <c r="L54" s="2">
        <f t="shared" si="6"/>
        <v>0</v>
      </c>
      <c r="M54" s="2"/>
      <c r="N54" s="19">
        <f t="shared" si="7"/>
        <v>0</v>
      </c>
      <c r="O54" s="11"/>
      <c r="P54" s="2">
        <v>7.03</v>
      </c>
      <c r="Q54" s="2"/>
      <c r="R54" s="19">
        <f t="shared" si="8"/>
        <v>3.6430907237535563E-6</v>
      </c>
      <c r="S54" s="2"/>
      <c r="T54" s="2"/>
      <c r="U54" s="2"/>
      <c r="V54" s="19">
        <f t="shared" si="9"/>
        <v>0</v>
      </c>
      <c r="W54" s="2"/>
      <c r="X54" s="2">
        <f t="shared" si="10"/>
        <v>7.03</v>
      </c>
      <c r="Y54" s="2"/>
      <c r="Z54" s="19">
        <f t="shared" si="11"/>
        <v>0</v>
      </c>
    </row>
    <row r="55" spans="1:26" x14ac:dyDescent="0.25">
      <c r="A55" s="9"/>
      <c r="B55" s="10"/>
      <c r="C55" s="10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O55" s="10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x14ac:dyDescent="0.25">
      <c r="A56" s="10"/>
      <c r="B56" s="29" t="s">
        <v>6</v>
      </c>
      <c r="C56" s="29"/>
      <c r="D56" s="22">
        <f>D12-D40</f>
        <v>103569.76000000001</v>
      </c>
      <c r="E56" s="14"/>
      <c r="F56" s="20">
        <f>IF(D$12=0,0,D56/D$12)</f>
        <v>0.26251478185711208</v>
      </c>
      <c r="G56" s="14"/>
      <c r="H56" s="22">
        <f>H12-H40</f>
        <v>109586</v>
      </c>
      <c r="I56" s="14"/>
      <c r="J56" s="20">
        <f>IF(H$12=0,0,H56/H$12)</f>
        <v>0.27870082374752991</v>
      </c>
      <c r="K56" s="15"/>
      <c r="L56" s="22">
        <f>+D56-H56</f>
        <v>-6016.2399999999907</v>
      </c>
      <c r="M56" s="15"/>
      <c r="N56" s="20">
        <f>IF(H56=0,0,L56/H56)</f>
        <v>-5.4899713467048625E-2</v>
      </c>
      <c r="O56" s="28"/>
      <c r="P56" s="22">
        <f>P12-P40</f>
        <v>535799.2899999998</v>
      </c>
      <c r="Q56" s="14"/>
      <c r="R56" s="20">
        <f>IF(P$12=0,0,P56/P$12)</f>
        <v>0.2776622223602761</v>
      </c>
      <c r="S56" s="14"/>
      <c r="T56" s="22">
        <f>T12-T40</f>
        <v>563064</v>
      </c>
      <c r="U56" s="14"/>
      <c r="V56" s="20">
        <f>IF(T$12=0,0,T56/T$12)</f>
        <v>0.28061592929880408</v>
      </c>
      <c r="W56" s="15"/>
      <c r="X56" s="22">
        <f>+P56-T56</f>
        <v>-27264.710000000196</v>
      </c>
      <c r="Y56" s="15"/>
      <c r="Z56" s="20">
        <f>IF(T56=0,0,X56/T56)</f>
        <v>-4.8422044385718489E-2</v>
      </c>
    </row>
    <row r="57" spans="1:26" x14ac:dyDescent="0.25">
      <c r="A57" s="9"/>
      <c r="B57" s="10"/>
      <c r="C57" s="9"/>
      <c r="D57" s="1"/>
      <c r="E57" s="1"/>
      <c r="F57" s="5"/>
      <c r="G57" s="1"/>
      <c r="H57" s="1"/>
      <c r="I57" s="1"/>
      <c r="J57" s="5"/>
      <c r="K57" s="1"/>
      <c r="L57" s="1"/>
      <c r="M57" s="1"/>
      <c r="N57" s="5"/>
      <c r="O57" s="36"/>
      <c r="P57" s="1"/>
      <c r="Q57" s="1"/>
      <c r="R57" s="5"/>
      <c r="S57" s="1"/>
      <c r="T57" s="1"/>
      <c r="U57" s="1"/>
      <c r="V57" s="5"/>
      <c r="W57" s="1"/>
      <c r="X57" s="1"/>
      <c r="Y57" s="1"/>
      <c r="Z57" s="5"/>
    </row>
    <row r="58" spans="1:26" s="23" customFormat="1" x14ac:dyDescent="0.25">
      <c r="A58" s="10"/>
      <c r="B58" s="28" t="s">
        <v>9</v>
      </c>
      <c r="C58" s="10"/>
      <c r="D58" s="21">
        <f>SUM(OSRRefD22x_0)</f>
        <v>23354.710000000003</v>
      </c>
      <c r="E58" s="21"/>
      <c r="F58" s="33">
        <f t="shared" ref="F58:F69" si="12">IF(D$12=0,0,D58/D$12)</f>
        <v>5.9196396718367537E-2</v>
      </c>
      <c r="G58" s="21"/>
      <c r="H58" s="21">
        <f>SUM(OSRRefH22x_0)</f>
        <v>51540.57500829787</v>
      </c>
      <c r="I58" s="21"/>
      <c r="J58" s="33">
        <f t="shared" ref="J58:J69" si="13">IF(H$12=0,0,H58/H$12)</f>
        <v>0.13107879392654143</v>
      </c>
      <c r="K58" s="4"/>
      <c r="L58" s="21">
        <f t="shared" ref="L58:L69" si="14">+D58-H58</f>
        <v>-28185.865008297867</v>
      </c>
      <c r="M58" s="4"/>
      <c r="N58" s="33">
        <f t="shared" ref="N58:N69" si="15">IF(H58=0,0,L58/H58)</f>
        <v>-0.54686749233511722</v>
      </c>
      <c r="O58" s="10"/>
      <c r="P58" s="21">
        <f>SUM(OSRRefP22x_0)</f>
        <v>116991.76999999999</v>
      </c>
      <c r="Q58" s="21"/>
      <c r="R58" s="33">
        <f t="shared" ref="R58:R69" si="16">IF(P$12=0,0,P58/P$12)</f>
        <v>6.0627543676032652E-2</v>
      </c>
      <c r="S58" s="21"/>
      <c r="T58" s="21">
        <f>SUM(OSRRefT22x_0)</f>
        <v>164428.498059968</v>
      </c>
      <c r="U58" s="21"/>
      <c r="V58" s="33">
        <f t="shared" ref="V58:V69" si="17">IF(T$12=0,0,T58/T$12)</f>
        <v>8.1946733917111589E-2</v>
      </c>
      <c r="W58" s="4"/>
      <c r="X58" s="21">
        <f t="shared" ref="X58:X69" si="18">+P58-T58</f>
        <v>-47436.728059968009</v>
      </c>
      <c r="Y58" s="4"/>
      <c r="Z58" s="33">
        <f t="shared" ref="Z58:Z69" si="19">IF(T58=0,0,X58/T58)</f>
        <v>-0.28849456523447392</v>
      </c>
    </row>
    <row r="59" spans="1:26" s="26" customFormat="1" outlineLevel="1" collapsed="1" x14ac:dyDescent="0.25">
      <c r="A59" s="27"/>
      <c r="B59" s="13" t="str">
        <f>CONCATENATE("     ","*Benefits                                         ")</f>
        <v xml:space="preserve">     *Benefits                                         </v>
      </c>
      <c r="C59" s="13"/>
      <c r="D59" s="1">
        <f>SUM(OSRRefD22_0x_0)</f>
        <v>9413.4500000000007</v>
      </c>
      <c r="E59" s="1"/>
      <c r="F59" s="5">
        <f t="shared" si="12"/>
        <v>2.3859954616799645E-2</v>
      </c>
      <c r="G59" s="1"/>
      <c r="H59" s="1">
        <f>SUM(OSRRefH22_0x_0)</f>
        <v>12040.927792574774</v>
      </c>
      <c r="I59" s="1"/>
      <c r="J59" s="5">
        <f t="shared" si="13"/>
        <v>3.0622675291324772E-2</v>
      </c>
      <c r="K59" s="1"/>
      <c r="L59" s="1">
        <f t="shared" si="14"/>
        <v>-2627.477792574773</v>
      </c>
      <c r="M59" s="1"/>
      <c r="N59" s="5">
        <f t="shared" si="15"/>
        <v>-0.2182122372824998</v>
      </c>
      <c r="O59" s="13"/>
      <c r="P59" s="1">
        <f>SUM(OSRRefP22_0x_0)</f>
        <v>30333.209999999992</v>
      </c>
      <c r="Q59" s="1"/>
      <c r="R59" s="5">
        <f t="shared" si="16"/>
        <v>1.5719293879469215E-2</v>
      </c>
      <c r="S59" s="1"/>
      <c r="T59" s="1">
        <f>SUM(OSRRefT22_0x_0)</f>
        <v>38774.389608867998</v>
      </c>
      <c r="U59" s="1"/>
      <c r="V59" s="5">
        <f t="shared" si="17"/>
        <v>1.9324111243280311E-2</v>
      </c>
      <c r="W59" s="1"/>
      <c r="X59" s="1">
        <f t="shared" si="18"/>
        <v>-8441.1796088680057</v>
      </c>
      <c r="Y59" s="1"/>
      <c r="Z59" s="5">
        <f t="shared" si="19"/>
        <v>-0.21769987081724282</v>
      </c>
    </row>
    <row r="60" spans="1:26" s="24" customFormat="1" hidden="1" outlineLevel="2" x14ac:dyDescent="0.25">
      <c r="A60" s="25"/>
      <c r="B60" s="11" t="str">
        <f>CONCATENATE("          ", "6111", " - ", "F.I.C.A.")</f>
        <v xml:space="preserve">          6111 - F.I.C.A.</v>
      </c>
      <c r="C60" s="11"/>
      <c r="D60" s="7">
        <v>1409.9</v>
      </c>
      <c r="E60" s="2"/>
      <c r="F60" s="6">
        <f t="shared" si="12"/>
        <v>3.573626036599315E-3</v>
      </c>
      <c r="G60" s="2"/>
      <c r="H60" s="7">
        <v>1602.9579046486201</v>
      </c>
      <c r="I60" s="2"/>
      <c r="J60" s="6">
        <f t="shared" si="13"/>
        <v>4.076667534705025E-3</v>
      </c>
      <c r="K60" s="2"/>
      <c r="L60" s="7">
        <f t="shared" si="14"/>
        <v>-193.05790464862002</v>
      </c>
      <c r="M60" s="2"/>
      <c r="N60" s="6">
        <f t="shared" si="15"/>
        <v>-0.12043853683789638</v>
      </c>
      <c r="O60" s="11"/>
      <c r="P60" s="7">
        <v>4796.1499999999996</v>
      </c>
      <c r="Q60" s="2"/>
      <c r="R60" s="6">
        <f t="shared" si="16"/>
        <v>2.4854636663912684E-3</v>
      </c>
      <c r="S60" s="2"/>
      <c r="T60" s="7">
        <v>5824.3404151080103</v>
      </c>
      <c r="U60" s="2"/>
      <c r="V60" s="6">
        <f t="shared" si="17"/>
        <v>2.9026943618098767E-3</v>
      </c>
      <c r="W60" s="2"/>
      <c r="X60" s="7">
        <f t="shared" si="18"/>
        <v>-1028.1904151080107</v>
      </c>
      <c r="Y60" s="2"/>
      <c r="Z60" s="6">
        <f t="shared" si="19"/>
        <v>-0.17653336546760603</v>
      </c>
    </row>
    <row r="61" spans="1:26" s="24" customFormat="1" hidden="1" outlineLevel="2" x14ac:dyDescent="0.25">
      <c r="A61" s="25"/>
      <c r="B61" s="11" t="str">
        <f>CONCATENATE("          ", "6112", " - ", "COMPENSATION INSURANCE")</f>
        <v xml:space="preserve">          6112 - COMPENSATION INSURANCE</v>
      </c>
      <c r="C61" s="11"/>
      <c r="D61" s="7">
        <v>74.67</v>
      </c>
      <c r="E61" s="2"/>
      <c r="F61" s="6">
        <f t="shared" si="12"/>
        <v>1.8926353369236884E-4</v>
      </c>
      <c r="G61" s="2"/>
      <c r="H61" s="7">
        <v>576.15949950769198</v>
      </c>
      <c r="I61" s="2"/>
      <c r="J61" s="6">
        <f t="shared" si="13"/>
        <v>1.4652978220097302E-3</v>
      </c>
      <c r="K61" s="2"/>
      <c r="L61" s="7">
        <f t="shared" si="14"/>
        <v>-501.48949950769196</v>
      </c>
      <c r="M61" s="2"/>
      <c r="N61" s="6">
        <f t="shared" si="15"/>
        <v>-0.87040047059225278</v>
      </c>
      <c r="O61" s="11"/>
      <c r="P61" s="7">
        <v>256.11</v>
      </c>
      <c r="Q61" s="2"/>
      <c r="R61" s="6">
        <f t="shared" si="16"/>
        <v>1.3272147443250688E-4</v>
      </c>
      <c r="S61" s="2"/>
      <c r="T61" s="7">
        <v>1914.8457183999992</v>
      </c>
      <c r="U61" s="2"/>
      <c r="V61" s="6">
        <f t="shared" si="17"/>
        <v>9.5430752229347252E-4</v>
      </c>
      <c r="W61" s="2"/>
      <c r="X61" s="7">
        <f t="shared" si="18"/>
        <v>-1658.7357183999993</v>
      </c>
      <c r="Y61" s="2"/>
      <c r="Z61" s="6">
        <f t="shared" si="19"/>
        <v>-0.86625032108905387</v>
      </c>
    </row>
    <row r="62" spans="1:26" s="24" customFormat="1" hidden="1" outlineLevel="2" x14ac:dyDescent="0.25">
      <c r="A62" s="25"/>
      <c r="B62" s="11" t="str">
        <f>CONCATENATE("          ", "6113", " - ", "GROUP INSURANCE")</f>
        <v xml:space="preserve">          6113 - GROUP INSURANCE</v>
      </c>
      <c r="C62" s="11"/>
      <c r="D62" s="7">
        <v>4168.57</v>
      </c>
      <c r="E62" s="2"/>
      <c r="F62" s="6">
        <f t="shared" si="12"/>
        <v>1.0565933958001848E-2</v>
      </c>
      <c r="G62" s="2"/>
      <c r="H62" s="7">
        <v>5311.7692307692296</v>
      </c>
      <c r="I62" s="2"/>
      <c r="J62" s="6">
        <f t="shared" si="13"/>
        <v>1.3508974323108495E-2</v>
      </c>
      <c r="K62" s="2"/>
      <c r="L62" s="7">
        <f t="shared" si="14"/>
        <v>-1143.1992307692299</v>
      </c>
      <c r="M62" s="2"/>
      <c r="N62" s="6">
        <f t="shared" si="15"/>
        <v>-0.21522004836864425</v>
      </c>
      <c r="O62" s="11"/>
      <c r="P62" s="7">
        <v>12505.71</v>
      </c>
      <c r="Q62" s="2"/>
      <c r="R62" s="6">
        <f t="shared" si="16"/>
        <v>6.4807163719704242E-3</v>
      </c>
      <c r="S62" s="2"/>
      <c r="T62" s="7">
        <v>16407</v>
      </c>
      <c r="U62" s="2"/>
      <c r="V62" s="6">
        <f t="shared" si="17"/>
        <v>8.1768068141551912E-3</v>
      </c>
      <c r="W62" s="2"/>
      <c r="X62" s="7">
        <f t="shared" si="18"/>
        <v>-3901.2900000000009</v>
      </c>
      <c r="Y62" s="2"/>
      <c r="Z62" s="6">
        <f t="shared" si="19"/>
        <v>-0.2377820442494058</v>
      </c>
    </row>
    <row r="63" spans="1:26" s="24" customFormat="1" hidden="1" outlineLevel="2" x14ac:dyDescent="0.25">
      <c r="A63" s="25"/>
      <c r="B63" s="11" t="str">
        <f>CONCATENATE("          ", "6114", " - ", "STATE UNEMPLOYMENT INSURANCE")</f>
        <v xml:space="preserve">          6114 - STATE UNEMPLOYMENT INSURANCE</v>
      </c>
      <c r="C63" s="11"/>
      <c r="D63" s="7">
        <v>57.1</v>
      </c>
      <c r="E63" s="2"/>
      <c r="F63" s="6">
        <f t="shared" si="12"/>
        <v>1.4472944654927362E-4</v>
      </c>
      <c r="G63" s="2"/>
      <c r="H63" s="7">
        <v>78.842878880000001</v>
      </c>
      <c r="I63" s="2"/>
      <c r="J63" s="6">
        <f t="shared" si="13"/>
        <v>2.0051443880133164E-4</v>
      </c>
      <c r="K63" s="2"/>
      <c r="L63" s="7">
        <f t="shared" si="14"/>
        <v>-21.742878879999999</v>
      </c>
      <c r="M63" s="2"/>
      <c r="N63" s="6">
        <f t="shared" si="15"/>
        <v>-0.27577479651767883</v>
      </c>
      <c r="O63" s="11"/>
      <c r="P63" s="7">
        <v>170.53</v>
      </c>
      <c r="Q63" s="2"/>
      <c r="R63" s="6">
        <f t="shared" si="16"/>
        <v>8.8372156631819914E-5</v>
      </c>
      <c r="S63" s="2"/>
      <c r="T63" s="7">
        <v>262.03151936</v>
      </c>
      <c r="U63" s="2"/>
      <c r="V63" s="6">
        <f t="shared" si="17"/>
        <v>1.3058945041910682E-4</v>
      </c>
      <c r="W63" s="2"/>
      <c r="X63" s="7">
        <f t="shared" si="18"/>
        <v>-91.501519360000003</v>
      </c>
      <c r="Y63" s="2"/>
      <c r="Z63" s="6">
        <f t="shared" si="19"/>
        <v>-0.34920043048060889</v>
      </c>
    </row>
    <row r="64" spans="1:26" s="24" customFormat="1" hidden="1" outlineLevel="2" x14ac:dyDescent="0.25">
      <c r="A64" s="25"/>
      <c r="B64" s="11" t="str">
        <f>CONCATENATE("          ", "6115", " - ", "P.E.R.S.")</f>
        <v xml:space="preserve">          6115 - P.E.R.S.</v>
      </c>
      <c r="C64" s="11"/>
      <c r="D64" s="7">
        <v>1325.86</v>
      </c>
      <c r="E64" s="2"/>
      <c r="F64" s="6">
        <f t="shared" si="12"/>
        <v>3.3606126795415045E-3</v>
      </c>
      <c r="G64" s="2"/>
      <c r="H64" s="7">
        <v>1235.9586478769202</v>
      </c>
      <c r="I64" s="2"/>
      <c r="J64" s="6">
        <f t="shared" si="13"/>
        <v>3.1433093030239345E-3</v>
      </c>
      <c r="K64" s="2"/>
      <c r="L64" s="7">
        <f t="shared" si="14"/>
        <v>89.901352123079732</v>
      </c>
      <c r="M64" s="2"/>
      <c r="N64" s="6">
        <f t="shared" si="15"/>
        <v>7.273815533999349E-2</v>
      </c>
      <c r="O64" s="11"/>
      <c r="P64" s="7">
        <v>3977.58</v>
      </c>
      <c r="Q64" s="2"/>
      <c r="R64" s="6">
        <f t="shared" si="16"/>
        <v>2.0612638408232819E-3</v>
      </c>
      <c r="S64" s="2"/>
      <c r="T64" s="7">
        <v>4016.86560559999</v>
      </c>
      <c r="U64" s="2"/>
      <c r="V64" s="6">
        <f t="shared" si="17"/>
        <v>2.001897608058488E-3</v>
      </c>
      <c r="W64" s="2"/>
      <c r="X64" s="7">
        <f t="shared" si="18"/>
        <v>-39.285605599990049</v>
      </c>
      <c r="Y64" s="2"/>
      <c r="Z64" s="6">
        <f t="shared" si="19"/>
        <v>-9.7801643015442748E-3</v>
      </c>
    </row>
    <row r="65" spans="1:26" s="24" customFormat="1" hidden="1" outlineLevel="2" x14ac:dyDescent="0.25">
      <c r="A65" s="25"/>
      <c r="B65" s="11" t="str">
        <f>CONCATENATE("          ", "6116", " - ", "EDUCATIONAL BENEFITS")</f>
        <v xml:space="preserve">          6116 - EDUCATIONAL BENEFITS</v>
      </c>
      <c r="C65" s="11"/>
      <c r="D65" s="7"/>
      <c r="E65" s="2"/>
      <c r="F65" s="6">
        <f t="shared" si="12"/>
        <v>0</v>
      </c>
      <c r="G65" s="2"/>
      <c r="H65" s="7">
        <v>0</v>
      </c>
      <c r="I65" s="2"/>
      <c r="J65" s="6">
        <f t="shared" si="13"/>
        <v>0</v>
      </c>
      <c r="K65" s="2"/>
      <c r="L65" s="7">
        <f t="shared" si="14"/>
        <v>0</v>
      </c>
      <c r="M65" s="2"/>
      <c r="N65" s="6">
        <f t="shared" si="15"/>
        <v>0</v>
      </c>
      <c r="O65" s="11"/>
      <c r="P65" s="7"/>
      <c r="Q65" s="2"/>
      <c r="R65" s="6">
        <f t="shared" si="16"/>
        <v>0</v>
      </c>
      <c r="S65" s="2"/>
      <c r="T65" s="7">
        <v>0</v>
      </c>
      <c r="U65" s="2"/>
      <c r="V65" s="6">
        <f t="shared" si="17"/>
        <v>0</v>
      </c>
      <c r="W65" s="2"/>
      <c r="X65" s="7">
        <f t="shared" si="18"/>
        <v>0</v>
      </c>
      <c r="Y65" s="2"/>
      <c r="Z65" s="6">
        <f t="shared" si="19"/>
        <v>0</v>
      </c>
    </row>
    <row r="66" spans="1:26" s="24" customFormat="1" hidden="1" outlineLevel="2" x14ac:dyDescent="0.25">
      <c r="A66" s="25"/>
      <c r="B66" s="11" t="str">
        <f>CONCATENATE("          ", "6117", " - ", "RETIREMENT STAFF HOURLY")</f>
        <v xml:space="preserve">          6117 - RETIREMENT STAFF HOURLY</v>
      </c>
      <c r="C66" s="11"/>
      <c r="D66" s="7">
        <v>145.97</v>
      </c>
      <c r="E66" s="2"/>
      <c r="F66" s="6">
        <f t="shared" si="12"/>
        <v>3.6998524190538475E-4</v>
      </c>
      <c r="G66" s="2"/>
      <c r="H66" s="7"/>
      <c r="I66" s="2"/>
      <c r="J66" s="6">
        <f t="shared" si="13"/>
        <v>0</v>
      </c>
      <c r="K66" s="2"/>
      <c r="L66" s="7">
        <f t="shared" si="14"/>
        <v>145.97</v>
      </c>
      <c r="M66" s="2"/>
      <c r="N66" s="6">
        <f t="shared" si="15"/>
        <v>0</v>
      </c>
      <c r="O66" s="11"/>
      <c r="P66" s="7">
        <v>461.34</v>
      </c>
      <c r="Q66" s="2"/>
      <c r="R66" s="6">
        <f t="shared" si="16"/>
        <v>2.3907588541912739E-4</v>
      </c>
      <c r="S66" s="2"/>
      <c r="T66" s="7"/>
      <c r="U66" s="2"/>
      <c r="V66" s="6">
        <f t="shared" si="17"/>
        <v>0</v>
      </c>
      <c r="W66" s="2"/>
      <c r="X66" s="7">
        <f t="shared" si="18"/>
        <v>461.34</v>
      </c>
      <c r="Y66" s="2"/>
      <c r="Z66" s="6">
        <f t="shared" si="19"/>
        <v>0</v>
      </c>
    </row>
    <row r="67" spans="1:26" s="24" customFormat="1" hidden="1" outlineLevel="2" x14ac:dyDescent="0.25">
      <c r="A67" s="25"/>
      <c r="B67" s="11" t="str">
        <f>CONCATENATE("          ", "6118", " - ", "VACATION")</f>
        <v xml:space="preserve">          6118 - VACATION</v>
      </c>
      <c r="C67" s="11"/>
      <c r="D67" s="7">
        <v>819.89</v>
      </c>
      <c r="E67" s="2"/>
      <c r="F67" s="6">
        <f t="shared" si="12"/>
        <v>2.0781475644708223E-3</v>
      </c>
      <c r="G67" s="2"/>
      <c r="H67" s="7">
        <v>1427.9603583999999</v>
      </c>
      <c r="I67" s="2"/>
      <c r="J67" s="6">
        <f t="shared" si="13"/>
        <v>3.6316110467112406E-3</v>
      </c>
      <c r="K67" s="2"/>
      <c r="L67" s="7">
        <f t="shared" si="14"/>
        <v>-608.07035839999992</v>
      </c>
      <c r="M67" s="2"/>
      <c r="N67" s="6">
        <f t="shared" si="15"/>
        <v>-0.42583139988656982</v>
      </c>
      <c r="O67" s="11"/>
      <c r="P67" s="7">
        <v>3094.35</v>
      </c>
      <c r="Q67" s="2"/>
      <c r="R67" s="6">
        <f t="shared" si="16"/>
        <v>1.6035558721261476E-3</v>
      </c>
      <c r="S67" s="2"/>
      <c r="T67" s="7">
        <v>4640.8711647999999</v>
      </c>
      <c r="U67" s="2"/>
      <c r="V67" s="6">
        <f t="shared" si="17"/>
        <v>2.3128851687665617E-3</v>
      </c>
      <c r="W67" s="2"/>
      <c r="X67" s="7">
        <f t="shared" si="18"/>
        <v>-1546.5211648</v>
      </c>
      <c r="Y67" s="2"/>
      <c r="Z67" s="6">
        <f t="shared" si="19"/>
        <v>-0.33323940912861949</v>
      </c>
    </row>
    <row r="68" spans="1:26" s="24" customFormat="1" hidden="1" outlineLevel="2" x14ac:dyDescent="0.25">
      <c r="A68" s="25"/>
      <c r="B68" s="11" t="str">
        <f>CONCATENATE("          ", "6119", " - ", "SICK LEAVE")</f>
        <v xml:space="preserve">          6119 - SICK LEAVE</v>
      </c>
      <c r="C68" s="11"/>
      <c r="D68" s="7">
        <v>801.74</v>
      </c>
      <c r="E68" s="2"/>
      <c r="F68" s="6">
        <f t="shared" si="12"/>
        <v>2.0321433708654049E-3</v>
      </c>
      <c r="G68" s="2"/>
      <c r="H68" s="7">
        <v>1057.2792724923102</v>
      </c>
      <c r="I68" s="2"/>
      <c r="J68" s="6">
        <f t="shared" si="13"/>
        <v>2.6888891297683643E-3</v>
      </c>
      <c r="K68" s="2"/>
      <c r="L68" s="7">
        <f t="shared" si="14"/>
        <v>-255.53927249231015</v>
      </c>
      <c r="M68" s="2"/>
      <c r="N68" s="6">
        <f t="shared" si="15"/>
        <v>-0.24169515012805545</v>
      </c>
      <c r="O68" s="11"/>
      <c r="P68" s="7">
        <v>3314.02</v>
      </c>
      <c r="Q68" s="2"/>
      <c r="R68" s="6">
        <f t="shared" si="16"/>
        <v>1.7173933883831809E-3</v>
      </c>
      <c r="S68" s="2"/>
      <c r="T68" s="7">
        <v>3458.4351855999998</v>
      </c>
      <c r="U68" s="2"/>
      <c r="V68" s="6">
        <f t="shared" si="17"/>
        <v>1.7235909302083347E-3</v>
      </c>
      <c r="W68" s="2"/>
      <c r="X68" s="7">
        <f t="shared" si="18"/>
        <v>-144.41518559999986</v>
      </c>
      <c r="Y68" s="2"/>
      <c r="Z68" s="6">
        <f t="shared" si="19"/>
        <v>-4.1757378077029207E-2</v>
      </c>
    </row>
    <row r="69" spans="1:26" s="24" customFormat="1" hidden="1" outlineLevel="2" x14ac:dyDescent="0.25">
      <c r="A69" s="25"/>
      <c r="B69" s="11" t="str">
        <f>CONCATENATE("          ", "6156", " - ", "EMPLOYEE MEALS")</f>
        <v xml:space="preserve">          6156 - EMPLOYEE MEALS</v>
      </c>
      <c r="C69" s="11"/>
      <c r="D69" s="7">
        <v>609.75</v>
      </c>
      <c r="E69" s="2"/>
      <c r="F69" s="6">
        <f t="shared" si="12"/>
        <v>1.5455127851737231E-3</v>
      </c>
      <c r="G69" s="2"/>
      <c r="H69" s="7">
        <v>750</v>
      </c>
      <c r="I69" s="2"/>
      <c r="J69" s="6">
        <f t="shared" si="13"/>
        <v>1.9074116931966439E-3</v>
      </c>
      <c r="K69" s="2"/>
      <c r="L69" s="7">
        <f t="shared" si="14"/>
        <v>-140.25</v>
      </c>
      <c r="M69" s="2"/>
      <c r="N69" s="6">
        <f t="shared" si="15"/>
        <v>-0.187</v>
      </c>
      <c r="O69" s="11"/>
      <c r="P69" s="7">
        <v>1757.42</v>
      </c>
      <c r="Q69" s="2"/>
      <c r="R69" s="6">
        <f t="shared" si="16"/>
        <v>9.1073122329146162E-4</v>
      </c>
      <c r="S69" s="2"/>
      <c r="T69" s="7">
        <v>2250</v>
      </c>
      <c r="U69" s="2"/>
      <c r="V69" s="6">
        <f t="shared" si="17"/>
        <v>1.1213393875692801E-3</v>
      </c>
      <c r="W69" s="2"/>
      <c r="X69" s="7">
        <f t="shared" si="18"/>
        <v>-492.57999999999993</v>
      </c>
      <c r="Y69" s="2"/>
      <c r="Z69" s="6">
        <f t="shared" si="19"/>
        <v>-0.21892444444444442</v>
      </c>
    </row>
    <row r="70" spans="1:26" s="26" customFormat="1" outlineLevel="1" collapsed="1" x14ac:dyDescent="0.25">
      <c r="A70" s="27"/>
      <c r="B70" s="13" t="str">
        <f>CONCATENATE("     ","*Payroll                                          ")</f>
        <v xml:space="preserve">     *Payroll                                          </v>
      </c>
      <c r="C70" s="13"/>
      <c r="D70" s="1">
        <f>SUM(OSRRefD22_1x_0)</f>
        <v>19518.63</v>
      </c>
      <c r="E70" s="1"/>
      <c r="F70" s="5">
        <f t="shared" ref="F70:F80" si="20">IF(D$12=0,0,D70/D$12)</f>
        <v>4.9473213963223267E-2</v>
      </c>
      <c r="G70" s="1"/>
      <c r="H70" s="1">
        <f>SUM(OSRRefH22_1x_0)</f>
        <v>28009.6472157231</v>
      </c>
      <c r="I70" s="1"/>
      <c r="J70" s="5">
        <f t="shared" ref="J70:J80" si="21">IF(H$12=0,0,H70/H$12)</f>
        <v>7.1234571495444085E-2</v>
      </c>
      <c r="K70" s="1"/>
      <c r="L70" s="1">
        <f t="shared" ref="L70:L80" si="22">+D70-H70</f>
        <v>-8491.0172157230991</v>
      </c>
      <c r="M70" s="1"/>
      <c r="N70" s="5">
        <f t="shared" ref="N70:N80" si="23">IF(H70=0,0,L70/H70)</f>
        <v>-0.30314616783022891</v>
      </c>
      <c r="O70" s="13"/>
      <c r="P70" s="1">
        <f>SUM(OSRRefP22_1x_0)</f>
        <v>70061.78</v>
      </c>
      <c r="Q70" s="1"/>
      <c r="R70" s="5">
        <f t="shared" ref="R70:R80" si="24">IF(P$12=0,0,P70/P$12)</f>
        <v>3.6307456729397218E-2</v>
      </c>
      <c r="S70" s="1"/>
      <c r="T70" s="1">
        <f>SUM(OSRRefT22_1x_0)</f>
        <v>93259.108451099994</v>
      </c>
      <c r="U70" s="1"/>
      <c r="V70" s="5">
        <f t="shared" ref="V70:V80" si="25">IF(T$12=0,0,T70/T$12)</f>
        <v>4.6477827358139351E-2</v>
      </c>
      <c r="W70" s="1"/>
      <c r="X70" s="1">
        <f t="shared" ref="X70:X80" si="26">+P70-T70</f>
        <v>-23197.328451099995</v>
      </c>
      <c r="Y70" s="1"/>
      <c r="Z70" s="5">
        <f t="shared" ref="Z70:Z80" si="27">IF(T70=0,0,X70/T70)</f>
        <v>-0.24874061993916027</v>
      </c>
    </row>
    <row r="71" spans="1:26" s="24" customFormat="1" hidden="1" outlineLevel="2" x14ac:dyDescent="0.25">
      <c r="A71" s="25"/>
      <c r="B71" s="11" t="str">
        <f>CONCATENATE("          ", "6001", " - ", "ADMINISTRATIVE SALARIES")</f>
        <v xml:space="preserve">          6001 - ADMINISTRATIVE SALARIES</v>
      </c>
      <c r="C71" s="11"/>
      <c r="D71" s="7"/>
      <c r="E71" s="2"/>
      <c r="F71" s="6">
        <f t="shared" si="20"/>
        <v>0</v>
      </c>
      <c r="G71" s="2"/>
      <c r="H71" s="7">
        <v>0</v>
      </c>
      <c r="I71" s="2"/>
      <c r="J71" s="6">
        <f t="shared" si="21"/>
        <v>0</v>
      </c>
      <c r="K71" s="2"/>
      <c r="L71" s="7">
        <f t="shared" si="22"/>
        <v>0</v>
      </c>
      <c r="M71" s="2"/>
      <c r="N71" s="6">
        <f t="shared" si="23"/>
        <v>0</v>
      </c>
      <c r="O71" s="11"/>
      <c r="P71" s="7"/>
      <c r="Q71" s="2"/>
      <c r="R71" s="6">
        <f t="shared" si="24"/>
        <v>0</v>
      </c>
      <c r="S71" s="2"/>
      <c r="T71" s="7">
        <v>0</v>
      </c>
      <c r="U71" s="2"/>
      <c r="V71" s="6">
        <f t="shared" si="25"/>
        <v>0</v>
      </c>
      <c r="W71" s="2"/>
      <c r="X71" s="7">
        <f t="shared" si="26"/>
        <v>0</v>
      </c>
      <c r="Y71" s="2"/>
      <c r="Z71" s="6">
        <f t="shared" si="27"/>
        <v>0</v>
      </c>
    </row>
    <row r="72" spans="1:26" s="24" customFormat="1" hidden="1" outlineLevel="2" x14ac:dyDescent="0.25">
      <c r="A72" s="25"/>
      <c r="B72" s="11" t="str">
        <f>CONCATENATE("          ", "6002", " - ", "STAFF SALARIES")</f>
        <v xml:space="preserve">          6002 - STAFF SALARIES</v>
      </c>
      <c r="C72" s="11"/>
      <c r="D72" s="7">
        <v>12677.01</v>
      </c>
      <c r="E72" s="2"/>
      <c r="F72" s="6">
        <f t="shared" si="20"/>
        <v>3.2131990213653365E-2</v>
      </c>
      <c r="G72" s="2"/>
      <c r="H72" s="7">
        <v>12765.0123437231</v>
      </c>
      <c r="I72" s="2"/>
      <c r="J72" s="6">
        <f t="shared" si="21"/>
        <v>3.2464178410955918E-2</v>
      </c>
      <c r="K72" s="2"/>
      <c r="L72" s="7">
        <f t="shared" si="22"/>
        <v>-88.00234372309933</v>
      </c>
      <c r="M72" s="2"/>
      <c r="N72" s="6">
        <f t="shared" si="23"/>
        <v>-6.8940273110172472E-3</v>
      </c>
      <c r="O72" s="11"/>
      <c r="P72" s="7">
        <v>44579.24</v>
      </c>
      <c r="Q72" s="2"/>
      <c r="R72" s="6">
        <f t="shared" si="24"/>
        <v>2.3101879902700354E-2</v>
      </c>
      <c r="S72" s="2"/>
      <c r="T72" s="7">
        <v>41486.290117099998</v>
      </c>
      <c r="U72" s="2"/>
      <c r="V72" s="6">
        <f t="shared" si="25"/>
        <v>2.0675649401080173E-2</v>
      </c>
      <c r="W72" s="2"/>
      <c r="X72" s="7">
        <f t="shared" si="26"/>
        <v>3092.9498829000004</v>
      </c>
      <c r="Y72" s="2"/>
      <c r="Z72" s="6">
        <f t="shared" si="27"/>
        <v>7.4553542246601961E-2</v>
      </c>
    </row>
    <row r="73" spans="1:26" s="24" customFormat="1" hidden="1" outlineLevel="2" x14ac:dyDescent="0.25">
      <c r="A73" s="25"/>
      <c r="B73" s="11" t="str">
        <f>CONCATENATE("          ", "6003", " - ", "STAFF HOURLY-9 MONTH")</f>
        <v xml:space="preserve">          6003 - STAFF HOURLY-9 MONTH</v>
      </c>
      <c r="C73" s="11"/>
      <c r="D73" s="7"/>
      <c r="E73" s="2"/>
      <c r="F73" s="6">
        <f t="shared" si="20"/>
        <v>0</v>
      </c>
      <c r="G73" s="2"/>
      <c r="H73" s="7">
        <v>0</v>
      </c>
      <c r="I73" s="2"/>
      <c r="J73" s="6">
        <f t="shared" si="21"/>
        <v>0</v>
      </c>
      <c r="K73" s="2"/>
      <c r="L73" s="7">
        <f t="shared" si="22"/>
        <v>0</v>
      </c>
      <c r="M73" s="2"/>
      <c r="N73" s="6">
        <f t="shared" si="23"/>
        <v>0</v>
      </c>
      <c r="O73" s="11"/>
      <c r="P73" s="7"/>
      <c r="Q73" s="2"/>
      <c r="R73" s="6">
        <f t="shared" si="24"/>
        <v>0</v>
      </c>
      <c r="S73" s="2"/>
      <c r="T73" s="7">
        <v>0</v>
      </c>
      <c r="U73" s="2"/>
      <c r="V73" s="6">
        <f t="shared" si="25"/>
        <v>0</v>
      </c>
      <c r="W73" s="2"/>
      <c r="X73" s="7">
        <f t="shared" si="26"/>
        <v>0</v>
      </c>
      <c r="Y73" s="2"/>
      <c r="Z73" s="6">
        <f t="shared" si="27"/>
        <v>0</v>
      </c>
    </row>
    <row r="74" spans="1:26" s="24" customFormat="1" hidden="1" outlineLevel="2" x14ac:dyDescent="0.25">
      <c r="A74" s="25"/>
      <c r="B74" s="11" t="str">
        <f>CONCATENATE("          ", "6004", " - ", "STAFF HOURLY")</f>
        <v xml:space="preserve">          6004 - STAFF HOURLY</v>
      </c>
      <c r="C74" s="11"/>
      <c r="D74" s="7">
        <v>2912.97</v>
      </c>
      <c r="E74" s="2"/>
      <c r="F74" s="6">
        <f t="shared" si="20"/>
        <v>7.3834069337064372E-3</v>
      </c>
      <c r="G74" s="2"/>
      <c r="H74" s="7">
        <v>5865.9348719999998</v>
      </c>
      <c r="I74" s="2"/>
      <c r="J74" s="6">
        <f t="shared" si="21"/>
        <v>1.4918337021843678E-2</v>
      </c>
      <c r="K74" s="2"/>
      <c r="L74" s="7">
        <f t="shared" si="22"/>
        <v>-2952.964872</v>
      </c>
      <c r="M74" s="2"/>
      <c r="N74" s="6">
        <f t="shared" si="23"/>
        <v>-0.50340907910441601</v>
      </c>
      <c r="O74" s="11"/>
      <c r="P74" s="7">
        <v>7749.22</v>
      </c>
      <c r="Q74" s="2"/>
      <c r="R74" s="6">
        <f t="shared" si="24"/>
        <v>4.0158053340434612E-3</v>
      </c>
      <c r="S74" s="2"/>
      <c r="T74" s="7">
        <v>19064.288334000001</v>
      </c>
      <c r="U74" s="2"/>
      <c r="V74" s="6">
        <f t="shared" si="25"/>
        <v>9.501127735507436E-3</v>
      </c>
      <c r="W74" s="2"/>
      <c r="X74" s="7">
        <f t="shared" si="26"/>
        <v>-11315.068334</v>
      </c>
      <c r="Y74" s="2"/>
      <c r="Z74" s="6">
        <f t="shared" si="27"/>
        <v>-0.59352167443986159</v>
      </c>
    </row>
    <row r="75" spans="1:26" s="24" customFormat="1" hidden="1" outlineLevel="2" x14ac:dyDescent="0.25">
      <c r="A75" s="25"/>
      <c r="B75" s="11" t="str">
        <f>CONCATENATE("          ", "6005", " - ", "TEMPORARY WAGES-HOURLY")</f>
        <v xml:space="preserve">          6005 - TEMPORARY WAGES-HOURLY</v>
      </c>
      <c r="C75" s="11"/>
      <c r="D75" s="7">
        <v>1592.13</v>
      </c>
      <c r="E75" s="2"/>
      <c r="F75" s="6">
        <f t="shared" si="20"/>
        <v>4.0355182790629603E-3</v>
      </c>
      <c r="G75" s="2"/>
      <c r="H75" s="7">
        <v>3071.2</v>
      </c>
      <c r="I75" s="2"/>
      <c r="J75" s="6">
        <f t="shared" si="21"/>
        <v>7.81072372286071E-3</v>
      </c>
      <c r="K75" s="2"/>
      <c r="L75" s="7">
        <f t="shared" si="22"/>
        <v>-1479.0699999999997</v>
      </c>
      <c r="M75" s="2"/>
      <c r="N75" s="6">
        <f t="shared" si="23"/>
        <v>-0.48159351393592076</v>
      </c>
      <c r="O75" s="11"/>
      <c r="P75" s="7">
        <v>4261.4799999999996</v>
      </c>
      <c r="Q75" s="2"/>
      <c r="R75" s="6">
        <f t="shared" si="24"/>
        <v>2.2083866653572269E-3</v>
      </c>
      <c r="S75" s="2"/>
      <c r="T75" s="7">
        <v>10023.280000000001</v>
      </c>
      <c r="U75" s="2"/>
      <c r="V75" s="6">
        <f t="shared" si="25"/>
        <v>4.9953327362824065E-3</v>
      </c>
      <c r="W75" s="2"/>
      <c r="X75" s="7">
        <f t="shared" si="26"/>
        <v>-5761.8000000000011</v>
      </c>
      <c r="Y75" s="2"/>
      <c r="Z75" s="6">
        <f t="shared" si="27"/>
        <v>-0.5748417683632504</v>
      </c>
    </row>
    <row r="76" spans="1:26" s="24" customFormat="1" hidden="1" outlineLevel="2" x14ac:dyDescent="0.25">
      <c r="A76" s="25"/>
      <c r="B76" s="11" t="str">
        <f>CONCATENATE("          ", "6006", " - ", "TEMPORARY PART TIME")</f>
        <v xml:space="preserve">          6006 - TEMPORARY PART TIME</v>
      </c>
      <c r="C76" s="11"/>
      <c r="D76" s="7"/>
      <c r="E76" s="2"/>
      <c r="F76" s="6">
        <f t="shared" si="20"/>
        <v>0</v>
      </c>
      <c r="G76" s="2"/>
      <c r="H76" s="7">
        <v>0</v>
      </c>
      <c r="I76" s="2"/>
      <c r="J76" s="6">
        <f t="shared" si="21"/>
        <v>0</v>
      </c>
      <c r="K76" s="2"/>
      <c r="L76" s="7">
        <f t="shared" si="22"/>
        <v>0</v>
      </c>
      <c r="M76" s="2"/>
      <c r="N76" s="6">
        <f t="shared" si="23"/>
        <v>0</v>
      </c>
      <c r="O76" s="11"/>
      <c r="P76" s="7"/>
      <c r="Q76" s="2"/>
      <c r="R76" s="6">
        <f t="shared" si="24"/>
        <v>0</v>
      </c>
      <c r="S76" s="2"/>
      <c r="T76" s="7">
        <v>0</v>
      </c>
      <c r="U76" s="2"/>
      <c r="V76" s="6">
        <f t="shared" si="25"/>
        <v>0</v>
      </c>
      <c r="W76" s="2"/>
      <c r="X76" s="7">
        <f t="shared" si="26"/>
        <v>0</v>
      </c>
      <c r="Y76" s="2"/>
      <c r="Z76" s="6">
        <f t="shared" si="27"/>
        <v>0</v>
      </c>
    </row>
    <row r="77" spans="1:26" s="24" customFormat="1" hidden="1" outlineLevel="2" x14ac:dyDescent="0.25">
      <c r="A77" s="25"/>
      <c r="B77" s="11" t="str">
        <f>CONCATENATE("          ", "6007", " - ", "STUDENT HOURLY")</f>
        <v xml:space="preserve">          6007 - STUDENT HOURLY</v>
      </c>
      <c r="C77" s="11"/>
      <c r="D77" s="7">
        <v>2336.52</v>
      </c>
      <c r="E77" s="2"/>
      <c r="F77" s="6">
        <f t="shared" si="20"/>
        <v>5.9222985368005045E-3</v>
      </c>
      <c r="G77" s="2"/>
      <c r="H77" s="7">
        <v>0</v>
      </c>
      <c r="I77" s="2"/>
      <c r="J77" s="6">
        <f t="shared" si="21"/>
        <v>0</v>
      </c>
      <c r="K77" s="2"/>
      <c r="L77" s="7">
        <f t="shared" si="22"/>
        <v>2336.52</v>
      </c>
      <c r="M77" s="2"/>
      <c r="N77" s="6">
        <f t="shared" si="23"/>
        <v>0</v>
      </c>
      <c r="O77" s="11"/>
      <c r="P77" s="7">
        <v>13471.84</v>
      </c>
      <c r="Q77" s="2"/>
      <c r="R77" s="6">
        <f t="shared" si="24"/>
        <v>6.9813848272961753E-3</v>
      </c>
      <c r="S77" s="2"/>
      <c r="T77" s="7">
        <v>8032.5</v>
      </c>
      <c r="U77" s="2"/>
      <c r="V77" s="6">
        <f t="shared" si="25"/>
        <v>4.0031816136223298E-3</v>
      </c>
      <c r="W77" s="2"/>
      <c r="X77" s="7">
        <f t="shared" si="26"/>
        <v>5439.34</v>
      </c>
      <c r="Y77" s="2"/>
      <c r="Z77" s="6">
        <f t="shared" si="27"/>
        <v>0.67716651104886405</v>
      </c>
    </row>
    <row r="78" spans="1:26" s="24" customFormat="1" hidden="1" outlineLevel="2" x14ac:dyDescent="0.25">
      <c r="A78" s="25"/>
      <c r="B78" s="11" t="str">
        <f>CONCATENATE("          ", "6008", " - ", "STUDENT HOURLY-FICA EXEMPT")</f>
        <v xml:space="preserve">          6008 - STUDENT HOURLY-FICA EXEMPT</v>
      </c>
      <c r="C78" s="11"/>
      <c r="D78" s="7"/>
      <c r="E78" s="2"/>
      <c r="F78" s="6">
        <f t="shared" si="20"/>
        <v>0</v>
      </c>
      <c r="G78" s="2"/>
      <c r="H78" s="7">
        <v>6307.5</v>
      </c>
      <c r="I78" s="2"/>
      <c r="J78" s="6">
        <f t="shared" si="21"/>
        <v>1.6041332339783776E-2</v>
      </c>
      <c r="K78" s="2"/>
      <c r="L78" s="7">
        <f t="shared" si="22"/>
        <v>-6307.5</v>
      </c>
      <c r="M78" s="2"/>
      <c r="N78" s="6">
        <f t="shared" si="23"/>
        <v>-1</v>
      </c>
      <c r="O78" s="11"/>
      <c r="P78" s="7"/>
      <c r="Q78" s="2"/>
      <c r="R78" s="6">
        <f t="shared" si="24"/>
        <v>0</v>
      </c>
      <c r="S78" s="2"/>
      <c r="T78" s="7">
        <v>14652.75</v>
      </c>
      <c r="U78" s="2"/>
      <c r="V78" s="6">
        <f t="shared" si="25"/>
        <v>7.3025358716470087E-3</v>
      </c>
      <c r="W78" s="2"/>
      <c r="X78" s="7">
        <f t="shared" si="26"/>
        <v>-14652.75</v>
      </c>
      <c r="Y78" s="2"/>
      <c r="Z78" s="6">
        <f t="shared" si="27"/>
        <v>-1</v>
      </c>
    </row>
    <row r="79" spans="1:26" s="24" customFormat="1" hidden="1" outlineLevel="2" x14ac:dyDescent="0.25">
      <c r="A79" s="25"/>
      <c r="B79" s="11" t="str">
        <f>CONCATENATE("          ", "6009", " - ", "TEMPORARY-SEASONAL")</f>
        <v xml:space="preserve">          6009 - TEMPORARY-SEASONAL</v>
      </c>
      <c r="C79" s="11"/>
      <c r="D79" s="7"/>
      <c r="E79" s="2"/>
      <c r="F79" s="6">
        <f t="shared" si="20"/>
        <v>0</v>
      </c>
      <c r="G79" s="2"/>
      <c r="H79" s="7">
        <v>0</v>
      </c>
      <c r="I79" s="2"/>
      <c r="J79" s="6">
        <f t="shared" si="21"/>
        <v>0</v>
      </c>
      <c r="K79" s="2"/>
      <c r="L79" s="7">
        <f t="shared" si="22"/>
        <v>0</v>
      </c>
      <c r="M79" s="2"/>
      <c r="N79" s="6">
        <f t="shared" si="23"/>
        <v>0</v>
      </c>
      <c r="O79" s="11"/>
      <c r="P79" s="7"/>
      <c r="Q79" s="2"/>
      <c r="R79" s="6">
        <f t="shared" si="24"/>
        <v>0</v>
      </c>
      <c r="S79" s="2"/>
      <c r="T79" s="7">
        <v>0</v>
      </c>
      <c r="U79" s="2"/>
      <c r="V79" s="6">
        <f t="shared" si="25"/>
        <v>0</v>
      </c>
      <c r="W79" s="2"/>
      <c r="X79" s="7">
        <f t="shared" si="26"/>
        <v>0</v>
      </c>
      <c r="Y79" s="2"/>
      <c r="Z79" s="6">
        <f t="shared" si="27"/>
        <v>0</v>
      </c>
    </row>
    <row r="80" spans="1:26" s="24" customFormat="1" hidden="1" outlineLevel="2" x14ac:dyDescent="0.25">
      <c r="A80" s="25"/>
      <c r="B80" s="11" t="str">
        <f>CONCATENATE("          ", "6010", " - ", "GRATUITY")</f>
        <v xml:space="preserve">          6010 - GRATUITY</v>
      </c>
      <c r="C80" s="11"/>
      <c r="D80" s="7"/>
      <c r="E80" s="2"/>
      <c r="F80" s="6">
        <f t="shared" si="20"/>
        <v>0</v>
      </c>
      <c r="G80" s="2"/>
      <c r="H80" s="7">
        <v>0</v>
      </c>
      <c r="I80" s="2"/>
      <c r="J80" s="6">
        <f t="shared" si="21"/>
        <v>0</v>
      </c>
      <c r="K80" s="2"/>
      <c r="L80" s="7">
        <f t="shared" si="22"/>
        <v>0</v>
      </c>
      <c r="M80" s="2"/>
      <c r="N80" s="6">
        <f t="shared" si="23"/>
        <v>0</v>
      </c>
      <c r="O80" s="11"/>
      <c r="P80" s="7"/>
      <c r="Q80" s="2"/>
      <c r="R80" s="6">
        <f t="shared" si="24"/>
        <v>0</v>
      </c>
      <c r="S80" s="2"/>
      <c r="T80" s="7">
        <v>0</v>
      </c>
      <c r="U80" s="2"/>
      <c r="V80" s="6">
        <f t="shared" si="25"/>
        <v>0</v>
      </c>
      <c r="W80" s="2"/>
      <c r="X80" s="7">
        <f t="shared" si="26"/>
        <v>0</v>
      </c>
      <c r="Y80" s="2"/>
      <c r="Z80" s="6">
        <f t="shared" si="27"/>
        <v>0</v>
      </c>
    </row>
    <row r="81" spans="1:26" s="26" customFormat="1" outlineLevel="1" collapsed="1" x14ac:dyDescent="0.25">
      <c r="A81" s="27"/>
      <c r="B81" s="13" t="str">
        <f>CONCATENATE("     ","Advertising/Promo                                 ")</f>
        <v xml:space="preserve">     Advertising/Promo                                 </v>
      </c>
      <c r="C81" s="13"/>
      <c r="D81" s="1">
        <f>SUM(OSRRefD22_2x_0)</f>
        <v>58.83</v>
      </c>
      <c r="E81" s="1"/>
      <c r="F81" s="5">
        <f t="shared" ref="F81:F85" si="28">IF(D$12=0,0,D81/D$12)</f>
        <v>1.4911441927309573E-4</v>
      </c>
      <c r="G81" s="1"/>
      <c r="H81" s="1">
        <f>SUM(OSRRefH22_2x_0)</f>
        <v>200</v>
      </c>
      <c r="I81" s="1"/>
      <c r="J81" s="5">
        <f t="shared" ref="J81:J85" si="29">IF(H$12=0,0,H81/H$12)</f>
        <v>5.0864311818577175E-4</v>
      </c>
      <c r="K81" s="1"/>
      <c r="L81" s="1">
        <f t="shared" ref="L81:L85" si="30">+D81-H81</f>
        <v>-141.17000000000002</v>
      </c>
      <c r="M81" s="1"/>
      <c r="N81" s="5">
        <f t="shared" ref="N81:N85" si="31">IF(H81=0,0,L81/H81)</f>
        <v>-0.70585000000000009</v>
      </c>
      <c r="O81" s="13"/>
      <c r="P81" s="1">
        <f>SUM(OSRRefP22_2x_0)</f>
        <v>3055.02</v>
      </c>
      <c r="Q81" s="1"/>
      <c r="R81" s="5">
        <f t="shared" ref="R81:R85" si="32">IF(P$12=0,0,P81/P$12)</f>
        <v>1.5831742564554182E-3</v>
      </c>
      <c r="S81" s="1"/>
      <c r="T81" s="1">
        <f>SUM(OSRRefT22_2x_0)</f>
        <v>2000</v>
      </c>
      <c r="U81" s="1"/>
      <c r="V81" s="5">
        <f t="shared" ref="V81:V85" si="33">IF(T$12=0,0,T81/T$12)</f>
        <v>9.9674612228380457E-4</v>
      </c>
      <c r="W81" s="1"/>
      <c r="X81" s="1">
        <f t="shared" ref="X81:X85" si="34">+P81-T81</f>
        <v>1055.02</v>
      </c>
      <c r="Y81" s="1"/>
      <c r="Z81" s="5">
        <f t="shared" ref="Z81:Z85" si="35">IF(T81=0,0,X81/T81)</f>
        <v>0.52751000000000003</v>
      </c>
    </row>
    <row r="82" spans="1:26" s="24" customFormat="1" hidden="1" outlineLevel="2" x14ac:dyDescent="0.25">
      <c r="A82" s="25"/>
      <c r="B82" s="11" t="str">
        <f>CONCATENATE("          ", "6362", " - ", "ADVERTISING EXPENSE")</f>
        <v xml:space="preserve">          6362 - ADVERTISING EXPENSE</v>
      </c>
      <c r="C82" s="11"/>
      <c r="D82" s="7">
        <v>58.83</v>
      </c>
      <c r="E82" s="2"/>
      <c r="F82" s="6">
        <f t="shared" si="28"/>
        <v>1.4911441927309573E-4</v>
      </c>
      <c r="G82" s="2"/>
      <c r="H82" s="7">
        <v>200</v>
      </c>
      <c r="I82" s="2"/>
      <c r="J82" s="6">
        <f t="shared" si="29"/>
        <v>5.0864311818577175E-4</v>
      </c>
      <c r="K82" s="2"/>
      <c r="L82" s="7">
        <f t="shared" si="30"/>
        <v>-141.17000000000002</v>
      </c>
      <c r="M82" s="2"/>
      <c r="N82" s="6">
        <f t="shared" si="31"/>
        <v>-0.70585000000000009</v>
      </c>
      <c r="O82" s="11"/>
      <c r="P82" s="7">
        <v>3055.02</v>
      </c>
      <c r="Q82" s="2"/>
      <c r="R82" s="6">
        <f t="shared" si="32"/>
        <v>1.5831742564554182E-3</v>
      </c>
      <c r="S82" s="2"/>
      <c r="T82" s="7">
        <v>2000</v>
      </c>
      <c r="U82" s="2"/>
      <c r="V82" s="6">
        <f t="shared" si="33"/>
        <v>9.9674612228380457E-4</v>
      </c>
      <c r="W82" s="2"/>
      <c r="X82" s="7">
        <f t="shared" si="34"/>
        <v>1055.02</v>
      </c>
      <c r="Y82" s="2"/>
      <c r="Z82" s="6">
        <f t="shared" si="35"/>
        <v>0.52751000000000003</v>
      </c>
    </row>
    <row r="83" spans="1:26" s="26" customFormat="1" outlineLevel="1" collapsed="1" x14ac:dyDescent="0.25">
      <c r="A83" s="27"/>
      <c r="B83" s="13" t="str">
        <f>CONCATENATE("     ","Discounts and Markdowns                           ")</f>
        <v xml:space="preserve">     Discounts and Markdowns                           </v>
      </c>
      <c r="C83" s="13"/>
      <c r="D83" s="1">
        <f>SUM(OSRRefD22_3x_0)</f>
        <v>-9830.91</v>
      </c>
      <c r="E83" s="1"/>
      <c r="F83" s="5">
        <f t="shared" si="28"/>
        <v>-2.491807641638738E-2</v>
      </c>
      <c r="G83" s="1"/>
      <c r="H83" s="1">
        <f>SUM(OSRRefH22_3x_0)</f>
        <v>2025</v>
      </c>
      <c r="I83" s="1"/>
      <c r="J83" s="5">
        <f t="shared" si="29"/>
        <v>5.1500115716309391E-3</v>
      </c>
      <c r="K83" s="1"/>
      <c r="L83" s="1">
        <f t="shared" si="30"/>
        <v>-11855.91</v>
      </c>
      <c r="M83" s="1"/>
      <c r="N83" s="5">
        <f t="shared" si="31"/>
        <v>-5.8547703703703702</v>
      </c>
      <c r="O83" s="13"/>
      <c r="P83" s="1">
        <f>SUM(OSRRefP22_3x_0)</f>
        <v>-3197.4300000000003</v>
      </c>
      <c r="Q83" s="1"/>
      <c r="R83" s="5">
        <f t="shared" si="32"/>
        <v>-1.6569740501922239E-3</v>
      </c>
      <c r="S83" s="1"/>
      <c r="T83" s="1">
        <f>SUM(OSRRefT22_3x_0)</f>
        <v>9875</v>
      </c>
      <c r="U83" s="1"/>
      <c r="V83" s="5">
        <f t="shared" si="33"/>
        <v>4.9214339787762851E-3</v>
      </c>
      <c r="W83" s="1"/>
      <c r="X83" s="1">
        <f t="shared" si="34"/>
        <v>-13072.43</v>
      </c>
      <c r="Y83" s="1"/>
      <c r="Z83" s="5">
        <f t="shared" si="35"/>
        <v>-1.3237903797468356</v>
      </c>
    </row>
    <row r="84" spans="1:26" s="24" customFormat="1" hidden="1" outlineLevel="2" x14ac:dyDescent="0.25">
      <c r="A84" s="25"/>
      <c r="B84" s="11" t="str">
        <f>CONCATENATE("          ", "6382", " - ", "DISCOUNTS/MARK DOWNS")</f>
        <v xml:space="preserve">          6382 - DISCOUNTS/MARK DOWNS</v>
      </c>
      <c r="C84" s="11"/>
      <c r="D84" s="7">
        <v>-9813.15</v>
      </c>
      <c r="E84" s="2"/>
      <c r="F84" s="6">
        <f t="shared" si="28"/>
        <v>-2.4873060742644559E-2</v>
      </c>
      <c r="G84" s="2"/>
      <c r="H84" s="7">
        <v>2025</v>
      </c>
      <c r="I84" s="2"/>
      <c r="J84" s="6">
        <f t="shared" si="29"/>
        <v>5.1500115716309391E-3</v>
      </c>
      <c r="K84" s="2"/>
      <c r="L84" s="7">
        <f t="shared" si="30"/>
        <v>-11838.15</v>
      </c>
      <c r="M84" s="2"/>
      <c r="N84" s="6">
        <f t="shared" si="31"/>
        <v>-5.8460000000000001</v>
      </c>
      <c r="O84" s="11"/>
      <c r="P84" s="7">
        <v>-2756.94</v>
      </c>
      <c r="Q84" s="2"/>
      <c r="R84" s="6">
        <f t="shared" si="32"/>
        <v>-1.4287030640035747E-3</v>
      </c>
      <c r="S84" s="2"/>
      <c r="T84" s="7">
        <v>9875</v>
      </c>
      <c r="U84" s="2"/>
      <c r="V84" s="6">
        <f t="shared" si="33"/>
        <v>4.9214339787762851E-3</v>
      </c>
      <c r="W84" s="2"/>
      <c r="X84" s="7">
        <f t="shared" si="34"/>
        <v>-12631.94</v>
      </c>
      <c r="Y84" s="2"/>
      <c r="Z84" s="6">
        <f t="shared" si="35"/>
        <v>-1.2791837974683544</v>
      </c>
    </row>
    <row r="85" spans="1:26" s="24" customFormat="1" hidden="1" outlineLevel="2" x14ac:dyDescent="0.25">
      <c r="A85" s="25"/>
      <c r="B85" s="11" t="str">
        <f>CONCATENATE("          ", "9175", " - ", "EARNED DISCOUNTS")</f>
        <v xml:space="preserve">          9175 - EARNED DISCOUNTS</v>
      </c>
      <c r="C85" s="11"/>
      <c r="D85" s="7">
        <v>-17.760000000000002</v>
      </c>
      <c r="E85" s="2"/>
      <c r="F85" s="6">
        <f t="shared" si="28"/>
        <v>-4.5015673742821362E-5</v>
      </c>
      <c r="G85" s="2"/>
      <c r="H85" s="7"/>
      <c r="I85" s="2"/>
      <c r="J85" s="6">
        <f t="shared" si="29"/>
        <v>0</v>
      </c>
      <c r="K85" s="2"/>
      <c r="L85" s="7">
        <f t="shared" si="30"/>
        <v>-17.760000000000002</v>
      </c>
      <c r="M85" s="2"/>
      <c r="N85" s="6">
        <f t="shared" si="31"/>
        <v>0</v>
      </c>
      <c r="O85" s="11"/>
      <c r="P85" s="7">
        <v>-440.49</v>
      </c>
      <c r="Q85" s="2"/>
      <c r="R85" s="6">
        <f t="shared" si="32"/>
        <v>-2.2827098618864923E-4</v>
      </c>
      <c r="S85" s="2"/>
      <c r="T85" s="7"/>
      <c r="U85" s="2"/>
      <c r="V85" s="6">
        <f t="shared" si="33"/>
        <v>0</v>
      </c>
      <c r="W85" s="2"/>
      <c r="X85" s="7">
        <f t="shared" si="34"/>
        <v>-440.49</v>
      </c>
      <c r="Y85" s="2"/>
      <c r="Z85" s="6">
        <f t="shared" si="35"/>
        <v>0</v>
      </c>
    </row>
    <row r="86" spans="1:26" s="26" customFormat="1" outlineLevel="1" collapsed="1" x14ac:dyDescent="0.25">
      <c r="A86" s="27"/>
      <c r="B86" s="13" t="str">
        <f>CONCATENATE("     ","Employees' Appreciation                           ")</f>
        <v xml:space="preserve">     Employees' Appreciation                           </v>
      </c>
      <c r="C86" s="13"/>
      <c r="D86" s="1">
        <f>SUM(OSRRefD22_4x_0)</f>
        <v>0</v>
      </c>
      <c r="E86" s="1"/>
      <c r="F86" s="5">
        <f t="shared" ref="F86:F92" si="36">IF(D$12=0,0,D86/D$12)</f>
        <v>0</v>
      </c>
      <c r="G86" s="1"/>
      <c r="H86" s="1">
        <f>SUM(OSRRefH22_4x_0)</f>
        <v>100</v>
      </c>
      <c r="I86" s="1"/>
      <c r="J86" s="5">
        <f t="shared" ref="J86:J92" si="37">IF(H$12=0,0,H86/H$12)</f>
        <v>2.5432155909288587E-4</v>
      </c>
      <c r="K86" s="1"/>
      <c r="L86" s="1">
        <f t="shared" ref="L86:L92" si="38">+D86-H86</f>
        <v>-100</v>
      </c>
      <c r="M86" s="1"/>
      <c r="N86" s="5">
        <f t="shared" ref="N86:N92" si="39">IF(H86=0,0,L86/H86)</f>
        <v>-1</v>
      </c>
      <c r="O86" s="13"/>
      <c r="P86" s="1">
        <f>SUM(OSRRefP22_4x_0)</f>
        <v>0</v>
      </c>
      <c r="Q86" s="1"/>
      <c r="R86" s="5">
        <f t="shared" ref="R86:R92" si="40">IF(P$12=0,0,P86/P$12)</f>
        <v>0</v>
      </c>
      <c r="S86" s="1"/>
      <c r="T86" s="1">
        <f>SUM(OSRRefT22_4x_0)</f>
        <v>300</v>
      </c>
      <c r="U86" s="1"/>
      <c r="V86" s="5">
        <f t="shared" ref="V86:V92" si="41">IF(T$12=0,0,T86/T$12)</f>
        <v>1.4951191834257067E-4</v>
      </c>
      <c r="W86" s="1"/>
      <c r="X86" s="1">
        <f t="shared" ref="X86:X92" si="42">+P86-T86</f>
        <v>-300</v>
      </c>
      <c r="Y86" s="1"/>
      <c r="Z86" s="5">
        <f t="shared" ref="Z86:Z92" si="43">IF(T86=0,0,X86/T86)</f>
        <v>-1</v>
      </c>
    </row>
    <row r="87" spans="1:26" s="24" customFormat="1" hidden="1" outlineLevel="2" x14ac:dyDescent="0.25">
      <c r="A87" s="25"/>
      <c r="B87" s="11" t="str">
        <f>CONCATENATE("          ", "6277", " - ", "EMPLOYEE APPRECIATION")</f>
        <v xml:space="preserve">          6277 - EMPLOYEE APPRECIATION</v>
      </c>
      <c r="C87" s="11"/>
      <c r="D87" s="7"/>
      <c r="E87" s="2"/>
      <c r="F87" s="6">
        <f t="shared" si="36"/>
        <v>0</v>
      </c>
      <c r="G87" s="2"/>
      <c r="H87" s="7">
        <v>100</v>
      </c>
      <c r="I87" s="2"/>
      <c r="J87" s="6">
        <f t="shared" si="37"/>
        <v>2.5432155909288587E-4</v>
      </c>
      <c r="K87" s="2"/>
      <c r="L87" s="7">
        <f t="shared" si="38"/>
        <v>-100</v>
      </c>
      <c r="M87" s="2"/>
      <c r="N87" s="6">
        <f t="shared" si="39"/>
        <v>-1</v>
      </c>
      <c r="O87" s="11"/>
      <c r="P87" s="7"/>
      <c r="Q87" s="2"/>
      <c r="R87" s="6">
        <f t="shared" si="40"/>
        <v>0</v>
      </c>
      <c r="S87" s="2"/>
      <c r="T87" s="7">
        <v>300</v>
      </c>
      <c r="U87" s="2"/>
      <c r="V87" s="6">
        <f t="shared" si="41"/>
        <v>1.4951191834257067E-4</v>
      </c>
      <c r="W87" s="2"/>
      <c r="X87" s="7">
        <f t="shared" si="42"/>
        <v>-300</v>
      </c>
      <c r="Y87" s="2"/>
      <c r="Z87" s="6">
        <f t="shared" si="43"/>
        <v>-1</v>
      </c>
    </row>
    <row r="88" spans="1:26" s="26" customFormat="1" outlineLevel="1" collapsed="1" x14ac:dyDescent="0.25">
      <c r="A88" s="27"/>
      <c r="B88" s="13" t="str">
        <f>CONCATENATE("     ","Equipment Rental                                  ")</f>
        <v xml:space="preserve">     Equipment Rental                                  </v>
      </c>
      <c r="C88" s="13"/>
      <c r="D88" s="1">
        <f>SUM(OSRRefD22_5x_0)</f>
        <v>91.26</v>
      </c>
      <c r="E88" s="1"/>
      <c r="F88" s="5">
        <f t="shared" si="36"/>
        <v>2.31313647847403E-4</v>
      </c>
      <c r="G88" s="1"/>
      <c r="H88" s="1">
        <f>SUM(OSRRefH22_5x_0)</f>
        <v>100</v>
      </c>
      <c r="I88" s="1"/>
      <c r="J88" s="5">
        <f t="shared" si="37"/>
        <v>2.5432155909288587E-4</v>
      </c>
      <c r="K88" s="1"/>
      <c r="L88" s="1">
        <f t="shared" si="38"/>
        <v>-8.7399999999999949</v>
      </c>
      <c r="M88" s="1"/>
      <c r="N88" s="5">
        <f t="shared" si="39"/>
        <v>-8.739999999999995E-2</v>
      </c>
      <c r="O88" s="13"/>
      <c r="P88" s="1">
        <f>SUM(OSRRefP22_5x_0)</f>
        <v>273.77999999999997</v>
      </c>
      <c r="Q88" s="1"/>
      <c r="R88" s="5">
        <f t="shared" si="40"/>
        <v>1.4187843219761714E-4</v>
      </c>
      <c r="S88" s="1"/>
      <c r="T88" s="1">
        <f>SUM(OSRRefT22_5x_0)</f>
        <v>300</v>
      </c>
      <c r="U88" s="1"/>
      <c r="V88" s="5">
        <f t="shared" si="41"/>
        <v>1.4951191834257067E-4</v>
      </c>
      <c r="W88" s="1"/>
      <c r="X88" s="1">
        <f t="shared" si="42"/>
        <v>-26.220000000000027</v>
      </c>
      <c r="Y88" s="1"/>
      <c r="Z88" s="5">
        <f t="shared" si="43"/>
        <v>-8.7400000000000089E-2</v>
      </c>
    </row>
    <row r="89" spans="1:26" s="24" customFormat="1" hidden="1" outlineLevel="2" x14ac:dyDescent="0.25">
      <c r="A89" s="25"/>
      <c r="B89" s="11" t="str">
        <f>CONCATENATE("          ", "6351", " - ", "EQUIPMENT RENTAL")</f>
        <v xml:space="preserve">          6351 - EQUIPMENT RENTAL</v>
      </c>
      <c r="C89" s="11"/>
      <c r="D89" s="7">
        <v>91.26</v>
      </c>
      <c r="E89" s="2"/>
      <c r="F89" s="6">
        <f t="shared" si="36"/>
        <v>2.31313647847403E-4</v>
      </c>
      <c r="G89" s="2"/>
      <c r="H89" s="7">
        <v>100</v>
      </c>
      <c r="I89" s="2"/>
      <c r="J89" s="6">
        <f t="shared" si="37"/>
        <v>2.5432155909288587E-4</v>
      </c>
      <c r="K89" s="2"/>
      <c r="L89" s="7">
        <f t="shared" si="38"/>
        <v>-8.7399999999999949</v>
      </c>
      <c r="M89" s="2"/>
      <c r="N89" s="6">
        <f t="shared" si="39"/>
        <v>-8.739999999999995E-2</v>
      </c>
      <c r="O89" s="11"/>
      <c r="P89" s="7">
        <v>273.77999999999997</v>
      </c>
      <c r="Q89" s="2"/>
      <c r="R89" s="6">
        <f t="shared" si="40"/>
        <v>1.4187843219761714E-4</v>
      </c>
      <c r="S89" s="2"/>
      <c r="T89" s="7">
        <v>300</v>
      </c>
      <c r="U89" s="2"/>
      <c r="V89" s="6">
        <f t="shared" si="41"/>
        <v>1.4951191834257067E-4</v>
      </c>
      <c r="W89" s="2"/>
      <c r="X89" s="7">
        <f t="shared" si="42"/>
        <v>-26.220000000000027</v>
      </c>
      <c r="Y89" s="2"/>
      <c r="Z89" s="6">
        <f t="shared" si="43"/>
        <v>-8.7400000000000089E-2</v>
      </c>
    </row>
    <row r="90" spans="1:26" s="26" customFormat="1" outlineLevel="1" collapsed="1" x14ac:dyDescent="0.25">
      <c r="A90" s="27"/>
      <c r="B90" s="13" t="str">
        <f>CONCATENATE("     ","Freight out/Postage                               ")</f>
        <v xml:space="preserve">     Freight out/Postage                               </v>
      </c>
      <c r="C90" s="13"/>
      <c r="D90" s="1">
        <f>SUM(OSRRefD22_6x_0)</f>
        <v>2138.08</v>
      </c>
      <c r="E90" s="1"/>
      <c r="F90" s="5">
        <f t="shared" si="36"/>
        <v>5.4193193533812771E-3</v>
      </c>
      <c r="G90" s="1"/>
      <c r="H90" s="1">
        <f>SUM(OSRRefH22_6x_0)</f>
        <v>4200</v>
      </c>
      <c r="I90" s="1"/>
      <c r="J90" s="5">
        <f t="shared" si="37"/>
        <v>1.0681505481901206E-2</v>
      </c>
      <c r="K90" s="1"/>
      <c r="L90" s="1">
        <f t="shared" si="38"/>
        <v>-2061.92</v>
      </c>
      <c r="M90" s="1"/>
      <c r="N90" s="5">
        <f t="shared" si="39"/>
        <v>-0.49093333333333333</v>
      </c>
      <c r="O90" s="13"/>
      <c r="P90" s="1">
        <f>SUM(OSRRefP22_6x_0)</f>
        <v>2802.41</v>
      </c>
      <c r="Q90" s="1"/>
      <c r="R90" s="5">
        <f t="shared" si="40"/>
        <v>1.4522665540759891E-3</v>
      </c>
      <c r="S90" s="1"/>
      <c r="T90" s="1">
        <f>SUM(OSRRefT22_6x_0)</f>
        <v>5700</v>
      </c>
      <c r="U90" s="1"/>
      <c r="V90" s="5">
        <f t="shared" si="41"/>
        <v>2.8407264485088429E-3</v>
      </c>
      <c r="W90" s="1"/>
      <c r="X90" s="1">
        <f t="shared" si="42"/>
        <v>-2897.59</v>
      </c>
      <c r="Y90" s="1"/>
      <c r="Z90" s="5">
        <f t="shared" si="43"/>
        <v>-0.50834912280701761</v>
      </c>
    </row>
    <row r="91" spans="1:26" s="24" customFormat="1" hidden="1" outlineLevel="2" x14ac:dyDescent="0.25">
      <c r="A91" s="25"/>
      <c r="B91" s="11" t="str">
        <f>CONCATENATE("          ", "6305", " - ", "FREIGHT OUT")</f>
        <v xml:space="preserve">          6305 - FREIGHT OUT</v>
      </c>
      <c r="C91" s="11"/>
      <c r="D91" s="7">
        <v>2137.58</v>
      </c>
      <c r="E91" s="2"/>
      <c r="F91" s="6">
        <f t="shared" si="36"/>
        <v>5.4180520202241032E-3</v>
      </c>
      <c r="G91" s="2"/>
      <c r="H91" s="7">
        <v>4200</v>
      </c>
      <c r="I91" s="2"/>
      <c r="J91" s="6">
        <f t="shared" si="37"/>
        <v>1.0681505481901206E-2</v>
      </c>
      <c r="K91" s="2"/>
      <c r="L91" s="7">
        <f t="shared" si="38"/>
        <v>-2062.42</v>
      </c>
      <c r="M91" s="2"/>
      <c r="N91" s="6">
        <f t="shared" si="39"/>
        <v>-0.49105238095238096</v>
      </c>
      <c r="O91" s="11"/>
      <c r="P91" s="7">
        <v>2801.91</v>
      </c>
      <c r="Q91" s="2"/>
      <c r="R91" s="6">
        <f t="shared" si="40"/>
        <v>1.4520074437826922E-3</v>
      </c>
      <c r="S91" s="2"/>
      <c r="T91" s="7">
        <v>5700</v>
      </c>
      <c r="U91" s="2"/>
      <c r="V91" s="6">
        <f t="shared" si="41"/>
        <v>2.8407264485088429E-3</v>
      </c>
      <c r="W91" s="2"/>
      <c r="X91" s="7">
        <f t="shared" si="42"/>
        <v>-2898.09</v>
      </c>
      <c r="Y91" s="2"/>
      <c r="Z91" s="6">
        <f t="shared" si="43"/>
        <v>-0.50843684210526319</v>
      </c>
    </row>
    <row r="92" spans="1:26" s="24" customFormat="1" hidden="1" outlineLevel="2" x14ac:dyDescent="0.25">
      <c r="A92" s="25"/>
      <c r="B92" s="11" t="str">
        <f>CONCATENATE("          ", "6307", " - ", "POSTAGE")</f>
        <v xml:space="preserve">          6307 - POSTAGE</v>
      </c>
      <c r="C92" s="11"/>
      <c r="D92" s="7">
        <v>0.5</v>
      </c>
      <c r="E92" s="2"/>
      <c r="F92" s="6">
        <f t="shared" si="36"/>
        <v>1.2673331571740246E-6</v>
      </c>
      <c r="G92" s="2"/>
      <c r="H92" s="7"/>
      <c r="I92" s="2"/>
      <c r="J92" s="6">
        <f t="shared" si="37"/>
        <v>0</v>
      </c>
      <c r="K92" s="2"/>
      <c r="L92" s="7">
        <f t="shared" si="38"/>
        <v>0.5</v>
      </c>
      <c r="M92" s="2"/>
      <c r="N92" s="6">
        <f t="shared" si="39"/>
        <v>0</v>
      </c>
      <c r="O92" s="11"/>
      <c r="P92" s="7">
        <v>0.5</v>
      </c>
      <c r="Q92" s="2"/>
      <c r="R92" s="6">
        <f t="shared" si="40"/>
        <v>2.5911029329683899E-7</v>
      </c>
      <c r="S92" s="2"/>
      <c r="T92" s="7"/>
      <c r="U92" s="2"/>
      <c r="V92" s="6">
        <f t="shared" si="41"/>
        <v>0</v>
      </c>
      <c r="W92" s="2"/>
      <c r="X92" s="7">
        <f t="shared" si="42"/>
        <v>0.5</v>
      </c>
      <c r="Y92" s="2"/>
      <c r="Z92" s="6">
        <f t="shared" si="43"/>
        <v>0</v>
      </c>
    </row>
    <row r="93" spans="1:26" s="26" customFormat="1" outlineLevel="1" collapsed="1" x14ac:dyDescent="0.25">
      <c r="A93" s="27"/>
      <c r="B93" s="13" t="str">
        <f>CONCATENATE("     ","General                                           ")</f>
        <v xml:space="preserve">     General                                           </v>
      </c>
      <c r="C93" s="13"/>
      <c r="D93" s="1">
        <f>SUM(OSRRefD22_7x_0)</f>
        <v>-1500</v>
      </c>
      <c r="E93" s="1"/>
      <c r="F93" s="5">
        <f t="shared" ref="F93:F99" si="44">IF(D$12=0,0,D93/D$12)</f>
        <v>-3.8019994715220739E-3</v>
      </c>
      <c r="G93" s="1"/>
      <c r="H93" s="1">
        <f>SUM(OSRRefH22_7x_0)</f>
        <v>0</v>
      </c>
      <c r="I93" s="1"/>
      <c r="J93" s="5">
        <f t="shared" ref="J93:J99" si="45">IF(H$12=0,0,H93/H$12)</f>
        <v>0</v>
      </c>
      <c r="K93" s="1"/>
      <c r="L93" s="1">
        <f t="shared" ref="L93:L99" si="46">+D93-H93</f>
        <v>-1500</v>
      </c>
      <c r="M93" s="1"/>
      <c r="N93" s="5">
        <f t="shared" ref="N93:N99" si="47">IF(H93=0,0,L93/H93)</f>
        <v>0</v>
      </c>
      <c r="O93" s="13"/>
      <c r="P93" s="1">
        <f>SUM(OSRRefP22_7x_0)</f>
        <v>-1492.16</v>
      </c>
      <c r="Q93" s="1"/>
      <c r="R93" s="5">
        <f t="shared" ref="R93:R99" si="48">IF(P$12=0,0,P93/P$12)</f>
        <v>-7.732680304916226E-4</v>
      </c>
      <c r="S93" s="1"/>
      <c r="T93" s="1">
        <f>SUM(OSRRefT22_7x_0)</f>
        <v>0</v>
      </c>
      <c r="U93" s="1"/>
      <c r="V93" s="5">
        <f t="shared" ref="V93:V99" si="49">IF(T$12=0,0,T93/T$12)</f>
        <v>0</v>
      </c>
      <c r="W93" s="1"/>
      <c r="X93" s="1">
        <f t="shared" ref="X93:X99" si="50">+P93-T93</f>
        <v>-1492.16</v>
      </c>
      <c r="Y93" s="1"/>
      <c r="Z93" s="5">
        <f t="shared" ref="Z93:Z99" si="51">IF(T93=0,0,X93/T93)</f>
        <v>0</v>
      </c>
    </row>
    <row r="94" spans="1:26" s="24" customFormat="1" hidden="1" outlineLevel="2" x14ac:dyDescent="0.25">
      <c r="A94" s="25"/>
      <c r="B94" s="11" t="str">
        <f>CONCATENATE("          ", "6279", " - ", "GENERAL EXPENSE")</f>
        <v xml:space="preserve">          6279 - GENERAL EXPENSE</v>
      </c>
      <c r="C94" s="11"/>
      <c r="D94" s="7">
        <v>-1500</v>
      </c>
      <c r="E94" s="2"/>
      <c r="F94" s="6">
        <f t="shared" si="44"/>
        <v>-3.8019994715220739E-3</v>
      </c>
      <c r="G94" s="2"/>
      <c r="H94" s="7"/>
      <c r="I94" s="2"/>
      <c r="J94" s="6">
        <f t="shared" si="45"/>
        <v>0</v>
      </c>
      <c r="K94" s="2"/>
      <c r="L94" s="7">
        <f t="shared" si="46"/>
        <v>-1500</v>
      </c>
      <c r="M94" s="2"/>
      <c r="N94" s="6">
        <f t="shared" si="47"/>
        <v>0</v>
      </c>
      <c r="O94" s="11"/>
      <c r="P94" s="7">
        <v>-1492.16</v>
      </c>
      <c r="Q94" s="2"/>
      <c r="R94" s="6">
        <f t="shared" si="48"/>
        <v>-7.732680304916226E-4</v>
      </c>
      <c r="S94" s="2"/>
      <c r="T94" s="7"/>
      <c r="U94" s="2"/>
      <c r="V94" s="6">
        <f t="shared" si="49"/>
        <v>0</v>
      </c>
      <c r="W94" s="2"/>
      <c r="X94" s="7">
        <f t="shared" si="50"/>
        <v>-1492.16</v>
      </c>
      <c r="Y94" s="2"/>
      <c r="Z94" s="6">
        <f t="shared" si="51"/>
        <v>0</v>
      </c>
    </row>
    <row r="95" spans="1:26" s="26" customFormat="1" outlineLevel="1" collapsed="1" x14ac:dyDescent="0.25">
      <c r="A95" s="27"/>
      <c r="B95" s="13" t="str">
        <f>CONCATENATE("     ","Inventory Adjustment                              ")</f>
        <v xml:space="preserve">     Inventory Adjustment                              </v>
      </c>
      <c r="C95" s="13"/>
      <c r="D95" s="1">
        <f>SUM(OSRRefD22_8x_0)</f>
        <v>1000</v>
      </c>
      <c r="E95" s="1"/>
      <c r="F95" s="5">
        <f t="shared" si="44"/>
        <v>2.5346663143480494E-3</v>
      </c>
      <c r="G95" s="1"/>
      <c r="H95" s="1">
        <f>SUM(OSRRefH22_8x_0)</f>
        <v>1000</v>
      </c>
      <c r="I95" s="1"/>
      <c r="J95" s="5">
        <f t="shared" si="45"/>
        <v>2.5432155909288585E-3</v>
      </c>
      <c r="K95" s="1"/>
      <c r="L95" s="1">
        <f t="shared" si="46"/>
        <v>0</v>
      </c>
      <c r="M95" s="1"/>
      <c r="N95" s="5">
        <f t="shared" si="47"/>
        <v>0</v>
      </c>
      <c r="O95" s="13"/>
      <c r="P95" s="1">
        <f>SUM(OSRRefP22_8x_0)</f>
        <v>3000</v>
      </c>
      <c r="Q95" s="1"/>
      <c r="R95" s="5">
        <f t="shared" si="48"/>
        <v>1.554661759781034E-3</v>
      </c>
      <c r="S95" s="1"/>
      <c r="T95" s="1">
        <f>SUM(OSRRefT22_8x_0)</f>
        <v>3000</v>
      </c>
      <c r="U95" s="1"/>
      <c r="V95" s="5">
        <f t="shared" si="49"/>
        <v>1.4951191834257067E-3</v>
      </c>
      <c r="W95" s="1"/>
      <c r="X95" s="1">
        <f t="shared" si="50"/>
        <v>0</v>
      </c>
      <c r="Y95" s="1"/>
      <c r="Z95" s="5">
        <f t="shared" si="51"/>
        <v>0</v>
      </c>
    </row>
    <row r="96" spans="1:26" s="24" customFormat="1" hidden="1" outlineLevel="2" x14ac:dyDescent="0.25">
      <c r="A96" s="25"/>
      <c r="B96" s="11" t="str">
        <f>CONCATENATE("          ", "6408", " - ", "INVENTORY ADJUSTMENT")</f>
        <v xml:space="preserve">          6408 - INVENTORY ADJUSTMENT</v>
      </c>
      <c r="C96" s="11"/>
      <c r="D96" s="7">
        <v>1000</v>
      </c>
      <c r="E96" s="2"/>
      <c r="F96" s="6">
        <f t="shared" si="44"/>
        <v>2.5346663143480494E-3</v>
      </c>
      <c r="G96" s="2"/>
      <c r="H96" s="7">
        <v>1000</v>
      </c>
      <c r="I96" s="2"/>
      <c r="J96" s="6">
        <f t="shared" si="45"/>
        <v>2.5432155909288585E-3</v>
      </c>
      <c r="K96" s="2"/>
      <c r="L96" s="7">
        <f t="shared" si="46"/>
        <v>0</v>
      </c>
      <c r="M96" s="2"/>
      <c r="N96" s="6">
        <f t="shared" si="47"/>
        <v>0</v>
      </c>
      <c r="O96" s="11"/>
      <c r="P96" s="7">
        <v>3000</v>
      </c>
      <c r="Q96" s="2"/>
      <c r="R96" s="6">
        <f t="shared" si="48"/>
        <v>1.554661759781034E-3</v>
      </c>
      <c r="S96" s="2"/>
      <c r="T96" s="7">
        <v>3000</v>
      </c>
      <c r="U96" s="2"/>
      <c r="V96" s="6">
        <f t="shared" si="49"/>
        <v>1.4951191834257067E-3</v>
      </c>
      <c r="W96" s="2"/>
      <c r="X96" s="7">
        <f t="shared" si="50"/>
        <v>0</v>
      </c>
      <c r="Y96" s="2"/>
      <c r="Z96" s="6">
        <f t="shared" si="51"/>
        <v>0</v>
      </c>
    </row>
    <row r="97" spans="1:26" s="26" customFormat="1" outlineLevel="1" collapsed="1" x14ac:dyDescent="0.25">
      <c r="A97" s="27"/>
      <c r="B97" s="13" t="str">
        <f>CONCATENATE("     ","Repair and Maintenance                            ")</f>
        <v xml:space="preserve">     Repair and Maintenance                            </v>
      </c>
      <c r="C97" s="13"/>
      <c r="D97" s="1">
        <f>SUM(OSRRefD22_9x_0)</f>
        <v>20.78</v>
      </c>
      <c r="E97" s="1"/>
      <c r="F97" s="5">
        <f t="shared" si="44"/>
        <v>5.2670366012152466E-5</v>
      </c>
      <c r="G97" s="1"/>
      <c r="H97" s="1">
        <f>SUM(OSRRefH22_9x_0)</f>
        <v>140</v>
      </c>
      <c r="I97" s="1"/>
      <c r="J97" s="5">
        <f t="shared" si="45"/>
        <v>3.560501827300402E-4</v>
      </c>
      <c r="K97" s="1"/>
      <c r="L97" s="1">
        <f t="shared" si="46"/>
        <v>-119.22</v>
      </c>
      <c r="M97" s="1"/>
      <c r="N97" s="5">
        <f t="shared" si="47"/>
        <v>-0.85157142857142853</v>
      </c>
      <c r="O97" s="13"/>
      <c r="P97" s="1">
        <f>SUM(OSRRefP22_9x_0)</f>
        <v>70.2</v>
      </c>
      <c r="Q97" s="1"/>
      <c r="R97" s="5">
        <f t="shared" si="48"/>
        <v>3.6379085178876199E-5</v>
      </c>
      <c r="S97" s="1"/>
      <c r="T97" s="1">
        <f>SUM(OSRRefT22_9x_0)</f>
        <v>420</v>
      </c>
      <c r="U97" s="1"/>
      <c r="V97" s="5">
        <f t="shared" si="49"/>
        <v>2.0931668567959896E-4</v>
      </c>
      <c r="W97" s="1"/>
      <c r="X97" s="1">
        <f t="shared" si="50"/>
        <v>-349.8</v>
      </c>
      <c r="Y97" s="1"/>
      <c r="Z97" s="5">
        <f t="shared" si="51"/>
        <v>-0.83285714285714285</v>
      </c>
    </row>
    <row r="98" spans="1:26" s="24" customFormat="1" hidden="1" outlineLevel="2" x14ac:dyDescent="0.25">
      <c r="A98" s="25"/>
      <c r="B98" s="11" t="str">
        <f>CONCATENATE("          ", "6373", " - ", "MAINTENANCE CONTRACTS")</f>
        <v xml:space="preserve">          6373 - MAINTENANCE CONTRACTS</v>
      </c>
      <c r="C98" s="11"/>
      <c r="D98" s="7">
        <v>20.78</v>
      </c>
      <c r="E98" s="2"/>
      <c r="F98" s="6">
        <f t="shared" si="44"/>
        <v>5.2670366012152466E-5</v>
      </c>
      <c r="G98" s="2"/>
      <c r="H98" s="7">
        <v>40</v>
      </c>
      <c r="I98" s="2"/>
      <c r="J98" s="6">
        <f t="shared" si="45"/>
        <v>1.0172862363715434E-4</v>
      </c>
      <c r="K98" s="2"/>
      <c r="L98" s="7">
        <f t="shared" si="46"/>
        <v>-19.22</v>
      </c>
      <c r="M98" s="2"/>
      <c r="N98" s="6">
        <f t="shared" si="47"/>
        <v>-0.48049999999999998</v>
      </c>
      <c r="O98" s="11"/>
      <c r="P98" s="7">
        <v>70.2</v>
      </c>
      <c r="Q98" s="2"/>
      <c r="R98" s="6">
        <f t="shared" si="48"/>
        <v>3.6379085178876199E-5</v>
      </c>
      <c r="S98" s="2"/>
      <c r="T98" s="7">
        <v>120</v>
      </c>
      <c r="U98" s="2"/>
      <c r="V98" s="6">
        <f t="shared" si="49"/>
        <v>5.9804767337028274E-5</v>
      </c>
      <c r="W98" s="2"/>
      <c r="X98" s="7">
        <f t="shared" si="50"/>
        <v>-49.8</v>
      </c>
      <c r="Y98" s="2"/>
      <c r="Z98" s="6">
        <f t="shared" si="51"/>
        <v>-0.41499999999999998</v>
      </c>
    </row>
    <row r="99" spans="1:26" s="24" customFormat="1" hidden="1" outlineLevel="2" x14ac:dyDescent="0.25">
      <c r="A99" s="25"/>
      <c r="B99" s="11" t="str">
        <f>CONCATENATE("          ", "6375", " - ", "OUTSIDE REPAIRS &amp; MAINTENANCE")</f>
        <v xml:space="preserve">          6375 - OUTSIDE REPAIRS &amp; MAINTENANCE</v>
      </c>
      <c r="C99" s="11"/>
      <c r="D99" s="7"/>
      <c r="E99" s="2"/>
      <c r="F99" s="6">
        <f t="shared" si="44"/>
        <v>0</v>
      </c>
      <c r="G99" s="2"/>
      <c r="H99" s="7">
        <v>100</v>
      </c>
      <c r="I99" s="2"/>
      <c r="J99" s="6">
        <f t="shared" si="45"/>
        <v>2.5432155909288587E-4</v>
      </c>
      <c r="K99" s="2"/>
      <c r="L99" s="7">
        <f t="shared" si="46"/>
        <v>-100</v>
      </c>
      <c r="M99" s="2"/>
      <c r="N99" s="6">
        <f t="shared" si="47"/>
        <v>-1</v>
      </c>
      <c r="O99" s="11"/>
      <c r="P99" s="7"/>
      <c r="Q99" s="2"/>
      <c r="R99" s="6">
        <f t="shared" si="48"/>
        <v>0</v>
      </c>
      <c r="S99" s="2"/>
      <c r="T99" s="7">
        <v>300</v>
      </c>
      <c r="U99" s="2"/>
      <c r="V99" s="6">
        <f t="shared" si="49"/>
        <v>1.4951191834257067E-4</v>
      </c>
      <c r="W99" s="2"/>
      <c r="X99" s="7">
        <f t="shared" si="50"/>
        <v>-300</v>
      </c>
      <c r="Y99" s="2"/>
      <c r="Z99" s="6">
        <f t="shared" si="51"/>
        <v>-1</v>
      </c>
    </row>
    <row r="100" spans="1:26" s="26" customFormat="1" outlineLevel="1" collapsed="1" x14ac:dyDescent="0.25">
      <c r="A100" s="27"/>
      <c r="B100" s="13" t="str">
        <f>CONCATENATE("     ","Subscriptions &amp; Dues                              ")</f>
        <v xml:space="preserve">     Subscriptions &amp; Dues                              </v>
      </c>
      <c r="C100" s="13"/>
      <c r="D100" s="1">
        <f>SUM(OSRRefD22_10x_0)</f>
        <v>250</v>
      </c>
      <c r="E100" s="1"/>
      <c r="F100" s="5">
        <f t="shared" ref="F100:F105" si="52">IF(D$12=0,0,D100/D$12)</f>
        <v>6.3366657858701235E-4</v>
      </c>
      <c r="G100" s="1"/>
      <c r="H100" s="1">
        <f>SUM(OSRRefH22_10x_0)</f>
        <v>300</v>
      </c>
      <c r="I100" s="1"/>
      <c r="J100" s="5">
        <f t="shared" ref="J100:J105" si="53">IF(H$12=0,0,H100/H$12)</f>
        <v>7.6296467727865762E-4</v>
      </c>
      <c r="K100" s="1"/>
      <c r="L100" s="1">
        <f t="shared" ref="L100:L105" si="54">+D100-H100</f>
        <v>-50</v>
      </c>
      <c r="M100" s="1"/>
      <c r="N100" s="5">
        <f t="shared" ref="N100:N105" si="55">IF(H100=0,0,L100/H100)</f>
        <v>-0.16666666666666666</v>
      </c>
      <c r="O100" s="13"/>
      <c r="P100" s="1">
        <f>SUM(OSRRefP22_10x_0)</f>
        <v>788.85</v>
      </c>
      <c r="Q100" s="1"/>
      <c r="R100" s="5">
        <f t="shared" ref="R100:R105" si="56">IF(P$12=0,0,P100/P$12)</f>
        <v>4.0879830973442288E-4</v>
      </c>
      <c r="S100" s="1"/>
      <c r="T100" s="1">
        <f>SUM(OSRRefT22_10x_0)</f>
        <v>900</v>
      </c>
      <c r="U100" s="1"/>
      <c r="V100" s="5">
        <f t="shared" ref="V100:V105" si="57">IF(T$12=0,0,T100/T$12)</f>
        <v>4.4853575502771202E-4</v>
      </c>
      <c r="W100" s="1"/>
      <c r="X100" s="1">
        <f t="shared" ref="X100:X105" si="58">+P100-T100</f>
        <v>-111.14999999999998</v>
      </c>
      <c r="Y100" s="1"/>
      <c r="Z100" s="5">
        <f t="shared" ref="Z100:Z105" si="59">IF(T100=0,0,X100/T100)</f>
        <v>-0.12349999999999997</v>
      </c>
    </row>
    <row r="101" spans="1:26" s="24" customFormat="1" hidden="1" outlineLevel="2" x14ac:dyDescent="0.25">
      <c r="A101" s="25"/>
      <c r="B101" s="11" t="str">
        <f>CONCATENATE("          ", "6258", " - ", "MEMBERSHIP DUES")</f>
        <v xml:space="preserve">          6258 - MEMBERSHIP DUES</v>
      </c>
      <c r="C101" s="11"/>
      <c r="D101" s="7">
        <v>250</v>
      </c>
      <c r="E101" s="2"/>
      <c r="F101" s="6">
        <f t="shared" si="52"/>
        <v>6.3366657858701235E-4</v>
      </c>
      <c r="G101" s="2"/>
      <c r="H101" s="7">
        <v>300</v>
      </c>
      <c r="I101" s="2"/>
      <c r="J101" s="6">
        <f t="shared" si="53"/>
        <v>7.6296467727865762E-4</v>
      </c>
      <c r="K101" s="2"/>
      <c r="L101" s="7">
        <f t="shared" si="54"/>
        <v>-50</v>
      </c>
      <c r="M101" s="2"/>
      <c r="N101" s="6">
        <f t="shared" si="55"/>
        <v>-0.16666666666666666</v>
      </c>
      <c r="O101" s="11"/>
      <c r="P101" s="7">
        <v>788.85</v>
      </c>
      <c r="Q101" s="2"/>
      <c r="R101" s="6">
        <f t="shared" si="56"/>
        <v>4.0879830973442288E-4</v>
      </c>
      <c r="S101" s="2"/>
      <c r="T101" s="7">
        <v>900</v>
      </c>
      <c r="U101" s="2"/>
      <c r="V101" s="6">
        <f t="shared" si="57"/>
        <v>4.4853575502771202E-4</v>
      </c>
      <c r="W101" s="2"/>
      <c r="X101" s="7">
        <f t="shared" si="58"/>
        <v>-111.14999999999998</v>
      </c>
      <c r="Y101" s="2"/>
      <c r="Z101" s="6">
        <f t="shared" si="59"/>
        <v>-0.12349999999999997</v>
      </c>
    </row>
    <row r="102" spans="1:26" s="26" customFormat="1" outlineLevel="1" collapsed="1" x14ac:dyDescent="0.25">
      <c r="A102" s="27"/>
      <c r="B102" s="13" t="str">
        <f>CONCATENATE("     ","Supplies                                          ")</f>
        <v xml:space="preserve">     Supplies                                          </v>
      </c>
      <c r="C102" s="13"/>
      <c r="D102" s="1">
        <f>SUM(OSRRefD22_11x_0)</f>
        <v>149.59</v>
      </c>
      <c r="E102" s="1"/>
      <c r="F102" s="5">
        <f t="shared" si="52"/>
        <v>3.7916073396332471E-4</v>
      </c>
      <c r="G102" s="1"/>
      <c r="H102" s="1">
        <f>SUM(OSRRefH22_11x_0)</f>
        <v>1725</v>
      </c>
      <c r="I102" s="1"/>
      <c r="J102" s="5">
        <f t="shared" si="53"/>
        <v>4.3870468943522809E-3</v>
      </c>
      <c r="K102" s="1"/>
      <c r="L102" s="1">
        <f t="shared" si="54"/>
        <v>-1575.41</v>
      </c>
      <c r="M102" s="1"/>
      <c r="N102" s="5">
        <f t="shared" si="55"/>
        <v>-0.91328115942028987</v>
      </c>
      <c r="O102" s="13"/>
      <c r="P102" s="1">
        <f>SUM(OSRRefP22_11x_0)</f>
        <v>7349.1399999999994</v>
      </c>
      <c r="Q102" s="1"/>
      <c r="R102" s="5">
        <f t="shared" si="56"/>
        <v>3.8084756417590625E-3</v>
      </c>
      <c r="S102" s="1"/>
      <c r="T102" s="1">
        <f>SUM(OSRRefT22_11x_0)</f>
        <v>5850</v>
      </c>
      <c r="U102" s="1"/>
      <c r="V102" s="5">
        <f t="shared" si="57"/>
        <v>2.9154824076801284E-3</v>
      </c>
      <c r="W102" s="1"/>
      <c r="X102" s="1">
        <f t="shared" si="58"/>
        <v>1499.1399999999994</v>
      </c>
      <c r="Y102" s="1"/>
      <c r="Z102" s="5">
        <f t="shared" si="59"/>
        <v>0.25626324786324778</v>
      </c>
    </row>
    <row r="103" spans="1:26" s="24" customFormat="1" hidden="1" outlineLevel="2" x14ac:dyDescent="0.25">
      <c r="A103" s="25"/>
      <c r="B103" s="11" t="str">
        <f>CONCATENATE("          ", "6241", " - ", "OFFICE EXPENSE")</f>
        <v xml:space="preserve">          6241 - OFFICE EXPENSE</v>
      </c>
      <c r="C103" s="11"/>
      <c r="D103" s="7">
        <v>132.74</v>
      </c>
      <c r="E103" s="2"/>
      <c r="F103" s="6">
        <f t="shared" si="52"/>
        <v>3.3645160656656009E-4</v>
      </c>
      <c r="G103" s="2"/>
      <c r="H103" s="7">
        <v>125</v>
      </c>
      <c r="I103" s="2"/>
      <c r="J103" s="6">
        <f t="shared" si="53"/>
        <v>3.1790194886610731E-4</v>
      </c>
      <c r="K103" s="2"/>
      <c r="L103" s="7">
        <f t="shared" si="54"/>
        <v>7.7400000000000091</v>
      </c>
      <c r="M103" s="2"/>
      <c r="N103" s="6">
        <f t="shared" si="55"/>
        <v>6.1920000000000072E-2</v>
      </c>
      <c r="O103" s="11"/>
      <c r="P103" s="7">
        <v>2337.8200000000002</v>
      </c>
      <c r="Q103" s="2"/>
      <c r="R103" s="6">
        <f t="shared" si="56"/>
        <v>1.2115064517504324E-3</v>
      </c>
      <c r="S103" s="2"/>
      <c r="T103" s="7">
        <v>550</v>
      </c>
      <c r="U103" s="2"/>
      <c r="V103" s="6">
        <f t="shared" si="57"/>
        <v>2.7410518362804622E-4</v>
      </c>
      <c r="W103" s="2"/>
      <c r="X103" s="7">
        <f t="shared" si="58"/>
        <v>1787.8200000000002</v>
      </c>
      <c r="Y103" s="2"/>
      <c r="Z103" s="6">
        <f t="shared" si="59"/>
        <v>3.2505818181818187</v>
      </c>
    </row>
    <row r="104" spans="1:26" s="24" customFormat="1" hidden="1" outlineLevel="2" x14ac:dyDescent="0.25">
      <c r="A104" s="25"/>
      <c r="B104" s="11" t="str">
        <f>CONCATENATE("          ", "6245", " - ", "PRINTING")</f>
        <v xml:space="preserve">          6245 - PRINTING</v>
      </c>
      <c r="C104" s="11"/>
      <c r="D104" s="7"/>
      <c r="E104" s="2"/>
      <c r="F104" s="6">
        <f t="shared" si="52"/>
        <v>0</v>
      </c>
      <c r="G104" s="2"/>
      <c r="H104" s="7">
        <v>100</v>
      </c>
      <c r="I104" s="2"/>
      <c r="J104" s="6">
        <f t="shared" si="53"/>
        <v>2.5432155909288587E-4</v>
      </c>
      <c r="K104" s="2"/>
      <c r="L104" s="7">
        <f t="shared" si="54"/>
        <v>-100</v>
      </c>
      <c r="M104" s="2"/>
      <c r="N104" s="6">
        <f t="shared" si="55"/>
        <v>-1</v>
      </c>
      <c r="O104" s="11"/>
      <c r="P104" s="7">
        <v>4978.08</v>
      </c>
      <c r="Q104" s="2"/>
      <c r="R104" s="6">
        <f t="shared" si="56"/>
        <v>2.5797435377102568E-3</v>
      </c>
      <c r="S104" s="2"/>
      <c r="T104" s="7">
        <v>700</v>
      </c>
      <c r="U104" s="2"/>
      <c r="V104" s="6">
        <f t="shared" si="57"/>
        <v>3.4886114279933156E-4</v>
      </c>
      <c r="W104" s="2"/>
      <c r="X104" s="7">
        <f t="shared" si="58"/>
        <v>4278.08</v>
      </c>
      <c r="Y104" s="2"/>
      <c r="Z104" s="6">
        <f t="shared" si="59"/>
        <v>6.1115428571428572</v>
      </c>
    </row>
    <row r="105" spans="1:26" s="24" customFormat="1" hidden="1" outlineLevel="2" x14ac:dyDescent="0.25">
      <c r="A105" s="25"/>
      <c r="B105" s="11" t="str">
        <f>CONCATENATE("          ", "6247", " - ", "STORE SUPPLIES")</f>
        <v xml:space="preserve">          6247 - STORE SUPPLIES</v>
      </c>
      <c r="C105" s="11"/>
      <c r="D105" s="7">
        <v>16.850000000000001</v>
      </c>
      <c r="E105" s="2"/>
      <c r="F105" s="6">
        <f t="shared" si="52"/>
        <v>4.2709127396764633E-5</v>
      </c>
      <c r="G105" s="2"/>
      <c r="H105" s="7">
        <v>1500</v>
      </c>
      <c r="I105" s="2"/>
      <c r="J105" s="6">
        <f t="shared" si="53"/>
        <v>3.8148233863932878E-3</v>
      </c>
      <c r="K105" s="2"/>
      <c r="L105" s="7">
        <f t="shared" si="54"/>
        <v>-1483.15</v>
      </c>
      <c r="M105" s="2"/>
      <c r="N105" s="6">
        <f t="shared" si="55"/>
        <v>-0.98876666666666668</v>
      </c>
      <c r="O105" s="11"/>
      <c r="P105" s="7">
        <v>33.24</v>
      </c>
      <c r="Q105" s="2"/>
      <c r="R105" s="6">
        <f t="shared" si="56"/>
        <v>1.722565229837386E-5</v>
      </c>
      <c r="S105" s="2"/>
      <c r="T105" s="7">
        <v>4600</v>
      </c>
      <c r="U105" s="2"/>
      <c r="V105" s="6">
        <f t="shared" si="57"/>
        <v>2.2925160812527503E-3</v>
      </c>
      <c r="W105" s="2"/>
      <c r="X105" s="7">
        <f t="shared" si="58"/>
        <v>-4566.76</v>
      </c>
      <c r="Y105" s="2"/>
      <c r="Z105" s="6">
        <f t="shared" si="59"/>
        <v>-0.99277391304347828</v>
      </c>
    </row>
    <row r="106" spans="1:26" s="26" customFormat="1" outlineLevel="1" collapsed="1" x14ac:dyDescent="0.25">
      <c r="A106" s="27"/>
      <c r="B106" s="13" t="str">
        <f>CONCATENATE("     ","Telephone/Data Lines                              ")</f>
        <v xml:space="preserve">     Telephone/Data Lines                              </v>
      </c>
      <c r="C106" s="13"/>
      <c r="D106" s="1">
        <f>SUM(OSRRefD22_12x_0)</f>
        <v>2045</v>
      </c>
      <c r="E106" s="1"/>
      <c r="F106" s="5">
        <f t="shared" ref="F106:F108" si="60">IF(D$12=0,0,D106/D$12)</f>
        <v>5.1833926128417611E-3</v>
      </c>
      <c r="G106" s="1"/>
      <c r="H106" s="1">
        <f>SUM(OSRRefH22_12x_0)</f>
        <v>1700</v>
      </c>
      <c r="I106" s="1"/>
      <c r="J106" s="5">
        <f t="shared" ref="J106:J108" si="61">IF(H$12=0,0,H106/H$12)</f>
        <v>4.3234665045790597E-3</v>
      </c>
      <c r="K106" s="1"/>
      <c r="L106" s="1">
        <f t="shared" ref="L106:L108" si="62">+D106-H106</f>
        <v>345</v>
      </c>
      <c r="M106" s="1"/>
      <c r="N106" s="5">
        <f t="shared" ref="N106:N108" si="63">IF(H106=0,0,L106/H106)</f>
        <v>0.20294117647058824</v>
      </c>
      <c r="O106" s="13"/>
      <c r="P106" s="1">
        <f>SUM(OSRRefP22_12x_0)</f>
        <v>3399.5</v>
      </c>
      <c r="Q106" s="1"/>
      <c r="R106" s="5">
        <f t="shared" ref="R106:R108" si="64">IF(P$12=0,0,P106/P$12)</f>
        <v>1.7616908841252084E-3</v>
      </c>
      <c r="S106" s="1"/>
      <c r="T106" s="1">
        <f>SUM(OSRRefT22_12x_0)</f>
        <v>3300</v>
      </c>
      <c r="U106" s="1"/>
      <c r="V106" s="5">
        <f t="shared" ref="V106:V108" si="65">IF(T$12=0,0,T106/T$12)</f>
        <v>1.6446311017682775E-3</v>
      </c>
      <c r="W106" s="1"/>
      <c r="X106" s="1">
        <f t="shared" ref="X106:X108" si="66">+P106-T106</f>
        <v>99.5</v>
      </c>
      <c r="Y106" s="1"/>
      <c r="Z106" s="5">
        <f t="shared" ref="Z106:Z108" si="67">IF(T106=0,0,X106/T106)</f>
        <v>3.0151515151515151E-2</v>
      </c>
    </row>
    <row r="107" spans="1:26" s="24" customFormat="1" hidden="1" outlineLevel="2" x14ac:dyDescent="0.25">
      <c r="A107" s="25"/>
      <c r="B107" s="11" t="str">
        <f>CONCATENATE("          ", "6303", " - ", "DATA PHONE LINES")</f>
        <v xml:space="preserve">          6303 - DATA PHONE LINES</v>
      </c>
      <c r="C107" s="11"/>
      <c r="D107" s="7">
        <v>295</v>
      </c>
      <c r="E107" s="2"/>
      <c r="F107" s="6">
        <f t="shared" si="60"/>
        <v>7.4772656273267458E-4</v>
      </c>
      <c r="G107" s="2"/>
      <c r="H107" s="7">
        <v>300</v>
      </c>
      <c r="I107" s="2"/>
      <c r="J107" s="6">
        <f t="shared" si="61"/>
        <v>7.6296467727865762E-4</v>
      </c>
      <c r="K107" s="2"/>
      <c r="L107" s="7">
        <f t="shared" si="62"/>
        <v>-5</v>
      </c>
      <c r="M107" s="2"/>
      <c r="N107" s="6">
        <f t="shared" si="63"/>
        <v>-1.6666666666666666E-2</v>
      </c>
      <c r="O107" s="11"/>
      <c r="P107" s="7">
        <v>885</v>
      </c>
      <c r="Q107" s="2"/>
      <c r="R107" s="6">
        <f t="shared" si="64"/>
        <v>4.5862521913540502E-4</v>
      </c>
      <c r="S107" s="2"/>
      <c r="T107" s="7">
        <v>900</v>
      </c>
      <c r="U107" s="2"/>
      <c r="V107" s="6">
        <f t="shared" si="65"/>
        <v>4.4853575502771202E-4</v>
      </c>
      <c r="W107" s="2"/>
      <c r="X107" s="7">
        <f t="shared" si="66"/>
        <v>-15</v>
      </c>
      <c r="Y107" s="2"/>
      <c r="Z107" s="6">
        <f t="shared" si="67"/>
        <v>-1.6666666666666666E-2</v>
      </c>
    </row>
    <row r="108" spans="1:26" s="24" customFormat="1" hidden="1" outlineLevel="2" x14ac:dyDescent="0.25">
      <c r="A108" s="25"/>
      <c r="B108" s="11" t="str">
        <f>CONCATENATE("          ", "6309", " - ", "TELEPHONE")</f>
        <v xml:space="preserve">          6309 - TELEPHONE</v>
      </c>
      <c r="C108" s="11"/>
      <c r="D108" s="7">
        <v>1750</v>
      </c>
      <c r="E108" s="2"/>
      <c r="F108" s="6">
        <f t="shared" si="60"/>
        <v>4.4356660501090866E-3</v>
      </c>
      <c r="G108" s="2"/>
      <c r="H108" s="7">
        <v>1400</v>
      </c>
      <c r="I108" s="2"/>
      <c r="J108" s="6">
        <f t="shared" si="61"/>
        <v>3.560501827300402E-3</v>
      </c>
      <c r="K108" s="2"/>
      <c r="L108" s="7">
        <f t="shared" si="62"/>
        <v>350</v>
      </c>
      <c r="M108" s="2"/>
      <c r="N108" s="6">
        <f t="shared" si="63"/>
        <v>0.25</v>
      </c>
      <c r="O108" s="11"/>
      <c r="P108" s="7">
        <v>2514.5</v>
      </c>
      <c r="Q108" s="2"/>
      <c r="R108" s="6">
        <f t="shared" si="64"/>
        <v>1.3030656649898034E-3</v>
      </c>
      <c r="S108" s="2"/>
      <c r="T108" s="7">
        <v>2400</v>
      </c>
      <c r="U108" s="2"/>
      <c r="V108" s="6">
        <f t="shared" si="65"/>
        <v>1.1960953467405654E-3</v>
      </c>
      <c r="W108" s="2"/>
      <c r="X108" s="7">
        <f t="shared" si="66"/>
        <v>114.5</v>
      </c>
      <c r="Y108" s="2"/>
      <c r="Z108" s="6">
        <f t="shared" si="67"/>
        <v>4.7708333333333332E-2</v>
      </c>
    </row>
    <row r="109" spans="1:26" s="26" customFormat="1" outlineLevel="1" collapsed="1" x14ac:dyDescent="0.25">
      <c r="A109" s="27"/>
      <c r="B109" s="13" t="str">
        <f>CONCATENATE("     ","Training                                          ")</f>
        <v xml:space="preserve">     Training                                          </v>
      </c>
      <c r="C109" s="13"/>
      <c r="D109" s="1">
        <f>SUM(OSRRefD22_13x_0)</f>
        <v>0</v>
      </c>
      <c r="E109" s="1"/>
      <c r="F109" s="5">
        <f t="shared" ref="F109:F112" si="68">IF(D$12=0,0,D109/D$12)</f>
        <v>0</v>
      </c>
      <c r="G109" s="1"/>
      <c r="H109" s="1">
        <f>SUM(OSRRefH22_13x_0)</f>
        <v>0</v>
      </c>
      <c r="I109" s="1"/>
      <c r="J109" s="5">
        <f t="shared" ref="J109:J112" si="69">IF(H$12=0,0,H109/H$12)</f>
        <v>0</v>
      </c>
      <c r="K109" s="1"/>
      <c r="L109" s="1">
        <f t="shared" ref="L109:L112" si="70">+D109-H109</f>
        <v>0</v>
      </c>
      <c r="M109" s="1"/>
      <c r="N109" s="5">
        <f t="shared" ref="N109:N112" si="71">IF(H109=0,0,L109/H109)</f>
        <v>0</v>
      </c>
      <c r="O109" s="13"/>
      <c r="P109" s="1">
        <f>SUM(OSRRefP22_13x_0)</f>
        <v>547.47</v>
      </c>
      <c r="Q109" s="1"/>
      <c r="R109" s="5">
        <f t="shared" ref="R109:R112" si="72">IF(P$12=0,0,P109/P$12)</f>
        <v>2.8371022454244091E-4</v>
      </c>
      <c r="S109" s="1"/>
      <c r="T109" s="1">
        <f>SUM(OSRRefT22_13x_0)</f>
        <v>300</v>
      </c>
      <c r="U109" s="1"/>
      <c r="V109" s="5">
        <f t="shared" ref="V109:V112" si="73">IF(T$12=0,0,T109/T$12)</f>
        <v>1.4951191834257067E-4</v>
      </c>
      <c r="W109" s="1"/>
      <c r="X109" s="1">
        <f t="shared" ref="X109:X112" si="74">+P109-T109</f>
        <v>247.47000000000003</v>
      </c>
      <c r="Y109" s="1"/>
      <c r="Z109" s="5">
        <f t="shared" ref="Z109:Z112" si="75">IF(T109=0,0,X109/T109)</f>
        <v>0.82490000000000008</v>
      </c>
    </row>
    <row r="110" spans="1:26" s="24" customFormat="1" hidden="1" outlineLevel="2" x14ac:dyDescent="0.25">
      <c r="A110" s="25"/>
      <c r="B110" s="11" t="str">
        <f>CONCATENATE("          ", "6376", " - ", "TRAINING")</f>
        <v xml:space="preserve">          6376 - TRAINING</v>
      </c>
      <c r="C110" s="11"/>
      <c r="D110" s="7"/>
      <c r="E110" s="2"/>
      <c r="F110" s="6">
        <f t="shared" si="68"/>
        <v>0</v>
      </c>
      <c r="G110" s="2"/>
      <c r="H110" s="7"/>
      <c r="I110" s="2"/>
      <c r="J110" s="6">
        <f t="shared" si="69"/>
        <v>0</v>
      </c>
      <c r="K110" s="2"/>
      <c r="L110" s="7">
        <f t="shared" si="70"/>
        <v>0</v>
      </c>
      <c r="M110" s="2"/>
      <c r="N110" s="6">
        <f t="shared" si="71"/>
        <v>0</v>
      </c>
      <c r="O110" s="11"/>
      <c r="P110" s="7">
        <v>547.47</v>
      </c>
      <c r="Q110" s="2"/>
      <c r="R110" s="6">
        <f t="shared" si="72"/>
        <v>2.8371022454244091E-4</v>
      </c>
      <c r="S110" s="2"/>
      <c r="T110" s="7">
        <v>300</v>
      </c>
      <c r="U110" s="2"/>
      <c r="V110" s="6">
        <f t="shared" si="73"/>
        <v>1.4951191834257067E-4</v>
      </c>
      <c r="W110" s="2"/>
      <c r="X110" s="7">
        <f t="shared" si="74"/>
        <v>247.47000000000003</v>
      </c>
      <c r="Y110" s="2"/>
      <c r="Z110" s="6">
        <f t="shared" si="75"/>
        <v>0.82490000000000008</v>
      </c>
    </row>
    <row r="111" spans="1:26" s="26" customFormat="1" outlineLevel="1" collapsed="1" x14ac:dyDescent="0.25">
      <c r="A111" s="27"/>
      <c r="B111" s="13" t="str">
        <f>CONCATENATE("     ","Travel                                            ")</f>
        <v xml:space="preserve">     Travel                                            </v>
      </c>
      <c r="C111" s="13"/>
      <c r="D111" s="1">
        <f>SUM(OSRRefD22_14x_0)</f>
        <v>0</v>
      </c>
      <c r="E111" s="1"/>
      <c r="F111" s="5">
        <f t="shared" si="68"/>
        <v>0</v>
      </c>
      <c r="G111" s="1"/>
      <c r="H111" s="1">
        <f>SUM(OSRRefH22_14x_0)</f>
        <v>0</v>
      </c>
      <c r="I111" s="1"/>
      <c r="J111" s="5">
        <f t="shared" si="69"/>
        <v>0</v>
      </c>
      <c r="K111" s="1"/>
      <c r="L111" s="1">
        <f t="shared" si="70"/>
        <v>0</v>
      </c>
      <c r="M111" s="1"/>
      <c r="N111" s="5">
        <f t="shared" si="71"/>
        <v>0</v>
      </c>
      <c r="O111" s="13"/>
      <c r="P111" s="1">
        <f>SUM(OSRRefP22_14x_0)</f>
        <v>0</v>
      </c>
      <c r="Q111" s="1"/>
      <c r="R111" s="5">
        <f t="shared" si="72"/>
        <v>0</v>
      </c>
      <c r="S111" s="1"/>
      <c r="T111" s="1">
        <f>SUM(OSRRefT22_14x_0)</f>
        <v>450</v>
      </c>
      <c r="U111" s="1"/>
      <c r="V111" s="5">
        <f t="shared" si="73"/>
        <v>2.2426787751385601E-4</v>
      </c>
      <c r="W111" s="1"/>
      <c r="X111" s="1">
        <f t="shared" si="74"/>
        <v>-450</v>
      </c>
      <c r="Y111" s="1"/>
      <c r="Z111" s="5">
        <f t="shared" si="75"/>
        <v>-1</v>
      </c>
    </row>
    <row r="112" spans="1:26" s="24" customFormat="1" hidden="1" outlineLevel="2" x14ac:dyDescent="0.25">
      <c r="A112" s="25"/>
      <c r="B112" s="11" t="str">
        <f>CONCATENATE("          ", "6298", " - ", "VEHICLE MILEAGE")</f>
        <v xml:space="preserve">          6298 - VEHICLE MILEAGE</v>
      </c>
      <c r="C112" s="11"/>
      <c r="D112" s="7"/>
      <c r="E112" s="2"/>
      <c r="F112" s="6">
        <f t="shared" si="68"/>
        <v>0</v>
      </c>
      <c r="G112" s="2"/>
      <c r="H112" s="7"/>
      <c r="I112" s="2"/>
      <c r="J112" s="6">
        <f t="shared" si="69"/>
        <v>0</v>
      </c>
      <c r="K112" s="2"/>
      <c r="L112" s="7">
        <f t="shared" si="70"/>
        <v>0</v>
      </c>
      <c r="M112" s="2"/>
      <c r="N112" s="6">
        <f t="shared" si="71"/>
        <v>0</v>
      </c>
      <c r="O112" s="11"/>
      <c r="P112" s="7"/>
      <c r="Q112" s="2"/>
      <c r="R112" s="6">
        <f t="shared" si="72"/>
        <v>0</v>
      </c>
      <c r="S112" s="2"/>
      <c r="T112" s="7">
        <v>450</v>
      </c>
      <c r="U112" s="2"/>
      <c r="V112" s="6">
        <f t="shared" si="73"/>
        <v>2.2426787751385601E-4</v>
      </c>
      <c r="W112" s="2"/>
      <c r="X112" s="7">
        <f t="shared" si="74"/>
        <v>-450</v>
      </c>
      <c r="Y112" s="2"/>
      <c r="Z112" s="6">
        <f t="shared" si="75"/>
        <v>-1</v>
      </c>
    </row>
    <row r="113" spans="1:26" s="63" customFormat="1" x14ac:dyDescent="0.25">
      <c r="A113" s="36"/>
      <c r="B113" s="36"/>
      <c r="C113" s="36"/>
      <c r="D113" s="1"/>
      <c r="E113" s="1"/>
      <c r="F113" s="5"/>
      <c r="G113" s="1"/>
      <c r="H113" s="1"/>
      <c r="I113" s="1"/>
      <c r="J113" s="5"/>
      <c r="K113" s="1"/>
      <c r="L113" s="1"/>
      <c r="M113" s="1"/>
      <c r="N113" s="5"/>
      <c r="O113" s="36"/>
      <c r="P113" s="1"/>
      <c r="Q113" s="1"/>
      <c r="R113" s="5"/>
      <c r="S113" s="1"/>
      <c r="T113" s="1"/>
      <c r="U113" s="1"/>
      <c r="V113" s="5"/>
      <c r="W113" s="1"/>
      <c r="X113" s="1"/>
      <c r="Y113" s="1"/>
      <c r="Z113" s="5"/>
    </row>
    <row r="114" spans="1:26" s="23" customFormat="1" collapsed="1" x14ac:dyDescent="0.25">
      <c r="A114" s="10"/>
      <c r="B114" s="28" t="s">
        <v>0</v>
      </c>
      <c r="C114" s="10"/>
      <c r="D114" s="4">
        <f>SUM(OSRRefD25x_0)</f>
        <v>95057.069999999992</v>
      </c>
      <c r="E114" s="4"/>
      <c r="F114" s="12">
        <f t="shared" ref="F114:F118" si="76">IF(D$12=0,0,D114/D$12)</f>
        <v>0.2409379532696245</v>
      </c>
      <c r="G114" s="4"/>
      <c r="H114" s="4">
        <f>SUM(OSRRefH25x_0)</f>
        <v>75000</v>
      </c>
      <c r="I114" s="4"/>
      <c r="J114" s="12">
        <f t="shared" ref="J114:J118" si="77">IF(H$12=0,0,H114/H$12)</f>
        <v>0.19074116931966439</v>
      </c>
      <c r="K114" s="4"/>
      <c r="L114" s="4">
        <f t="shared" ref="L114:L118" si="78">+D114-H114</f>
        <v>20057.069999999992</v>
      </c>
      <c r="M114" s="4"/>
      <c r="N114" s="12">
        <f t="shared" ref="N114:N118" si="79">IF(H114=0,0,L114/H114)</f>
        <v>0.26742759999999988</v>
      </c>
      <c r="O114" s="10"/>
      <c r="P114" s="4">
        <f>SUM(OSRRefP25x_0)</f>
        <v>97383.17</v>
      </c>
      <c r="Q114" s="4"/>
      <c r="R114" s="12">
        <f t="shared" ref="R114:R118" si="80">IF(P$12=0,0,P114/P$12)</f>
        <v>5.0465963481751863E-2</v>
      </c>
      <c r="S114" s="4"/>
      <c r="T114" s="4">
        <f>SUM(OSRRefT25x_0)</f>
        <v>82300</v>
      </c>
      <c r="U114" s="4"/>
      <c r="V114" s="12">
        <f t="shared" ref="V114:V118" si="81">IF(T$12=0,0,T114/T$12)</f>
        <v>4.1016102931978556E-2</v>
      </c>
      <c r="W114" s="4"/>
      <c r="X114" s="4">
        <f t="shared" ref="X114:X118" si="82">+P114-T114</f>
        <v>15083.169999999998</v>
      </c>
      <c r="Y114" s="4"/>
      <c r="Z114" s="12">
        <f t="shared" ref="Z114:Z118" si="83">IF(T114=0,0,X114/T114)</f>
        <v>0.18327059538274604</v>
      </c>
    </row>
    <row r="115" spans="1:26" s="24" customFormat="1" hidden="1" outlineLevel="1" x14ac:dyDescent="0.25">
      <c r="A115" s="46"/>
      <c r="B115" s="11" t="str">
        <f>CONCATENATE("          ", "9150", " - ", "MISC. INCOME")</f>
        <v xml:space="preserve">          9150 - MISC. INCOME</v>
      </c>
      <c r="C115" s="11"/>
      <c r="D115" s="2">
        <f>--6747.28</f>
        <v>6747.28</v>
      </c>
      <c r="E115" s="2"/>
      <c r="F115" s="19">
        <f t="shared" si="76"/>
        <v>1.7102103329474306E-2</v>
      </c>
      <c r="G115" s="2"/>
      <c r="H115" s="2"/>
      <c r="I115" s="2"/>
      <c r="J115" s="19">
        <f t="shared" si="77"/>
        <v>0</v>
      </c>
      <c r="K115" s="2"/>
      <c r="L115" s="2">
        <f t="shared" si="78"/>
        <v>6747.28</v>
      </c>
      <c r="M115" s="2"/>
      <c r="N115" s="19">
        <f t="shared" si="79"/>
        <v>0</v>
      </c>
      <c r="O115" s="11"/>
      <c r="P115" s="2">
        <f>--9065.95</f>
        <v>9065.9500000000007</v>
      </c>
      <c r="Q115" s="2"/>
      <c r="R115" s="19">
        <f t="shared" si="80"/>
        <v>4.6981619270289555E-3</v>
      </c>
      <c r="S115" s="2"/>
      <c r="T115" s="2"/>
      <c r="U115" s="2"/>
      <c r="V115" s="19">
        <f t="shared" si="81"/>
        <v>0</v>
      </c>
      <c r="W115" s="2"/>
      <c r="X115" s="2">
        <f t="shared" si="82"/>
        <v>9065.9500000000007</v>
      </c>
      <c r="Y115" s="2"/>
      <c r="Z115" s="19">
        <f t="shared" si="83"/>
        <v>0</v>
      </c>
    </row>
    <row r="116" spans="1:26" s="24" customFormat="1" hidden="1" outlineLevel="1" x14ac:dyDescent="0.25">
      <c r="A116" s="46"/>
      <c r="B116" s="11" t="str">
        <f>CONCATENATE("          ", "9151", " - ", "MISC. INCOME")</f>
        <v xml:space="preserve">          9151 - MISC. INCOME</v>
      </c>
      <c r="C116" s="11"/>
      <c r="D116" s="2">
        <f>--87676.2</f>
        <v>87676.2</v>
      </c>
      <c r="E116" s="2"/>
      <c r="F116" s="19">
        <f t="shared" si="76"/>
        <v>0.22222991071004244</v>
      </c>
      <c r="G116" s="2"/>
      <c r="H116" s="2"/>
      <c r="I116" s="2"/>
      <c r="J116" s="19">
        <f t="shared" si="77"/>
        <v>0</v>
      </c>
      <c r="K116" s="2"/>
      <c r="L116" s="2">
        <f t="shared" si="78"/>
        <v>87676.2</v>
      </c>
      <c r="M116" s="2"/>
      <c r="N116" s="19">
        <f t="shared" si="79"/>
        <v>0</v>
      </c>
      <c r="O116" s="11"/>
      <c r="P116" s="2">
        <f>--87676.2</f>
        <v>87676.2</v>
      </c>
      <c r="Q116" s="2"/>
      <c r="R116" s="19">
        <f t="shared" si="80"/>
        <v>4.543561179430463E-2</v>
      </c>
      <c r="S116" s="2"/>
      <c r="T116" s="2"/>
      <c r="U116" s="2"/>
      <c r="V116" s="19">
        <f t="shared" si="81"/>
        <v>0</v>
      </c>
      <c r="W116" s="2"/>
      <c r="X116" s="2">
        <f t="shared" si="82"/>
        <v>87676.2</v>
      </c>
      <c r="Y116" s="2"/>
      <c r="Z116" s="19">
        <f t="shared" si="83"/>
        <v>0</v>
      </c>
    </row>
    <row r="117" spans="1:26" s="24" customFormat="1" hidden="1" outlineLevel="1" x14ac:dyDescent="0.25">
      <c r="A117" s="46"/>
      <c r="B117" s="11" t="str">
        <f>CONCATENATE("          ", "9152", " - ", "MISC. INCOME")</f>
        <v xml:space="preserve">          9152 - MISC. INCOME</v>
      </c>
      <c r="C117" s="11"/>
      <c r="D117" s="2">
        <f>--633.59</f>
        <v>633.59</v>
      </c>
      <c r="E117" s="2"/>
      <c r="F117" s="19">
        <f t="shared" si="76"/>
        <v>1.6059392301077807E-3</v>
      </c>
      <c r="G117" s="2"/>
      <c r="H117" s="2"/>
      <c r="I117" s="2"/>
      <c r="J117" s="19">
        <f t="shared" si="77"/>
        <v>0</v>
      </c>
      <c r="K117" s="2"/>
      <c r="L117" s="2">
        <f t="shared" si="78"/>
        <v>633.59</v>
      </c>
      <c r="M117" s="2"/>
      <c r="N117" s="19">
        <f t="shared" si="79"/>
        <v>0</v>
      </c>
      <c r="O117" s="11"/>
      <c r="P117" s="2">
        <f>--641.02</f>
        <v>641.02</v>
      </c>
      <c r="Q117" s="2"/>
      <c r="R117" s="19">
        <f t="shared" si="80"/>
        <v>3.3218976041827949E-4</v>
      </c>
      <c r="S117" s="2"/>
      <c r="T117" s="2"/>
      <c r="U117" s="2"/>
      <c r="V117" s="19">
        <f t="shared" si="81"/>
        <v>0</v>
      </c>
      <c r="W117" s="2"/>
      <c r="X117" s="2">
        <f t="shared" si="82"/>
        <v>641.02</v>
      </c>
      <c r="Y117" s="2"/>
      <c r="Z117" s="19">
        <f t="shared" si="83"/>
        <v>0</v>
      </c>
    </row>
    <row r="118" spans="1:26" s="24" customFormat="1" hidden="1" outlineLevel="1" x14ac:dyDescent="0.25">
      <c r="A118" s="46"/>
      <c r="B118" s="11" t="str">
        <f>CONCATENATE("          ", "9160", " - ", "MISC. INCOME")</f>
        <v xml:space="preserve">          9160 - MISC. INCOME</v>
      </c>
      <c r="C118" s="11"/>
      <c r="D118" s="2">
        <f>0</f>
        <v>0</v>
      </c>
      <c r="E118" s="2"/>
      <c r="F118" s="19">
        <f t="shared" si="76"/>
        <v>0</v>
      </c>
      <c r="G118" s="2"/>
      <c r="H118" s="2">
        <v>75000</v>
      </c>
      <c r="I118" s="2"/>
      <c r="J118" s="19">
        <f t="shared" si="77"/>
        <v>0.19074116931966439</v>
      </c>
      <c r="K118" s="2"/>
      <c r="L118" s="2">
        <f t="shared" si="78"/>
        <v>-75000</v>
      </c>
      <c r="M118" s="2"/>
      <c r="N118" s="19">
        <f t="shared" si="79"/>
        <v>-1</v>
      </c>
      <c r="O118" s="11"/>
      <c r="P118" s="2">
        <f>0</f>
        <v>0</v>
      </c>
      <c r="Q118" s="2"/>
      <c r="R118" s="19">
        <f t="shared" si="80"/>
        <v>0</v>
      </c>
      <c r="S118" s="2"/>
      <c r="T118" s="2">
        <v>82300</v>
      </c>
      <c r="U118" s="2"/>
      <c r="V118" s="19">
        <f t="shared" si="81"/>
        <v>4.1016102931978556E-2</v>
      </c>
      <c r="W118" s="2"/>
      <c r="X118" s="2">
        <f t="shared" si="82"/>
        <v>-82300</v>
      </c>
      <c r="Y118" s="2"/>
      <c r="Z118" s="19">
        <f t="shared" si="83"/>
        <v>-1</v>
      </c>
    </row>
    <row r="119" spans="1:26" x14ac:dyDescent="0.25">
      <c r="A119" s="9"/>
      <c r="B119" s="10"/>
      <c r="C119" s="10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O119" s="10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3" customFormat="1" x14ac:dyDescent="0.25">
      <c r="A120" s="10"/>
      <c r="B120" s="29" t="s">
        <v>3</v>
      </c>
      <c r="C120" s="29"/>
      <c r="D120" s="22">
        <f>+D56-D58+D114</f>
        <v>175272.12</v>
      </c>
      <c r="E120" s="14"/>
      <c r="F120" s="20">
        <f>IF(D$12=0,0,D120/D$12)</f>
        <v>0.44425633840836903</v>
      </c>
      <c r="G120" s="14"/>
      <c r="H120" s="22">
        <f>+H56-H58+H114</f>
        <v>133045.42499170214</v>
      </c>
      <c r="I120" s="14"/>
      <c r="J120" s="20">
        <f>IF(H$12=0,0,H120/H$12)</f>
        <v>0.33836319914065288</v>
      </c>
      <c r="K120" s="15"/>
      <c r="L120" s="22">
        <f>+D120-H120</f>
        <v>42226.695008297858</v>
      </c>
      <c r="M120" s="15"/>
      <c r="N120" s="20">
        <f>IF(H120=0,0,L120/H120)</f>
        <v>0.3173855471612908</v>
      </c>
      <c r="O120" s="28"/>
      <c r="P120" s="22">
        <f>+P56-P58+P114</f>
        <v>516190.68999999977</v>
      </c>
      <c r="Q120" s="14"/>
      <c r="R120" s="20">
        <f>IF(P$12=0,0,P120/P$12)</f>
        <v>0.26750064216599528</v>
      </c>
      <c r="S120" s="14"/>
      <c r="T120" s="22">
        <f>+T56-T58+T114</f>
        <v>480935.501940032</v>
      </c>
      <c r="U120" s="14"/>
      <c r="V120" s="20">
        <f>IF(T$12=0,0,T120/T$12)</f>
        <v>0.23968529831367102</v>
      </c>
      <c r="W120" s="15"/>
      <c r="X120" s="22">
        <f>+P120-T120</f>
        <v>35255.188059967768</v>
      </c>
      <c r="Y120" s="15"/>
      <c r="Z120" s="20">
        <f>IF(T120=0,0,X120/T120)</f>
        <v>7.330543891593129E-2</v>
      </c>
    </row>
    <row r="121" spans="1:26" x14ac:dyDescent="0.25">
      <c r="A121" s="9"/>
      <c r="B121" s="10"/>
      <c r="C121" s="9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x14ac:dyDescent="0.25">
      <c r="A122" s="52"/>
      <c r="B122" s="10" t="s">
        <v>14</v>
      </c>
      <c r="C122" s="10"/>
      <c r="D122" s="4">
        <v>15867.9</v>
      </c>
      <c r="E122" s="4"/>
      <c r="F122" s="12">
        <f>IF(D$12=0,0,D122/D$12)</f>
        <v>4.021983160944341E-2</v>
      </c>
      <c r="G122" s="4"/>
      <c r="H122" s="4">
        <v>-8213</v>
      </c>
      <c r="I122" s="4"/>
      <c r="J122" s="12">
        <f>IF(H$12=0,0,H122/H$12)</f>
        <v>-2.0887429648298716E-2</v>
      </c>
      <c r="K122" s="4"/>
      <c r="L122" s="4">
        <f>+D122-H122</f>
        <v>24080.9</v>
      </c>
      <c r="M122" s="4"/>
      <c r="N122" s="12">
        <f>IF(H122=0,0,L122/H122)</f>
        <v>-2.9320467551442837</v>
      </c>
      <c r="O122" s="10"/>
      <c r="P122" s="4">
        <v>207273.22</v>
      </c>
      <c r="Q122" s="4"/>
      <c r="R122" s="12">
        <f>IF(P$12=0,0,P122/P$12)</f>
        <v>0.10741324965356047</v>
      </c>
      <c r="S122" s="4"/>
      <c r="T122" s="4">
        <v>253795.99999999997</v>
      </c>
      <c r="U122" s="4"/>
      <c r="V122" s="12">
        <f>IF(T$12=0,0,T122/T$12)</f>
        <v>0.12648508942557021</v>
      </c>
      <c r="W122" s="4"/>
      <c r="X122" s="4">
        <f>+P122-T122</f>
        <v>-46522.77999999997</v>
      </c>
      <c r="Y122" s="4"/>
      <c r="Z122" s="12">
        <f>IF(T122=0,0,X122/T122)</f>
        <v>-0.18330777474822288</v>
      </c>
    </row>
    <row r="123" spans="1:26" x14ac:dyDescent="0.25">
      <c r="A123" s="9"/>
      <c r="B123" s="10"/>
      <c r="C123" s="10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O123" s="10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ht="15.75" thickBot="1" x14ac:dyDescent="0.3">
      <c r="A124" s="10"/>
      <c r="B124" s="29" t="s">
        <v>4</v>
      </c>
      <c r="C124" s="29"/>
      <c r="D124" s="35">
        <f>+D120-D122</f>
        <v>159404.22</v>
      </c>
      <c r="E124" s="14"/>
      <c r="F124" s="32">
        <f>IF(D$12=0,0,D124/D$12)</f>
        <v>0.40403650679892561</v>
      </c>
      <c r="G124" s="14"/>
      <c r="H124" s="35">
        <f>+H120-H122</f>
        <v>141258.42499170214</v>
      </c>
      <c r="I124" s="14"/>
      <c r="J124" s="32">
        <f>IF(H$12=0,0,H124/H$12)</f>
        <v>0.35925062878895159</v>
      </c>
      <c r="K124" s="15"/>
      <c r="L124" s="35">
        <f>D124-H124</f>
        <v>18145.795008297864</v>
      </c>
      <c r="M124" s="15"/>
      <c r="N124" s="32">
        <f>IF(H124=0,0,L124/H124)</f>
        <v>0.12845814335933445</v>
      </c>
      <c r="O124" s="28"/>
      <c r="P124" s="35">
        <f>+P120-P122</f>
        <v>308917.46999999974</v>
      </c>
      <c r="Q124" s="14"/>
      <c r="R124" s="32">
        <f>IF(P$12=0,0,P124/P$12)</f>
        <v>0.16008739251243478</v>
      </c>
      <c r="S124" s="14"/>
      <c r="T124" s="35">
        <f>+T120-T122</f>
        <v>227139.50194003203</v>
      </c>
      <c r="U124" s="14"/>
      <c r="V124" s="32">
        <f>IF(T$12=0,0,T124/T$12)</f>
        <v>0.11320020888810081</v>
      </c>
      <c r="W124" s="15"/>
      <c r="X124" s="35">
        <f>P124-T124</f>
        <v>81777.968059967709</v>
      </c>
      <c r="Y124" s="15"/>
      <c r="Z124" s="32">
        <f>IF(T124=0,0,X124/T124)</f>
        <v>0.36003410838489125</v>
      </c>
    </row>
    <row r="125" spans="1:26" ht="15.75" thickTop="1" x14ac:dyDescent="0.25">
      <c r="A125" s="9"/>
      <c r="B125" s="9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x14ac:dyDescent="0.25">
      <c r="A126" s="9"/>
      <c r="B126" s="9"/>
      <c r="C126" s="9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ht="15.75" thickBot="1" x14ac:dyDescent="0.3">
      <c r="A127" s="10"/>
      <c r="B127" s="29" t="s">
        <v>5</v>
      </c>
      <c r="C127" s="29"/>
      <c r="D127" s="30">
        <f>SUM(D124:D126)</f>
        <v>159404.22</v>
      </c>
      <c r="E127" s="14"/>
      <c r="F127" s="31">
        <f>IF(D$12=0,0,D127/D$12)</f>
        <v>0.40403650679892561</v>
      </c>
      <c r="G127" s="14"/>
      <c r="H127" s="30">
        <f>SUM(H124:H126)</f>
        <v>141258.42499170214</v>
      </c>
      <c r="I127" s="14"/>
      <c r="J127" s="31">
        <f>IF(H$12=0,0,H127/H$12)</f>
        <v>0.35925062878895159</v>
      </c>
      <c r="K127" s="15"/>
      <c r="L127" s="30">
        <f>+D127-H127</f>
        <v>18145.795008297864</v>
      </c>
      <c r="M127" s="15"/>
      <c r="N127" s="31">
        <f>IF(H127=0,0,L127/H127)</f>
        <v>0.12845814335933445</v>
      </c>
      <c r="O127" s="28"/>
      <c r="P127" s="30">
        <f>SUM(P124:P126)</f>
        <v>308917.46999999974</v>
      </c>
      <c r="Q127" s="14"/>
      <c r="R127" s="31">
        <f>IF(P$12=0,0,P127/P$12)</f>
        <v>0.16008739251243478</v>
      </c>
      <c r="S127" s="14"/>
      <c r="T127" s="30">
        <f>SUM(T124:T126)</f>
        <v>227139.50194003203</v>
      </c>
      <c r="U127" s="14"/>
      <c r="V127" s="31">
        <f>IF(T$12=0,0,T127/T$12)</f>
        <v>0.11320020888810081</v>
      </c>
      <c r="W127" s="15"/>
      <c r="X127" s="30">
        <f>+P127-T127</f>
        <v>81777.968059967709</v>
      </c>
      <c r="Y127" s="15"/>
      <c r="Z127" s="31">
        <f>IF(T127=0,0,X127/T127)</f>
        <v>0.36003410838489125</v>
      </c>
    </row>
    <row r="128" spans="1:26" ht="15.75" thickTop="1" x14ac:dyDescent="0.25">
      <c r="A128" s="9"/>
      <c r="C128" s="9"/>
      <c r="D128" s="18"/>
      <c r="E128" s="18"/>
      <c r="G128" s="18"/>
      <c r="H128" s="18"/>
      <c r="I128" s="18"/>
      <c r="J128" s="43"/>
      <c r="K128" s="18"/>
      <c r="L128" s="18"/>
      <c r="M128" s="18"/>
      <c r="P128" s="18"/>
      <c r="Q128" s="18"/>
      <c r="R128" s="43"/>
      <c r="S128" s="18"/>
      <c r="T128" s="18"/>
      <c r="U128" s="18"/>
      <c r="V128" s="43"/>
      <c r="W128" s="18"/>
      <c r="X128" s="18"/>
    </row>
    <row r="129" spans="1:24" x14ac:dyDescent="0.25">
      <c r="A129" s="9"/>
      <c r="B129" s="53">
        <v>43756.452291550922</v>
      </c>
      <c r="D129" s="18"/>
      <c r="E129" s="18"/>
      <c r="G129" s="18"/>
      <c r="H129" s="18"/>
      <c r="I129" s="18"/>
      <c r="J129" s="43"/>
      <c r="K129" s="18"/>
      <c r="L129" s="18"/>
      <c r="M129" s="18"/>
      <c r="P129" s="18"/>
      <c r="Q129" s="18"/>
      <c r="R129" s="43"/>
      <c r="S129" s="18"/>
      <c r="T129" s="18"/>
      <c r="U129" s="18"/>
      <c r="V129" s="43"/>
      <c r="W129" s="18"/>
      <c r="X129" s="18"/>
    </row>
    <row r="130" spans="1:24" x14ac:dyDescent="0.25">
      <c r="A130" s="9"/>
      <c r="B130" s="55" t="s">
        <v>314</v>
      </c>
      <c r="D130" s="18"/>
      <c r="E130" s="18"/>
      <c r="G130" s="18"/>
      <c r="H130" s="18"/>
      <c r="I130" s="18"/>
      <c r="J130" s="43"/>
      <c r="K130" s="18"/>
      <c r="L130" s="18"/>
      <c r="M130" s="18"/>
      <c r="P130" s="18"/>
      <c r="Q130" s="18"/>
      <c r="R130" s="43"/>
      <c r="S130" s="18"/>
      <c r="T130" s="18"/>
      <c r="U130" s="18"/>
      <c r="V130" s="43"/>
      <c r="W130" s="18"/>
      <c r="X130" s="18"/>
    </row>
    <row r="131" spans="1:24" x14ac:dyDescent="0.25">
      <c r="A131" s="9"/>
      <c r="B131" s="56"/>
      <c r="D131" s="18"/>
      <c r="E131" s="18"/>
      <c r="G131" s="18"/>
      <c r="H131" s="18"/>
      <c r="I131" s="18"/>
      <c r="J131" s="43"/>
      <c r="K131" s="18"/>
      <c r="L131" s="18"/>
      <c r="M131" s="18"/>
      <c r="P131" s="18"/>
      <c r="Q131" s="18"/>
      <c r="R131" s="43"/>
      <c r="S131" s="18"/>
      <c r="T131" s="18"/>
      <c r="U131" s="18"/>
      <c r="V131" s="43"/>
      <c r="W131" s="18"/>
      <c r="X131" s="18"/>
    </row>
    <row r="132" spans="1:24" x14ac:dyDescent="0.25">
      <c r="D132" s="18"/>
      <c r="E132" s="18"/>
      <c r="G132" s="18"/>
      <c r="H132" s="18"/>
      <c r="I132" s="18"/>
      <c r="J132" s="43"/>
      <c r="K132" s="18"/>
      <c r="L132" s="18"/>
      <c r="M132" s="18"/>
      <c r="P132" s="18"/>
      <c r="Q132" s="18"/>
      <c r="R132" s="43"/>
      <c r="S132" s="18"/>
      <c r="T132" s="18"/>
      <c r="U132" s="18"/>
      <c r="V132" s="43"/>
      <c r="W132" s="18"/>
      <c r="X132" s="18"/>
    </row>
  </sheetData>
  <pageMargins left="0.25" right="0.25" top="0.75" bottom="0.75" header="0.3" footer="0.3"/>
  <pageSetup scale="55" fitToWidth="2" orientation="landscape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1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str">
        <f>CONCATENATE("Period ",RIGHT(202003,2),", ",2020)</f>
        <v>Period 03, 2020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43736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tr">
        <f>CONCATENATE("Department ","324", " - ", "Textbook Rental")</f>
        <v>Department 324 - Textbook Rental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183381.88</v>
      </c>
      <c r="E12" s="4"/>
      <c r="F12" s="12"/>
      <c r="G12" s="4"/>
      <c r="H12" s="4">
        <f>SUM(OSRRefH13x_0)</f>
        <v>211000</v>
      </c>
      <c r="I12" s="4"/>
      <c r="J12" s="12"/>
      <c r="K12" s="4"/>
      <c r="L12" s="4">
        <f t="shared" ref="L12:L15" si="0">+D12-H12</f>
        <v>-27618.119999999995</v>
      </c>
      <c r="M12" s="4"/>
      <c r="N12" s="12">
        <f t="shared" ref="N12:N15" si="1">IF(H12=0,0,L12/H12)</f>
        <v>-0.13089156398104262</v>
      </c>
      <c r="O12" s="10"/>
      <c r="P12" s="4">
        <f>SUM(OSRRefP13x_0)</f>
        <v>890046.51</v>
      </c>
      <c r="Q12" s="4"/>
      <c r="R12" s="12"/>
      <c r="S12" s="4"/>
      <c r="T12" s="4">
        <f>SUM(OSRRefT13x_0)</f>
        <v>1042500</v>
      </c>
      <c r="U12" s="4"/>
      <c r="V12" s="12"/>
      <c r="W12" s="4"/>
      <c r="X12" s="4">
        <f t="shared" ref="X12:X15" si="2">+P12-T12</f>
        <v>-152453.49</v>
      </c>
      <c r="Y12" s="4"/>
      <c r="Z12" s="12">
        <f t="shared" ref="Z12:Z15" si="3">IF(T12=0,0,X12/T12)</f>
        <v>-0.1462383597122302</v>
      </c>
    </row>
    <row r="13" spans="1:26" s="24" customFormat="1" hidden="1" outlineLevel="1" x14ac:dyDescent="0.25">
      <c r="A13" s="46"/>
      <c r="B13" s="11" t="str">
        <f>CONCATENATE("          ", "4001", " - ", "TAXABLE SALES-NEW TEXT")</f>
        <v xml:space="preserve">          4001 - TAXABLE SALES-NEW TEXT</v>
      </c>
      <c r="C13" s="11"/>
      <c r="D13" s="2">
        <f>--69591.88</f>
        <v>69591.88</v>
      </c>
      <c r="E13" s="2"/>
      <c r="F13" s="19"/>
      <c r="G13" s="2"/>
      <c r="H13" s="2"/>
      <c r="I13" s="2"/>
      <c r="J13" s="19"/>
      <c r="K13" s="2"/>
      <c r="L13" s="2">
        <f t="shared" si="0"/>
        <v>69591.88</v>
      </c>
      <c r="M13" s="2"/>
      <c r="N13" s="19">
        <f t="shared" si="1"/>
        <v>0</v>
      </c>
      <c r="O13" s="11"/>
      <c r="P13" s="2">
        <f>--251705.61</f>
        <v>251705.61</v>
      </c>
      <c r="Q13" s="2"/>
      <c r="R13" s="19"/>
      <c r="S13" s="2"/>
      <c r="T13" s="2"/>
      <c r="U13" s="2"/>
      <c r="V13" s="19"/>
      <c r="W13" s="2"/>
      <c r="X13" s="2">
        <f t="shared" si="2"/>
        <v>251705.61</v>
      </c>
      <c r="Y13" s="2"/>
      <c r="Z13" s="19">
        <f t="shared" si="3"/>
        <v>0</v>
      </c>
    </row>
    <row r="14" spans="1:26" s="24" customFormat="1" hidden="1" outlineLevel="1" x14ac:dyDescent="0.25">
      <c r="A14" s="46"/>
      <c r="B14" s="11" t="str">
        <f>CONCATENATE("          ", "4002", " - ", "TAXABLE SALES-USED TEXT")</f>
        <v xml:space="preserve">          4002 - TAXABLE SALES-USED TEXT</v>
      </c>
      <c r="C14" s="11"/>
      <c r="D14" s="2">
        <f>--47636.66</f>
        <v>47636.66</v>
      </c>
      <c r="E14" s="2"/>
      <c r="F14" s="19"/>
      <c r="G14" s="2"/>
      <c r="H14" s="2"/>
      <c r="I14" s="2"/>
      <c r="J14" s="19"/>
      <c r="K14" s="2"/>
      <c r="L14" s="2">
        <f t="shared" si="0"/>
        <v>47636.66</v>
      </c>
      <c r="M14" s="2"/>
      <c r="N14" s="19">
        <f t="shared" si="1"/>
        <v>0</v>
      </c>
      <c r="O14" s="11"/>
      <c r="P14" s="2">
        <f>--306673.13</f>
        <v>306673.13</v>
      </c>
      <c r="Q14" s="2"/>
      <c r="R14" s="19"/>
      <c r="S14" s="2"/>
      <c r="T14" s="2"/>
      <c r="U14" s="2"/>
      <c r="V14" s="19"/>
      <c r="W14" s="2"/>
      <c r="X14" s="2">
        <f t="shared" si="2"/>
        <v>306673.13</v>
      </c>
      <c r="Y14" s="2"/>
      <c r="Z14" s="19">
        <f t="shared" si="3"/>
        <v>0</v>
      </c>
    </row>
    <row r="15" spans="1:26" s="24" customFormat="1" hidden="1" outlineLevel="1" x14ac:dyDescent="0.25">
      <c r="A15" s="46"/>
      <c r="B15" s="11" t="str">
        <f>CONCATENATE("          ", "4100", " - ", "NON-TAXABLE SALES")</f>
        <v xml:space="preserve">          4100 - NON-TAXABLE SALES</v>
      </c>
      <c r="C15" s="11"/>
      <c r="D15" s="2">
        <f>--66153.34</f>
        <v>66153.34</v>
      </c>
      <c r="E15" s="2"/>
      <c r="F15" s="19"/>
      <c r="G15" s="2"/>
      <c r="H15" s="2">
        <v>211000</v>
      </c>
      <c r="I15" s="2"/>
      <c r="J15" s="19"/>
      <c r="K15" s="2"/>
      <c r="L15" s="2">
        <f t="shared" si="0"/>
        <v>-144846.66</v>
      </c>
      <c r="M15" s="2"/>
      <c r="N15" s="19">
        <f t="shared" si="1"/>
        <v>-0.68647706161137445</v>
      </c>
      <c r="O15" s="11"/>
      <c r="P15" s="2">
        <f>--331667.77</f>
        <v>331667.77</v>
      </c>
      <c r="Q15" s="2"/>
      <c r="R15" s="19"/>
      <c r="S15" s="2"/>
      <c r="T15" s="2">
        <v>1042500</v>
      </c>
      <c r="U15" s="2"/>
      <c r="V15" s="19"/>
      <c r="W15" s="2"/>
      <c r="X15" s="2">
        <f t="shared" si="2"/>
        <v>-710832.23</v>
      </c>
      <c r="Y15" s="2"/>
      <c r="Z15" s="19">
        <f t="shared" si="3"/>
        <v>-0.68185345803357311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139639.65000000002</v>
      </c>
      <c r="E17" s="4"/>
      <c r="F17" s="12">
        <f t="shared" ref="F17:F20" si="4">IF(D$12=0,0,D17/D$12)</f>
        <v>0.76146918114265172</v>
      </c>
      <c r="G17" s="4"/>
      <c r="H17" s="4">
        <f>SUM(OSRRefH16x_0)</f>
        <v>161445.41</v>
      </c>
      <c r="I17" s="4"/>
      <c r="J17" s="12">
        <f t="shared" ref="J17:J20" si="5">IF(H$12=0,0,H17/H$12)</f>
        <v>0.76514412322274883</v>
      </c>
      <c r="K17" s="4"/>
      <c r="L17" s="4">
        <f t="shared" ref="L17:L20" si="6">+D17-H17</f>
        <v>-21805.75999999998</v>
      </c>
      <c r="M17" s="4"/>
      <c r="N17" s="12">
        <f t="shared" ref="N17:N20" si="7">IF(H17=0,0,L17/H17)</f>
        <v>-0.13506584052157308</v>
      </c>
      <c r="O17" s="10"/>
      <c r="P17" s="4">
        <f>SUM(OSRRefP16x_0)</f>
        <v>674360.63</v>
      </c>
      <c r="Q17" s="4"/>
      <c r="R17" s="12">
        <f t="shared" ref="R17:R20" si="8">IF(P$12=0,0,P17/P$12)</f>
        <v>0.75766897844473313</v>
      </c>
      <c r="S17" s="4"/>
      <c r="T17" s="4">
        <f>SUM(OSRRefT16x_0)</f>
        <v>759733.65</v>
      </c>
      <c r="U17" s="4"/>
      <c r="V17" s="12">
        <f t="shared" ref="V17:V20" si="9">IF(T$12=0,0,T17/T$12)</f>
        <v>0.72876129496402875</v>
      </c>
      <c r="W17" s="4"/>
      <c r="X17" s="4">
        <f t="shared" ref="X17:X20" si="10">+P17-T17</f>
        <v>-85373.020000000019</v>
      </c>
      <c r="Y17" s="4"/>
      <c r="Z17" s="12">
        <f t="shared" ref="Z17:Z20" si="11">IF(T17=0,0,X17/T17)</f>
        <v>-0.11237230310912254</v>
      </c>
    </row>
    <row r="18" spans="1:26" s="24" customFormat="1" hidden="1" outlineLevel="1" x14ac:dyDescent="0.25">
      <c r="A18" s="46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4"/>
        <v>0</v>
      </c>
      <c r="G18" s="2"/>
      <c r="H18" s="2">
        <v>161445.41</v>
      </c>
      <c r="I18" s="2"/>
      <c r="J18" s="19">
        <f t="shared" si="5"/>
        <v>0.76514412322274883</v>
      </c>
      <c r="K18" s="2"/>
      <c r="L18" s="2">
        <f t="shared" si="6"/>
        <v>-161445.41</v>
      </c>
      <c r="M18" s="2"/>
      <c r="N18" s="19">
        <f t="shared" si="7"/>
        <v>-1</v>
      </c>
      <c r="O18" s="11"/>
      <c r="P18" s="2"/>
      <c r="Q18" s="2"/>
      <c r="R18" s="19">
        <f t="shared" si="8"/>
        <v>0</v>
      </c>
      <c r="S18" s="2"/>
      <c r="T18" s="2">
        <v>759733.65</v>
      </c>
      <c r="U18" s="2"/>
      <c r="V18" s="19">
        <f t="shared" si="9"/>
        <v>0.72876129496402875</v>
      </c>
      <c r="W18" s="2"/>
      <c r="X18" s="2">
        <f t="shared" si="10"/>
        <v>-759733.65</v>
      </c>
      <c r="Y18" s="2"/>
      <c r="Z18" s="19">
        <f t="shared" si="11"/>
        <v>-1</v>
      </c>
    </row>
    <row r="19" spans="1:26" s="24" customFormat="1" hidden="1" outlineLevel="1" x14ac:dyDescent="0.25">
      <c r="A19" s="46"/>
      <c r="B19" s="11" t="str">
        <f>CONCATENATE("          ", "5001", " - ", "PURCHASES @ COST-NEW TEXT")</f>
        <v xml:space="preserve">          5001 - PURCHASES @ COST-NEW TEXT</v>
      </c>
      <c r="C19" s="11"/>
      <c r="D19" s="2">
        <v>84729.400000000009</v>
      </c>
      <c r="E19" s="2"/>
      <c r="F19" s="19">
        <f t="shared" si="4"/>
        <v>0.46203801596973487</v>
      </c>
      <c r="G19" s="2"/>
      <c r="H19" s="2"/>
      <c r="I19" s="2"/>
      <c r="J19" s="19">
        <f t="shared" si="5"/>
        <v>0</v>
      </c>
      <c r="K19" s="2"/>
      <c r="L19" s="2">
        <f t="shared" si="6"/>
        <v>84729.400000000009</v>
      </c>
      <c r="M19" s="2"/>
      <c r="N19" s="19">
        <f t="shared" si="7"/>
        <v>0</v>
      </c>
      <c r="O19" s="11"/>
      <c r="P19" s="2">
        <v>302957.5</v>
      </c>
      <c r="Q19" s="2"/>
      <c r="R19" s="19">
        <f t="shared" si="8"/>
        <v>0.34038389746621217</v>
      </c>
      <c r="S19" s="2"/>
      <c r="T19" s="2"/>
      <c r="U19" s="2"/>
      <c r="V19" s="19">
        <f t="shared" si="9"/>
        <v>0</v>
      </c>
      <c r="W19" s="2"/>
      <c r="X19" s="2">
        <f t="shared" si="10"/>
        <v>302957.5</v>
      </c>
      <c r="Y19" s="2"/>
      <c r="Z19" s="19">
        <f t="shared" si="11"/>
        <v>0</v>
      </c>
    </row>
    <row r="20" spans="1:26" s="24" customFormat="1" hidden="1" outlineLevel="1" x14ac:dyDescent="0.25">
      <c r="A20" s="46"/>
      <c r="B20" s="11" t="str">
        <f>CONCATENATE("          ", "5002", " - ", "PURCHASES @ COST-USED TEXT")</f>
        <v xml:space="preserve">          5002 - PURCHASES @ COST-USED TEXT</v>
      </c>
      <c r="C20" s="11"/>
      <c r="D20" s="2">
        <v>54910.25</v>
      </c>
      <c r="E20" s="2"/>
      <c r="F20" s="19">
        <f t="shared" si="4"/>
        <v>0.29943116517291674</v>
      </c>
      <c r="G20" s="2"/>
      <c r="H20" s="2"/>
      <c r="I20" s="2"/>
      <c r="J20" s="19">
        <f t="shared" si="5"/>
        <v>0</v>
      </c>
      <c r="K20" s="2"/>
      <c r="L20" s="2">
        <f t="shared" si="6"/>
        <v>54910.25</v>
      </c>
      <c r="M20" s="2"/>
      <c r="N20" s="19">
        <f t="shared" si="7"/>
        <v>0</v>
      </c>
      <c r="O20" s="11"/>
      <c r="P20" s="2">
        <v>371403.13</v>
      </c>
      <c r="Q20" s="2"/>
      <c r="R20" s="19">
        <f t="shared" si="8"/>
        <v>0.41728508097852102</v>
      </c>
      <c r="S20" s="2"/>
      <c r="T20" s="2"/>
      <c r="U20" s="2"/>
      <c r="V20" s="19">
        <f t="shared" si="9"/>
        <v>0</v>
      </c>
      <c r="W20" s="2"/>
      <c r="X20" s="2">
        <f t="shared" si="10"/>
        <v>371403.13</v>
      </c>
      <c r="Y20" s="2"/>
      <c r="Z20" s="19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6</v>
      </c>
      <c r="C22" s="29"/>
      <c r="D22" s="22">
        <f>D12-D17</f>
        <v>43742.229999999981</v>
      </c>
      <c r="E22" s="14"/>
      <c r="F22" s="20">
        <f>IF(D$12=0,0,D22/D$12)</f>
        <v>0.23853081885734828</v>
      </c>
      <c r="G22" s="14"/>
      <c r="H22" s="22">
        <f>H12-H17</f>
        <v>49554.59</v>
      </c>
      <c r="I22" s="14"/>
      <c r="J22" s="20">
        <f>IF(H$12=0,0,H22/H$12)</f>
        <v>0.23485587677725117</v>
      </c>
      <c r="K22" s="15"/>
      <c r="L22" s="22">
        <f>+D22-H22</f>
        <v>-5812.3600000000151</v>
      </c>
      <c r="M22" s="15"/>
      <c r="N22" s="20">
        <f>IF(H22=0,0,L22/H22)</f>
        <v>-0.1172920611390391</v>
      </c>
      <c r="O22" s="28"/>
      <c r="P22" s="22">
        <f>P12-P17</f>
        <v>215685.88</v>
      </c>
      <c r="Q22" s="14"/>
      <c r="R22" s="20">
        <f>IF(P$12=0,0,P22/P$12)</f>
        <v>0.24233102155526681</v>
      </c>
      <c r="S22" s="14"/>
      <c r="T22" s="22">
        <f>T12-T17</f>
        <v>282766.34999999998</v>
      </c>
      <c r="U22" s="14"/>
      <c r="V22" s="20">
        <f>IF(T$12=0,0,T22/T$12)</f>
        <v>0.27123870503597119</v>
      </c>
      <c r="W22" s="15"/>
      <c r="X22" s="22">
        <f>+P22-T22</f>
        <v>-67080.469999999972</v>
      </c>
      <c r="Y22" s="15"/>
      <c r="Z22" s="20">
        <f>IF(T22=0,0,X22/T22)</f>
        <v>-0.23722932378622838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9</v>
      </c>
      <c r="C24" s="10"/>
      <c r="D24" s="21">
        <f>SUM(0)</f>
        <v>0</v>
      </c>
      <c r="E24" s="21"/>
      <c r="F24" s="33">
        <f>IF(D$12=0,0,D24/D$12)</f>
        <v>0</v>
      </c>
      <c r="G24" s="21"/>
      <c r="H24" s="21">
        <f>SUM(0)</f>
        <v>0</v>
      </c>
      <c r="I24" s="21"/>
      <c r="J24" s="33">
        <f>IF(H$12=0,0,H24/H$12)</f>
        <v>0</v>
      </c>
      <c r="K24" s="4"/>
      <c r="L24" s="21">
        <f>+D24-H24</f>
        <v>0</v>
      </c>
      <c r="M24" s="4"/>
      <c r="N24" s="33">
        <f>IF(H24=0,0,L24/H24)</f>
        <v>0</v>
      </c>
      <c r="O24" s="10"/>
      <c r="P24" s="21">
        <f>SUM(0)</f>
        <v>0</v>
      </c>
      <c r="Q24" s="21"/>
      <c r="R24" s="33">
        <f>IF(P$12=0,0,P24/P$12)</f>
        <v>0</v>
      </c>
      <c r="S24" s="21"/>
      <c r="T24" s="21">
        <f>SUM(0)</f>
        <v>0</v>
      </c>
      <c r="U24" s="21"/>
      <c r="V24" s="33">
        <f>IF(T$12=0,0,T24/T$12)</f>
        <v>0</v>
      </c>
      <c r="W24" s="4"/>
      <c r="X24" s="21">
        <f>+P24-T24</f>
        <v>0</v>
      </c>
      <c r="Y24" s="4"/>
      <c r="Z24" s="33">
        <f>IF(T24=0,0,X24/T24)</f>
        <v>0</v>
      </c>
    </row>
    <row r="25" spans="1:26" s="63" customFormat="1" x14ac:dyDescent="0.25">
      <c r="A25" s="36"/>
      <c r="B25" s="36"/>
      <c r="C25" s="36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6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8" t="s">
        <v>0</v>
      </c>
      <c r="C26" s="10"/>
      <c r="D26" s="4">
        <f>SUM(0)</f>
        <v>0</v>
      </c>
      <c r="E26" s="4"/>
      <c r="F26" s="12">
        <f>IF(D$12=0,0,D26/D$12)</f>
        <v>0</v>
      </c>
      <c r="G26" s="4"/>
      <c r="H26" s="4">
        <f>SUM(0)</f>
        <v>0</v>
      </c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>
        <f>SUM(0)</f>
        <v>0</v>
      </c>
      <c r="Q26" s="4"/>
      <c r="R26" s="12">
        <f>IF(P$12=0,0,P26/P$12)</f>
        <v>0</v>
      </c>
      <c r="S26" s="4"/>
      <c r="T26" s="4">
        <f>SUM(0)</f>
        <v>0</v>
      </c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9" t="s">
        <v>3</v>
      </c>
      <c r="C28" s="29"/>
      <c r="D28" s="22">
        <f>+D22-D24+D26</f>
        <v>43742.229999999981</v>
      </c>
      <c r="E28" s="14"/>
      <c r="F28" s="20">
        <f>IF(D$12=0,0,D28/D$12)</f>
        <v>0.23853081885734828</v>
      </c>
      <c r="G28" s="14"/>
      <c r="H28" s="22">
        <f>+H22-H24+H26</f>
        <v>49554.59</v>
      </c>
      <c r="I28" s="14"/>
      <c r="J28" s="20">
        <f>IF(H$12=0,0,H28/H$12)</f>
        <v>0.23485587677725117</v>
      </c>
      <c r="K28" s="15"/>
      <c r="L28" s="22">
        <f>+D28-H28</f>
        <v>-5812.3600000000151</v>
      </c>
      <c r="M28" s="15"/>
      <c r="N28" s="20">
        <f>IF(H28=0,0,L28/H28)</f>
        <v>-0.1172920611390391</v>
      </c>
      <c r="O28" s="28"/>
      <c r="P28" s="22">
        <f>+P22-P24+P26</f>
        <v>215685.88</v>
      </c>
      <c r="Q28" s="14"/>
      <c r="R28" s="20">
        <f>IF(P$12=0,0,P28/P$12)</f>
        <v>0.24233102155526681</v>
      </c>
      <c r="S28" s="14"/>
      <c r="T28" s="22">
        <f>+T22-T24+T26</f>
        <v>282766.34999999998</v>
      </c>
      <c r="U28" s="14"/>
      <c r="V28" s="20">
        <f>IF(T$12=0,0,T28/T$12)</f>
        <v>0.27123870503597119</v>
      </c>
      <c r="W28" s="15"/>
      <c r="X28" s="22">
        <f>+P28-T28</f>
        <v>-67080.469999999972</v>
      </c>
      <c r="Y28" s="15"/>
      <c r="Z28" s="20">
        <f>IF(T28=0,0,X28/T28)</f>
        <v>-0.23722932378622838</v>
      </c>
    </row>
    <row r="29" spans="1:26" x14ac:dyDescent="0.25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52"/>
      <c r="B30" s="10" t="s">
        <v>14</v>
      </c>
      <c r="C30" s="10"/>
      <c r="D30" s="4">
        <v>7494.6</v>
      </c>
      <c r="E30" s="4"/>
      <c r="F30" s="12">
        <f>IF(D$12=0,0,D30/D$12)</f>
        <v>4.0868814301609296E-2</v>
      </c>
      <c r="G30" s="4"/>
      <c r="H30" s="4">
        <v>-3178</v>
      </c>
      <c r="I30" s="4"/>
      <c r="J30" s="12">
        <f>IF(H$12=0,0,H30/H$12)</f>
        <v>-1.5061611374407582E-2</v>
      </c>
      <c r="K30" s="4"/>
      <c r="L30" s="4">
        <f>+D30-H30</f>
        <v>10672.6</v>
      </c>
      <c r="M30" s="4"/>
      <c r="N30" s="12">
        <f>IF(H30=0,0,L30/H30)</f>
        <v>-3.3582756450597859</v>
      </c>
      <c r="O30" s="10"/>
      <c r="P30" s="4">
        <v>95602.790000000008</v>
      </c>
      <c r="Q30" s="4"/>
      <c r="R30" s="12">
        <f>IF(P$12=0,0,P30/P$12)</f>
        <v>0.10741325192095862</v>
      </c>
      <c r="S30" s="4"/>
      <c r="T30" s="4">
        <v>131860</v>
      </c>
      <c r="U30" s="4"/>
      <c r="V30" s="12">
        <f>IF(T$12=0,0,T30/T$12)</f>
        <v>0.12648441247002398</v>
      </c>
      <c r="W30" s="4"/>
      <c r="X30" s="4">
        <f>+P30-T30</f>
        <v>-36257.209999999992</v>
      </c>
      <c r="Y30" s="4"/>
      <c r="Z30" s="12">
        <f>IF(T30=0,0,X30/T30)</f>
        <v>-0.27496746549370538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ht="15.75" thickBot="1" x14ac:dyDescent="0.3">
      <c r="A32" s="10"/>
      <c r="B32" s="29" t="s">
        <v>4</v>
      </c>
      <c r="C32" s="29"/>
      <c r="D32" s="35">
        <f>+D28-D30</f>
        <v>36247.629999999983</v>
      </c>
      <c r="E32" s="14"/>
      <c r="F32" s="32">
        <f>IF(D$12=0,0,D32/D$12)</f>
        <v>0.19766200455573898</v>
      </c>
      <c r="G32" s="14"/>
      <c r="H32" s="35">
        <f>+H28-H30</f>
        <v>52732.59</v>
      </c>
      <c r="I32" s="14"/>
      <c r="J32" s="32">
        <f>IF(H$12=0,0,H32/H$12)</f>
        <v>0.24991748815165876</v>
      </c>
      <c r="K32" s="15"/>
      <c r="L32" s="35">
        <f>D32-H32</f>
        <v>-16484.960000000014</v>
      </c>
      <c r="M32" s="15"/>
      <c r="N32" s="32">
        <f>IF(H32=0,0,L32/H32)</f>
        <v>-0.31261426757153432</v>
      </c>
      <c r="O32" s="28"/>
      <c r="P32" s="35">
        <f>+P28-P30</f>
        <v>120083.09</v>
      </c>
      <c r="Q32" s="14"/>
      <c r="R32" s="32">
        <f>IF(P$12=0,0,P32/P$12)</f>
        <v>0.13491776963430821</v>
      </c>
      <c r="S32" s="14"/>
      <c r="T32" s="35">
        <f>+T28-T30</f>
        <v>150906.34999999998</v>
      </c>
      <c r="U32" s="14"/>
      <c r="V32" s="32">
        <f>IF(T$12=0,0,T32/T$12)</f>
        <v>0.14475429256594721</v>
      </c>
      <c r="W32" s="15"/>
      <c r="X32" s="35">
        <f>P32-T32</f>
        <v>-30823.25999999998</v>
      </c>
      <c r="Y32" s="15"/>
      <c r="Z32" s="32">
        <f>IF(T32=0,0,X32/T32)</f>
        <v>-0.20425422787046393</v>
      </c>
    </row>
    <row r="33" spans="1:26" ht="15.75" thickTop="1" x14ac:dyDescent="0.25">
      <c r="A33" s="9"/>
      <c r="B33" s="9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x14ac:dyDescent="0.25">
      <c r="A34" s="9"/>
      <c r="B34" s="9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ht="15.75" thickBot="1" x14ac:dyDescent="0.3">
      <c r="A35" s="10"/>
      <c r="B35" s="29" t="s">
        <v>5</v>
      </c>
      <c r="C35" s="29"/>
      <c r="D35" s="30">
        <f>SUM(D32:D34)</f>
        <v>36247.629999999983</v>
      </c>
      <c r="E35" s="14"/>
      <c r="F35" s="31">
        <f>IF(D$12=0,0,D35/D$12)</f>
        <v>0.19766200455573898</v>
      </c>
      <c r="G35" s="14"/>
      <c r="H35" s="30">
        <f>SUM(H32:H34)</f>
        <v>52732.59</v>
      </c>
      <c r="I35" s="14"/>
      <c r="J35" s="31">
        <f>IF(H$12=0,0,H35/H$12)</f>
        <v>0.24991748815165876</v>
      </c>
      <c r="K35" s="15"/>
      <c r="L35" s="30">
        <f>+D35-H35</f>
        <v>-16484.960000000014</v>
      </c>
      <c r="M35" s="15"/>
      <c r="N35" s="31">
        <f>IF(H35=0,0,L35/H35)</f>
        <v>-0.31261426757153432</v>
      </c>
      <c r="O35" s="28"/>
      <c r="P35" s="30">
        <f>SUM(P32:P34)</f>
        <v>120083.09</v>
      </c>
      <c r="Q35" s="14"/>
      <c r="R35" s="31">
        <f>IF(P$12=0,0,P35/P$12)</f>
        <v>0.13491776963430821</v>
      </c>
      <c r="S35" s="14"/>
      <c r="T35" s="30">
        <f>SUM(T32:T34)</f>
        <v>150906.34999999998</v>
      </c>
      <c r="U35" s="14"/>
      <c r="V35" s="31">
        <f>IF(T$12=0,0,T35/T$12)</f>
        <v>0.14475429256594721</v>
      </c>
      <c r="W35" s="15"/>
      <c r="X35" s="30">
        <f>+P35-T35</f>
        <v>-30823.25999999998</v>
      </c>
      <c r="Y35" s="15"/>
      <c r="Z35" s="31">
        <f>IF(T35=0,0,X35/T35)</f>
        <v>-0.20425422787046393</v>
      </c>
    </row>
    <row r="36" spans="1:26" ht="15.75" thickTop="1" x14ac:dyDescent="0.25">
      <c r="A36" s="9"/>
      <c r="C36" s="9"/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  <row r="37" spans="1:26" x14ac:dyDescent="0.25">
      <c r="A37" s="9"/>
      <c r="B37" s="53">
        <v>43756.452481909721</v>
      </c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5" t="s">
        <v>314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/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</sheetData>
  <pageMargins left="0.25" right="0.25" top="0.75" bottom="0.75" header="0.3" footer="0.3"/>
  <pageSetup scale="55" fitToWidth="2" orientation="landscape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6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str">
        <f>CONCATENATE("Period ",RIGHT(202003,2),", ",2020)</f>
        <v>Period 03, 2020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43736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">
        <v>304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304831.60000000015</v>
      </c>
      <c r="E12" s="4"/>
      <c r="F12" s="12"/>
      <c r="G12" s="4"/>
      <c r="H12" s="4">
        <f>SUM(OSRRefH13x_0)</f>
        <v>298081.83875</v>
      </c>
      <c r="I12" s="4"/>
      <c r="J12" s="12"/>
      <c r="K12" s="4"/>
      <c r="L12" s="4">
        <f t="shared" ref="L12:L39" si="0">+D12-H12</f>
        <v>6749.761250000156</v>
      </c>
      <c r="M12" s="4"/>
      <c r="N12" s="12">
        <f t="shared" ref="N12:N39" si="1">IF(H12=0,0,L12/H12)</f>
        <v>2.2643986894019238E-2</v>
      </c>
      <c r="O12" s="10"/>
      <c r="P12" s="4">
        <f>SUM(OSRRefP13x_0)</f>
        <v>859583.44000000018</v>
      </c>
      <c r="Q12" s="4"/>
      <c r="R12" s="12"/>
      <c r="S12" s="4"/>
      <c r="T12" s="4">
        <f>SUM(OSRRefT13x_0)</f>
        <v>829106.27520000003</v>
      </c>
      <c r="U12" s="4"/>
      <c r="V12" s="12"/>
      <c r="W12" s="4"/>
      <c r="X12" s="4">
        <f t="shared" ref="X12:X39" si="2">+P12-T12</f>
        <v>30477.164800000144</v>
      </c>
      <c r="Y12" s="4"/>
      <c r="Z12" s="12">
        <f t="shared" ref="Z12:Z39" si="3">IF(T12=0,0,X12/T12)</f>
        <v>3.6759056964860544E-2</v>
      </c>
    </row>
    <row r="13" spans="1:26" s="24" customFormat="1" hidden="1" outlineLevel="1" x14ac:dyDescent="0.25">
      <c r="A13" s="46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298081.83875</v>
      </c>
      <c r="I13" s="2"/>
      <c r="J13" s="19"/>
      <c r="K13" s="2"/>
      <c r="L13" s="2">
        <f t="shared" si="0"/>
        <v>-298081.83875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829106.27520000003</v>
      </c>
      <c r="U13" s="2"/>
      <c r="V13" s="19"/>
      <c r="W13" s="2"/>
      <c r="X13" s="2">
        <f t="shared" si="2"/>
        <v>-829106.27520000003</v>
      </c>
      <c r="Y13" s="2"/>
      <c r="Z13" s="19">
        <f t="shared" si="3"/>
        <v>-1</v>
      </c>
    </row>
    <row r="14" spans="1:26" s="24" customFormat="1" hidden="1" outlineLevel="1" x14ac:dyDescent="0.25">
      <c r="A14" s="46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--19.16</f>
        <v>19.16</v>
      </c>
      <c r="E14" s="2"/>
      <c r="F14" s="19"/>
      <c r="G14" s="2"/>
      <c r="H14" s="2"/>
      <c r="I14" s="2"/>
      <c r="J14" s="19"/>
      <c r="K14" s="2"/>
      <c r="L14" s="2">
        <f t="shared" si="0"/>
        <v>19.16</v>
      </c>
      <c r="M14" s="2"/>
      <c r="N14" s="19">
        <f t="shared" si="1"/>
        <v>0</v>
      </c>
      <c r="O14" s="11"/>
      <c r="P14" s="2">
        <f>--83.72</f>
        <v>83.72</v>
      </c>
      <c r="Q14" s="2"/>
      <c r="R14" s="19"/>
      <c r="S14" s="2"/>
      <c r="T14" s="2"/>
      <c r="U14" s="2"/>
      <c r="V14" s="19"/>
      <c r="W14" s="2"/>
      <c r="X14" s="2">
        <f t="shared" si="2"/>
        <v>83.72</v>
      </c>
      <c r="Y14" s="2"/>
      <c r="Z14" s="19">
        <f t="shared" si="3"/>
        <v>0</v>
      </c>
    </row>
    <row r="15" spans="1:26" s="24" customFormat="1" hidden="1" outlineLevel="1" x14ac:dyDescent="0.25">
      <c r="A15" s="46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--7.48</f>
        <v>7.48</v>
      </c>
      <c r="E15" s="2"/>
      <c r="F15" s="19"/>
      <c r="G15" s="2"/>
      <c r="H15" s="2"/>
      <c r="I15" s="2"/>
      <c r="J15" s="19"/>
      <c r="K15" s="2"/>
      <c r="L15" s="2">
        <f t="shared" si="0"/>
        <v>7.48</v>
      </c>
      <c r="M15" s="2"/>
      <c r="N15" s="19">
        <f t="shared" si="1"/>
        <v>0</v>
      </c>
      <c r="O15" s="11"/>
      <c r="P15" s="2">
        <f>--47.91</f>
        <v>47.91</v>
      </c>
      <c r="Q15" s="2"/>
      <c r="R15" s="19"/>
      <c r="S15" s="2"/>
      <c r="T15" s="2"/>
      <c r="U15" s="2"/>
      <c r="V15" s="19"/>
      <c r="W15" s="2"/>
      <c r="X15" s="2">
        <f t="shared" si="2"/>
        <v>47.91</v>
      </c>
      <c r="Y15" s="2"/>
      <c r="Z15" s="19">
        <f t="shared" si="3"/>
        <v>0</v>
      </c>
    </row>
    <row r="16" spans="1:26" s="24" customFormat="1" hidden="1" outlineLevel="1" x14ac:dyDescent="0.25">
      <c r="A16" s="46"/>
      <c r="B16" s="11" t="str">
        <f>CONCATENATE("          ", "4040", " - ", "TAXABLE SALES-LOGO CLOTHING")</f>
        <v xml:space="preserve">          4040 - TAXABLE SALES-LOGO CLOTHING</v>
      </c>
      <c r="C16" s="11"/>
      <c r="D16" s="2">
        <f>--243145.84</f>
        <v>243145.84</v>
      </c>
      <c r="E16" s="2"/>
      <c r="F16" s="19"/>
      <c r="G16" s="2"/>
      <c r="H16" s="2"/>
      <c r="I16" s="2"/>
      <c r="J16" s="19"/>
      <c r="K16" s="2"/>
      <c r="L16" s="2">
        <f t="shared" si="0"/>
        <v>243145.84</v>
      </c>
      <c r="M16" s="2"/>
      <c r="N16" s="19">
        <f t="shared" si="1"/>
        <v>0</v>
      </c>
      <c r="O16" s="11"/>
      <c r="P16" s="2">
        <f>--632899.52</f>
        <v>632899.52</v>
      </c>
      <c r="Q16" s="2"/>
      <c r="R16" s="19"/>
      <c r="S16" s="2"/>
      <c r="T16" s="2"/>
      <c r="U16" s="2"/>
      <c r="V16" s="19"/>
      <c r="W16" s="2"/>
      <c r="X16" s="2">
        <f t="shared" si="2"/>
        <v>632899.52</v>
      </c>
      <c r="Y16" s="2"/>
      <c r="Z16" s="19">
        <f t="shared" si="3"/>
        <v>0</v>
      </c>
    </row>
    <row r="17" spans="1:26" s="24" customFormat="1" hidden="1" outlineLevel="1" x14ac:dyDescent="0.25">
      <c r="A17" s="46"/>
      <c r="B17" s="11" t="str">
        <f>CONCATENATE("          ", "4041", " - ", "TAXABLE SALES-LOGO GIFTS")</f>
        <v xml:space="preserve">          4041 - TAXABLE SALES-LOGO GIFTS</v>
      </c>
      <c r="C17" s="11"/>
      <c r="D17" s="2">
        <f>--29013.8</f>
        <v>29013.8</v>
      </c>
      <c r="E17" s="2"/>
      <c r="F17" s="19"/>
      <c r="G17" s="2"/>
      <c r="H17" s="2"/>
      <c r="I17" s="2"/>
      <c r="J17" s="19"/>
      <c r="K17" s="2"/>
      <c r="L17" s="2">
        <f t="shared" si="0"/>
        <v>29013.8</v>
      </c>
      <c r="M17" s="2"/>
      <c r="N17" s="19">
        <f t="shared" si="1"/>
        <v>0</v>
      </c>
      <c r="O17" s="11"/>
      <c r="P17" s="2">
        <f>--106338.41</f>
        <v>106338.41</v>
      </c>
      <c r="Q17" s="2"/>
      <c r="R17" s="19"/>
      <c r="S17" s="2"/>
      <c r="T17" s="2"/>
      <c r="U17" s="2"/>
      <c r="V17" s="19"/>
      <c r="W17" s="2"/>
      <c r="X17" s="2">
        <f t="shared" si="2"/>
        <v>106338.41</v>
      </c>
      <c r="Y17" s="2"/>
      <c r="Z17" s="19">
        <f t="shared" si="3"/>
        <v>0</v>
      </c>
    </row>
    <row r="18" spans="1:26" s="24" customFormat="1" hidden="1" outlineLevel="1" x14ac:dyDescent="0.25">
      <c r="A18" s="46"/>
      <c r="B18" s="11" t="str">
        <f>CONCATENATE("          ", "4042", " - ", "TAXABLE SALES-EVERYDAY GIFTS")</f>
        <v xml:space="preserve">          4042 - TAXABLE SALES-EVERYDAY GIFTS</v>
      </c>
      <c r="C18" s="11"/>
      <c r="D18" s="2">
        <f>--27398.4</f>
        <v>27398.400000000001</v>
      </c>
      <c r="E18" s="2"/>
      <c r="F18" s="19"/>
      <c r="G18" s="2"/>
      <c r="H18" s="2"/>
      <c r="I18" s="2"/>
      <c r="J18" s="19"/>
      <c r="K18" s="2"/>
      <c r="L18" s="2">
        <f t="shared" si="0"/>
        <v>27398.400000000001</v>
      </c>
      <c r="M18" s="2"/>
      <c r="N18" s="19">
        <f t="shared" si="1"/>
        <v>0</v>
      </c>
      <c r="O18" s="11"/>
      <c r="P18" s="2">
        <f>--75360.38</f>
        <v>75360.38</v>
      </c>
      <c r="Q18" s="2"/>
      <c r="R18" s="19"/>
      <c r="S18" s="2"/>
      <c r="T18" s="2"/>
      <c r="U18" s="2"/>
      <c r="V18" s="19"/>
      <c r="W18" s="2"/>
      <c r="X18" s="2">
        <f t="shared" si="2"/>
        <v>75360.38</v>
      </c>
      <c r="Y18" s="2"/>
      <c r="Z18" s="19">
        <f t="shared" si="3"/>
        <v>0</v>
      </c>
    </row>
    <row r="19" spans="1:26" s="24" customFormat="1" hidden="1" outlineLevel="1" x14ac:dyDescent="0.25">
      <c r="A19" s="46"/>
      <c r="B19" s="11" t="str">
        <f>CONCATENATE("          ", "4043", " - ", "TAXABLE SALES-CARDS")</f>
        <v xml:space="preserve">          4043 - TAXABLE SALES-CARDS</v>
      </c>
      <c r="C19" s="11"/>
      <c r="D19" s="2">
        <f>--253.89</f>
        <v>253.89</v>
      </c>
      <c r="E19" s="2"/>
      <c r="F19" s="19"/>
      <c r="G19" s="2"/>
      <c r="H19" s="2"/>
      <c r="I19" s="2"/>
      <c r="J19" s="19"/>
      <c r="K19" s="2"/>
      <c r="L19" s="2">
        <f t="shared" si="0"/>
        <v>253.89</v>
      </c>
      <c r="M19" s="2"/>
      <c r="N19" s="19">
        <f t="shared" si="1"/>
        <v>0</v>
      </c>
      <c r="O19" s="11"/>
      <c r="P19" s="2">
        <f>--362.08</f>
        <v>362.08</v>
      </c>
      <c r="Q19" s="2"/>
      <c r="R19" s="19"/>
      <c r="S19" s="2"/>
      <c r="T19" s="2"/>
      <c r="U19" s="2"/>
      <c r="V19" s="19"/>
      <c r="W19" s="2"/>
      <c r="X19" s="2">
        <f t="shared" si="2"/>
        <v>362.08</v>
      </c>
      <c r="Y19" s="2"/>
      <c r="Z19" s="19">
        <f t="shared" si="3"/>
        <v>0</v>
      </c>
    </row>
    <row r="20" spans="1:26" s="24" customFormat="1" hidden="1" outlineLevel="1" x14ac:dyDescent="0.25">
      <c r="A20" s="46"/>
      <c r="B20" s="11" t="str">
        <f>CONCATENATE("          ", "4044", " - ", "TAXABLE SALES-ACCESSORIES")</f>
        <v xml:space="preserve">          4044 - TAXABLE SALES-ACCESSORIES</v>
      </c>
      <c r="C20" s="11"/>
      <c r="D20" s="2">
        <f>--6451.34</f>
        <v>6451.34</v>
      </c>
      <c r="E20" s="2"/>
      <c r="F20" s="19"/>
      <c r="G20" s="2"/>
      <c r="H20" s="2"/>
      <c r="I20" s="2"/>
      <c r="J20" s="19"/>
      <c r="K20" s="2"/>
      <c r="L20" s="2">
        <f t="shared" si="0"/>
        <v>6451.34</v>
      </c>
      <c r="M20" s="2"/>
      <c r="N20" s="19">
        <f t="shared" si="1"/>
        <v>0</v>
      </c>
      <c r="O20" s="11"/>
      <c r="P20" s="2">
        <f>--28228.41</f>
        <v>28228.41</v>
      </c>
      <c r="Q20" s="2"/>
      <c r="R20" s="19"/>
      <c r="S20" s="2"/>
      <c r="T20" s="2"/>
      <c r="U20" s="2"/>
      <c r="V20" s="19"/>
      <c r="W20" s="2"/>
      <c r="X20" s="2">
        <f t="shared" si="2"/>
        <v>28228.41</v>
      </c>
      <c r="Y20" s="2"/>
      <c r="Z20" s="19">
        <f t="shared" si="3"/>
        <v>0</v>
      </c>
    </row>
    <row r="21" spans="1:26" s="24" customFormat="1" hidden="1" outlineLevel="1" x14ac:dyDescent="0.25">
      <c r="A21" s="46"/>
      <c r="B21" s="11" t="str">
        <f>CONCATENATE("          ", "4045", " - ", "TAXABLE SALES-SPECIAL ORDERS")</f>
        <v xml:space="preserve">          4045 - TAXABLE SALES-SPECIAL ORDERS</v>
      </c>
      <c r="C21" s="11"/>
      <c r="D21" s="2">
        <f>--5803.07</f>
        <v>5803.07</v>
      </c>
      <c r="E21" s="2"/>
      <c r="F21" s="19"/>
      <c r="G21" s="2"/>
      <c r="H21" s="2"/>
      <c r="I21" s="2"/>
      <c r="J21" s="19"/>
      <c r="K21" s="2"/>
      <c r="L21" s="2">
        <f t="shared" si="0"/>
        <v>5803.07</v>
      </c>
      <c r="M21" s="2"/>
      <c r="N21" s="19">
        <f t="shared" si="1"/>
        <v>0</v>
      </c>
      <c r="O21" s="11"/>
      <c r="P21" s="2">
        <f>--31327.11</f>
        <v>31327.11</v>
      </c>
      <c r="Q21" s="2"/>
      <c r="R21" s="19"/>
      <c r="S21" s="2"/>
      <c r="T21" s="2"/>
      <c r="U21" s="2"/>
      <c r="V21" s="19"/>
      <c r="W21" s="2"/>
      <c r="X21" s="2">
        <f t="shared" si="2"/>
        <v>31327.11</v>
      </c>
      <c r="Y21" s="2"/>
      <c r="Z21" s="19">
        <f t="shared" si="3"/>
        <v>0</v>
      </c>
    </row>
    <row r="22" spans="1:26" s="24" customFormat="1" hidden="1" outlineLevel="1" x14ac:dyDescent="0.25">
      <c r="A22" s="46"/>
      <c r="B22" s="11" t="str">
        <f>CONCATENATE("          ", "4092", " - ", "TAXABLE SALES-GRAD MERCH")</f>
        <v xml:space="preserve">          4092 - TAXABLE SALES-GRAD MERCH</v>
      </c>
      <c r="C22" s="11"/>
      <c r="D22" s="2">
        <f>0</f>
        <v>0</v>
      </c>
      <c r="E22" s="2"/>
      <c r="F22" s="19"/>
      <c r="G22" s="2"/>
      <c r="H22" s="2"/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-39.95</f>
        <v>-39.950000000000003</v>
      </c>
      <c r="Q22" s="2"/>
      <c r="R22" s="19"/>
      <c r="S22" s="2"/>
      <c r="T22" s="2"/>
      <c r="U22" s="2"/>
      <c r="V22" s="19"/>
      <c r="W22" s="2"/>
      <c r="X22" s="2">
        <f t="shared" si="2"/>
        <v>-39.950000000000003</v>
      </c>
      <c r="Y22" s="2"/>
      <c r="Z22" s="19">
        <f t="shared" si="3"/>
        <v>0</v>
      </c>
    </row>
    <row r="23" spans="1:26" s="24" customFormat="1" hidden="1" outlineLevel="1" x14ac:dyDescent="0.25">
      <c r="A23" s="46"/>
      <c r="B23" s="11" t="str">
        <f>CONCATENATE("          ", "4095", " - ", "TAXABLE SALES-CUSTOMER SERVICE")</f>
        <v xml:space="preserve">          4095 - TAXABLE SALES-CUSTOMER SERVICE</v>
      </c>
      <c r="C23" s="11"/>
      <c r="D23" s="2">
        <f>--6.93</f>
        <v>6.93</v>
      </c>
      <c r="E23" s="2"/>
      <c r="F23" s="19"/>
      <c r="G23" s="2"/>
      <c r="H23" s="2"/>
      <c r="I23" s="2"/>
      <c r="J23" s="19"/>
      <c r="K23" s="2"/>
      <c r="L23" s="2">
        <f t="shared" si="0"/>
        <v>6.93</v>
      </c>
      <c r="M23" s="2"/>
      <c r="N23" s="19">
        <f t="shared" si="1"/>
        <v>0</v>
      </c>
      <c r="O23" s="11"/>
      <c r="P23" s="2">
        <f>--23.76</f>
        <v>23.76</v>
      </c>
      <c r="Q23" s="2"/>
      <c r="R23" s="19"/>
      <c r="S23" s="2"/>
      <c r="T23" s="2"/>
      <c r="U23" s="2"/>
      <c r="V23" s="19"/>
      <c r="W23" s="2"/>
      <c r="X23" s="2">
        <f t="shared" si="2"/>
        <v>23.76</v>
      </c>
      <c r="Y23" s="2"/>
      <c r="Z23" s="19">
        <f t="shared" si="3"/>
        <v>0</v>
      </c>
    </row>
    <row r="24" spans="1:26" s="24" customFormat="1" hidden="1" outlineLevel="1" x14ac:dyDescent="0.25">
      <c r="A24" s="46"/>
      <c r="B24" s="11" t="str">
        <f>CONCATENATE("          ", "4137", " - ", "NON-TAXABLE SALES-WATER")</f>
        <v xml:space="preserve">          4137 - NON-TAXABLE SALES-WATER</v>
      </c>
      <c r="C24" s="11"/>
      <c r="D24" s="2">
        <f>--19.5</f>
        <v>19.5</v>
      </c>
      <c r="E24" s="2"/>
      <c r="F24" s="19"/>
      <c r="G24" s="2"/>
      <c r="H24" s="2"/>
      <c r="I24" s="2"/>
      <c r="J24" s="19"/>
      <c r="K24" s="2"/>
      <c r="L24" s="2">
        <f t="shared" si="0"/>
        <v>19.5</v>
      </c>
      <c r="M24" s="2"/>
      <c r="N24" s="19">
        <f t="shared" si="1"/>
        <v>0</v>
      </c>
      <c r="O24" s="11"/>
      <c r="P24" s="2">
        <f>--73.5</f>
        <v>73.5</v>
      </c>
      <c r="Q24" s="2"/>
      <c r="R24" s="19"/>
      <c r="S24" s="2"/>
      <c r="T24" s="2"/>
      <c r="U24" s="2"/>
      <c r="V24" s="19"/>
      <c r="W24" s="2"/>
      <c r="X24" s="2">
        <f t="shared" si="2"/>
        <v>73.5</v>
      </c>
      <c r="Y24" s="2"/>
      <c r="Z24" s="19">
        <f t="shared" si="3"/>
        <v>0</v>
      </c>
    </row>
    <row r="25" spans="1:26" s="24" customFormat="1" hidden="1" outlineLevel="1" x14ac:dyDescent="0.25">
      <c r="A25" s="46"/>
      <c r="B25" s="11" t="str">
        <f>CONCATENATE("          ", "4140", " - ", "NON-TAXABLE SALES-LOGO CLOTHIN")</f>
        <v xml:space="preserve">          4140 - NON-TAXABLE SALES-LOGO CLOTHIN</v>
      </c>
      <c r="C25" s="11"/>
      <c r="D25" s="2">
        <f>--3114.74</f>
        <v>3114.74</v>
      </c>
      <c r="E25" s="2"/>
      <c r="F25" s="19"/>
      <c r="G25" s="2"/>
      <c r="H25" s="2"/>
      <c r="I25" s="2"/>
      <c r="J25" s="19"/>
      <c r="K25" s="2"/>
      <c r="L25" s="2">
        <f t="shared" si="0"/>
        <v>3114.74</v>
      </c>
      <c r="M25" s="2"/>
      <c r="N25" s="19">
        <f t="shared" si="1"/>
        <v>0</v>
      </c>
      <c r="O25" s="11"/>
      <c r="P25" s="2">
        <f>--8257.7</f>
        <v>8257.7000000000007</v>
      </c>
      <c r="Q25" s="2"/>
      <c r="R25" s="19"/>
      <c r="S25" s="2"/>
      <c r="T25" s="2"/>
      <c r="U25" s="2"/>
      <c r="V25" s="19"/>
      <c r="W25" s="2"/>
      <c r="X25" s="2">
        <f t="shared" si="2"/>
        <v>8257.7000000000007</v>
      </c>
      <c r="Y25" s="2"/>
      <c r="Z25" s="19">
        <f t="shared" si="3"/>
        <v>0</v>
      </c>
    </row>
    <row r="26" spans="1:26" s="24" customFormat="1" hidden="1" outlineLevel="1" x14ac:dyDescent="0.25">
      <c r="A26" s="46"/>
      <c r="B26" s="11" t="str">
        <f>CONCATENATE("          ", "4141", " - ", "NON-TAXABLE SALES-LOGO GIFTS")</f>
        <v xml:space="preserve">          4141 - NON-TAXABLE SALES-LOGO GIFTS</v>
      </c>
      <c r="C26" s="11"/>
      <c r="D26" s="2">
        <f>--144.99</f>
        <v>144.99</v>
      </c>
      <c r="E26" s="2"/>
      <c r="F26" s="19"/>
      <c r="G26" s="2"/>
      <c r="H26" s="2"/>
      <c r="I26" s="2"/>
      <c r="J26" s="19"/>
      <c r="K26" s="2"/>
      <c r="L26" s="2">
        <f t="shared" si="0"/>
        <v>144.99</v>
      </c>
      <c r="M26" s="2"/>
      <c r="N26" s="19">
        <f t="shared" si="1"/>
        <v>0</v>
      </c>
      <c r="O26" s="11"/>
      <c r="P26" s="2">
        <f>--661.89</f>
        <v>661.89</v>
      </c>
      <c r="Q26" s="2"/>
      <c r="R26" s="19"/>
      <c r="S26" s="2"/>
      <c r="T26" s="2"/>
      <c r="U26" s="2"/>
      <c r="V26" s="19"/>
      <c r="W26" s="2"/>
      <c r="X26" s="2">
        <f t="shared" si="2"/>
        <v>661.89</v>
      </c>
      <c r="Y26" s="2"/>
      <c r="Z26" s="19">
        <f t="shared" si="3"/>
        <v>0</v>
      </c>
    </row>
    <row r="27" spans="1:26" s="24" customFormat="1" hidden="1" outlineLevel="1" x14ac:dyDescent="0.25">
      <c r="A27" s="46"/>
      <c r="B27" s="11" t="str">
        <f>CONCATENATE("          ", "4142", " - ", "NON-TAXABLE SALES-EVERYDAY GIF")</f>
        <v xml:space="preserve">          4142 - NON-TAXABLE SALES-EVERYDAY GIF</v>
      </c>
      <c r="C27" s="11"/>
      <c r="D27" s="2">
        <f>--526.9</f>
        <v>526.9</v>
      </c>
      <c r="E27" s="2"/>
      <c r="F27" s="19"/>
      <c r="G27" s="2"/>
      <c r="H27" s="2"/>
      <c r="I27" s="2"/>
      <c r="J27" s="19"/>
      <c r="K27" s="2"/>
      <c r="L27" s="2">
        <f t="shared" si="0"/>
        <v>526.9</v>
      </c>
      <c r="M27" s="2"/>
      <c r="N27" s="19">
        <f t="shared" si="1"/>
        <v>0</v>
      </c>
      <c r="O27" s="11"/>
      <c r="P27" s="2">
        <f>--935</f>
        <v>935</v>
      </c>
      <c r="Q27" s="2"/>
      <c r="R27" s="19"/>
      <c r="S27" s="2"/>
      <c r="T27" s="2"/>
      <c r="U27" s="2"/>
      <c r="V27" s="19"/>
      <c r="W27" s="2"/>
      <c r="X27" s="2">
        <f t="shared" si="2"/>
        <v>935</v>
      </c>
      <c r="Y27" s="2"/>
      <c r="Z27" s="19">
        <f t="shared" si="3"/>
        <v>0</v>
      </c>
    </row>
    <row r="28" spans="1:26" s="24" customFormat="1" hidden="1" outlineLevel="1" x14ac:dyDescent="0.25">
      <c r="A28" s="46"/>
      <c r="B28" s="11" t="str">
        <f>CONCATENATE("          ", "4144", " - ", "NON-TAXABLE SALES-ACCESSORIES")</f>
        <v xml:space="preserve">          4144 - NON-TAXABLE SALES-ACCESSORIES</v>
      </c>
      <c r="C28" s="11"/>
      <c r="D28" s="2">
        <f t="shared" ref="D28:D29" si="4">0</f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--139.76</f>
        <v>139.76</v>
      </c>
      <c r="Q28" s="2"/>
      <c r="R28" s="19"/>
      <c r="S28" s="2"/>
      <c r="T28" s="2"/>
      <c r="U28" s="2"/>
      <c r="V28" s="19"/>
      <c r="W28" s="2"/>
      <c r="X28" s="2">
        <f t="shared" si="2"/>
        <v>139.76</v>
      </c>
      <c r="Y28" s="2"/>
      <c r="Z28" s="19">
        <f t="shared" si="3"/>
        <v>0</v>
      </c>
    </row>
    <row r="29" spans="1:26" s="24" customFormat="1" hidden="1" outlineLevel="1" x14ac:dyDescent="0.25">
      <c r="A29" s="46"/>
      <c r="B29" s="11" t="str">
        <f>CONCATENATE("          ", "4145", " - ", "NON-TAXABLE SALES-SPECIAL ORDE")</f>
        <v xml:space="preserve">          4145 - NON-TAXABLE SALES-SPECIAL ORDE</v>
      </c>
      <c r="C29" s="11"/>
      <c r="D29" s="2">
        <f t="shared" si="4"/>
        <v>0</v>
      </c>
      <c r="E29" s="2"/>
      <c r="F29" s="19"/>
      <c r="G29" s="2"/>
      <c r="H29" s="2"/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--90</f>
        <v>90</v>
      </c>
      <c r="Q29" s="2"/>
      <c r="R29" s="19"/>
      <c r="S29" s="2"/>
      <c r="T29" s="2"/>
      <c r="U29" s="2"/>
      <c r="V29" s="19"/>
      <c r="W29" s="2"/>
      <c r="X29" s="2">
        <f t="shared" si="2"/>
        <v>90</v>
      </c>
      <c r="Y29" s="2"/>
      <c r="Z29" s="19">
        <f t="shared" si="3"/>
        <v>0</v>
      </c>
    </row>
    <row r="30" spans="1:26" s="24" customFormat="1" hidden="1" outlineLevel="1" x14ac:dyDescent="0.25">
      <c r="A30" s="46"/>
      <c r="B30" s="11" t="str">
        <f>CONCATENATE("          ", "4240", " - ", "SALES RETURN TAXABLE-LOGO CLOT")</f>
        <v xml:space="preserve">          4240 - SALES RETURN TAXABLE-LOGO CLOT</v>
      </c>
      <c r="C30" s="11"/>
      <c r="D30" s="2">
        <f>-9538.49</f>
        <v>-9538.49</v>
      </c>
      <c r="E30" s="2"/>
      <c r="F30" s="19"/>
      <c r="G30" s="2"/>
      <c r="H30" s="2"/>
      <c r="I30" s="2"/>
      <c r="J30" s="19"/>
      <c r="K30" s="2"/>
      <c r="L30" s="2">
        <f t="shared" si="0"/>
        <v>-9538.49</v>
      </c>
      <c r="M30" s="2"/>
      <c r="N30" s="19">
        <f t="shared" si="1"/>
        <v>0</v>
      </c>
      <c r="O30" s="11"/>
      <c r="P30" s="2">
        <f>-20792.98</f>
        <v>-20792.98</v>
      </c>
      <c r="Q30" s="2"/>
      <c r="R30" s="19"/>
      <c r="S30" s="2"/>
      <c r="T30" s="2"/>
      <c r="U30" s="2"/>
      <c r="V30" s="19"/>
      <c r="W30" s="2"/>
      <c r="X30" s="2">
        <f t="shared" si="2"/>
        <v>-20792.98</v>
      </c>
      <c r="Y30" s="2"/>
      <c r="Z30" s="19">
        <f t="shared" si="3"/>
        <v>0</v>
      </c>
    </row>
    <row r="31" spans="1:26" s="24" customFormat="1" hidden="1" outlineLevel="1" x14ac:dyDescent="0.25">
      <c r="A31" s="46"/>
      <c r="B31" s="11" t="str">
        <f>CONCATENATE("          ", "4241", " - ", "SALES RETURN TAXABLE-LOGO GIFT")</f>
        <v xml:space="preserve">          4241 - SALES RETURN TAXABLE-LOGO GIFT</v>
      </c>
      <c r="C31" s="11"/>
      <c r="D31" s="2">
        <f>-550.82</f>
        <v>-550.82000000000005</v>
      </c>
      <c r="E31" s="2"/>
      <c r="F31" s="19"/>
      <c r="G31" s="2"/>
      <c r="H31" s="2"/>
      <c r="I31" s="2"/>
      <c r="J31" s="19"/>
      <c r="K31" s="2"/>
      <c r="L31" s="2">
        <f t="shared" si="0"/>
        <v>-550.82000000000005</v>
      </c>
      <c r="M31" s="2"/>
      <c r="N31" s="19">
        <f t="shared" si="1"/>
        <v>0</v>
      </c>
      <c r="O31" s="11"/>
      <c r="P31" s="2">
        <f>-1777.13</f>
        <v>-1777.13</v>
      </c>
      <c r="Q31" s="2"/>
      <c r="R31" s="19"/>
      <c r="S31" s="2"/>
      <c r="T31" s="2"/>
      <c r="U31" s="2"/>
      <c r="V31" s="19"/>
      <c r="W31" s="2"/>
      <c r="X31" s="2">
        <f t="shared" si="2"/>
        <v>-1777.13</v>
      </c>
      <c r="Y31" s="2"/>
      <c r="Z31" s="19">
        <f t="shared" si="3"/>
        <v>0</v>
      </c>
    </row>
    <row r="32" spans="1:26" s="24" customFormat="1" hidden="1" outlineLevel="1" x14ac:dyDescent="0.25">
      <c r="A32" s="46"/>
      <c r="B32" s="11" t="str">
        <f>CONCATENATE("          ", "4242", " - ", "SALES RETURN TAXABLE-EVERYDAY")</f>
        <v xml:space="preserve">          4242 - SALES RETURN TAXABLE-EVERYDAY</v>
      </c>
      <c r="C32" s="11"/>
      <c r="D32" s="2">
        <f>-169.66</f>
        <v>-169.66</v>
      </c>
      <c r="E32" s="2"/>
      <c r="F32" s="19"/>
      <c r="G32" s="2"/>
      <c r="H32" s="2"/>
      <c r="I32" s="2"/>
      <c r="J32" s="19"/>
      <c r="K32" s="2"/>
      <c r="L32" s="2">
        <f t="shared" si="0"/>
        <v>-169.66</v>
      </c>
      <c r="M32" s="2"/>
      <c r="N32" s="19">
        <f t="shared" si="1"/>
        <v>0</v>
      </c>
      <c r="O32" s="11"/>
      <c r="P32" s="2">
        <f>-978.27</f>
        <v>-978.27</v>
      </c>
      <c r="Q32" s="2"/>
      <c r="R32" s="19"/>
      <c r="S32" s="2"/>
      <c r="T32" s="2"/>
      <c r="U32" s="2"/>
      <c r="V32" s="19"/>
      <c r="W32" s="2"/>
      <c r="X32" s="2">
        <f t="shared" si="2"/>
        <v>-978.27</v>
      </c>
      <c r="Y32" s="2"/>
      <c r="Z32" s="19">
        <f t="shared" si="3"/>
        <v>0</v>
      </c>
    </row>
    <row r="33" spans="1:26" s="24" customFormat="1" hidden="1" outlineLevel="1" x14ac:dyDescent="0.25">
      <c r="A33" s="46"/>
      <c r="B33" s="11" t="str">
        <f>CONCATENATE("          ", "4243", " - ", "SALES RETURN TAXABLE-CARDS")</f>
        <v xml:space="preserve">          4243 - SALES RETURN TAXABLE-CARDS</v>
      </c>
      <c r="C33" s="11"/>
      <c r="D33" s="2">
        <f>-4.5</f>
        <v>-4.5</v>
      </c>
      <c r="E33" s="2"/>
      <c r="F33" s="19"/>
      <c r="G33" s="2"/>
      <c r="H33" s="2"/>
      <c r="I33" s="2"/>
      <c r="J33" s="19"/>
      <c r="K33" s="2"/>
      <c r="L33" s="2">
        <f t="shared" si="0"/>
        <v>-4.5</v>
      </c>
      <c r="M33" s="2"/>
      <c r="N33" s="19">
        <f t="shared" si="1"/>
        <v>0</v>
      </c>
      <c r="O33" s="11"/>
      <c r="P33" s="2">
        <f>-4.5</f>
        <v>-4.5</v>
      </c>
      <c r="Q33" s="2"/>
      <c r="R33" s="19"/>
      <c r="S33" s="2"/>
      <c r="T33" s="2"/>
      <c r="U33" s="2"/>
      <c r="V33" s="19"/>
      <c r="W33" s="2"/>
      <c r="X33" s="2">
        <f t="shared" si="2"/>
        <v>-4.5</v>
      </c>
      <c r="Y33" s="2"/>
      <c r="Z33" s="19">
        <f t="shared" si="3"/>
        <v>0</v>
      </c>
    </row>
    <row r="34" spans="1:26" s="24" customFormat="1" hidden="1" outlineLevel="1" x14ac:dyDescent="0.25">
      <c r="A34" s="46"/>
      <c r="B34" s="11" t="str">
        <f>CONCATENATE("          ", "4244", " - ", "SALES RETURN TAXABLE-ACCESSORI")</f>
        <v xml:space="preserve">          4244 - SALES RETURN TAXABLE-ACCESSORI</v>
      </c>
      <c r="C34" s="11"/>
      <c r="D34" s="2">
        <f>-704.04</f>
        <v>-704.04</v>
      </c>
      <c r="E34" s="2"/>
      <c r="F34" s="19"/>
      <c r="G34" s="2"/>
      <c r="H34" s="2"/>
      <c r="I34" s="2"/>
      <c r="J34" s="19"/>
      <c r="K34" s="2"/>
      <c r="L34" s="2">
        <f t="shared" si="0"/>
        <v>-704.04</v>
      </c>
      <c r="M34" s="2"/>
      <c r="N34" s="19">
        <f t="shared" si="1"/>
        <v>0</v>
      </c>
      <c r="O34" s="11"/>
      <c r="P34" s="2">
        <f>-1254.51</f>
        <v>-1254.51</v>
      </c>
      <c r="Q34" s="2"/>
      <c r="R34" s="19"/>
      <c r="S34" s="2"/>
      <c r="T34" s="2"/>
      <c r="U34" s="2"/>
      <c r="V34" s="19"/>
      <c r="W34" s="2"/>
      <c r="X34" s="2">
        <f t="shared" si="2"/>
        <v>-1254.51</v>
      </c>
      <c r="Y34" s="2"/>
      <c r="Z34" s="19">
        <f t="shared" si="3"/>
        <v>0</v>
      </c>
    </row>
    <row r="35" spans="1:26" s="24" customFormat="1" hidden="1" outlineLevel="1" x14ac:dyDescent="0.25">
      <c r="A35" s="46"/>
      <c r="B35" s="11" t="str">
        <f>CONCATENATE("          ", "4245", " - ", "SALES RETURN TAXABLE-SPECIAL O")</f>
        <v xml:space="preserve">          4245 - SALES RETURN TAXABLE-SPECIAL O</v>
      </c>
      <c r="C35" s="11"/>
      <c r="D35" s="2">
        <f>-71.98</f>
        <v>-71.98</v>
      </c>
      <c r="E35" s="2"/>
      <c r="F35" s="19"/>
      <c r="G35" s="2"/>
      <c r="H35" s="2"/>
      <c r="I35" s="2"/>
      <c r="J35" s="19"/>
      <c r="K35" s="2"/>
      <c r="L35" s="2">
        <f t="shared" si="0"/>
        <v>-71.98</v>
      </c>
      <c r="M35" s="2"/>
      <c r="N35" s="19">
        <f t="shared" si="1"/>
        <v>0</v>
      </c>
      <c r="O35" s="11"/>
      <c r="P35" s="2">
        <f>-91.96</f>
        <v>-91.96</v>
      </c>
      <c r="Q35" s="2"/>
      <c r="R35" s="19"/>
      <c r="S35" s="2"/>
      <c r="T35" s="2"/>
      <c r="U35" s="2"/>
      <c r="V35" s="19"/>
      <c r="W35" s="2"/>
      <c r="X35" s="2">
        <f t="shared" si="2"/>
        <v>-91.96</v>
      </c>
      <c r="Y35" s="2"/>
      <c r="Z35" s="19">
        <f t="shared" si="3"/>
        <v>0</v>
      </c>
    </row>
    <row r="36" spans="1:26" s="24" customFormat="1" hidden="1" outlineLevel="1" x14ac:dyDescent="0.25">
      <c r="A36" s="46"/>
      <c r="B36" s="11" t="str">
        <f>CONCATENATE("          ", "4295", " - ", "SALES RETURN TAXABLE-CUSTOMER")</f>
        <v xml:space="preserve">          4295 - SALES RETURN TAXABLE-CUSTOMER</v>
      </c>
      <c r="C36" s="11"/>
      <c r="D36" s="2">
        <f>0</f>
        <v>0</v>
      </c>
      <c r="E36" s="2"/>
      <c r="F36" s="19"/>
      <c r="G36" s="2"/>
      <c r="H36" s="2"/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--0.99</f>
        <v>0.99</v>
      </c>
      <c r="Q36" s="2"/>
      <c r="R36" s="19"/>
      <c r="S36" s="2"/>
      <c r="T36" s="2"/>
      <c r="U36" s="2"/>
      <c r="V36" s="19"/>
      <c r="W36" s="2"/>
      <c r="X36" s="2">
        <f t="shared" si="2"/>
        <v>0.99</v>
      </c>
      <c r="Y36" s="2"/>
      <c r="Z36" s="19">
        <f t="shared" si="3"/>
        <v>0</v>
      </c>
    </row>
    <row r="37" spans="1:26" s="24" customFormat="1" hidden="1" outlineLevel="1" x14ac:dyDescent="0.25">
      <c r="A37" s="46"/>
      <c r="B37" s="11" t="str">
        <f>CONCATENATE("          ", "4340", " - ", "SALES RETURN NON TAXABLE-LOGO")</f>
        <v xml:space="preserve">          4340 - SALES RETURN NON TAXABLE-LOGO</v>
      </c>
      <c r="C37" s="11"/>
      <c r="D37" s="2">
        <f>-24.95</f>
        <v>-24.95</v>
      </c>
      <c r="E37" s="2"/>
      <c r="F37" s="19"/>
      <c r="G37" s="2"/>
      <c r="H37" s="2"/>
      <c r="I37" s="2"/>
      <c r="J37" s="19"/>
      <c r="K37" s="2"/>
      <c r="L37" s="2">
        <f t="shared" si="0"/>
        <v>-24.95</v>
      </c>
      <c r="M37" s="2"/>
      <c r="N37" s="19">
        <f t="shared" si="1"/>
        <v>0</v>
      </c>
      <c r="O37" s="11"/>
      <c r="P37" s="2">
        <f>-293.45</f>
        <v>-293.45</v>
      </c>
      <c r="Q37" s="2"/>
      <c r="R37" s="19"/>
      <c r="S37" s="2"/>
      <c r="T37" s="2"/>
      <c r="U37" s="2"/>
      <c r="V37" s="19"/>
      <c r="W37" s="2"/>
      <c r="X37" s="2">
        <f t="shared" si="2"/>
        <v>-293.45</v>
      </c>
      <c r="Y37" s="2"/>
      <c r="Z37" s="19">
        <f t="shared" si="3"/>
        <v>0</v>
      </c>
    </row>
    <row r="38" spans="1:26" s="24" customFormat="1" hidden="1" outlineLevel="1" x14ac:dyDescent="0.25">
      <c r="A38" s="46"/>
      <c r="B38" s="11" t="str">
        <f>CONCATENATE("          ", "4341", " - ", "SALES RETURN NON TAXABLE-LOGO")</f>
        <v xml:space="preserve">          4341 - SALES RETURN NON TAXABLE-LOGO</v>
      </c>
      <c r="C38" s="11"/>
      <c r="D38" s="2">
        <f>0</f>
        <v>0</v>
      </c>
      <c r="E38" s="2"/>
      <c r="F38" s="19"/>
      <c r="G38" s="2"/>
      <c r="H38" s="2"/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-3.95</f>
        <v>-3.95</v>
      </c>
      <c r="Q38" s="2"/>
      <c r="R38" s="19"/>
      <c r="S38" s="2"/>
      <c r="T38" s="2"/>
      <c r="U38" s="2"/>
      <c r="V38" s="19"/>
      <c r="W38" s="2"/>
      <c r="X38" s="2">
        <f t="shared" si="2"/>
        <v>-3.95</v>
      </c>
      <c r="Y38" s="2"/>
      <c r="Z38" s="19">
        <f t="shared" si="3"/>
        <v>0</v>
      </c>
    </row>
    <row r="39" spans="1:26" s="24" customFormat="1" hidden="1" outlineLevel="1" x14ac:dyDescent="0.25">
      <c r="A39" s="46"/>
      <c r="B39" s="11" t="str">
        <f>CONCATENATE("          ", "4342", " - ", "SALES RETURN NON TAXABLE-EVERY")</f>
        <v xml:space="preserve">          4342 - SALES RETURN NON TAXABLE-EVERY</v>
      </c>
      <c r="C39" s="11"/>
      <c r="D39" s="2">
        <f>-10</f>
        <v>-10</v>
      </c>
      <c r="E39" s="2"/>
      <c r="F39" s="19"/>
      <c r="G39" s="2"/>
      <c r="H39" s="2"/>
      <c r="I39" s="2"/>
      <c r="J39" s="19"/>
      <c r="K39" s="2"/>
      <c r="L39" s="2">
        <f t="shared" si="0"/>
        <v>-10</v>
      </c>
      <c r="M39" s="2"/>
      <c r="N39" s="19">
        <f t="shared" si="1"/>
        <v>0</v>
      </c>
      <c r="O39" s="11"/>
      <c r="P39" s="2">
        <f>-10</f>
        <v>-10</v>
      </c>
      <c r="Q39" s="2"/>
      <c r="R39" s="19"/>
      <c r="S39" s="2"/>
      <c r="T39" s="2"/>
      <c r="U39" s="2"/>
      <c r="V39" s="19"/>
      <c r="W39" s="2"/>
      <c r="X39" s="2">
        <f t="shared" si="2"/>
        <v>-10</v>
      </c>
      <c r="Y39" s="2"/>
      <c r="Z39" s="19">
        <f t="shared" si="3"/>
        <v>0</v>
      </c>
    </row>
    <row r="40" spans="1:26" x14ac:dyDescent="0.25">
      <c r="A40" s="9"/>
      <c r="B40" s="10"/>
      <c r="C40" s="9"/>
      <c r="D40" s="3"/>
      <c r="E40" s="3"/>
      <c r="F40" s="8"/>
      <c r="G40" s="3"/>
      <c r="H40" s="3"/>
      <c r="I40" s="3"/>
      <c r="J40" s="8"/>
      <c r="K40" s="3"/>
      <c r="L40" s="3"/>
      <c r="M40" s="3"/>
      <c r="N40" s="8"/>
      <c r="P40" s="3"/>
      <c r="Q40" s="3"/>
      <c r="R40" s="8"/>
      <c r="S40" s="3"/>
      <c r="T40" s="3"/>
      <c r="U40" s="3"/>
      <c r="V40" s="8"/>
      <c r="W40" s="3"/>
      <c r="X40" s="3"/>
      <c r="Y40" s="3"/>
      <c r="Z40" s="8"/>
    </row>
    <row r="41" spans="1:26" s="23" customFormat="1" collapsed="1" x14ac:dyDescent="0.25">
      <c r="A41" s="10"/>
      <c r="B41" s="28" t="s">
        <v>8</v>
      </c>
      <c r="C41" s="10"/>
      <c r="D41" s="4">
        <f>SUM(OSRRefD16x_0)</f>
        <v>137400.94</v>
      </c>
      <c r="E41" s="4"/>
      <c r="F41" s="12">
        <f t="shared" ref="F41:F62" si="5">IF(D$12=0,0,D41/D$12)</f>
        <v>0.4507437549125482</v>
      </c>
      <c r="G41" s="4"/>
      <c r="H41" s="4">
        <f>SUM(OSRRefH16x_0)</f>
        <v>132556.46623000002</v>
      </c>
      <c r="I41" s="4"/>
      <c r="J41" s="12">
        <f t="shared" ref="J41:J62" si="6">IF(H$12=0,0,H41/H$12)</f>
        <v>0.44469823047882695</v>
      </c>
      <c r="K41" s="4"/>
      <c r="L41" s="4">
        <f t="shared" ref="L41:L62" si="7">+D41-H41</f>
        <v>4844.4737699999823</v>
      </c>
      <c r="M41" s="4"/>
      <c r="N41" s="12">
        <f t="shared" ref="N41:N62" si="8">IF(H41=0,0,L41/H41)</f>
        <v>3.654649152757504E-2</v>
      </c>
      <c r="O41" s="10"/>
      <c r="P41" s="4">
        <f>SUM(OSRRefP16x_0)</f>
        <v>390017.6100000001</v>
      </c>
      <c r="Q41" s="4"/>
      <c r="R41" s="12">
        <f t="shared" ref="R41:R62" si="9">IF(P$12=0,0,P41/P$12)</f>
        <v>0.45372862231966687</v>
      </c>
      <c r="S41" s="4"/>
      <c r="T41" s="4">
        <f>SUM(OSRRefT16x_0)</f>
        <v>378997.61718999996</v>
      </c>
      <c r="U41" s="4"/>
      <c r="V41" s="12">
        <f t="shared" ref="V41:V62" si="10">IF(T$12=0,0,T41/T$12)</f>
        <v>0.45711584693841184</v>
      </c>
      <c r="W41" s="4"/>
      <c r="X41" s="4">
        <f t="shared" ref="X41:X62" si="11">+P41-T41</f>
        <v>11019.992810000142</v>
      </c>
      <c r="Y41" s="4"/>
      <c r="Z41" s="12">
        <f t="shared" ref="Z41:Z62" si="12">IF(T41=0,0,X41/T41)</f>
        <v>2.9076680987351888E-2</v>
      </c>
    </row>
    <row r="42" spans="1:26" s="24" customFormat="1" hidden="1" outlineLevel="1" x14ac:dyDescent="0.25">
      <c r="A42" s="46"/>
      <c r="B42" s="11" t="str">
        <f>CONCATENATE("          ", "5000", " - ", "PURCHASES @ COST")</f>
        <v xml:space="preserve">          5000 - PURCHASES @ COST</v>
      </c>
      <c r="C42" s="11"/>
      <c r="D42" s="2"/>
      <c r="E42" s="2"/>
      <c r="F42" s="19">
        <f t="shared" si="5"/>
        <v>0</v>
      </c>
      <c r="G42" s="2"/>
      <c r="H42" s="2">
        <v>132556.46623000002</v>
      </c>
      <c r="I42" s="2"/>
      <c r="J42" s="19">
        <f t="shared" si="6"/>
        <v>0.44469823047882695</v>
      </c>
      <c r="K42" s="2"/>
      <c r="L42" s="2">
        <f t="shared" si="7"/>
        <v>-132556.46623000002</v>
      </c>
      <c r="M42" s="2"/>
      <c r="N42" s="19">
        <f t="shared" si="8"/>
        <v>-1</v>
      </c>
      <c r="O42" s="11"/>
      <c r="P42" s="2"/>
      <c r="Q42" s="2"/>
      <c r="R42" s="19">
        <f t="shared" si="9"/>
        <v>0</v>
      </c>
      <c r="S42" s="2"/>
      <c r="T42" s="2">
        <v>378997.61718999996</v>
      </c>
      <c r="U42" s="2"/>
      <c r="V42" s="19">
        <f t="shared" si="10"/>
        <v>0.45711584693841184</v>
      </c>
      <c r="W42" s="2"/>
      <c r="X42" s="2">
        <f t="shared" si="11"/>
        <v>-378997.61718999996</v>
      </c>
      <c r="Y42" s="2"/>
      <c r="Z42" s="19">
        <f t="shared" si="12"/>
        <v>-1</v>
      </c>
    </row>
    <row r="43" spans="1:26" s="24" customFormat="1" hidden="1" outlineLevel="1" x14ac:dyDescent="0.25">
      <c r="A43" s="46"/>
      <c r="B43" s="11" t="str">
        <f>CONCATENATE("          ", "5026", " - ", "PURCHASES @ COST-WRITING INSTR")</f>
        <v xml:space="preserve">          5026 - PURCHASES @ COST-WRITING INSTR</v>
      </c>
      <c r="C43" s="11"/>
      <c r="D43" s="2">
        <v>-11.31</v>
      </c>
      <c r="E43" s="2"/>
      <c r="F43" s="19">
        <f t="shared" si="5"/>
        <v>-3.7102452632863507E-5</v>
      </c>
      <c r="G43" s="2"/>
      <c r="H43" s="2"/>
      <c r="I43" s="2"/>
      <c r="J43" s="19">
        <f t="shared" si="6"/>
        <v>0</v>
      </c>
      <c r="K43" s="2"/>
      <c r="L43" s="2">
        <f t="shared" si="7"/>
        <v>-11.31</v>
      </c>
      <c r="M43" s="2"/>
      <c r="N43" s="19">
        <f t="shared" si="8"/>
        <v>0</v>
      </c>
      <c r="O43" s="11"/>
      <c r="P43" s="2">
        <v>-64.930000000000007</v>
      </c>
      <c r="Q43" s="2"/>
      <c r="R43" s="19">
        <f t="shared" si="9"/>
        <v>-7.5536587815139842E-5</v>
      </c>
      <c r="S43" s="2"/>
      <c r="T43" s="2"/>
      <c r="U43" s="2"/>
      <c r="V43" s="19">
        <f t="shared" si="10"/>
        <v>0</v>
      </c>
      <c r="W43" s="2"/>
      <c r="X43" s="2">
        <f t="shared" si="11"/>
        <v>-64.930000000000007</v>
      </c>
      <c r="Y43" s="2"/>
      <c r="Z43" s="19">
        <f t="shared" si="12"/>
        <v>0</v>
      </c>
    </row>
    <row r="44" spans="1:26" s="24" customFormat="1" hidden="1" outlineLevel="1" x14ac:dyDescent="0.25">
      <c r="A44" s="46"/>
      <c r="B44" s="11" t="str">
        <f>CONCATENATE("          ", "5027", " - ", "PURCHASES @ COST-SCHOOL SUPPLI")</f>
        <v xml:space="preserve">          5027 - PURCHASES @ COST-SCHOOL SUPPLI</v>
      </c>
      <c r="C44" s="11"/>
      <c r="D44" s="2">
        <v>-35.06</v>
      </c>
      <c r="E44" s="2"/>
      <c r="F44" s="19">
        <f t="shared" si="5"/>
        <v>-1.1501432266208617E-4</v>
      </c>
      <c r="G44" s="2"/>
      <c r="H44" s="2"/>
      <c r="I44" s="2"/>
      <c r="J44" s="19">
        <f t="shared" si="6"/>
        <v>0</v>
      </c>
      <c r="K44" s="2"/>
      <c r="L44" s="2">
        <f t="shared" si="7"/>
        <v>-35.06</v>
      </c>
      <c r="M44" s="2"/>
      <c r="N44" s="19">
        <f t="shared" si="8"/>
        <v>0</v>
      </c>
      <c r="O44" s="11"/>
      <c r="P44" s="2">
        <v>28.46</v>
      </c>
      <c r="Q44" s="2"/>
      <c r="R44" s="19">
        <f t="shared" si="9"/>
        <v>3.3109060360678882E-5</v>
      </c>
      <c r="S44" s="2"/>
      <c r="T44" s="2"/>
      <c r="U44" s="2"/>
      <c r="V44" s="19">
        <f t="shared" si="10"/>
        <v>0</v>
      </c>
      <c r="W44" s="2"/>
      <c r="X44" s="2">
        <f t="shared" si="11"/>
        <v>28.46</v>
      </c>
      <c r="Y44" s="2"/>
      <c r="Z44" s="19">
        <f t="shared" si="12"/>
        <v>0</v>
      </c>
    </row>
    <row r="45" spans="1:26" s="24" customFormat="1" hidden="1" outlineLevel="1" x14ac:dyDescent="0.25">
      <c r="A45" s="46"/>
      <c r="B45" s="11" t="str">
        <f>CONCATENATE("          ", "5037", " - ", "PURCHASES @ COST-WATER")</f>
        <v xml:space="preserve">          5037 - PURCHASES @ COST-WATER</v>
      </c>
      <c r="C45" s="11"/>
      <c r="D45" s="2"/>
      <c r="E45" s="2"/>
      <c r="F45" s="19">
        <f t="shared" si="5"/>
        <v>0</v>
      </c>
      <c r="G45" s="2"/>
      <c r="H45" s="2"/>
      <c r="I45" s="2"/>
      <c r="J45" s="19">
        <f t="shared" si="6"/>
        <v>0</v>
      </c>
      <c r="K45" s="2"/>
      <c r="L45" s="2">
        <f t="shared" si="7"/>
        <v>0</v>
      </c>
      <c r="M45" s="2"/>
      <c r="N45" s="19">
        <f t="shared" si="8"/>
        <v>0</v>
      </c>
      <c r="O45" s="11"/>
      <c r="P45" s="2">
        <v>29.76</v>
      </c>
      <c r="Q45" s="2"/>
      <c r="R45" s="19">
        <f t="shared" si="9"/>
        <v>3.4621420812853252E-5</v>
      </c>
      <c r="S45" s="2"/>
      <c r="T45" s="2"/>
      <c r="U45" s="2"/>
      <c r="V45" s="19">
        <f t="shared" si="10"/>
        <v>0</v>
      </c>
      <c r="W45" s="2"/>
      <c r="X45" s="2">
        <f t="shared" si="11"/>
        <v>29.76</v>
      </c>
      <c r="Y45" s="2"/>
      <c r="Z45" s="19">
        <f t="shared" si="12"/>
        <v>0</v>
      </c>
    </row>
    <row r="46" spans="1:26" s="24" customFormat="1" hidden="1" outlineLevel="1" x14ac:dyDescent="0.25">
      <c r="A46" s="46"/>
      <c r="B46" s="11" t="str">
        <f>CONCATENATE("          ", "5040", " - ", "PURCHASES @ COST-LOGO CLOTHING")</f>
        <v xml:space="preserve">          5040 - PURCHASES @ COST-LOGO CLOTHING</v>
      </c>
      <c r="C46" s="11"/>
      <c r="D46" s="2">
        <v>150282.89000000001</v>
      </c>
      <c r="E46" s="2"/>
      <c r="F46" s="19">
        <f t="shared" si="5"/>
        <v>0.49300298919140911</v>
      </c>
      <c r="G46" s="2"/>
      <c r="H46" s="2"/>
      <c r="I46" s="2"/>
      <c r="J46" s="19">
        <f t="shared" si="6"/>
        <v>0</v>
      </c>
      <c r="K46" s="2"/>
      <c r="L46" s="2">
        <f t="shared" si="7"/>
        <v>150282.89000000001</v>
      </c>
      <c r="M46" s="2"/>
      <c r="N46" s="19">
        <f t="shared" si="8"/>
        <v>0</v>
      </c>
      <c r="O46" s="11"/>
      <c r="P46" s="2">
        <v>335851.86000000004</v>
      </c>
      <c r="Q46" s="2"/>
      <c r="R46" s="19">
        <f t="shared" si="9"/>
        <v>0.3907146698870792</v>
      </c>
      <c r="S46" s="2"/>
      <c r="T46" s="2"/>
      <c r="U46" s="2"/>
      <c r="V46" s="19">
        <f t="shared" si="10"/>
        <v>0</v>
      </c>
      <c r="W46" s="2"/>
      <c r="X46" s="2">
        <f t="shared" si="11"/>
        <v>335851.86000000004</v>
      </c>
      <c r="Y46" s="2"/>
      <c r="Z46" s="19">
        <f t="shared" si="12"/>
        <v>0</v>
      </c>
    </row>
    <row r="47" spans="1:26" s="24" customFormat="1" hidden="1" outlineLevel="1" x14ac:dyDescent="0.25">
      <c r="A47" s="46"/>
      <c r="B47" s="11" t="str">
        <f>CONCATENATE("          ", "5041", " - ", "PURCHASES @ COST-LOGO GIFTS")</f>
        <v xml:space="preserve">          5041 - PURCHASES @ COST-LOGO GIFTS</v>
      </c>
      <c r="C47" s="11"/>
      <c r="D47" s="2">
        <v>14167.32</v>
      </c>
      <c r="E47" s="2"/>
      <c r="F47" s="19">
        <f t="shared" si="5"/>
        <v>4.6475890294838174E-2</v>
      </c>
      <c r="G47" s="2"/>
      <c r="H47" s="2"/>
      <c r="I47" s="2"/>
      <c r="J47" s="19">
        <f t="shared" si="6"/>
        <v>0</v>
      </c>
      <c r="K47" s="2"/>
      <c r="L47" s="2">
        <f t="shared" si="7"/>
        <v>14167.32</v>
      </c>
      <c r="M47" s="2"/>
      <c r="N47" s="19">
        <f t="shared" si="8"/>
        <v>0</v>
      </c>
      <c r="O47" s="11"/>
      <c r="P47" s="2">
        <v>42696.480000000003</v>
      </c>
      <c r="Q47" s="2"/>
      <c r="R47" s="19">
        <f t="shared" si="9"/>
        <v>4.9671129076195322E-2</v>
      </c>
      <c r="S47" s="2"/>
      <c r="T47" s="2"/>
      <c r="U47" s="2"/>
      <c r="V47" s="19">
        <f t="shared" si="10"/>
        <v>0</v>
      </c>
      <c r="W47" s="2"/>
      <c r="X47" s="2">
        <f t="shared" si="11"/>
        <v>42696.480000000003</v>
      </c>
      <c r="Y47" s="2"/>
      <c r="Z47" s="19">
        <f t="shared" si="12"/>
        <v>0</v>
      </c>
    </row>
    <row r="48" spans="1:26" s="24" customFormat="1" hidden="1" outlineLevel="1" x14ac:dyDescent="0.25">
      <c r="A48" s="46"/>
      <c r="B48" s="11" t="str">
        <f>CONCATENATE("          ", "5042", " - ", "PURCHASES @ COST-EVERYDAY GIFT")</f>
        <v xml:space="preserve">          5042 - PURCHASES @ COST-EVERYDAY GIFT</v>
      </c>
      <c r="C48" s="11"/>
      <c r="D48" s="2">
        <v>11559.46</v>
      </c>
      <c r="E48" s="2"/>
      <c r="F48" s="19">
        <f t="shared" si="5"/>
        <v>3.7920806110652551E-2</v>
      </c>
      <c r="G48" s="2"/>
      <c r="H48" s="2"/>
      <c r="I48" s="2"/>
      <c r="J48" s="19">
        <f t="shared" si="6"/>
        <v>0</v>
      </c>
      <c r="K48" s="2"/>
      <c r="L48" s="2">
        <f t="shared" si="7"/>
        <v>11559.46</v>
      </c>
      <c r="M48" s="2"/>
      <c r="N48" s="19">
        <f t="shared" si="8"/>
        <v>0</v>
      </c>
      <c r="O48" s="11"/>
      <c r="P48" s="2">
        <v>35291.68</v>
      </c>
      <c r="Q48" s="2"/>
      <c r="R48" s="19">
        <f t="shared" si="9"/>
        <v>4.1056723940610107E-2</v>
      </c>
      <c r="S48" s="2"/>
      <c r="T48" s="2"/>
      <c r="U48" s="2"/>
      <c r="V48" s="19">
        <f t="shared" si="10"/>
        <v>0</v>
      </c>
      <c r="W48" s="2"/>
      <c r="X48" s="2">
        <f t="shared" si="11"/>
        <v>35291.68</v>
      </c>
      <c r="Y48" s="2"/>
      <c r="Z48" s="19">
        <f t="shared" si="12"/>
        <v>0</v>
      </c>
    </row>
    <row r="49" spans="1:26" s="24" customFormat="1" hidden="1" outlineLevel="1" x14ac:dyDescent="0.25">
      <c r="A49" s="46"/>
      <c r="B49" s="11" t="str">
        <f>CONCATENATE("          ", "5043", " - ", "PURCHASES @ COST-CARDS")</f>
        <v xml:space="preserve">          5043 - PURCHASES @ COST-CARDS</v>
      </c>
      <c r="C49" s="11"/>
      <c r="D49" s="2">
        <v>495.49</v>
      </c>
      <c r="E49" s="2"/>
      <c r="F49" s="19">
        <f t="shared" si="5"/>
        <v>1.6254548412959803E-3</v>
      </c>
      <c r="G49" s="2"/>
      <c r="H49" s="2"/>
      <c r="I49" s="2"/>
      <c r="J49" s="19">
        <f t="shared" si="6"/>
        <v>0</v>
      </c>
      <c r="K49" s="2"/>
      <c r="L49" s="2">
        <f t="shared" si="7"/>
        <v>495.49</v>
      </c>
      <c r="M49" s="2"/>
      <c r="N49" s="19">
        <f t="shared" si="8"/>
        <v>0</v>
      </c>
      <c r="O49" s="11"/>
      <c r="P49" s="2">
        <v>1008.99</v>
      </c>
      <c r="Q49" s="2"/>
      <c r="R49" s="19">
        <f t="shared" si="9"/>
        <v>1.1738127481841667E-3</v>
      </c>
      <c r="S49" s="2"/>
      <c r="T49" s="2"/>
      <c r="U49" s="2"/>
      <c r="V49" s="19">
        <f t="shared" si="10"/>
        <v>0</v>
      </c>
      <c r="W49" s="2"/>
      <c r="X49" s="2">
        <f t="shared" si="11"/>
        <v>1008.99</v>
      </c>
      <c r="Y49" s="2"/>
      <c r="Z49" s="19">
        <f t="shared" si="12"/>
        <v>0</v>
      </c>
    </row>
    <row r="50" spans="1:26" s="24" customFormat="1" hidden="1" outlineLevel="1" x14ac:dyDescent="0.25">
      <c r="A50" s="46"/>
      <c r="B50" s="11" t="str">
        <f>CONCATENATE("          ", "5044", " - ", "PURCHASES @ COST-ACCESSORIES")</f>
        <v xml:space="preserve">          5044 - PURCHASES @ COST-ACCESSORIES</v>
      </c>
      <c r="C50" s="11"/>
      <c r="D50" s="2">
        <v>2315.5300000000002</v>
      </c>
      <c r="E50" s="2"/>
      <c r="F50" s="19">
        <f t="shared" si="5"/>
        <v>7.5960956803690924E-3</v>
      </c>
      <c r="G50" s="2"/>
      <c r="H50" s="2"/>
      <c r="I50" s="2"/>
      <c r="J50" s="19">
        <f t="shared" si="6"/>
        <v>0</v>
      </c>
      <c r="K50" s="2"/>
      <c r="L50" s="2">
        <f t="shared" si="7"/>
        <v>2315.5300000000002</v>
      </c>
      <c r="M50" s="2"/>
      <c r="N50" s="19">
        <f t="shared" si="8"/>
        <v>0</v>
      </c>
      <c r="O50" s="11"/>
      <c r="P50" s="2">
        <v>20403.649999999998</v>
      </c>
      <c r="Q50" s="2"/>
      <c r="R50" s="19">
        <f t="shared" si="9"/>
        <v>2.3736671800005819E-2</v>
      </c>
      <c r="S50" s="2"/>
      <c r="T50" s="2"/>
      <c r="U50" s="2"/>
      <c r="V50" s="19">
        <f t="shared" si="10"/>
        <v>0</v>
      </c>
      <c r="W50" s="2"/>
      <c r="X50" s="2">
        <f t="shared" si="11"/>
        <v>20403.649999999998</v>
      </c>
      <c r="Y50" s="2"/>
      <c r="Z50" s="19">
        <f t="shared" si="12"/>
        <v>0</v>
      </c>
    </row>
    <row r="51" spans="1:26" s="24" customFormat="1" hidden="1" outlineLevel="1" x14ac:dyDescent="0.25">
      <c r="A51" s="46"/>
      <c r="B51" s="11" t="str">
        <f>CONCATENATE("          ", "5045", " - ", "PURCHASES @ COST-SPECIAL ORDER")</f>
        <v xml:space="preserve">          5045 - PURCHASES @ COST-SPECIAL ORDER</v>
      </c>
      <c r="C51" s="11"/>
      <c r="D51" s="2">
        <v>4318.3999999999996</v>
      </c>
      <c r="E51" s="2"/>
      <c r="F51" s="19">
        <f t="shared" si="5"/>
        <v>1.4166510296176636E-2</v>
      </c>
      <c r="G51" s="2"/>
      <c r="H51" s="2"/>
      <c r="I51" s="2"/>
      <c r="J51" s="19">
        <f t="shared" si="6"/>
        <v>0</v>
      </c>
      <c r="K51" s="2"/>
      <c r="L51" s="2">
        <f t="shared" si="7"/>
        <v>4318.3999999999996</v>
      </c>
      <c r="M51" s="2"/>
      <c r="N51" s="19">
        <f t="shared" si="8"/>
        <v>0</v>
      </c>
      <c r="O51" s="11"/>
      <c r="P51" s="2">
        <v>24464.030000000002</v>
      </c>
      <c r="Q51" s="2"/>
      <c r="R51" s="19">
        <f t="shared" si="9"/>
        <v>2.8460331902159488E-2</v>
      </c>
      <c r="S51" s="2"/>
      <c r="T51" s="2"/>
      <c r="U51" s="2"/>
      <c r="V51" s="19">
        <f t="shared" si="10"/>
        <v>0</v>
      </c>
      <c r="W51" s="2"/>
      <c r="X51" s="2">
        <f t="shared" si="11"/>
        <v>24464.030000000002</v>
      </c>
      <c r="Y51" s="2"/>
      <c r="Z51" s="19">
        <f t="shared" si="12"/>
        <v>0</v>
      </c>
    </row>
    <row r="52" spans="1:26" s="24" customFormat="1" hidden="1" outlineLevel="1" x14ac:dyDescent="0.25">
      <c r="A52" s="46"/>
      <c r="B52" s="11" t="str">
        <f>CONCATENATE("          ", "5083", " - ", "PURCHASES @ COST-COMPUTER EQUI")</f>
        <v xml:space="preserve">          5083 - PURCHASES @ COST-COMPUTER EQUI</v>
      </c>
      <c r="C52" s="11"/>
      <c r="D52" s="2"/>
      <c r="E52" s="2"/>
      <c r="F52" s="19">
        <f t="shared" si="5"/>
        <v>0</v>
      </c>
      <c r="G52" s="2"/>
      <c r="H52" s="2"/>
      <c r="I52" s="2"/>
      <c r="J52" s="19">
        <f t="shared" si="6"/>
        <v>0</v>
      </c>
      <c r="K52" s="2"/>
      <c r="L52" s="2">
        <f t="shared" si="7"/>
        <v>0</v>
      </c>
      <c r="M52" s="2"/>
      <c r="N52" s="19">
        <f t="shared" si="8"/>
        <v>0</v>
      </c>
      <c r="O52" s="11"/>
      <c r="P52" s="2">
        <v>39.950000000000003</v>
      </c>
      <c r="Q52" s="2"/>
      <c r="R52" s="19">
        <f t="shared" si="9"/>
        <v>4.6476000049512349E-5</v>
      </c>
      <c r="S52" s="2"/>
      <c r="T52" s="2"/>
      <c r="U52" s="2"/>
      <c r="V52" s="19">
        <f t="shared" si="10"/>
        <v>0</v>
      </c>
      <c r="W52" s="2"/>
      <c r="X52" s="2">
        <f t="shared" si="11"/>
        <v>39.950000000000003</v>
      </c>
      <c r="Y52" s="2"/>
      <c r="Z52" s="19">
        <f t="shared" si="12"/>
        <v>0</v>
      </c>
    </row>
    <row r="53" spans="1:26" s="24" customFormat="1" hidden="1" outlineLevel="1" x14ac:dyDescent="0.25">
      <c r="A53" s="46"/>
      <c r="B53" s="11" t="str">
        <f>CONCATENATE("          ", "5092", " - ", "PURCHASES @ COST-GRAD MERCH")</f>
        <v xml:space="preserve">          5092 - PURCHASES @ COST-GRAD MERCH</v>
      </c>
      <c r="C53" s="11"/>
      <c r="D53" s="2">
        <v>-12.95</v>
      </c>
      <c r="E53" s="2"/>
      <c r="F53" s="19">
        <f t="shared" si="5"/>
        <v>-4.2482472289618246E-5</v>
      </c>
      <c r="G53" s="2"/>
      <c r="H53" s="2"/>
      <c r="I53" s="2"/>
      <c r="J53" s="19">
        <f t="shared" si="6"/>
        <v>0</v>
      </c>
      <c r="K53" s="2"/>
      <c r="L53" s="2">
        <f t="shared" si="7"/>
        <v>-12.95</v>
      </c>
      <c r="M53" s="2"/>
      <c r="N53" s="19">
        <f t="shared" si="8"/>
        <v>0</v>
      </c>
      <c r="O53" s="11"/>
      <c r="P53" s="2">
        <v>-12.95</v>
      </c>
      <c r="Q53" s="2"/>
      <c r="R53" s="19">
        <f t="shared" si="9"/>
        <v>-1.5065436812044678E-5</v>
      </c>
      <c r="S53" s="2"/>
      <c r="T53" s="2"/>
      <c r="U53" s="2"/>
      <c r="V53" s="19">
        <f t="shared" si="10"/>
        <v>0</v>
      </c>
      <c r="W53" s="2"/>
      <c r="X53" s="2">
        <f t="shared" si="11"/>
        <v>-12.95</v>
      </c>
      <c r="Y53" s="2"/>
      <c r="Z53" s="19">
        <f t="shared" si="12"/>
        <v>0</v>
      </c>
    </row>
    <row r="54" spans="1:26" s="24" customFormat="1" hidden="1" outlineLevel="1" x14ac:dyDescent="0.25">
      <c r="A54" s="46"/>
      <c r="B54" s="11" t="str">
        <f>CONCATENATE("          ", "5095", " - ", "PURCHASES @ COST-CUSTOMER SERV")</f>
        <v xml:space="preserve">          5095 - PURCHASES @ COST-CUSTOMER SERV</v>
      </c>
      <c r="C54" s="11"/>
      <c r="D54" s="2"/>
      <c r="E54" s="2"/>
      <c r="F54" s="19">
        <f t="shared" si="5"/>
        <v>0</v>
      </c>
      <c r="G54" s="2"/>
      <c r="H54" s="2"/>
      <c r="I54" s="2"/>
      <c r="J54" s="19">
        <f t="shared" si="6"/>
        <v>0</v>
      </c>
      <c r="K54" s="2"/>
      <c r="L54" s="2">
        <f t="shared" si="7"/>
        <v>0</v>
      </c>
      <c r="M54" s="2"/>
      <c r="N54" s="19">
        <f t="shared" si="8"/>
        <v>0</v>
      </c>
      <c r="O54" s="11"/>
      <c r="P54" s="2">
        <v>-11.85</v>
      </c>
      <c r="Q54" s="2"/>
      <c r="R54" s="19">
        <f t="shared" si="9"/>
        <v>-1.3785747198666365E-5</v>
      </c>
      <c r="S54" s="2"/>
      <c r="T54" s="2"/>
      <c r="U54" s="2"/>
      <c r="V54" s="19">
        <f t="shared" si="10"/>
        <v>0</v>
      </c>
      <c r="W54" s="2"/>
      <c r="X54" s="2">
        <f t="shared" si="11"/>
        <v>-11.85</v>
      </c>
      <c r="Y54" s="2"/>
      <c r="Z54" s="19">
        <f t="shared" si="12"/>
        <v>0</v>
      </c>
    </row>
    <row r="55" spans="1:26" s="24" customFormat="1" hidden="1" outlineLevel="1" x14ac:dyDescent="0.25">
      <c r="A55" s="46"/>
      <c r="B55" s="11" t="str">
        <f>CONCATENATE("          ", "5200", " - ", "PURCHASES OFFSET")</f>
        <v xml:space="preserve">          5200 - PURCHASES OFFSET</v>
      </c>
      <c r="C55" s="11"/>
      <c r="D55" s="2">
        <v>-185971</v>
      </c>
      <c r="E55" s="2"/>
      <c r="F55" s="19">
        <f t="shared" si="5"/>
        <v>-0.61007782657703435</v>
      </c>
      <c r="G55" s="2"/>
      <c r="H55" s="2"/>
      <c r="I55" s="2"/>
      <c r="J55" s="19">
        <f t="shared" si="6"/>
        <v>0</v>
      </c>
      <c r="K55" s="2"/>
      <c r="L55" s="2">
        <f t="shared" si="7"/>
        <v>-185971</v>
      </c>
      <c r="M55" s="2"/>
      <c r="N55" s="19">
        <f t="shared" si="8"/>
        <v>0</v>
      </c>
      <c r="O55" s="11"/>
      <c r="P55" s="2">
        <v>-466125</v>
      </c>
      <c r="Q55" s="2"/>
      <c r="R55" s="19">
        <f t="shared" si="9"/>
        <v>-0.54226847366905984</v>
      </c>
      <c r="S55" s="2"/>
      <c r="T55" s="2"/>
      <c r="U55" s="2"/>
      <c r="V55" s="19">
        <f t="shared" si="10"/>
        <v>0</v>
      </c>
      <c r="W55" s="2"/>
      <c r="X55" s="2">
        <f t="shared" si="11"/>
        <v>-466125</v>
      </c>
      <c r="Y55" s="2"/>
      <c r="Z55" s="19">
        <f t="shared" si="12"/>
        <v>0</v>
      </c>
    </row>
    <row r="56" spans="1:26" s="24" customFormat="1" hidden="1" outlineLevel="1" x14ac:dyDescent="0.25">
      <c r="A56" s="46"/>
      <c r="B56" s="11" t="str">
        <f>CONCATENATE("          ", "5300", " - ", "COG$ OFFSET")</f>
        <v xml:space="preserve">          5300 - COG$ OFFSET</v>
      </c>
      <c r="C56" s="11"/>
      <c r="D56" s="2">
        <v>137402</v>
      </c>
      <c r="E56" s="2"/>
      <c r="F56" s="19">
        <f t="shared" si="5"/>
        <v>0.45074723224232638</v>
      </c>
      <c r="G56" s="2"/>
      <c r="H56" s="2"/>
      <c r="I56" s="2"/>
      <c r="J56" s="19">
        <f t="shared" si="6"/>
        <v>0</v>
      </c>
      <c r="K56" s="2"/>
      <c r="L56" s="2">
        <f t="shared" si="7"/>
        <v>137402</v>
      </c>
      <c r="M56" s="2"/>
      <c r="N56" s="19">
        <f t="shared" si="8"/>
        <v>0</v>
      </c>
      <c r="O56" s="11"/>
      <c r="P56" s="2">
        <v>390020</v>
      </c>
      <c r="Q56" s="2"/>
      <c r="R56" s="19">
        <f t="shared" si="9"/>
        <v>0.45373140273619034</v>
      </c>
      <c r="S56" s="2"/>
      <c r="T56" s="2"/>
      <c r="U56" s="2"/>
      <c r="V56" s="19">
        <f t="shared" si="10"/>
        <v>0</v>
      </c>
      <c r="W56" s="2"/>
      <c r="X56" s="2">
        <f t="shared" si="11"/>
        <v>390020</v>
      </c>
      <c r="Y56" s="2"/>
      <c r="Z56" s="19">
        <f t="shared" si="12"/>
        <v>0</v>
      </c>
    </row>
    <row r="57" spans="1:26" s="24" customFormat="1" hidden="1" outlineLevel="1" x14ac:dyDescent="0.25">
      <c r="A57" s="46"/>
      <c r="B57" s="11" t="str">
        <f>CONCATENATE("          ", "5540", " - ", "FREIGHT-IN-LOGO CLOTHING")</f>
        <v xml:space="preserve">          5540 - FREIGHT-IN-LOGO CLOTHING</v>
      </c>
      <c r="C57" s="11"/>
      <c r="D57" s="2">
        <v>2672.92</v>
      </c>
      <c r="E57" s="2"/>
      <c r="F57" s="19">
        <f t="shared" si="5"/>
        <v>8.768513500568835E-3</v>
      </c>
      <c r="G57" s="2"/>
      <c r="H57" s="2"/>
      <c r="I57" s="2"/>
      <c r="J57" s="19">
        <f t="shared" si="6"/>
        <v>0</v>
      </c>
      <c r="K57" s="2"/>
      <c r="L57" s="2">
        <f t="shared" si="7"/>
        <v>2672.92</v>
      </c>
      <c r="M57" s="2"/>
      <c r="N57" s="19">
        <f t="shared" si="8"/>
        <v>0</v>
      </c>
      <c r="O57" s="11"/>
      <c r="P57" s="2">
        <v>5004.8599999999997</v>
      </c>
      <c r="Q57" s="2"/>
      <c r="R57" s="19">
        <f t="shared" si="9"/>
        <v>5.8224248712841634E-3</v>
      </c>
      <c r="S57" s="2"/>
      <c r="T57" s="2"/>
      <c r="U57" s="2"/>
      <c r="V57" s="19">
        <f t="shared" si="10"/>
        <v>0</v>
      </c>
      <c r="W57" s="2"/>
      <c r="X57" s="2">
        <f t="shared" si="11"/>
        <v>5004.8599999999997</v>
      </c>
      <c r="Y57" s="2"/>
      <c r="Z57" s="19">
        <f t="shared" si="12"/>
        <v>0</v>
      </c>
    </row>
    <row r="58" spans="1:26" s="24" customFormat="1" hidden="1" outlineLevel="1" x14ac:dyDescent="0.25">
      <c r="A58" s="46"/>
      <c r="B58" s="11" t="str">
        <f>CONCATENATE("          ", "5541", " - ", "FREIGHT-IN-LOGO GIFTS")</f>
        <v xml:space="preserve">          5541 - FREIGHT-IN-LOGO GIFTS</v>
      </c>
      <c r="C58" s="11"/>
      <c r="D58" s="2">
        <v>97.6</v>
      </c>
      <c r="E58" s="2"/>
      <c r="F58" s="19">
        <f t="shared" si="5"/>
        <v>3.201767795727213E-4</v>
      </c>
      <c r="G58" s="2"/>
      <c r="H58" s="2"/>
      <c r="I58" s="2"/>
      <c r="J58" s="19">
        <f t="shared" si="6"/>
        <v>0</v>
      </c>
      <c r="K58" s="2"/>
      <c r="L58" s="2">
        <f t="shared" si="7"/>
        <v>97.6</v>
      </c>
      <c r="M58" s="2"/>
      <c r="N58" s="19">
        <f t="shared" si="8"/>
        <v>0</v>
      </c>
      <c r="O58" s="11"/>
      <c r="P58" s="2">
        <v>818.01</v>
      </c>
      <c r="Q58" s="2"/>
      <c r="R58" s="19">
        <f t="shared" si="9"/>
        <v>9.516353642178121E-4</v>
      </c>
      <c r="S58" s="2"/>
      <c r="T58" s="2"/>
      <c r="U58" s="2"/>
      <c r="V58" s="19">
        <f t="shared" si="10"/>
        <v>0</v>
      </c>
      <c r="W58" s="2"/>
      <c r="X58" s="2">
        <f t="shared" si="11"/>
        <v>818.01</v>
      </c>
      <c r="Y58" s="2"/>
      <c r="Z58" s="19">
        <f t="shared" si="12"/>
        <v>0</v>
      </c>
    </row>
    <row r="59" spans="1:26" s="24" customFormat="1" hidden="1" outlineLevel="1" x14ac:dyDescent="0.25">
      <c r="A59" s="46"/>
      <c r="B59" s="11" t="str">
        <f>CONCATENATE("          ", "5542", " - ", "FREIGHT-IN-EVERYDAY GIFTS")</f>
        <v xml:space="preserve">          5542 - FREIGHT-IN-EVERYDAY GIFTS</v>
      </c>
      <c r="C59" s="11"/>
      <c r="D59" s="2">
        <v>58.91</v>
      </c>
      <c r="E59" s="2"/>
      <c r="F59" s="19">
        <f t="shared" si="5"/>
        <v>1.9325424267037922E-4</v>
      </c>
      <c r="G59" s="2"/>
      <c r="H59" s="2"/>
      <c r="I59" s="2"/>
      <c r="J59" s="19">
        <f t="shared" si="6"/>
        <v>0</v>
      </c>
      <c r="K59" s="2"/>
      <c r="L59" s="2">
        <f t="shared" si="7"/>
        <v>58.91</v>
      </c>
      <c r="M59" s="2"/>
      <c r="N59" s="19">
        <f t="shared" si="8"/>
        <v>0</v>
      </c>
      <c r="O59" s="11"/>
      <c r="P59" s="2">
        <v>171.68</v>
      </c>
      <c r="Q59" s="2"/>
      <c r="R59" s="19">
        <f t="shared" si="9"/>
        <v>1.9972464802253516E-4</v>
      </c>
      <c r="S59" s="2"/>
      <c r="T59" s="2"/>
      <c r="U59" s="2"/>
      <c r="V59" s="19">
        <f t="shared" si="10"/>
        <v>0</v>
      </c>
      <c r="W59" s="2"/>
      <c r="X59" s="2">
        <f t="shared" si="11"/>
        <v>171.68</v>
      </c>
      <c r="Y59" s="2"/>
      <c r="Z59" s="19">
        <f t="shared" si="12"/>
        <v>0</v>
      </c>
    </row>
    <row r="60" spans="1:26" s="24" customFormat="1" hidden="1" outlineLevel="1" x14ac:dyDescent="0.25">
      <c r="A60" s="46"/>
      <c r="B60" s="11" t="str">
        <f>CONCATENATE("          ", "5543", " - ", "FREIGHT-IN-CARDS")</f>
        <v xml:space="preserve">          5543 - FREIGHT-IN-CARDS</v>
      </c>
      <c r="C60" s="11"/>
      <c r="D60" s="2"/>
      <c r="E60" s="2"/>
      <c r="F60" s="19">
        <f t="shared" si="5"/>
        <v>0</v>
      </c>
      <c r="G60" s="2"/>
      <c r="H60" s="2"/>
      <c r="I60" s="2"/>
      <c r="J60" s="19">
        <f t="shared" si="6"/>
        <v>0</v>
      </c>
      <c r="K60" s="2"/>
      <c r="L60" s="2">
        <f t="shared" si="7"/>
        <v>0</v>
      </c>
      <c r="M60" s="2"/>
      <c r="N60" s="19">
        <f t="shared" si="8"/>
        <v>0</v>
      </c>
      <c r="O60" s="11"/>
      <c r="P60" s="2">
        <v>4.58</v>
      </c>
      <c r="Q60" s="2"/>
      <c r="R60" s="19">
        <f t="shared" si="9"/>
        <v>5.3281622084297009E-6</v>
      </c>
      <c r="S60" s="2"/>
      <c r="T60" s="2"/>
      <c r="U60" s="2"/>
      <c r="V60" s="19">
        <f t="shared" si="10"/>
        <v>0</v>
      </c>
      <c r="W60" s="2"/>
      <c r="X60" s="2">
        <f t="shared" si="11"/>
        <v>4.58</v>
      </c>
      <c r="Y60" s="2"/>
      <c r="Z60" s="19">
        <f t="shared" si="12"/>
        <v>0</v>
      </c>
    </row>
    <row r="61" spans="1:26" s="24" customFormat="1" hidden="1" outlineLevel="1" x14ac:dyDescent="0.25">
      <c r="A61" s="46"/>
      <c r="B61" s="11" t="str">
        <f>CONCATENATE("          ", "5544", " - ", "FREIGHT-IN-ACCESSORIES")</f>
        <v xml:space="preserve">          5544 - FREIGHT-IN-ACCESSORIES</v>
      </c>
      <c r="C61" s="11"/>
      <c r="D61" s="2">
        <v>34.18</v>
      </c>
      <c r="E61" s="2"/>
      <c r="F61" s="19">
        <f t="shared" si="5"/>
        <v>1.1212748284626654E-4</v>
      </c>
      <c r="G61" s="2"/>
      <c r="H61" s="2"/>
      <c r="I61" s="2"/>
      <c r="J61" s="19">
        <f t="shared" si="6"/>
        <v>0</v>
      </c>
      <c r="K61" s="2"/>
      <c r="L61" s="2">
        <f t="shared" si="7"/>
        <v>34.18</v>
      </c>
      <c r="M61" s="2"/>
      <c r="N61" s="19">
        <f t="shared" si="8"/>
        <v>0</v>
      </c>
      <c r="O61" s="11"/>
      <c r="P61" s="2">
        <v>135.84</v>
      </c>
      <c r="Q61" s="2"/>
      <c r="R61" s="19">
        <f t="shared" si="9"/>
        <v>1.5803003371028178E-4</v>
      </c>
      <c r="S61" s="2"/>
      <c r="T61" s="2"/>
      <c r="U61" s="2"/>
      <c r="V61" s="19">
        <f t="shared" si="10"/>
        <v>0</v>
      </c>
      <c r="W61" s="2"/>
      <c r="X61" s="2">
        <f t="shared" si="11"/>
        <v>135.84</v>
      </c>
      <c r="Y61" s="2"/>
      <c r="Z61" s="19">
        <f t="shared" si="12"/>
        <v>0</v>
      </c>
    </row>
    <row r="62" spans="1:26" s="24" customFormat="1" hidden="1" outlineLevel="1" x14ac:dyDescent="0.25">
      <c r="A62" s="46"/>
      <c r="B62" s="11" t="str">
        <f>CONCATENATE("          ", "5545", " - ", "FREIGHT-IN-SPECIAL ORDERS")</f>
        <v xml:space="preserve">          5545 - FREIGHT-IN-SPECIAL ORDERS</v>
      </c>
      <c r="C62" s="11"/>
      <c r="D62" s="2">
        <v>26.56</v>
      </c>
      <c r="E62" s="2"/>
      <c r="F62" s="19">
        <f t="shared" si="5"/>
        <v>8.7130074441101206E-5</v>
      </c>
      <c r="G62" s="2"/>
      <c r="H62" s="2"/>
      <c r="I62" s="2"/>
      <c r="J62" s="19">
        <f t="shared" si="6"/>
        <v>0</v>
      </c>
      <c r="K62" s="2"/>
      <c r="L62" s="2">
        <f t="shared" si="7"/>
        <v>26.56</v>
      </c>
      <c r="M62" s="2"/>
      <c r="N62" s="19">
        <f t="shared" si="8"/>
        <v>0</v>
      </c>
      <c r="O62" s="11"/>
      <c r="P62" s="2">
        <v>262.51</v>
      </c>
      <c r="Q62" s="2"/>
      <c r="R62" s="19">
        <f t="shared" si="9"/>
        <v>3.0539210946176434E-4</v>
      </c>
      <c r="S62" s="2"/>
      <c r="T62" s="2"/>
      <c r="U62" s="2"/>
      <c r="V62" s="19">
        <f t="shared" si="10"/>
        <v>0</v>
      </c>
      <c r="W62" s="2"/>
      <c r="X62" s="2">
        <f t="shared" si="11"/>
        <v>262.51</v>
      </c>
      <c r="Y62" s="2"/>
      <c r="Z62" s="19">
        <f t="shared" si="12"/>
        <v>0</v>
      </c>
    </row>
    <row r="63" spans="1:26" x14ac:dyDescent="0.25">
      <c r="A63" s="9"/>
      <c r="B63" s="10"/>
      <c r="C63" s="10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O63" s="10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x14ac:dyDescent="0.25">
      <c r="A64" s="10"/>
      <c r="B64" s="29" t="s">
        <v>6</v>
      </c>
      <c r="C64" s="29"/>
      <c r="D64" s="22">
        <f>D12-D41</f>
        <v>167430.66000000015</v>
      </c>
      <c r="E64" s="14"/>
      <c r="F64" s="20">
        <f>IF(D$12=0,0,D64/D$12)</f>
        <v>0.54925624508745174</v>
      </c>
      <c r="G64" s="14"/>
      <c r="H64" s="22">
        <f>H12-H41</f>
        <v>165525.37251999998</v>
      </c>
      <c r="I64" s="14"/>
      <c r="J64" s="20">
        <f>IF(H$12=0,0,H64/H$12)</f>
        <v>0.55530176952117305</v>
      </c>
      <c r="K64" s="15"/>
      <c r="L64" s="22">
        <f>+D64-H64</f>
        <v>1905.2874800001737</v>
      </c>
      <c r="M64" s="15"/>
      <c r="N64" s="20">
        <f>IF(H64=0,0,L64/H64)</f>
        <v>1.1510546395356779E-2</v>
      </c>
      <c r="O64" s="28"/>
      <c r="P64" s="22">
        <f>P12-P41</f>
        <v>469565.83000000007</v>
      </c>
      <c r="Q64" s="14"/>
      <c r="R64" s="20">
        <f>IF(P$12=0,0,P64/P$12)</f>
        <v>0.54627137768033318</v>
      </c>
      <c r="S64" s="14"/>
      <c r="T64" s="22">
        <f>T12-T41</f>
        <v>450108.65801000007</v>
      </c>
      <c r="U64" s="14"/>
      <c r="V64" s="20">
        <f>IF(T$12=0,0,T64/T$12)</f>
        <v>0.54288415306158821</v>
      </c>
      <c r="W64" s="15"/>
      <c r="X64" s="22">
        <f>+P64-T64</f>
        <v>19457.171990000003</v>
      </c>
      <c r="Y64" s="15"/>
      <c r="Z64" s="20">
        <f>IF(T64=0,0,X64/T64)</f>
        <v>4.3227722114973673E-2</v>
      </c>
    </row>
    <row r="65" spans="1:26" x14ac:dyDescent="0.25">
      <c r="A65" s="9"/>
      <c r="B65" s="10"/>
      <c r="C65" s="9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6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3" customFormat="1" x14ac:dyDescent="0.25">
      <c r="A66" s="10"/>
      <c r="B66" s="28" t="s">
        <v>9</v>
      </c>
      <c r="C66" s="10"/>
      <c r="D66" s="21">
        <f>SUM(OSRRefD22x_0)</f>
        <v>73781.83</v>
      </c>
      <c r="E66" s="21"/>
      <c r="F66" s="33">
        <f t="shared" ref="F66:F76" si="13">IF(D$12=0,0,D66/D$12)</f>
        <v>0.24204127787276636</v>
      </c>
      <c r="G66" s="21"/>
      <c r="H66" s="21">
        <f>SUM(OSRRefH22x_0)</f>
        <v>81592.647099574999</v>
      </c>
      <c r="I66" s="21"/>
      <c r="J66" s="33">
        <f t="shared" ref="J66:J76" si="14">IF(H$12=0,0,H66/H$12)</f>
        <v>0.27372565682542777</v>
      </c>
      <c r="K66" s="4"/>
      <c r="L66" s="21">
        <f t="shared" ref="L66:L76" si="15">+D66-H66</f>
        <v>-7810.817099574997</v>
      </c>
      <c r="M66" s="4"/>
      <c r="N66" s="33">
        <f t="shared" ref="N66:N76" si="16">IF(H66=0,0,L66/H66)</f>
        <v>-9.5729423878633813E-2</v>
      </c>
      <c r="O66" s="10"/>
      <c r="P66" s="21">
        <f>SUM(OSRRefP22x_0)</f>
        <v>245620.31999999998</v>
      </c>
      <c r="Q66" s="21"/>
      <c r="R66" s="33">
        <f t="shared" ref="R66:R76" si="17">IF(P$12=0,0,P66/P$12)</f>
        <v>0.28574342939877939</v>
      </c>
      <c r="S66" s="21"/>
      <c r="T66" s="21">
        <f>SUM(OSRRefT22x_0)</f>
        <v>246615.41935111873</v>
      </c>
      <c r="U66" s="21"/>
      <c r="V66" s="33">
        <f t="shared" ref="V66:V76" si="18">IF(T$12=0,0,T66/T$12)</f>
        <v>0.29744729563363786</v>
      </c>
      <c r="W66" s="4"/>
      <c r="X66" s="21">
        <f t="shared" ref="X66:X76" si="19">+P66-T66</f>
        <v>-995.09935111875529</v>
      </c>
      <c r="Y66" s="4"/>
      <c r="Z66" s="33">
        <f t="shared" ref="Z66:Z76" si="20">IF(T66=0,0,X66/T66)</f>
        <v>-4.035024872885107E-3</v>
      </c>
    </row>
    <row r="67" spans="1:26" s="26" customFormat="1" outlineLevel="1" collapsed="1" x14ac:dyDescent="0.25">
      <c r="A67" s="27"/>
      <c r="B67" s="13" t="str">
        <f>CONCATENATE("     ","*Benefits                                         ")</f>
        <v xml:space="preserve">     *Benefits                                         </v>
      </c>
      <c r="C67" s="13"/>
      <c r="D67" s="1">
        <f>SUM(OSRRefD22_0x_0)</f>
        <v>7998.0699999999988</v>
      </c>
      <c r="E67" s="1"/>
      <c r="F67" s="5">
        <f t="shared" si="13"/>
        <v>2.623766696103683E-2</v>
      </c>
      <c r="G67" s="1"/>
      <c r="H67" s="1">
        <f>SUM(OSRRefH22_0x_0)</f>
        <v>5940.5934745750001</v>
      </c>
      <c r="I67" s="1"/>
      <c r="J67" s="5">
        <f t="shared" si="14"/>
        <v>1.9929404285369264E-2</v>
      </c>
      <c r="K67" s="1"/>
      <c r="L67" s="1">
        <f t="shared" si="15"/>
        <v>2057.4765254249987</v>
      </c>
      <c r="M67" s="1"/>
      <c r="N67" s="5">
        <f t="shared" si="16"/>
        <v>0.34634191587603863</v>
      </c>
      <c r="O67" s="13"/>
      <c r="P67" s="1">
        <f>SUM(OSRRefP22_0x_0)</f>
        <v>27255.350000000002</v>
      </c>
      <c r="Q67" s="1"/>
      <c r="R67" s="5">
        <f t="shared" si="17"/>
        <v>3.1707625730900538E-2</v>
      </c>
      <c r="S67" s="1"/>
      <c r="T67" s="1">
        <f>SUM(OSRRefT22_0x_0)</f>
        <v>21208.37006986875</v>
      </c>
      <c r="U67" s="1"/>
      <c r="V67" s="5">
        <f t="shared" si="18"/>
        <v>2.5579796829728239E-2</v>
      </c>
      <c r="W67" s="1"/>
      <c r="X67" s="1">
        <f t="shared" si="19"/>
        <v>6046.9799301312523</v>
      </c>
      <c r="Y67" s="1"/>
      <c r="Z67" s="5">
        <f t="shared" si="20"/>
        <v>0.2851223319005709</v>
      </c>
    </row>
    <row r="68" spans="1:26" s="24" customFormat="1" hidden="1" outlineLevel="2" x14ac:dyDescent="0.25">
      <c r="A68" s="25"/>
      <c r="B68" s="11" t="str">
        <f>CONCATENATE("          ", "6111", " - ", "F.I.C.A.")</f>
        <v xml:space="preserve">          6111 - F.I.C.A.</v>
      </c>
      <c r="C68" s="11"/>
      <c r="D68" s="7">
        <v>1223.55</v>
      </c>
      <c r="E68" s="2"/>
      <c r="F68" s="6">
        <f t="shared" si="13"/>
        <v>4.0138555189160154E-3</v>
      </c>
      <c r="G68" s="2"/>
      <c r="H68" s="7">
        <v>981.66772057499998</v>
      </c>
      <c r="I68" s="2"/>
      <c r="J68" s="6">
        <f t="shared" si="14"/>
        <v>3.2932825585470192E-3</v>
      </c>
      <c r="K68" s="2"/>
      <c r="L68" s="7">
        <f t="shared" si="15"/>
        <v>241.88227942499998</v>
      </c>
      <c r="M68" s="2"/>
      <c r="N68" s="6">
        <f t="shared" si="16"/>
        <v>0.24639934099424229</v>
      </c>
      <c r="O68" s="11"/>
      <c r="P68" s="7">
        <v>6268.93</v>
      </c>
      <c r="Q68" s="2"/>
      <c r="R68" s="6">
        <f t="shared" si="17"/>
        <v>7.2929860072688223E-3</v>
      </c>
      <c r="S68" s="2"/>
      <c r="T68" s="7">
        <v>5909.2822693687503</v>
      </c>
      <c r="U68" s="2"/>
      <c r="V68" s="6">
        <f t="shared" si="18"/>
        <v>7.127291694835251E-3</v>
      </c>
      <c r="W68" s="2"/>
      <c r="X68" s="7">
        <f t="shared" si="19"/>
        <v>359.64773063124994</v>
      </c>
      <c r="Y68" s="2"/>
      <c r="Z68" s="6">
        <f t="shared" si="20"/>
        <v>6.086149116543535E-2</v>
      </c>
    </row>
    <row r="69" spans="1:26" s="24" customFormat="1" hidden="1" outlineLevel="2" x14ac:dyDescent="0.25">
      <c r="A69" s="25"/>
      <c r="B69" s="11" t="str">
        <f>CONCATENATE("          ", "6112", " - ", "COMPENSATION INSURANCE")</f>
        <v xml:space="preserve">          6112 - COMPENSATION INSURANCE</v>
      </c>
      <c r="C69" s="11"/>
      <c r="D69" s="7">
        <v>672.19</v>
      </c>
      <c r="E69" s="2"/>
      <c r="F69" s="6">
        <f t="shared" si="13"/>
        <v>2.2051191543133969E-3</v>
      </c>
      <c r="G69" s="2"/>
      <c r="H69" s="7">
        <v>570.84032249999996</v>
      </c>
      <c r="I69" s="2"/>
      <c r="J69" s="6">
        <f t="shared" si="14"/>
        <v>1.9150456293942865E-3</v>
      </c>
      <c r="K69" s="2"/>
      <c r="L69" s="7">
        <f t="shared" si="15"/>
        <v>101.3496775000001</v>
      </c>
      <c r="M69" s="2"/>
      <c r="N69" s="6">
        <f t="shared" si="16"/>
        <v>0.17754470647087148</v>
      </c>
      <c r="O69" s="11"/>
      <c r="P69" s="7">
        <v>1947.66</v>
      </c>
      <c r="Q69" s="2"/>
      <c r="R69" s="6">
        <f t="shared" si="17"/>
        <v>2.2658184294476399E-3</v>
      </c>
      <c r="S69" s="2"/>
      <c r="T69" s="7">
        <v>1794.212548125</v>
      </c>
      <c r="U69" s="2"/>
      <c r="V69" s="6">
        <f t="shared" si="18"/>
        <v>2.1640320448572093E-3</v>
      </c>
      <c r="W69" s="2"/>
      <c r="X69" s="7">
        <f t="shared" si="19"/>
        <v>153.44745187500007</v>
      </c>
      <c r="Y69" s="2"/>
      <c r="Z69" s="6">
        <f t="shared" si="20"/>
        <v>8.5523564103571093E-2</v>
      </c>
    </row>
    <row r="70" spans="1:26" s="24" customFormat="1" hidden="1" outlineLevel="2" x14ac:dyDescent="0.25">
      <c r="A70" s="25"/>
      <c r="B70" s="11" t="str">
        <f>CONCATENATE("          ", "6113", " - ", "GROUP INSURANCE")</f>
        <v xml:space="preserve">          6113 - GROUP INSURANCE</v>
      </c>
      <c r="C70" s="11"/>
      <c r="D70" s="7">
        <v>3252.74</v>
      </c>
      <c r="E70" s="2"/>
      <c r="F70" s="6">
        <f t="shared" si="13"/>
        <v>1.0670612889214892E-2</v>
      </c>
      <c r="G70" s="2"/>
      <c r="H70" s="7">
        <v>2863.75</v>
      </c>
      <c r="I70" s="2"/>
      <c r="J70" s="6">
        <f t="shared" si="14"/>
        <v>9.6072609187096945E-3</v>
      </c>
      <c r="K70" s="2"/>
      <c r="L70" s="7">
        <f t="shared" si="15"/>
        <v>388.98999999999978</v>
      </c>
      <c r="M70" s="2"/>
      <c r="N70" s="6">
        <f t="shared" si="16"/>
        <v>0.13583238760366645</v>
      </c>
      <c r="O70" s="11"/>
      <c r="P70" s="7">
        <v>9290.57</v>
      </c>
      <c r="Q70" s="2"/>
      <c r="R70" s="6">
        <f t="shared" si="17"/>
        <v>1.0808223573967407E-2</v>
      </c>
      <c r="S70" s="2"/>
      <c r="T70" s="7">
        <v>8591.25</v>
      </c>
      <c r="U70" s="2"/>
      <c r="V70" s="6">
        <f t="shared" si="18"/>
        <v>1.0362061242302848E-2</v>
      </c>
      <c r="W70" s="2"/>
      <c r="X70" s="7">
        <f t="shared" si="19"/>
        <v>699.31999999999971</v>
      </c>
      <c r="Y70" s="2"/>
      <c r="Z70" s="6">
        <f t="shared" si="20"/>
        <v>8.1399097919394703E-2</v>
      </c>
    </row>
    <row r="71" spans="1:26" s="24" customFormat="1" hidden="1" outlineLevel="2" x14ac:dyDescent="0.25">
      <c r="A71" s="25"/>
      <c r="B71" s="11" t="str">
        <f>CONCATENATE("          ", "6114", " - ", "STATE UNEMPLOYMENT INSURANCE")</f>
        <v xml:space="preserve">          6114 - STATE UNEMPLOYMENT INSURANCE</v>
      </c>
      <c r="C71" s="11"/>
      <c r="D71" s="7">
        <v>91.98</v>
      </c>
      <c r="E71" s="2"/>
      <c r="F71" s="6">
        <f t="shared" si="13"/>
        <v>3.0174037074896418E-4</v>
      </c>
      <c r="G71" s="2"/>
      <c r="H71" s="7">
        <v>78.114991500000002</v>
      </c>
      <c r="I71" s="2"/>
      <c r="J71" s="6">
        <f t="shared" si="14"/>
        <v>2.6205887560132345E-4</v>
      </c>
      <c r="K71" s="2"/>
      <c r="L71" s="7">
        <f t="shared" si="15"/>
        <v>13.865008500000002</v>
      </c>
      <c r="M71" s="2"/>
      <c r="N71" s="6">
        <f t="shared" si="16"/>
        <v>0.17749484745191327</v>
      </c>
      <c r="O71" s="11"/>
      <c r="P71" s="7">
        <v>257.77999999999997</v>
      </c>
      <c r="Q71" s="2"/>
      <c r="R71" s="6">
        <f t="shared" si="17"/>
        <v>2.9988944412423756E-4</v>
      </c>
      <c r="S71" s="2"/>
      <c r="T71" s="7">
        <v>245.52382237500001</v>
      </c>
      <c r="U71" s="2"/>
      <c r="V71" s="6">
        <f t="shared" si="18"/>
        <v>2.9613070087519704E-4</v>
      </c>
      <c r="W71" s="2"/>
      <c r="X71" s="7">
        <f t="shared" si="19"/>
        <v>12.256177624999964</v>
      </c>
      <c r="Y71" s="2"/>
      <c r="Z71" s="6">
        <f t="shared" si="20"/>
        <v>4.9918486550280777E-2</v>
      </c>
    </row>
    <row r="72" spans="1:26" s="24" customFormat="1" hidden="1" outlineLevel="2" x14ac:dyDescent="0.25">
      <c r="A72" s="25"/>
      <c r="B72" s="11" t="str">
        <f>CONCATENATE("          ", "6115", " - ", "P.E.R.S.")</f>
        <v xml:space="preserve">          6115 - P.E.R.S.</v>
      </c>
      <c r="C72" s="11"/>
      <c r="D72" s="7">
        <v>1069.76</v>
      </c>
      <c r="E72" s="2"/>
      <c r="F72" s="6">
        <f t="shared" si="13"/>
        <v>3.5093474561036305E-3</v>
      </c>
      <c r="G72" s="2"/>
      <c r="H72" s="7">
        <v>782.03906500000005</v>
      </c>
      <c r="I72" s="2"/>
      <c r="J72" s="6">
        <f t="shared" si="14"/>
        <v>2.623571661659981E-3</v>
      </c>
      <c r="K72" s="2"/>
      <c r="L72" s="7">
        <f t="shared" si="15"/>
        <v>287.72093499999994</v>
      </c>
      <c r="M72" s="2"/>
      <c r="N72" s="6">
        <f t="shared" si="16"/>
        <v>0.36791120530532567</v>
      </c>
      <c r="O72" s="11"/>
      <c r="P72" s="7">
        <v>2797.81</v>
      </c>
      <c r="Q72" s="2"/>
      <c r="R72" s="6">
        <f t="shared" si="17"/>
        <v>3.2548439974599782E-3</v>
      </c>
      <c r="S72" s="2"/>
      <c r="T72" s="7">
        <v>2541.62696125</v>
      </c>
      <c r="U72" s="2"/>
      <c r="V72" s="6">
        <f t="shared" si="18"/>
        <v>3.0655020197946272E-3</v>
      </c>
      <c r="W72" s="2"/>
      <c r="X72" s="7">
        <f t="shared" si="19"/>
        <v>256.18303874999992</v>
      </c>
      <c r="Y72" s="2"/>
      <c r="Z72" s="6">
        <f t="shared" si="20"/>
        <v>0.10079490131943135</v>
      </c>
    </row>
    <row r="73" spans="1:26" s="24" customFormat="1" hidden="1" outlineLevel="2" x14ac:dyDescent="0.25">
      <c r="A73" s="25"/>
      <c r="B73" s="11" t="str">
        <f>CONCATENATE("          ", "6116", " - ", "EDUCATIONAL BENEFITS")</f>
        <v xml:space="preserve">          6116 - EDUCATIONAL BENEFITS</v>
      </c>
      <c r="C73" s="11"/>
      <c r="D73" s="7"/>
      <c r="E73" s="2"/>
      <c r="F73" s="6">
        <f t="shared" si="13"/>
        <v>0</v>
      </c>
      <c r="G73" s="2"/>
      <c r="H73" s="7">
        <v>0</v>
      </c>
      <c r="I73" s="2"/>
      <c r="J73" s="6">
        <f t="shared" si="14"/>
        <v>0</v>
      </c>
      <c r="K73" s="2"/>
      <c r="L73" s="7">
        <f t="shared" si="15"/>
        <v>0</v>
      </c>
      <c r="M73" s="2"/>
      <c r="N73" s="6">
        <f t="shared" si="16"/>
        <v>0</v>
      </c>
      <c r="O73" s="11"/>
      <c r="P73" s="7"/>
      <c r="Q73" s="2"/>
      <c r="R73" s="6">
        <f t="shared" si="17"/>
        <v>0</v>
      </c>
      <c r="S73" s="2"/>
      <c r="T73" s="7">
        <v>0</v>
      </c>
      <c r="U73" s="2"/>
      <c r="V73" s="6">
        <f t="shared" si="18"/>
        <v>0</v>
      </c>
      <c r="W73" s="2"/>
      <c r="X73" s="7">
        <f t="shared" si="19"/>
        <v>0</v>
      </c>
      <c r="Y73" s="2"/>
      <c r="Z73" s="6">
        <f t="shared" si="20"/>
        <v>0</v>
      </c>
    </row>
    <row r="74" spans="1:26" s="24" customFormat="1" hidden="1" outlineLevel="2" x14ac:dyDescent="0.25">
      <c r="A74" s="25"/>
      <c r="B74" s="11" t="str">
        <f>CONCATENATE("          ", "6118", " - ", "VACATION")</f>
        <v xml:space="preserve">          6118 - VACATION</v>
      </c>
      <c r="C74" s="11"/>
      <c r="D74" s="7">
        <v>846</v>
      </c>
      <c r="E74" s="2"/>
      <c r="F74" s="6">
        <f t="shared" si="13"/>
        <v>2.7753028229356787E-3</v>
      </c>
      <c r="G74" s="2"/>
      <c r="H74" s="7">
        <v>272.80432499999989</v>
      </c>
      <c r="I74" s="2"/>
      <c r="J74" s="6">
        <f t="shared" si="14"/>
        <v>9.1519941685813254E-4</v>
      </c>
      <c r="K74" s="2"/>
      <c r="L74" s="7">
        <f t="shared" si="15"/>
        <v>573.19567500000016</v>
      </c>
      <c r="M74" s="2"/>
      <c r="N74" s="6">
        <f t="shared" si="16"/>
        <v>2.1011238549828724</v>
      </c>
      <c r="O74" s="11"/>
      <c r="P74" s="7">
        <v>2752.76</v>
      </c>
      <c r="Q74" s="2"/>
      <c r="R74" s="6">
        <f t="shared" si="17"/>
        <v>3.2024348910211667E-3</v>
      </c>
      <c r="S74" s="2"/>
      <c r="T74" s="7">
        <v>886.61405624999998</v>
      </c>
      <c r="U74" s="2"/>
      <c r="V74" s="6">
        <f t="shared" si="18"/>
        <v>1.0693611696958002E-3</v>
      </c>
      <c r="W74" s="2"/>
      <c r="X74" s="7">
        <f t="shared" si="19"/>
        <v>1866.1459437500002</v>
      </c>
      <c r="Y74" s="2"/>
      <c r="Z74" s="6">
        <f t="shared" si="20"/>
        <v>2.1048007648818507</v>
      </c>
    </row>
    <row r="75" spans="1:26" s="24" customFormat="1" hidden="1" outlineLevel="2" x14ac:dyDescent="0.25">
      <c r="A75" s="25"/>
      <c r="B75" s="11" t="str">
        <f>CONCATENATE("          ", "6119", " - ", "SICK LEAVE")</f>
        <v xml:space="preserve">          6119 - SICK LEAVE</v>
      </c>
      <c r="C75" s="11"/>
      <c r="D75" s="7">
        <v>576.4</v>
      </c>
      <c r="E75" s="2"/>
      <c r="F75" s="6">
        <f t="shared" si="13"/>
        <v>1.8908800793618499E-3</v>
      </c>
      <c r="G75" s="2"/>
      <c r="H75" s="7">
        <v>391.37705</v>
      </c>
      <c r="I75" s="2"/>
      <c r="J75" s="6">
        <f t="shared" si="14"/>
        <v>1.3129852245988268E-3</v>
      </c>
      <c r="K75" s="2"/>
      <c r="L75" s="7">
        <f t="shared" si="15"/>
        <v>185.02294999999998</v>
      </c>
      <c r="M75" s="2"/>
      <c r="N75" s="6">
        <f t="shared" si="16"/>
        <v>0.47274859371544647</v>
      </c>
      <c r="O75" s="11"/>
      <c r="P75" s="7">
        <v>3230.47</v>
      </c>
      <c r="Q75" s="2"/>
      <c r="R75" s="6">
        <f t="shared" si="17"/>
        <v>3.7581808230274876E-3</v>
      </c>
      <c r="S75" s="2"/>
      <c r="T75" s="7">
        <v>1239.8604124999999</v>
      </c>
      <c r="U75" s="2"/>
      <c r="V75" s="6">
        <f t="shared" si="18"/>
        <v>1.4954179573673065E-3</v>
      </c>
      <c r="W75" s="2"/>
      <c r="X75" s="7">
        <f t="shared" si="19"/>
        <v>1990.6095874999999</v>
      </c>
      <c r="Y75" s="2"/>
      <c r="Z75" s="6">
        <f t="shared" si="20"/>
        <v>1.6055110457847608</v>
      </c>
    </row>
    <row r="76" spans="1:26" s="24" customFormat="1" hidden="1" outlineLevel="2" x14ac:dyDescent="0.25">
      <c r="A76" s="25"/>
      <c r="B76" s="11" t="str">
        <f>CONCATENATE("          ", "6156", " - ", "EMPLOYEE MEALS")</f>
        <v xml:space="preserve">          6156 - EMPLOYEE MEALS</v>
      </c>
      <c r="C76" s="11"/>
      <c r="D76" s="7">
        <v>265.45</v>
      </c>
      <c r="E76" s="2"/>
      <c r="F76" s="6">
        <f t="shared" si="13"/>
        <v>8.7080866944240639E-4</v>
      </c>
      <c r="G76" s="2"/>
      <c r="H76" s="7"/>
      <c r="I76" s="2"/>
      <c r="J76" s="6">
        <f t="shared" si="14"/>
        <v>0</v>
      </c>
      <c r="K76" s="2"/>
      <c r="L76" s="7">
        <f t="shared" si="15"/>
        <v>265.45</v>
      </c>
      <c r="M76" s="2"/>
      <c r="N76" s="6">
        <f t="shared" si="16"/>
        <v>0</v>
      </c>
      <c r="O76" s="11"/>
      <c r="P76" s="7">
        <v>709.37</v>
      </c>
      <c r="Q76" s="2"/>
      <c r="R76" s="6">
        <f t="shared" si="17"/>
        <v>8.252485645837941E-4</v>
      </c>
      <c r="S76" s="2"/>
      <c r="T76" s="7"/>
      <c r="U76" s="2"/>
      <c r="V76" s="6">
        <f t="shared" si="18"/>
        <v>0</v>
      </c>
      <c r="W76" s="2"/>
      <c r="X76" s="7">
        <f t="shared" si="19"/>
        <v>709.37</v>
      </c>
      <c r="Y76" s="2"/>
      <c r="Z76" s="6">
        <f t="shared" si="20"/>
        <v>0</v>
      </c>
    </row>
    <row r="77" spans="1:26" s="26" customFormat="1" outlineLevel="1" collapsed="1" x14ac:dyDescent="0.25">
      <c r="A77" s="27"/>
      <c r="B77" s="13" t="str">
        <f>CONCATENATE("     ","*Payroll                                          ")</f>
        <v xml:space="preserve">     *Payroll                                          </v>
      </c>
      <c r="C77" s="13"/>
      <c r="D77" s="1">
        <f>SUM(OSRRefD22_1x_0)</f>
        <v>36612.83</v>
      </c>
      <c r="E77" s="1"/>
      <c r="F77" s="5">
        <f t="shared" ref="F77:F87" si="21">IF(D$12=0,0,D77/D$12)</f>
        <v>0.12010838115208523</v>
      </c>
      <c r="G77" s="1"/>
      <c r="H77" s="1">
        <f>SUM(OSRRefH22_1x_0)</f>
        <v>29589.553625</v>
      </c>
      <c r="I77" s="1"/>
      <c r="J77" s="5">
        <f t="shared" ref="J77:J87" si="22">IF(H$12=0,0,H77/H$12)</f>
        <v>9.9266542869848026E-2</v>
      </c>
      <c r="K77" s="1"/>
      <c r="L77" s="1">
        <f t="shared" ref="L77:L87" si="23">+D77-H77</f>
        <v>7023.2763750000013</v>
      </c>
      <c r="M77" s="1"/>
      <c r="N77" s="5">
        <f t="shared" ref="N77:N87" si="24">IF(H77=0,0,L77/H77)</f>
        <v>0.23735661794729088</v>
      </c>
      <c r="O77" s="13"/>
      <c r="P77" s="1">
        <f>SUM(OSRRefP22_1x_0)</f>
        <v>107098.76999999999</v>
      </c>
      <c r="Q77" s="1"/>
      <c r="R77" s="5">
        <f t="shared" ref="R77:R87" si="25">IF(P$12=0,0,P77/P$12)</f>
        <v>0.12459380324962981</v>
      </c>
      <c r="S77" s="1"/>
      <c r="T77" s="1">
        <f>SUM(OSRRefT22_1x_0)</f>
        <v>92954.549281250002</v>
      </c>
      <c r="U77" s="1"/>
      <c r="V77" s="5">
        <f t="shared" ref="V77:V87" si="26">IF(T$12=0,0,T77/T$12)</f>
        <v>0.11211415479737766</v>
      </c>
      <c r="W77" s="1"/>
      <c r="X77" s="1">
        <f t="shared" ref="X77:X87" si="27">+P77-T77</f>
        <v>14144.220718749988</v>
      </c>
      <c r="Y77" s="1"/>
      <c r="Z77" s="5">
        <f t="shared" ref="Z77:Z87" si="28">IF(T77=0,0,X77/T77)</f>
        <v>0.15216275941432636</v>
      </c>
    </row>
    <row r="78" spans="1:26" s="24" customFormat="1" hidden="1" outlineLevel="2" x14ac:dyDescent="0.25">
      <c r="A78" s="25"/>
      <c r="B78" s="11" t="str">
        <f>CONCATENATE("          ", "6001", " - ", "ADMINISTRATIVE SALARIES")</f>
        <v xml:space="preserve">          6001 - ADMINISTRATIVE SALARIES</v>
      </c>
      <c r="C78" s="11"/>
      <c r="D78" s="7"/>
      <c r="E78" s="2"/>
      <c r="F78" s="6">
        <f t="shared" si="21"/>
        <v>0</v>
      </c>
      <c r="G78" s="2"/>
      <c r="H78" s="7">
        <v>0</v>
      </c>
      <c r="I78" s="2"/>
      <c r="J78" s="6">
        <f t="shared" si="22"/>
        <v>0</v>
      </c>
      <c r="K78" s="2"/>
      <c r="L78" s="7">
        <f t="shared" si="23"/>
        <v>0</v>
      </c>
      <c r="M78" s="2"/>
      <c r="N78" s="6">
        <f t="shared" si="24"/>
        <v>0</v>
      </c>
      <c r="O78" s="11"/>
      <c r="P78" s="7"/>
      <c r="Q78" s="2"/>
      <c r="R78" s="6">
        <f t="shared" si="25"/>
        <v>0</v>
      </c>
      <c r="S78" s="2"/>
      <c r="T78" s="7">
        <v>0</v>
      </c>
      <c r="U78" s="2"/>
      <c r="V78" s="6">
        <f t="shared" si="26"/>
        <v>0</v>
      </c>
      <c r="W78" s="2"/>
      <c r="X78" s="7">
        <f t="shared" si="27"/>
        <v>0</v>
      </c>
      <c r="Y78" s="2"/>
      <c r="Z78" s="6">
        <f t="shared" si="28"/>
        <v>0</v>
      </c>
    </row>
    <row r="79" spans="1:26" s="24" customFormat="1" hidden="1" outlineLevel="2" x14ac:dyDescent="0.25">
      <c r="A79" s="25"/>
      <c r="B79" s="11" t="str">
        <f>CONCATENATE("          ", "6002", " - ", "STAFF SALARIES")</f>
        <v xml:space="preserve">          6002 - STAFF SALARIES</v>
      </c>
      <c r="C79" s="11"/>
      <c r="D79" s="7">
        <v>13125.56</v>
      </c>
      <c r="E79" s="2"/>
      <c r="F79" s="6">
        <f t="shared" si="21"/>
        <v>4.3058396832874261E-2</v>
      </c>
      <c r="G79" s="2"/>
      <c r="H79" s="7">
        <v>8638.8036250000005</v>
      </c>
      <c r="I79" s="2"/>
      <c r="J79" s="6">
        <f t="shared" si="22"/>
        <v>2.8981314867174209E-2</v>
      </c>
      <c r="K79" s="2"/>
      <c r="L79" s="7">
        <f t="shared" si="23"/>
        <v>4486.756374999999</v>
      </c>
      <c r="M79" s="2"/>
      <c r="N79" s="6">
        <f t="shared" si="24"/>
        <v>0.5193724235165722</v>
      </c>
      <c r="O79" s="11"/>
      <c r="P79" s="7">
        <v>30581.53</v>
      </c>
      <c r="Q79" s="2"/>
      <c r="R79" s="6">
        <f t="shared" si="25"/>
        <v>3.5577151183833873E-2</v>
      </c>
      <c r="S79" s="2"/>
      <c r="T79" s="7">
        <v>28076.111781250002</v>
      </c>
      <c r="U79" s="2"/>
      <c r="V79" s="6">
        <f t="shared" si="26"/>
        <v>3.3863103707033673E-2</v>
      </c>
      <c r="W79" s="2"/>
      <c r="X79" s="7">
        <f t="shared" si="27"/>
        <v>2505.4182187499973</v>
      </c>
      <c r="Y79" s="2"/>
      <c r="Z79" s="6">
        <f t="shared" si="28"/>
        <v>8.9236652078838935E-2</v>
      </c>
    </row>
    <row r="80" spans="1:26" s="24" customFormat="1" hidden="1" outlineLevel="2" x14ac:dyDescent="0.25">
      <c r="A80" s="25"/>
      <c r="B80" s="11" t="str">
        <f>CONCATENATE("          ", "6003", " - ", "STAFF HOURLY-9 MONTH")</f>
        <v xml:space="preserve">          6003 - STAFF HOURLY-9 MONTH</v>
      </c>
      <c r="C80" s="11"/>
      <c r="D80" s="7"/>
      <c r="E80" s="2"/>
      <c r="F80" s="6">
        <f t="shared" si="21"/>
        <v>0</v>
      </c>
      <c r="G80" s="2"/>
      <c r="H80" s="7">
        <v>0</v>
      </c>
      <c r="I80" s="2"/>
      <c r="J80" s="6">
        <f t="shared" si="22"/>
        <v>0</v>
      </c>
      <c r="K80" s="2"/>
      <c r="L80" s="7">
        <f t="shared" si="23"/>
        <v>0</v>
      </c>
      <c r="M80" s="2"/>
      <c r="N80" s="6">
        <f t="shared" si="24"/>
        <v>0</v>
      </c>
      <c r="O80" s="11"/>
      <c r="P80" s="7"/>
      <c r="Q80" s="2"/>
      <c r="R80" s="6">
        <f t="shared" si="25"/>
        <v>0</v>
      </c>
      <c r="S80" s="2"/>
      <c r="T80" s="7">
        <v>0</v>
      </c>
      <c r="U80" s="2"/>
      <c r="V80" s="6">
        <f t="shared" si="26"/>
        <v>0</v>
      </c>
      <c r="W80" s="2"/>
      <c r="X80" s="7">
        <f t="shared" si="27"/>
        <v>0</v>
      </c>
      <c r="Y80" s="2"/>
      <c r="Z80" s="6">
        <f t="shared" si="28"/>
        <v>0</v>
      </c>
    </row>
    <row r="81" spans="1:26" s="24" customFormat="1" hidden="1" outlineLevel="2" x14ac:dyDescent="0.25">
      <c r="A81" s="25"/>
      <c r="B81" s="11" t="str">
        <f>CONCATENATE("          ", "6004", " - ", "STAFF HOURLY")</f>
        <v xml:space="preserve">          6004 - STAFF HOURLY</v>
      </c>
      <c r="C81" s="11"/>
      <c r="D81" s="7"/>
      <c r="E81" s="2"/>
      <c r="F81" s="6">
        <f t="shared" si="21"/>
        <v>0</v>
      </c>
      <c r="G81" s="2"/>
      <c r="H81" s="7">
        <v>3733.75</v>
      </c>
      <c r="I81" s="2"/>
      <c r="J81" s="6">
        <f t="shared" si="22"/>
        <v>1.2525922463634159E-2</v>
      </c>
      <c r="K81" s="2"/>
      <c r="L81" s="7">
        <f t="shared" si="23"/>
        <v>-3733.75</v>
      </c>
      <c r="M81" s="2"/>
      <c r="N81" s="6">
        <f t="shared" si="24"/>
        <v>-1</v>
      </c>
      <c r="O81" s="11"/>
      <c r="P81" s="7"/>
      <c r="Q81" s="2"/>
      <c r="R81" s="6">
        <f t="shared" si="25"/>
        <v>0</v>
      </c>
      <c r="S81" s="2"/>
      <c r="T81" s="7">
        <v>12134.6875</v>
      </c>
      <c r="U81" s="2"/>
      <c r="V81" s="6">
        <f t="shared" si="26"/>
        <v>1.4635864982535354E-2</v>
      </c>
      <c r="W81" s="2"/>
      <c r="X81" s="7">
        <f t="shared" si="27"/>
        <v>-12134.6875</v>
      </c>
      <c r="Y81" s="2"/>
      <c r="Z81" s="6">
        <f t="shared" si="28"/>
        <v>-1</v>
      </c>
    </row>
    <row r="82" spans="1:26" s="24" customFormat="1" hidden="1" outlineLevel="2" x14ac:dyDescent="0.25">
      <c r="A82" s="25"/>
      <c r="B82" s="11" t="str">
        <f>CONCATENATE("          ", "6005", " - ", "TEMPORARY WAGES-HOURLY")</f>
        <v xml:space="preserve">          6005 - TEMPORARY WAGES-HOURLY</v>
      </c>
      <c r="C82" s="11"/>
      <c r="D82" s="7">
        <v>2687.6</v>
      </c>
      <c r="E82" s="2"/>
      <c r="F82" s="6">
        <f t="shared" si="21"/>
        <v>8.8166712374963697E-3</v>
      </c>
      <c r="G82" s="2"/>
      <c r="H82" s="7">
        <v>0</v>
      </c>
      <c r="I82" s="2"/>
      <c r="J82" s="6">
        <f t="shared" si="22"/>
        <v>0</v>
      </c>
      <c r="K82" s="2"/>
      <c r="L82" s="7">
        <f t="shared" si="23"/>
        <v>2687.6</v>
      </c>
      <c r="M82" s="2"/>
      <c r="N82" s="6">
        <f t="shared" si="24"/>
        <v>0</v>
      </c>
      <c r="O82" s="11"/>
      <c r="P82" s="7">
        <v>10684.54</v>
      </c>
      <c r="Q82" s="2"/>
      <c r="R82" s="6">
        <f t="shared" si="25"/>
        <v>1.2429904419750105E-2</v>
      </c>
      <c r="S82" s="2"/>
      <c r="T82" s="7">
        <v>0</v>
      </c>
      <c r="U82" s="2"/>
      <c r="V82" s="6">
        <f t="shared" si="26"/>
        <v>0</v>
      </c>
      <c r="W82" s="2"/>
      <c r="X82" s="7">
        <f t="shared" si="27"/>
        <v>10684.54</v>
      </c>
      <c r="Y82" s="2"/>
      <c r="Z82" s="6">
        <f t="shared" si="28"/>
        <v>0</v>
      </c>
    </row>
    <row r="83" spans="1:26" s="24" customFormat="1" hidden="1" outlineLevel="2" x14ac:dyDescent="0.25">
      <c r="A83" s="25"/>
      <c r="B83" s="11" t="str">
        <f>CONCATENATE("          ", "6006", " - ", "TEMPORARY PART TIME")</f>
        <v xml:space="preserve">          6006 - TEMPORARY PART TIME</v>
      </c>
      <c r="C83" s="11"/>
      <c r="D83" s="7"/>
      <c r="E83" s="2"/>
      <c r="F83" s="6">
        <f t="shared" si="21"/>
        <v>0</v>
      </c>
      <c r="G83" s="2"/>
      <c r="H83" s="7">
        <v>0</v>
      </c>
      <c r="I83" s="2"/>
      <c r="J83" s="6">
        <f t="shared" si="22"/>
        <v>0</v>
      </c>
      <c r="K83" s="2"/>
      <c r="L83" s="7">
        <f t="shared" si="23"/>
        <v>0</v>
      </c>
      <c r="M83" s="2"/>
      <c r="N83" s="6">
        <f t="shared" si="24"/>
        <v>0</v>
      </c>
      <c r="O83" s="11"/>
      <c r="P83" s="7"/>
      <c r="Q83" s="2"/>
      <c r="R83" s="6">
        <f t="shared" si="25"/>
        <v>0</v>
      </c>
      <c r="S83" s="2"/>
      <c r="T83" s="7">
        <v>0</v>
      </c>
      <c r="U83" s="2"/>
      <c r="V83" s="6">
        <f t="shared" si="26"/>
        <v>0</v>
      </c>
      <c r="W83" s="2"/>
      <c r="X83" s="7">
        <f t="shared" si="27"/>
        <v>0</v>
      </c>
      <c r="Y83" s="2"/>
      <c r="Z83" s="6">
        <f t="shared" si="28"/>
        <v>0</v>
      </c>
    </row>
    <row r="84" spans="1:26" s="24" customFormat="1" hidden="1" outlineLevel="2" x14ac:dyDescent="0.25">
      <c r="A84" s="25"/>
      <c r="B84" s="11" t="str">
        <f>CONCATENATE("          ", "6007", " - ", "STUDENT HOURLY")</f>
        <v xml:space="preserve">          6007 - STUDENT HOURLY</v>
      </c>
      <c r="C84" s="11"/>
      <c r="D84" s="7">
        <v>20799.670000000002</v>
      </c>
      <c r="E84" s="2"/>
      <c r="F84" s="6">
        <f t="shared" si="21"/>
        <v>6.8233313081714597E-2</v>
      </c>
      <c r="G84" s="2"/>
      <c r="H84" s="7">
        <v>0</v>
      </c>
      <c r="I84" s="2"/>
      <c r="J84" s="6">
        <f t="shared" si="22"/>
        <v>0</v>
      </c>
      <c r="K84" s="2"/>
      <c r="L84" s="7">
        <f t="shared" si="23"/>
        <v>20799.670000000002</v>
      </c>
      <c r="M84" s="2"/>
      <c r="N84" s="6">
        <f t="shared" si="24"/>
        <v>0</v>
      </c>
      <c r="O84" s="11"/>
      <c r="P84" s="7">
        <v>65637.7</v>
      </c>
      <c r="Q84" s="2"/>
      <c r="R84" s="6">
        <f t="shared" si="25"/>
        <v>7.6359893578219679E-2</v>
      </c>
      <c r="S84" s="2"/>
      <c r="T84" s="7">
        <v>35526.75</v>
      </c>
      <c r="U84" s="2"/>
      <c r="V84" s="6">
        <f t="shared" si="26"/>
        <v>4.2849452552304115E-2</v>
      </c>
      <c r="W84" s="2"/>
      <c r="X84" s="7">
        <f t="shared" si="27"/>
        <v>30110.949999999997</v>
      </c>
      <c r="Y84" s="2"/>
      <c r="Z84" s="6">
        <f t="shared" si="28"/>
        <v>0.84755712244998482</v>
      </c>
    </row>
    <row r="85" spans="1:26" s="24" customFormat="1" hidden="1" outlineLevel="2" x14ac:dyDescent="0.25">
      <c r="A85" s="25"/>
      <c r="B85" s="11" t="str">
        <f>CONCATENATE("          ", "6008", " - ", "STUDENT HOURLY-FICA EXEMPT")</f>
        <v xml:space="preserve">          6008 - STUDENT HOURLY-FICA EXEMPT</v>
      </c>
      <c r="C85" s="11"/>
      <c r="D85" s="7"/>
      <c r="E85" s="2"/>
      <c r="F85" s="6">
        <f t="shared" si="21"/>
        <v>0</v>
      </c>
      <c r="G85" s="2"/>
      <c r="H85" s="7">
        <v>17217</v>
      </c>
      <c r="I85" s="2"/>
      <c r="J85" s="6">
        <f t="shared" si="22"/>
        <v>5.7759305539039657E-2</v>
      </c>
      <c r="K85" s="2"/>
      <c r="L85" s="7">
        <f t="shared" si="23"/>
        <v>-17217</v>
      </c>
      <c r="M85" s="2"/>
      <c r="N85" s="6">
        <f t="shared" si="24"/>
        <v>-1</v>
      </c>
      <c r="O85" s="11"/>
      <c r="P85" s="7">
        <v>195</v>
      </c>
      <c r="Q85" s="2"/>
      <c r="R85" s="6">
        <f t="shared" si="25"/>
        <v>2.2685406782615538E-4</v>
      </c>
      <c r="S85" s="2"/>
      <c r="T85" s="7">
        <v>17217</v>
      </c>
      <c r="U85" s="2"/>
      <c r="V85" s="6">
        <f t="shared" si="26"/>
        <v>2.0765733555504512E-2</v>
      </c>
      <c r="W85" s="2"/>
      <c r="X85" s="7">
        <f t="shared" si="27"/>
        <v>-17022</v>
      </c>
      <c r="Y85" s="2"/>
      <c r="Z85" s="6">
        <f t="shared" si="28"/>
        <v>-0.98867398501481096</v>
      </c>
    </row>
    <row r="86" spans="1:26" s="24" customFormat="1" hidden="1" outlineLevel="2" x14ac:dyDescent="0.25">
      <c r="A86" s="25"/>
      <c r="B86" s="11" t="str">
        <f>CONCATENATE("          ", "6009", " - ", "TEMPORARY-SEASONAL")</f>
        <v xml:space="preserve">          6009 - TEMPORARY-SEASONAL</v>
      </c>
      <c r="C86" s="11"/>
      <c r="D86" s="7"/>
      <c r="E86" s="2"/>
      <c r="F86" s="6">
        <f t="shared" si="21"/>
        <v>0</v>
      </c>
      <c r="G86" s="2"/>
      <c r="H86" s="7">
        <v>0</v>
      </c>
      <c r="I86" s="2"/>
      <c r="J86" s="6">
        <f t="shared" si="22"/>
        <v>0</v>
      </c>
      <c r="K86" s="2"/>
      <c r="L86" s="7">
        <f t="shared" si="23"/>
        <v>0</v>
      </c>
      <c r="M86" s="2"/>
      <c r="N86" s="6">
        <f t="shared" si="24"/>
        <v>0</v>
      </c>
      <c r="O86" s="11"/>
      <c r="P86" s="7"/>
      <c r="Q86" s="2"/>
      <c r="R86" s="6">
        <f t="shared" si="25"/>
        <v>0</v>
      </c>
      <c r="S86" s="2"/>
      <c r="T86" s="7">
        <v>0</v>
      </c>
      <c r="U86" s="2"/>
      <c r="V86" s="6">
        <f t="shared" si="26"/>
        <v>0</v>
      </c>
      <c r="W86" s="2"/>
      <c r="X86" s="7">
        <f t="shared" si="27"/>
        <v>0</v>
      </c>
      <c r="Y86" s="2"/>
      <c r="Z86" s="6">
        <f t="shared" si="28"/>
        <v>0</v>
      </c>
    </row>
    <row r="87" spans="1:26" s="24" customFormat="1" hidden="1" outlineLevel="2" x14ac:dyDescent="0.25">
      <c r="A87" s="25"/>
      <c r="B87" s="11" t="str">
        <f>CONCATENATE("          ", "6010", " - ", "GRATUITY")</f>
        <v xml:space="preserve">          6010 - GRATUITY</v>
      </c>
      <c r="C87" s="11"/>
      <c r="D87" s="7"/>
      <c r="E87" s="2"/>
      <c r="F87" s="6">
        <f t="shared" si="21"/>
        <v>0</v>
      </c>
      <c r="G87" s="2"/>
      <c r="H87" s="7">
        <v>0</v>
      </c>
      <c r="I87" s="2"/>
      <c r="J87" s="6">
        <f t="shared" si="22"/>
        <v>0</v>
      </c>
      <c r="K87" s="2"/>
      <c r="L87" s="7">
        <f t="shared" si="23"/>
        <v>0</v>
      </c>
      <c r="M87" s="2"/>
      <c r="N87" s="6">
        <f t="shared" si="24"/>
        <v>0</v>
      </c>
      <c r="O87" s="11"/>
      <c r="P87" s="7"/>
      <c r="Q87" s="2"/>
      <c r="R87" s="6">
        <f t="shared" si="25"/>
        <v>0</v>
      </c>
      <c r="S87" s="2"/>
      <c r="T87" s="7">
        <v>0</v>
      </c>
      <c r="U87" s="2"/>
      <c r="V87" s="6">
        <f t="shared" si="26"/>
        <v>0</v>
      </c>
      <c r="W87" s="2"/>
      <c r="X87" s="7">
        <f t="shared" si="27"/>
        <v>0</v>
      </c>
      <c r="Y87" s="2"/>
      <c r="Z87" s="6">
        <f t="shared" si="28"/>
        <v>0</v>
      </c>
    </row>
    <row r="88" spans="1:26" s="26" customFormat="1" outlineLevel="1" collapsed="1" x14ac:dyDescent="0.25">
      <c r="A88" s="27"/>
      <c r="B88" s="13" t="str">
        <f>CONCATENATE("     ","Advertising/Promo                                 ")</f>
        <v xml:space="preserve">     Advertising/Promo                                 </v>
      </c>
      <c r="C88" s="13"/>
      <c r="D88" s="1">
        <f>SUM(OSRRefD22_2x_0)</f>
        <v>448.84</v>
      </c>
      <c r="E88" s="1"/>
      <c r="F88" s="5">
        <f t="shared" ref="F88:F92" si="29">IF(D$12=0,0,D88/D$12)</f>
        <v>1.4724195260596333E-3</v>
      </c>
      <c r="G88" s="1"/>
      <c r="H88" s="1">
        <f>SUM(OSRRefH22_2x_0)</f>
        <v>650</v>
      </c>
      <c r="I88" s="1"/>
      <c r="J88" s="5">
        <f t="shared" ref="J88:J92" si="30">IF(H$12=0,0,H88/H$12)</f>
        <v>2.1806092002309217E-3</v>
      </c>
      <c r="K88" s="1"/>
      <c r="L88" s="1">
        <f t="shared" ref="L88:L92" si="31">+D88-H88</f>
        <v>-201.16000000000003</v>
      </c>
      <c r="M88" s="1"/>
      <c r="N88" s="5">
        <f t="shared" ref="N88:N92" si="32">IF(H88=0,0,L88/H88)</f>
        <v>-0.30947692307692309</v>
      </c>
      <c r="O88" s="13"/>
      <c r="P88" s="1">
        <f>SUM(OSRRefP22_2x_0)</f>
        <v>3683.5</v>
      </c>
      <c r="Q88" s="1"/>
      <c r="R88" s="5">
        <f t="shared" ref="R88:R92" si="33">IF(P$12=0,0,P88/P$12)</f>
        <v>4.2852151735263758E-3</v>
      </c>
      <c r="S88" s="1"/>
      <c r="T88" s="1">
        <f>SUM(OSRRefT22_2x_0)</f>
        <v>2450</v>
      </c>
      <c r="U88" s="1"/>
      <c r="V88" s="5">
        <f t="shared" ref="V88:V92" si="34">IF(T$12=0,0,T88/T$12)</f>
        <v>2.9549890928144309E-3</v>
      </c>
      <c r="W88" s="1"/>
      <c r="X88" s="1">
        <f t="shared" ref="X88:X92" si="35">+P88-T88</f>
        <v>1233.5</v>
      </c>
      <c r="Y88" s="1"/>
      <c r="Z88" s="5">
        <f t="shared" ref="Z88:Z92" si="36">IF(T88=0,0,X88/T88)</f>
        <v>0.50346938775510208</v>
      </c>
    </row>
    <row r="89" spans="1:26" s="24" customFormat="1" hidden="1" outlineLevel="2" x14ac:dyDescent="0.25">
      <c r="A89" s="25"/>
      <c r="B89" s="11" t="str">
        <f>CONCATENATE("          ", "6362", " - ", "ADVERTISING EXPENSE")</f>
        <v xml:space="preserve">          6362 - ADVERTISING EXPENSE</v>
      </c>
      <c r="C89" s="11"/>
      <c r="D89" s="7">
        <v>448.84</v>
      </c>
      <c r="E89" s="2"/>
      <c r="F89" s="6">
        <f t="shared" si="29"/>
        <v>1.4724195260596333E-3</v>
      </c>
      <c r="G89" s="2"/>
      <c r="H89" s="7">
        <v>650</v>
      </c>
      <c r="I89" s="2"/>
      <c r="J89" s="6">
        <f t="shared" si="30"/>
        <v>2.1806092002309217E-3</v>
      </c>
      <c r="K89" s="2"/>
      <c r="L89" s="7">
        <f t="shared" si="31"/>
        <v>-201.16000000000003</v>
      </c>
      <c r="M89" s="2"/>
      <c r="N89" s="6">
        <f t="shared" si="32"/>
        <v>-0.30947692307692309</v>
      </c>
      <c r="O89" s="11"/>
      <c r="P89" s="7">
        <v>3683.5</v>
      </c>
      <c r="Q89" s="2"/>
      <c r="R89" s="6">
        <f t="shared" si="33"/>
        <v>4.2852151735263758E-3</v>
      </c>
      <c r="S89" s="2"/>
      <c r="T89" s="7">
        <v>2450</v>
      </c>
      <c r="U89" s="2"/>
      <c r="V89" s="6">
        <f t="shared" si="34"/>
        <v>2.9549890928144309E-3</v>
      </c>
      <c r="W89" s="2"/>
      <c r="X89" s="7">
        <f t="shared" si="35"/>
        <v>1233.5</v>
      </c>
      <c r="Y89" s="2"/>
      <c r="Z89" s="6">
        <f t="shared" si="36"/>
        <v>0.50346938775510208</v>
      </c>
    </row>
    <row r="90" spans="1:26" s="26" customFormat="1" outlineLevel="1" collapsed="1" x14ac:dyDescent="0.25">
      <c r="A90" s="27"/>
      <c r="B90" s="13" t="str">
        <f>CONCATENATE("     ","Bad Debts/Over/Short                              ")</f>
        <v xml:space="preserve">     Bad Debts/Over/Short                              </v>
      </c>
      <c r="C90" s="13"/>
      <c r="D90" s="1">
        <f>SUM(OSRRefD22_3x_0)</f>
        <v>-0.2</v>
      </c>
      <c r="E90" s="1"/>
      <c r="F90" s="5">
        <f t="shared" si="29"/>
        <v>-6.5609995814082242E-7</v>
      </c>
      <c r="G90" s="1"/>
      <c r="H90" s="1">
        <f>SUM(OSRRefH22_3x_0)</f>
        <v>10</v>
      </c>
      <c r="I90" s="1"/>
      <c r="J90" s="5">
        <f t="shared" si="30"/>
        <v>3.3547833849706483E-5</v>
      </c>
      <c r="K90" s="1"/>
      <c r="L90" s="1">
        <f t="shared" si="31"/>
        <v>-10.199999999999999</v>
      </c>
      <c r="M90" s="1"/>
      <c r="N90" s="5">
        <f t="shared" si="32"/>
        <v>-1.02</v>
      </c>
      <c r="O90" s="13"/>
      <c r="P90" s="1">
        <f>SUM(OSRRefP22_3x_0)</f>
        <v>29.71</v>
      </c>
      <c r="Q90" s="1"/>
      <c r="R90" s="5">
        <f t="shared" si="33"/>
        <v>3.456325310315424E-5</v>
      </c>
      <c r="S90" s="1"/>
      <c r="T90" s="1">
        <f>SUM(OSRRefT22_3x_0)</f>
        <v>30</v>
      </c>
      <c r="U90" s="1"/>
      <c r="V90" s="5">
        <f t="shared" si="34"/>
        <v>3.6183539912013442E-5</v>
      </c>
      <c r="W90" s="1"/>
      <c r="X90" s="1">
        <f t="shared" si="35"/>
        <v>-0.28999999999999915</v>
      </c>
      <c r="Y90" s="1"/>
      <c r="Z90" s="5">
        <f t="shared" si="36"/>
        <v>-9.6666666666666377E-3</v>
      </c>
    </row>
    <row r="91" spans="1:26" s="24" customFormat="1" hidden="1" outlineLevel="2" x14ac:dyDescent="0.25">
      <c r="A91" s="25"/>
      <c r="B91" s="11" t="str">
        <f>CONCATENATE("          ", "6272", " - ", "CASH (OVER/SHORT)")</f>
        <v xml:space="preserve">          6272 - CASH (OVER/SHORT)</v>
      </c>
      <c r="C91" s="11"/>
      <c r="D91" s="7">
        <v>-0.2</v>
      </c>
      <c r="E91" s="2"/>
      <c r="F91" s="6">
        <f t="shared" si="29"/>
        <v>-6.5609995814082242E-7</v>
      </c>
      <c r="G91" s="2"/>
      <c r="H91" s="7"/>
      <c r="I91" s="2"/>
      <c r="J91" s="6">
        <f t="shared" si="30"/>
        <v>0</v>
      </c>
      <c r="K91" s="2"/>
      <c r="L91" s="7">
        <f t="shared" si="31"/>
        <v>-0.2</v>
      </c>
      <c r="M91" s="2"/>
      <c r="N91" s="6">
        <f t="shared" si="32"/>
        <v>0</v>
      </c>
      <c r="O91" s="11"/>
      <c r="P91" s="7">
        <v>29.71</v>
      </c>
      <c r="Q91" s="2"/>
      <c r="R91" s="6">
        <f t="shared" si="33"/>
        <v>3.456325310315424E-5</v>
      </c>
      <c r="S91" s="2"/>
      <c r="T91" s="7"/>
      <c r="U91" s="2"/>
      <c r="V91" s="6">
        <f t="shared" si="34"/>
        <v>0</v>
      </c>
      <c r="W91" s="2"/>
      <c r="X91" s="7">
        <f t="shared" si="35"/>
        <v>29.71</v>
      </c>
      <c r="Y91" s="2"/>
      <c r="Z91" s="6">
        <f t="shared" si="36"/>
        <v>0</v>
      </c>
    </row>
    <row r="92" spans="1:26" s="24" customFormat="1" hidden="1" outlineLevel="2" x14ac:dyDescent="0.25">
      <c r="A92" s="25"/>
      <c r="B92" s="11" t="str">
        <f>CONCATENATE("          ", "6342", " - ", "BAD DEBT")</f>
        <v xml:space="preserve">          6342 - BAD DEBT</v>
      </c>
      <c r="C92" s="11"/>
      <c r="D92" s="7"/>
      <c r="E92" s="2"/>
      <c r="F92" s="6">
        <f t="shared" si="29"/>
        <v>0</v>
      </c>
      <c r="G92" s="2"/>
      <c r="H92" s="7">
        <v>10</v>
      </c>
      <c r="I92" s="2"/>
      <c r="J92" s="6">
        <f t="shared" si="30"/>
        <v>3.3547833849706483E-5</v>
      </c>
      <c r="K92" s="2"/>
      <c r="L92" s="7">
        <f t="shared" si="31"/>
        <v>-10</v>
      </c>
      <c r="M92" s="2"/>
      <c r="N92" s="6">
        <f t="shared" si="32"/>
        <v>-1</v>
      </c>
      <c r="O92" s="11"/>
      <c r="P92" s="7"/>
      <c r="Q92" s="2"/>
      <c r="R92" s="6">
        <f t="shared" si="33"/>
        <v>0</v>
      </c>
      <c r="S92" s="2"/>
      <c r="T92" s="7">
        <v>30</v>
      </c>
      <c r="U92" s="2"/>
      <c r="V92" s="6">
        <f t="shared" si="34"/>
        <v>3.6183539912013442E-5</v>
      </c>
      <c r="W92" s="2"/>
      <c r="X92" s="7">
        <f t="shared" si="35"/>
        <v>-30</v>
      </c>
      <c r="Y92" s="2"/>
      <c r="Z92" s="6">
        <f t="shared" si="36"/>
        <v>-1</v>
      </c>
    </row>
    <row r="93" spans="1:26" s="26" customFormat="1" outlineLevel="1" collapsed="1" x14ac:dyDescent="0.25">
      <c r="A93" s="27"/>
      <c r="B93" s="13" t="str">
        <f>CONCATENATE("     ","Bank/card Fees                                    ")</f>
        <v xml:space="preserve">     Bank/card Fees                                    </v>
      </c>
      <c r="C93" s="13"/>
      <c r="D93" s="1">
        <f>SUM(OSRRefD22_4x_0)</f>
        <v>541.12</v>
      </c>
      <c r="E93" s="1"/>
      <c r="F93" s="5">
        <f t="shared" ref="F93:F97" si="37">IF(D$12=0,0,D93/D$12)</f>
        <v>1.775144046745809E-3</v>
      </c>
      <c r="G93" s="1"/>
      <c r="H93" s="1">
        <f>SUM(OSRRefH22_4x_0)</f>
        <v>470</v>
      </c>
      <c r="I93" s="1"/>
      <c r="J93" s="5">
        <f t="shared" ref="J93:J97" si="38">IF(H$12=0,0,H93/H$12)</f>
        <v>1.5767481909362048E-3</v>
      </c>
      <c r="K93" s="1"/>
      <c r="L93" s="1">
        <f t="shared" ref="L93:L97" si="39">+D93-H93</f>
        <v>71.12</v>
      </c>
      <c r="M93" s="1"/>
      <c r="N93" s="5">
        <f t="shared" ref="N93:N97" si="40">IF(H93=0,0,L93/H93)</f>
        <v>0.15131914893617021</v>
      </c>
      <c r="O93" s="13"/>
      <c r="P93" s="1">
        <f>SUM(OSRRefP22_4x_0)</f>
        <v>2022.78</v>
      </c>
      <c r="Q93" s="1"/>
      <c r="R93" s="5">
        <f t="shared" ref="R93:R97" si="41">IF(P$12=0,0,P93/P$12)</f>
        <v>2.3532095964994386E-3</v>
      </c>
      <c r="S93" s="1"/>
      <c r="T93" s="1">
        <f>SUM(OSRRefT22_4x_0)</f>
        <v>1695</v>
      </c>
      <c r="U93" s="1"/>
      <c r="V93" s="5">
        <f t="shared" ref="V93:V97" si="42">IF(T$12=0,0,T93/T$12)</f>
        <v>2.0443700050287593E-3</v>
      </c>
      <c r="W93" s="1"/>
      <c r="X93" s="1">
        <f t="shared" ref="X93:X97" si="43">+P93-T93</f>
        <v>327.78</v>
      </c>
      <c r="Y93" s="1"/>
      <c r="Z93" s="5">
        <f t="shared" ref="Z93:Z97" si="44">IF(T93=0,0,X93/T93)</f>
        <v>0.19338053097345131</v>
      </c>
    </row>
    <row r="94" spans="1:26" s="24" customFormat="1" hidden="1" outlineLevel="2" x14ac:dyDescent="0.25">
      <c r="A94" s="25"/>
      <c r="B94" s="11" t="str">
        <f>CONCATENATE("          ", "6381", " - ", "BANK/CREDIT CARD FEES")</f>
        <v xml:space="preserve">          6381 - BANK/CREDIT CARD FEES</v>
      </c>
      <c r="C94" s="11"/>
      <c r="D94" s="7">
        <v>541.12</v>
      </c>
      <c r="E94" s="2"/>
      <c r="F94" s="6">
        <f t="shared" si="37"/>
        <v>1.775144046745809E-3</v>
      </c>
      <c r="G94" s="2"/>
      <c r="H94" s="7">
        <v>470</v>
      </c>
      <c r="I94" s="2"/>
      <c r="J94" s="6">
        <f t="shared" si="38"/>
        <v>1.5767481909362048E-3</v>
      </c>
      <c r="K94" s="2"/>
      <c r="L94" s="7">
        <f t="shared" si="39"/>
        <v>71.12</v>
      </c>
      <c r="M94" s="2"/>
      <c r="N94" s="6">
        <f t="shared" si="40"/>
        <v>0.15131914893617021</v>
      </c>
      <c r="O94" s="11"/>
      <c r="P94" s="7">
        <v>2022.78</v>
      </c>
      <c r="Q94" s="2"/>
      <c r="R94" s="6">
        <f t="shared" si="41"/>
        <v>2.3532095964994386E-3</v>
      </c>
      <c r="S94" s="2"/>
      <c r="T94" s="7">
        <v>1695</v>
      </c>
      <c r="U94" s="2"/>
      <c r="V94" s="6">
        <f t="shared" si="42"/>
        <v>2.0443700050287593E-3</v>
      </c>
      <c r="W94" s="2"/>
      <c r="X94" s="7">
        <f t="shared" si="43"/>
        <v>327.78</v>
      </c>
      <c r="Y94" s="2"/>
      <c r="Z94" s="6">
        <f t="shared" si="44"/>
        <v>0.19338053097345131</v>
      </c>
    </row>
    <row r="95" spans="1:26" s="26" customFormat="1" outlineLevel="1" collapsed="1" x14ac:dyDescent="0.25">
      <c r="A95" s="27"/>
      <c r="B95" s="13" t="str">
        <f>CONCATENATE("     ","Discounts and Markdowns                           ")</f>
        <v xml:space="preserve">     Discounts and Markdowns                           </v>
      </c>
      <c r="C95" s="13"/>
      <c r="D95" s="1">
        <f>SUM(OSRRefD22_5x_0)</f>
        <v>13447.119999999999</v>
      </c>
      <c r="E95" s="1"/>
      <c r="F95" s="5">
        <f t="shared" si="37"/>
        <v>4.4113274345573071E-2</v>
      </c>
      <c r="G95" s="1"/>
      <c r="H95" s="1">
        <f>SUM(OSRRefH22_5x_0)</f>
        <v>24000</v>
      </c>
      <c r="I95" s="1"/>
      <c r="J95" s="5">
        <f t="shared" si="38"/>
        <v>8.0514801239295566E-2</v>
      </c>
      <c r="K95" s="1"/>
      <c r="L95" s="1">
        <f t="shared" si="39"/>
        <v>-10552.880000000001</v>
      </c>
      <c r="M95" s="1"/>
      <c r="N95" s="5">
        <f t="shared" si="40"/>
        <v>-0.43970333333333339</v>
      </c>
      <c r="O95" s="13"/>
      <c r="P95" s="1">
        <f>SUM(OSRRefP22_5x_0)</f>
        <v>60891.81</v>
      </c>
      <c r="Q95" s="1"/>
      <c r="R95" s="5">
        <f t="shared" si="41"/>
        <v>7.0838742542550598E-2</v>
      </c>
      <c r="S95" s="1"/>
      <c r="T95" s="1">
        <f>SUM(OSRRefT22_5x_0)</f>
        <v>63000</v>
      </c>
      <c r="U95" s="1"/>
      <c r="V95" s="5">
        <f t="shared" si="42"/>
        <v>7.5985433815228223E-2</v>
      </c>
      <c r="W95" s="1"/>
      <c r="X95" s="1">
        <f t="shared" si="43"/>
        <v>-2108.1900000000023</v>
      </c>
      <c r="Y95" s="1"/>
      <c r="Z95" s="5">
        <f t="shared" si="44"/>
        <v>-3.3463333333333373E-2</v>
      </c>
    </row>
    <row r="96" spans="1:26" s="24" customFormat="1" hidden="1" outlineLevel="2" x14ac:dyDescent="0.25">
      <c r="A96" s="25"/>
      <c r="B96" s="11" t="str">
        <f>CONCATENATE("          ", "6382", " - ", "DISCOUNTS/MARK DOWNS")</f>
        <v xml:space="preserve">          6382 - DISCOUNTS/MARK DOWNS</v>
      </c>
      <c r="C96" s="11"/>
      <c r="D96" s="7">
        <v>13485.38</v>
      </c>
      <c r="E96" s="2"/>
      <c r="F96" s="6">
        <f t="shared" si="37"/>
        <v>4.4238786267565409E-2</v>
      </c>
      <c r="G96" s="2"/>
      <c r="H96" s="7">
        <v>24000</v>
      </c>
      <c r="I96" s="2"/>
      <c r="J96" s="6">
        <f t="shared" si="38"/>
        <v>8.0514801239295566E-2</v>
      </c>
      <c r="K96" s="2"/>
      <c r="L96" s="7">
        <f t="shared" si="39"/>
        <v>-10514.62</v>
      </c>
      <c r="M96" s="2"/>
      <c r="N96" s="6">
        <f t="shared" si="40"/>
        <v>-0.43810916666666672</v>
      </c>
      <c r="O96" s="11"/>
      <c r="P96" s="7">
        <v>60930.07</v>
      </c>
      <c r="Q96" s="2"/>
      <c r="R96" s="6">
        <f t="shared" si="41"/>
        <v>7.0883252474012282E-2</v>
      </c>
      <c r="S96" s="2"/>
      <c r="T96" s="7">
        <v>63000</v>
      </c>
      <c r="U96" s="2"/>
      <c r="V96" s="6">
        <f t="shared" si="42"/>
        <v>7.5985433815228223E-2</v>
      </c>
      <c r="W96" s="2"/>
      <c r="X96" s="7">
        <f t="shared" si="43"/>
        <v>-2069.9300000000003</v>
      </c>
      <c r="Y96" s="2"/>
      <c r="Z96" s="6">
        <f t="shared" si="44"/>
        <v>-3.2856031746031751E-2</v>
      </c>
    </row>
    <row r="97" spans="1:26" s="24" customFormat="1" hidden="1" outlineLevel="2" x14ac:dyDescent="0.25">
      <c r="A97" s="25"/>
      <c r="B97" s="11" t="str">
        <f>CONCATENATE("          ", "9175", " - ", "EARNED DISCOUNTS")</f>
        <v xml:space="preserve">          9175 - EARNED DISCOUNTS</v>
      </c>
      <c r="C97" s="11"/>
      <c r="D97" s="7">
        <v>-38.26</v>
      </c>
      <c r="E97" s="2"/>
      <c r="F97" s="6">
        <f t="shared" si="37"/>
        <v>-1.255119219923393E-4</v>
      </c>
      <c r="G97" s="2"/>
      <c r="H97" s="7"/>
      <c r="I97" s="2"/>
      <c r="J97" s="6">
        <f t="shared" si="38"/>
        <v>0</v>
      </c>
      <c r="K97" s="2"/>
      <c r="L97" s="7">
        <f t="shared" si="39"/>
        <v>-38.26</v>
      </c>
      <c r="M97" s="2"/>
      <c r="N97" s="6">
        <f t="shared" si="40"/>
        <v>0</v>
      </c>
      <c r="O97" s="11"/>
      <c r="P97" s="7">
        <v>-38.26</v>
      </c>
      <c r="Q97" s="2"/>
      <c r="R97" s="6">
        <f t="shared" si="41"/>
        <v>-4.4509931461685666E-5</v>
      </c>
      <c r="S97" s="2"/>
      <c r="T97" s="7"/>
      <c r="U97" s="2"/>
      <c r="V97" s="6">
        <f t="shared" si="42"/>
        <v>0</v>
      </c>
      <c r="W97" s="2"/>
      <c r="X97" s="7">
        <f t="shared" si="43"/>
        <v>-38.26</v>
      </c>
      <c r="Y97" s="2"/>
      <c r="Z97" s="6">
        <f t="shared" si="44"/>
        <v>0</v>
      </c>
    </row>
    <row r="98" spans="1:26" s="26" customFormat="1" outlineLevel="1" collapsed="1" x14ac:dyDescent="0.25">
      <c r="A98" s="27"/>
      <c r="B98" s="13" t="str">
        <f>CONCATENATE("     ","Donations                                         ")</f>
        <v xml:space="preserve">     Donations                                         </v>
      </c>
      <c r="C98" s="13"/>
      <c r="D98" s="1">
        <f>SUM(OSRRefD22_6x_0)</f>
        <v>0</v>
      </c>
      <c r="E98" s="1"/>
      <c r="F98" s="5">
        <f t="shared" ref="F98:F116" si="45">IF(D$12=0,0,D98/D$12)</f>
        <v>0</v>
      </c>
      <c r="G98" s="1"/>
      <c r="H98" s="1">
        <f>SUM(OSRRefH22_6x_0)</f>
        <v>25</v>
      </c>
      <c r="I98" s="1"/>
      <c r="J98" s="5">
        <f t="shared" ref="J98:J116" si="46">IF(H$12=0,0,H98/H$12)</f>
        <v>8.3869584624266213E-5</v>
      </c>
      <c r="K98" s="1"/>
      <c r="L98" s="1">
        <f t="shared" ref="L98:L116" si="47">+D98-H98</f>
        <v>-25</v>
      </c>
      <c r="M98" s="1"/>
      <c r="N98" s="5">
        <f t="shared" ref="N98:N116" si="48">IF(H98=0,0,L98/H98)</f>
        <v>-1</v>
      </c>
      <c r="O98" s="13"/>
      <c r="P98" s="1">
        <f>SUM(OSRRefP22_6x_0)</f>
        <v>0</v>
      </c>
      <c r="Q98" s="1"/>
      <c r="R98" s="5">
        <f t="shared" ref="R98:R116" si="49">IF(P$12=0,0,P98/P$12)</f>
        <v>0</v>
      </c>
      <c r="S98" s="1"/>
      <c r="T98" s="1">
        <f>SUM(OSRRefT22_6x_0)</f>
        <v>150</v>
      </c>
      <c r="U98" s="1"/>
      <c r="V98" s="5">
        <f t="shared" ref="V98:V116" si="50">IF(T$12=0,0,T98/T$12)</f>
        <v>1.8091769956006721E-4</v>
      </c>
      <c r="W98" s="1"/>
      <c r="X98" s="1">
        <f t="shared" ref="X98:X116" si="51">+P98-T98</f>
        <v>-150</v>
      </c>
      <c r="Y98" s="1"/>
      <c r="Z98" s="5">
        <f t="shared" ref="Z98:Z116" si="52">IF(T98=0,0,X98/T98)</f>
        <v>-1</v>
      </c>
    </row>
    <row r="99" spans="1:26" s="24" customFormat="1" hidden="1" outlineLevel="2" x14ac:dyDescent="0.25">
      <c r="A99" s="25"/>
      <c r="B99" s="11" t="str">
        <f>CONCATENATE("          ", "6395", " - ", "DONATION-OFF CAMPUS")</f>
        <v xml:space="preserve">          6395 - DONATION-OFF CAMPUS</v>
      </c>
      <c r="C99" s="11"/>
      <c r="D99" s="7"/>
      <c r="E99" s="2"/>
      <c r="F99" s="6">
        <f t="shared" si="45"/>
        <v>0</v>
      </c>
      <c r="G99" s="2"/>
      <c r="H99" s="7">
        <v>25</v>
      </c>
      <c r="I99" s="2"/>
      <c r="J99" s="6">
        <f t="shared" si="46"/>
        <v>8.3869584624266213E-5</v>
      </c>
      <c r="K99" s="2"/>
      <c r="L99" s="7">
        <f t="shared" si="47"/>
        <v>-25</v>
      </c>
      <c r="M99" s="2"/>
      <c r="N99" s="6">
        <f t="shared" si="48"/>
        <v>-1</v>
      </c>
      <c r="O99" s="11"/>
      <c r="P99" s="7"/>
      <c r="Q99" s="2"/>
      <c r="R99" s="6">
        <f t="shared" si="49"/>
        <v>0</v>
      </c>
      <c r="S99" s="2"/>
      <c r="T99" s="7">
        <v>150</v>
      </c>
      <c r="U99" s="2"/>
      <c r="V99" s="6">
        <f t="shared" si="50"/>
        <v>1.8091769956006721E-4</v>
      </c>
      <c r="W99" s="2"/>
      <c r="X99" s="7">
        <f t="shared" si="51"/>
        <v>-150</v>
      </c>
      <c r="Y99" s="2"/>
      <c r="Z99" s="6">
        <f t="shared" si="52"/>
        <v>-1</v>
      </c>
    </row>
    <row r="100" spans="1:26" s="26" customFormat="1" outlineLevel="1" collapsed="1" x14ac:dyDescent="0.25">
      <c r="A100" s="27"/>
      <c r="B100" s="13" t="str">
        <f>CONCATENATE("     ","Employees' Appreciation                           ")</f>
        <v xml:space="preserve">     Employees' Appreciation                           </v>
      </c>
      <c r="C100" s="13"/>
      <c r="D100" s="1">
        <f>SUM(OSRRefD22_7x_0)</f>
        <v>0</v>
      </c>
      <c r="E100" s="1"/>
      <c r="F100" s="5">
        <f t="shared" si="45"/>
        <v>0</v>
      </c>
      <c r="G100" s="1"/>
      <c r="H100" s="1">
        <f>SUM(OSRRefH22_7x_0)</f>
        <v>200</v>
      </c>
      <c r="I100" s="1"/>
      <c r="J100" s="5">
        <f t="shared" si="46"/>
        <v>6.7095667699412971E-4</v>
      </c>
      <c r="K100" s="1"/>
      <c r="L100" s="1">
        <f t="shared" si="47"/>
        <v>-200</v>
      </c>
      <c r="M100" s="1"/>
      <c r="N100" s="5">
        <f t="shared" si="48"/>
        <v>-1</v>
      </c>
      <c r="O100" s="13"/>
      <c r="P100" s="1">
        <f>SUM(OSRRefP22_7x_0)</f>
        <v>133.91</v>
      </c>
      <c r="Q100" s="1"/>
      <c r="R100" s="5">
        <f t="shared" si="49"/>
        <v>1.5578476011589981E-4</v>
      </c>
      <c r="S100" s="1"/>
      <c r="T100" s="1">
        <f>SUM(OSRRefT22_7x_0)</f>
        <v>600</v>
      </c>
      <c r="U100" s="1"/>
      <c r="V100" s="5">
        <f t="shared" si="50"/>
        <v>7.2367079824026885E-4</v>
      </c>
      <c r="W100" s="1"/>
      <c r="X100" s="1">
        <f t="shared" si="51"/>
        <v>-466.09000000000003</v>
      </c>
      <c r="Y100" s="1"/>
      <c r="Z100" s="5">
        <f t="shared" si="52"/>
        <v>-0.77681666666666671</v>
      </c>
    </row>
    <row r="101" spans="1:26" s="24" customFormat="1" hidden="1" outlineLevel="2" x14ac:dyDescent="0.25">
      <c r="A101" s="25"/>
      <c r="B101" s="11" t="str">
        <f>CONCATENATE("          ", "6277", " - ", "EMPLOYEE APPRECIATION")</f>
        <v xml:space="preserve">          6277 - EMPLOYEE APPRECIATION</v>
      </c>
      <c r="C101" s="11"/>
      <c r="D101" s="7"/>
      <c r="E101" s="2"/>
      <c r="F101" s="6">
        <f t="shared" si="45"/>
        <v>0</v>
      </c>
      <c r="G101" s="2"/>
      <c r="H101" s="7">
        <v>200</v>
      </c>
      <c r="I101" s="2"/>
      <c r="J101" s="6">
        <f t="shared" si="46"/>
        <v>6.7095667699412971E-4</v>
      </c>
      <c r="K101" s="2"/>
      <c r="L101" s="7">
        <f t="shared" si="47"/>
        <v>-200</v>
      </c>
      <c r="M101" s="2"/>
      <c r="N101" s="6">
        <f t="shared" si="48"/>
        <v>-1</v>
      </c>
      <c r="O101" s="11"/>
      <c r="P101" s="7">
        <v>133.91</v>
      </c>
      <c r="Q101" s="2"/>
      <c r="R101" s="6">
        <f t="shared" si="49"/>
        <v>1.5578476011589981E-4</v>
      </c>
      <c r="S101" s="2"/>
      <c r="T101" s="7">
        <v>600</v>
      </c>
      <c r="U101" s="2"/>
      <c r="V101" s="6">
        <f t="shared" si="50"/>
        <v>7.2367079824026885E-4</v>
      </c>
      <c r="W101" s="2"/>
      <c r="X101" s="7">
        <f t="shared" si="51"/>
        <v>-466.09000000000003</v>
      </c>
      <c r="Y101" s="2"/>
      <c r="Z101" s="6">
        <f t="shared" si="52"/>
        <v>-0.77681666666666671</v>
      </c>
    </row>
    <row r="102" spans="1:26" s="26" customFormat="1" outlineLevel="1" collapsed="1" x14ac:dyDescent="0.25">
      <c r="A102" s="27"/>
      <c r="B102" s="13" t="str">
        <f>CONCATENATE("     ","Freight out/Postage                               ")</f>
        <v xml:space="preserve">     Freight out/Postage                               </v>
      </c>
      <c r="C102" s="13"/>
      <c r="D102" s="1">
        <f>SUM(OSRRefD22_8x_0)</f>
        <v>0</v>
      </c>
      <c r="E102" s="1"/>
      <c r="F102" s="5">
        <f t="shared" si="45"/>
        <v>0</v>
      </c>
      <c r="G102" s="1"/>
      <c r="H102" s="1">
        <f>SUM(OSRRefH22_8x_0)</f>
        <v>50</v>
      </c>
      <c r="I102" s="1"/>
      <c r="J102" s="5">
        <f t="shared" si="46"/>
        <v>1.6773916924853243E-4</v>
      </c>
      <c r="K102" s="1"/>
      <c r="L102" s="1">
        <f t="shared" si="47"/>
        <v>-50</v>
      </c>
      <c r="M102" s="1"/>
      <c r="N102" s="5">
        <f t="shared" si="48"/>
        <v>-1</v>
      </c>
      <c r="O102" s="13"/>
      <c r="P102" s="1">
        <f>SUM(OSRRefP22_8x_0)</f>
        <v>0</v>
      </c>
      <c r="Q102" s="1"/>
      <c r="R102" s="5">
        <f t="shared" si="49"/>
        <v>0</v>
      </c>
      <c r="S102" s="1"/>
      <c r="T102" s="1">
        <f>SUM(OSRRefT22_8x_0)</f>
        <v>150</v>
      </c>
      <c r="U102" s="1"/>
      <c r="V102" s="5">
        <f t="shared" si="50"/>
        <v>1.8091769956006721E-4</v>
      </c>
      <c r="W102" s="1"/>
      <c r="X102" s="1">
        <f t="shared" si="51"/>
        <v>-150</v>
      </c>
      <c r="Y102" s="1"/>
      <c r="Z102" s="5">
        <f t="shared" si="52"/>
        <v>-1</v>
      </c>
    </row>
    <row r="103" spans="1:26" s="24" customFormat="1" hidden="1" outlineLevel="2" x14ac:dyDescent="0.25">
      <c r="A103" s="25"/>
      <c r="B103" s="11" t="str">
        <f>CONCATENATE("          ", "6305", " - ", "FREIGHT OUT")</f>
        <v xml:space="preserve">          6305 - FREIGHT OUT</v>
      </c>
      <c r="C103" s="11"/>
      <c r="D103" s="7"/>
      <c r="E103" s="2"/>
      <c r="F103" s="6">
        <f t="shared" si="45"/>
        <v>0</v>
      </c>
      <c r="G103" s="2"/>
      <c r="H103" s="7">
        <v>50</v>
      </c>
      <c r="I103" s="2"/>
      <c r="J103" s="6">
        <f t="shared" si="46"/>
        <v>1.6773916924853243E-4</v>
      </c>
      <c r="K103" s="2"/>
      <c r="L103" s="7">
        <f t="shared" si="47"/>
        <v>-50</v>
      </c>
      <c r="M103" s="2"/>
      <c r="N103" s="6">
        <f t="shared" si="48"/>
        <v>-1</v>
      </c>
      <c r="O103" s="11"/>
      <c r="P103" s="7"/>
      <c r="Q103" s="2"/>
      <c r="R103" s="6">
        <f t="shared" si="49"/>
        <v>0</v>
      </c>
      <c r="S103" s="2"/>
      <c r="T103" s="7">
        <v>150</v>
      </c>
      <c r="U103" s="2"/>
      <c r="V103" s="6">
        <f t="shared" si="50"/>
        <v>1.8091769956006721E-4</v>
      </c>
      <c r="W103" s="2"/>
      <c r="X103" s="7">
        <f t="shared" si="51"/>
        <v>-150</v>
      </c>
      <c r="Y103" s="2"/>
      <c r="Z103" s="6">
        <f t="shared" si="52"/>
        <v>-1</v>
      </c>
    </row>
    <row r="104" spans="1:26" s="26" customFormat="1" outlineLevel="1" collapsed="1" x14ac:dyDescent="0.25">
      <c r="A104" s="27"/>
      <c r="B104" s="13" t="str">
        <f>CONCATENATE("     ","General                                           ")</f>
        <v xml:space="preserve">     General                                           </v>
      </c>
      <c r="C104" s="13"/>
      <c r="D104" s="1">
        <f>SUM(OSRRefD22_9x_0)</f>
        <v>0</v>
      </c>
      <c r="E104" s="1"/>
      <c r="F104" s="5">
        <f t="shared" si="45"/>
        <v>0</v>
      </c>
      <c r="G104" s="1"/>
      <c r="H104" s="1">
        <f>SUM(OSRRefH22_9x_0)</f>
        <v>120</v>
      </c>
      <c r="I104" s="1"/>
      <c r="J104" s="5">
        <f t="shared" si="46"/>
        <v>4.0257400619647785E-4</v>
      </c>
      <c r="K104" s="1"/>
      <c r="L104" s="1">
        <f t="shared" si="47"/>
        <v>-120</v>
      </c>
      <c r="M104" s="1"/>
      <c r="N104" s="5">
        <f t="shared" si="48"/>
        <v>-1</v>
      </c>
      <c r="O104" s="13"/>
      <c r="P104" s="1">
        <f>SUM(OSRRefP22_9x_0)</f>
        <v>0</v>
      </c>
      <c r="Q104" s="1"/>
      <c r="R104" s="5">
        <f t="shared" si="49"/>
        <v>0</v>
      </c>
      <c r="S104" s="1"/>
      <c r="T104" s="1">
        <f>SUM(OSRRefT22_9x_0)</f>
        <v>240</v>
      </c>
      <c r="U104" s="1"/>
      <c r="V104" s="5">
        <f t="shared" si="50"/>
        <v>2.8946831929610754E-4</v>
      </c>
      <c r="W104" s="1"/>
      <c r="X104" s="1">
        <f t="shared" si="51"/>
        <v>-240</v>
      </c>
      <c r="Y104" s="1"/>
      <c r="Z104" s="5">
        <f t="shared" si="52"/>
        <v>-1</v>
      </c>
    </row>
    <row r="105" spans="1:26" s="24" customFormat="1" hidden="1" outlineLevel="2" x14ac:dyDescent="0.25">
      <c r="A105" s="25"/>
      <c r="B105" s="11" t="str">
        <f>CONCATENATE("          ", "6279", " - ", "GENERAL EXPENSE")</f>
        <v xml:space="preserve">          6279 - GENERAL EXPENSE</v>
      </c>
      <c r="C105" s="11"/>
      <c r="D105" s="7"/>
      <c r="E105" s="2"/>
      <c r="F105" s="6">
        <f t="shared" si="45"/>
        <v>0</v>
      </c>
      <c r="G105" s="2"/>
      <c r="H105" s="7">
        <v>120</v>
      </c>
      <c r="I105" s="2"/>
      <c r="J105" s="6">
        <f t="shared" si="46"/>
        <v>4.0257400619647785E-4</v>
      </c>
      <c r="K105" s="2"/>
      <c r="L105" s="7">
        <f t="shared" si="47"/>
        <v>-120</v>
      </c>
      <c r="M105" s="2"/>
      <c r="N105" s="6">
        <f t="shared" si="48"/>
        <v>-1</v>
      </c>
      <c r="O105" s="11"/>
      <c r="P105" s="7"/>
      <c r="Q105" s="2"/>
      <c r="R105" s="6">
        <f t="shared" si="49"/>
        <v>0</v>
      </c>
      <c r="S105" s="2"/>
      <c r="T105" s="7">
        <v>240</v>
      </c>
      <c r="U105" s="2"/>
      <c r="V105" s="6">
        <f t="shared" si="50"/>
        <v>2.8946831929610754E-4</v>
      </c>
      <c r="W105" s="2"/>
      <c r="X105" s="7">
        <f t="shared" si="51"/>
        <v>-240</v>
      </c>
      <c r="Y105" s="2"/>
      <c r="Z105" s="6">
        <f t="shared" si="52"/>
        <v>-1</v>
      </c>
    </row>
    <row r="106" spans="1:26" s="26" customFormat="1" outlineLevel="1" collapsed="1" x14ac:dyDescent="0.25">
      <c r="A106" s="27"/>
      <c r="B106" s="13" t="str">
        <f>CONCATENATE("     ","Insurance                                         ")</f>
        <v xml:space="preserve">     Insurance                                         </v>
      </c>
      <c r="C106" s="13"/>
      <c r="D106" s="1">
        <f>SUM(OSRRefD22_10x_0)</f>
        <v>161.18</v>
      </c>
      <c r="E106" s="1"/>
      <c r="F106" s="5">
        <f t="shared" si="45"/>
        <v>5.2875095626568874E-4</v>
      </c>
      <c r="G106" s="1"/>
      <c r="H106" s="1">
        <f>SUM(OSRRefH22_10x_0)</f>
        <v>155</v>
      </c>
      <c r="I106" s="1"/>
      <c r="J106" s="5">
        <f t="shared" si="46"/>
        <v>5.1999142467045053E-4</v>
      </c>
      <c r="K106" s="1"/>
      <c r="L106" s="1">
        <f t="shared" si="47"/>
        <v>6.1800000000000068</v>
      </c>
      <c r="M106" s="1"/>
      <c r="N106" s="5">
        <f t="shared" si="48"/>
        <v>3.9870967741935527E-2</v>
      </c>
      <c r="O106" s="13"/>
      <c r="P106" s="1">
        <f>SUM(OSRRefP22_10x_0)</f>
        <v>483.54</v>
      </c>
      <c r="Q106" s="1"/>
      <c r="R106" s="5">
        <f t="shared" si="49"/>
        <v>5.625282869572265E-4</v>
      </c>
      <c r="S106" s="1"/>
      <c r="T106" s="1">
        <f>SUM(OSRRefT22_10x_0)</f>
        <v>465</v>
      </c>
      <c r="U106" s="1"/>
      <c r="V106" s="5">
        <f t="shared" si="50"/>
        <v>5.6084486863620833E-4</v>
      </c>
      <c r="W106" s="1"/>
      <c r="X106" s="1">
        <f t="shared" si="51"/>
        <v>18.54000000000002</v>
      </c>
      <c r="Y106" s="1"/>
      <c r="Z106" s="5">
        <f t="shared" si="52"/>
        <v>3.9870967741935527E-2</v>
      </c>
    </row>
    <row r="107" spans="1:26" s="24" customFormat="1" hidden="1" outlineLevel="2" x14ac:dyDescent="0.25">
      <c r="A107" s="25"/>
      <c r="B107" s="11" t="str">
        <f>CONCATENATE("          ", "6314", " - ", "LIABILITY INSURANCE")</f>
        <v xml:space="preserve">          6314 - LIABILITY INSURANCE</v>
      </c>
      <c r="C107" s="11"/>
      <c r="D107" s="7">
        <v>161.18</v>
      </c>
      <c r="E107" s="2"/>
      <c r="F107" s="6">
        <f t="shared" si="45"/>
        <v>5.2875095626568874E-4</v>
      </c>
      <c r="G107" s="2"/>
      <c r="H107" s="7">
        <v>155</v>
      </c>
      <c r="I107" s="2"/>
      <c r="J107" s="6">
        <f t="shared" si="46"/>
        <v>5.1999142467045053E-4</v>
      </c>
      <c r="K107" s="2"/>
      <c r="L107" s="7">
        <f t="shared" si="47"/>
        <v>6.1800000000000068</v>
      </c>
      <c r="M107" s="2"/>
      <c r="N107" s="6">
        <f t="shared" si="48"/>
        <v>3.9870967741935527E-2</v>
      </c>
      <c r="O107" s="11"/>
      <c r="P107" s="7">
        <v>483.54</v>
      </c>
      <c r="Q107" s="2"/>
      <c r="R107" s="6">
        <f t="shared" si="49"/>
        <v>5.625282869572265E-4</v>
      </c>
      <c r="S107" s="2"/>
      <c r="T107" s="7">
        <v>465</v>
      </c>
      <c r="U107" s="2"/>
      <c r="V107" s="6">
        <f t="shared" si="50"/>
        <v>5.6084486863620833E-4</v>
      </c>
      <c r="W107" s="2"/>
      <c r="X107" s="7">
        <f t="shared" si="51"/>
        <v>18.54000000000002</v>
      </c>
      <c r="Y107" s="2"/>
      <c r="Z107" s="6">
        <f t="shared" si="52"/>
        <v>3.9870967741935527E-2</v>
      </c>
    </row>
    <row r="108" spans="1:26" s="26" customFormat="1" outlineLevel="1" collapsed="1" x14ac:dyDescent="0.25">
      <c r="A108" s="27"/>
      <c r="B108" s="13" t="str">
        <f>CONCATENATE("     ","Inventory Adjustment                              ")</f>
        <v xml:space="preserve">     Inventory Adjustment                              </v>
      </c>
      <c r="C108" s="13"/>
      <c r="D108" s="1">
        <f>SUM(OSRRefD22_11x_0)</f>
        <v>3150</v>
      </c>
      <c r="E108" s="1"/>
      <c r="F108" s="5">
        <f t="shared" si="45"/>
        <v>1.0333574340717952E-2</v>
      </c>
      <c r="G108" s="1"/>
      <c r="H108" s="1">
        <f>SUM(OSRRefH22_11x_0)</f>
        <v>3150</v>
      </c>
      <c r="I108" s="1"/>
      <c r="J108" s="5">
        <f t="shared" si="46"/>
        <v>1.0567567662657543E-2</v>
      </c>
      <c r="K108" s="1"/>
      <c r="L108" s="1">
        <f t="shared" si="47"/>
        <v>0</v>
      </c>
      <c r="M108" s="1"/>
      <c r="N108" s="5">
        <f t="shared" si="48"/>
        <v>0</v>
      </c>
      <c r="O108" s="13"/>
      <c r="P108" s="1">
        <f>SUM(OSRRefP22_11x_0)</f>
        <v>9450</v>
      </c>
      <c r="Q108" s="1"/>
      <c r="R108" s="5">
        <f t="shared" si="49"/>
        <v>1.0993697133113683E-2</v>
      </c>
      <c r="S108" s="1"/>
      <c r="T108" s="1">
        <f>SUM(OSRRefT22_11x_0)</f>
        <v>9450</v>
      </c>
      <c r="U108" s="1"/>
      <c r="V108" s="5">
        <f t="shared" si="50"/>
        <v>1.1397815072284233E-2</v>
      </c>
      <c r="W108" s="1"/>
      <c r="X108" s="1">
        <f t="shared" si="51"/>
        <v>0</v>
      </c>
      <c r="Y108" s="1"/>
      <c r="Z108" s="5">
        <f t="shared" si="52"/>
        <v>0</v>
      </c>
    </row>
    <row r="109" spans="1:26" s="24" customFormat="1" hidden="1" outlineLevel="2" x14ac:dyDescent="0.25">
      <c r="A109" s="25"/>
      <c r="B109" s="11" t="str">
        <f>CONCATENATE("          ", "6408", " - ", "INVENTORY ADJUSTMENT")</f>
        <v xml:space="preserve">          6408 - INVENTORY ADJUSTMENT</v>
      </c>
      <c r="C109" s="11"/>
      <c r="D109" s="7">
        <v>3150</v>
      </c>
      <c r="E109" s="2"/>
      <c r="F109" s="6">
        <f t="shared" si="45"/>
        <v>1.0333574340717952E-2</v>
      </c>
      <c r="G109" s="2"/>
      <c r="H109" s="7">
        <v>3150</v>
      </c>
      <c r="I109" s="2"/>
      <c r="J109" s="6">
        <f t="shared" si="46"/>
        <v>1.0567567662657543E-2</v>
      </c>
      <c r="K109" s="2"/>
      <c r="L109" s="7">
        <f t="shared" si="47"/>
        <v>0</v>
      </c>
      <c r="M109" s="2"/>
      <c r="N109" s="6">
        <f t="shared" si="48"/>
        <v>0</v>
      </c>
      <c r="O109" s="11"/>
      <c r="P109" s="7">
        <v>9450</v>
      </c>
      <c r="Q109" s="2"/>
      <c r="R109" s="6">
        <f t="shared" si="49"/>
        <v>1.0993697133113683E-2</v>
      </c>
      <c r="S109" s="2"/>
      <c r="T109" s="7">
        <v>9450</v>
      </c>
      <c r="U109" s="2"/>
      <c r="V109" s="6">
        <f t="shared" si="50"/>
        <v>1.1397815072284233E-2</v>
      </c>
      <c r="W109" s="2"/>
      <c r="X109" s="7">
        <f t="shared" si="51"/>
        <v>0</v>
      </c>
      <c r="Y109" s="2"/>
      <c r="Z109" s="6">
        <f t="shared" si="52"/>
        <v>0</v>
      </c>
    </row>
    <row r="110" spans="1:26" s="26" customFormat="1" outlineLevel="1" collapsed="1" x14ac:dyDescent="0.25">
      <c r="A110" s="27"/>
      <c r="B110" s="13" t="str">
        <f>CONCATENATE("     ","Professional Services                             ")</f>
        <v xml:space="preserve">     Professional Services                             </v>
      </c>
      <c r="C110" s="13"/>
      <c r="D110" s="1">
        <f>SUM(OSRRefD22_12x_0)</f>
        <v>0</v>
      </c>
      <c r="E110" s="1"/>
      <c r="F110" s="5">
        <f t="shared" si="45"/>
        <v>0</v>
      </c>
      <c r="G110" s="1"/>
      <c r="H110" s="1">
        <f>SUM(OSRRefH22_12x_0)</f>
        <v>0</v>
      </c>
      <c r="I110" s="1"/>
      <c r="J110" s="5">
        <f t="shared" si="46"/>
        <v>0</v>
      </c>
      <c r="K110" s="1"/>
      <c r="L110" s="1">
        <f t="shared" si="47"/>
        <v>0</v>
      </c>
      <c r="M110" s="1"/>
      <c r="N110" s="5">
        <f t="shared" si="48"/>
        <v>0</v>
      </c>
      <c r="O110" s="13"/>
      <c r="P110" s="1">
        <f>SUM(OSRRefP22_12x_0)</f>
        <v>750</v>
      </c>
      <c r="Q110" s="1"/>
      <c r="R110" s="5">
        <f t="shared" si="49"/>
        <v>8.7251564548521295E-4</v>
      </c>
      <c r="S110" s="1"/>
      <c r="T110" s="1">
        <f>SUM(OSRRefT22_12x_0)</f>
        <v>2400</v>
      </c>
      <c r="U110" s="1"/>
      <c r="V110" s="5">
        <f t="shared" si="50"/>
        <v>2.8946831929610754E-3</v>
      </c>
      <c r="W110" s="1"/>
      <c r="X110" s="1">
        <f t="shared" si="51"/>
        <v>-1650</v>
      </c>
      <c r="Y110" s="1"/>
      <c r="Z110" s="5">
        <f t="shared" si="52"/>
        <v>-0.6875</v>
      </c>
    </row>
    <row r="111" spans="1:26" s="24" customFormat="1" hidden="1" outlineLevel="2" x14ac:dyDescent="0.25">
      <c r="A111" s="25"/>
      <c r="B111" s="11" t="str">
        <f>CONCATENATE("          ", "6336", " - ", "PROFESSIONAL SERVICES")</f>
        <v xml:space="preserve">          6336 - PROFESSIONAL SERVICES</v>
      </c>
      <c r="C111" s="11"/>
      <c r="D111" s="7"/>
      <c r="E111" s="2"/>
      <c r="F111" s="6">
        <f t="shared" si="45"/>
        <v>0</v>
      </c>
      <c r="G111" s="2"/>
      <c r="H111" s="7">
        <v>0</v>
      </c>
      <c r="I111" s="2"/>
      <c r="J111" s="6">
        <f t="shared" si="46"/>
        <v>0</v>
      </c>
      <c r="K111" s="2"/>
      <c r="L111" s="7">
        <f t="shared" si="47"/>
        <v>0</v>
      </c>
      <c r="M111" s="2"/>
      <c r="N111" s="6">
        <f t="shared" si="48"/>
        <v>0</v>
      </c>
      <c r="O111" s="11"/>
      <c r="P111" s="7">
        <v>750</v>
      </c>
      <c r="Q111" s="2"/>
      <c r="R111" s="6">
        <f t="shared" si="49"/>
        <v>8.7251564548521295E-4</v>
      </c>
      <c r="S111" s="2"/>
      <c r="T111" s="7">
        <v>2400</v>
      </c>
      <c r="U111" s="2"/>
      <c r="V111" s="6">
        <f t="shared" si="50"/>
        <v>2.8946831929610754E-3</v>
      </c>
      <c r="W111" s="2"/>
      <c r="X111" s="7">
        <f t="shared" si="51"/>
        <v>-1650</v>
      </c>
      <c r="Y111" s="2"/>
      <c r="Z111" s="6">
        <f t="shared" si="52"/>
        <v>-0.6875</v>
      </c>
    </row>
    <row r="112" spans="1:26" s="26" customFormat="1" outlineLevel="1" collapsed="1" x14ac:dyDescent="0.25">
      <c r="A112" s="27"/>
      <c r="B112" s="13" t="str">
        <f>CONCATENATE("     ","Rent                                              ")</f>
        <v xml:space="preserve">     Rent                                              </v>
      </c>
      <c r="C112" s="13"/>
      <c r="D112" s="1">
        <f>SUM(OSRRefD22_13x_0)</f>
        <v>6900</v>
      </c>
      <c r="E112" s="1"/>
      <c r="F112" s="5">
        <f t="shared" si="45"/>
        <v>2.2635448555858372E-2</v>
      </c>
      <c r="G112" s="1"/>
      <c r="H112" s="1">
        <f>SUM(OSRRefH22_13x_0)</f>
        <v>7200</v>
      </c>
      <c r="I112" s="1"/>
      <c r="J112" s="5">
        <f t="shared" si="46"/>
        <v>2.4154440371788669E-2</v>
      </c>
      <c r="K112" s="1"/>
      <c r="L112" s="1">
        <f t="shared" si="47"/>
        <v>-300</v>
      </c>
      <c r="M112" s="1"/>
      <c r="N112" s="5">
        <f t="shared" si="48"/>
        <v>-4.1666666666666664E-2</v>
      </c>
      <c r="O112" s="13"/>
      <c r="P112" s="1">
        <f>SUM(OSRRefP22_13x_0)</f>
        <v>20700</v>
      </c>
      <c r="Q112" s="1"/>
      <c r="R112" s="5">
        <f t="shared" si="49"/>
        <v>2.4081431815391879E-2</v>
      </c>
      <c r="S112" s="1"/>
      <c r="T112" s="1">
        <f>SUM(OSRRefT22_13x_0)</f>
        <v>21600</v>
      </c>
      <c r="U112" s="1"/>
      <c r="V112" s="5">
        <f t="shared" si="50"/>
        <v>2.6052148736649676E-2</v>
      </c>
      <c r="W112" s="1"/>
      <c r="X112" s="1">
        <f t="shared" si="51"/>
        <v>-900</v>
      </c>
      <c r="Y112" s="1"/>
      <c r="Z112" s="5">
        <f t="shared" si="52"/>
        <v>-4.1666666666666664E-2</v>
      </c>
    </row>
    <row r="113" spans="1:26" s="24" customFormat="1" hidden="1" outlineLevel="2" x14ac:dyDescent="0.25">
      <c r="A113" s="25"/>
      <c r="B113" s="11" t="str">
        <f>CONCATENATE("          ", "6273", " - ", "RENT")</f>
        <v xml:space="preserve">          6273 - RENT</v>
      </c>
      <c r="C113" s="11"/>
      <c r="D113" s="7">
        <v>6900</v>
      </c>
      <c r="E113" s="2"/>
      <c r="F113" s="6">
        <f t="shared" si="45"/>
        <v>2.2635448555858372E-2</v>
      </c>
      <c r="G113" s="2"/>
      <c r="H113" s="7">
        <v>7200</v>
      </c>
      <c r="I113" s="2"/>
      <c r="J113" s="6">
        <f t="shared" si="46"/>
        <v>2.4154440371788669E-2</v>
      </c>
      <c r="K113" s="2"/>
      <c r="L113" s="7">
        <f t="shared" si="47"/>
        <v>-300</v>
      </c>
      <c r="M113" s="2"/>
      <c r="N113" s="6">
        <f t="shared" si="48"/>
        <v>-4.1666666666666664E-2</v>
      </c>
      <c r="O113" s="11"/>
      <c r="P113" s="7">
        <v>20700</v>
      </c>
      <c r="Q113" s="2"/>
      <c r="R113" s="6">
        <f t="shared" si="49"/>
        <v>2.4081431815391879E-2</v>
      </c>
      <c r="S113" s="2"/>
      <c r="T113" s="7">
        <v>21600</v>
      </c>
      <c r="U113" s="2"/>
      <c r="V113" s="6">
        <f t="shared" si="50"/>
        <v>2.6052148736649676E-2</v>
      </c>
      <c r="W113" s="2"/>
      <c r="X113" s="7">
        <f t="shared" si="51"/>
        <v>-900</v>
      </c>
      <c r="Y113" s="2"/>
      <c r="Z113" s="6">
        <f t="shared" si="52"/>
        <v>-4.1666666666666664E-2</v>
      </c>
    </row>
    <row r="114" spans="1:26" s="26" customFormat="1" outlineLevel="1" collapsed="1" x14ac:dyDescent="0.25">
      <c r="A114" s="27"/>
      <c r="B114" s="13" t="str">
        <f>CONCATENATE("     ","Repair and Maintenance                            ")</f>
        <v xml:space="preserve">     Repair and Maintenance                            </v>
      </c>
      <c r="C114" s="13"/>
      <c r="D114" s="1">
        <f>SUM(OSRRefD22_14x_0)</f>
        <v>0</v>
      </c>
      <c r="E114" s="1"/>
      <c r="F114" s="5">
        <f t="shared" si="45"/>
        <v>0</v>
      </c>
      <c r="G114" s="1"/>
      <c r="H114" s="1">
        <f>SUM(OSRRefH22_14x_0)</f>
        <v>350</v>
      </c>
      <c r="I114" s="1"/>
      <c r="J114" s="5">
        <f t="shared" si="46"/>
        <v>1.174174184739727E-3</v>
      </c>
      <c r="K114" s="1"/>
      <c r="L114" s="1">
        <f t="shared" si="47"/>
        <v>-350</v>
      </c>
      <c r="M114" s="1"/>
      <c r="N114" s="5">
        <f t="shared" si="48"/>
        <v>-1</v>
      </c>
      <c r="O114" s="13"/>
      <c r="P114" s="1">
        <f>SUM(OSRRefP22_14x_0)</f>
        <v>0</v>
      </c>
      <c r="Q114" s="1"/>
      <c r="R114" s="5">
        <f t="shared" si="49"/>
        <v>0</v>
      </c>
      <c r="S114" s="1"/>
      <c r="T114" s="1">
        <f>SUM(OSRRefT22_14x_0)</f>
        <v>800</v>
      </c>
      <c r="U114" s="1"/>
      <c r="V114" s="5">
        <f t="shared" si="50"/>
        <v>9.6489439765369176E-4</v>
      </c>
      <c r="W114" s="1"/>
      <c r="X114" s="1">
        <f t="shared" si="51"/>
        <v>-800</v>
      </c>
      <c r="Y114" s="1"/>
      <c r="Z114" s="5">
        <f t="shared" si="52"/>
        <v>-1</v>
      </c>
    </row>
    <row r="115" spans="1:26" s="24" customFormat="1" hidden="1" outlineLevel="2" x14ac:dyDescent="0.25">
      <c r="A115" s="25"/>
      <c r="B115" s="11" t="str">
        <f>CONCATENATE("          ", "6373", " - ", "MAINTENANCE CONTRACTS")</f>
        <v xml:space="preserve">          6373 - MAINTENANCE CONTRACTS</v>
      </c>
      <c r="C115" s="11"/>
      <c r="D115" s="7"/>
      <c r="E115" s="2"/>
      <c r="F115" s="6">
        <f t="shared" si="45"/>
        <v>0</v>
      </c>
      <c r="G115" s="2"/>
      <c r="H115" s="7">
        <v>0</v>
      </c>
      <c r="I115" s="2"/>
      <c r="J115" s="6">
        <f t="shared" si="46"/>
        <v>0</v>
      </c>
      <c r="K115" s="2"/>
      <c r="L115" s="7">
        <f t="shared" si="47"/>
        <v>0</v>
      </c>
      <c r="M115" s="2"/>
      <c r="N115" s="6">
        <f t="shared" si="48"/>
        <v>0</v>
      </c>
      <c r="O115" s="11"/>
      <c r="P115" s="7"/>
      <c r="Q115" s="2"/>
      <c r="R115" s="6">
        <f t="shared" si="49"/>
        <v>0</v>
      </c>
      <c r="S115" s="2"/>
      <c r="T115" s="7">
        <v>75</v>
      </c>
      <c r="U115" s="2"/>
      <c r="V115" s="6">
        <f t="shared" si="50"/>
        <v>9.0458849780033606E-5</v>
      </c>
      <c r="W115" s="2"/>
      <c r="X115" s="7">
        <f t="shared" si="51"/>
        <v>-75</v>
      </c>
      <c r="Y115" s="2"/>
      <c r="Z115" s="6">
        <f t="shared" si="52"/>
        <v>-1</v>
      </c>
    </row>
    <row r="116" spans="1:26" s="24" customFormat="1" hidden="1" outlineLevel="2" x14ac:dyDescent="0.25">
      <c r="A116" s="25"/>
      <c r="B116" s="11" t="str">
        <f>CONCATENATE("          ", "6375", " - ", "OUTSIDE REPAIRS &amp; MAINTENANCE")</f>
        <v xml:space="preserve">          6375 - OUTSIDE REPAIRS &amp; MAINTENANCE</v>
      </c>
      <c r="C116" s="11"/>
      <c r="D116" s="7"/>
      <c r="E116" s="2"/>
      <c r="F116" s="6">
        <f t="shared" si="45"/>
        <v>0</v>
      </c>
      <c r="G116" s="2"/>
      <c r="H116" s="7">
        <v>350</v>
      </c>
      <c r="I116" s="2"/>
      <c r="J116" s="6">
        <f t="shared" si="46"/>
        <v>1.174174184739727E-3</v>
      </c>
      <c r="K116" s="2"/>
      <c r="L116" s="7">
        <f t="shared" si="47"/>
        <v>-350</v>
      </c>
      <c r="M116" s="2"/>
      <c r="N116" s="6">
        <f t="shared" si="48"/>
        <v>-1</v>
      </c>
      <c r="O116" s="11"/>
      <c r="P116" s="7"/>
      <c r="Q116" s="2"/>
      <c r="R116" s="6">
        <f t="shared" si="49"/>
        <v>0</v>
      </c>
      <c r="S116" s="2"/>
      <c r="T116" s="7">
        <v>725</v>
      </c>
      <c r="U116" s="2"/>
      <c r="V116" s="6">
        <f t="shared" si="50"/>
        <v>8.7443554787365813E-4</v>
      </c>
      <c r="W116" s="2"/>
      <c r="X116" s="7">
        <f t="shared" si="51"/>
        <v>-725</v>
      </c>
      <c r="Y116" s="2"/>
      <c r="Z116" s="6">
        <f t="shared" si="52"/>
        <v>-1</v>
      </c>
    </row>
    <row r="117" spans="1:26" s="26" customFormat="1" outlineLevel="1" collapsed="1" x14ac:dyDescent="0.25">
      <c r="A117" s="27"/>
      <c r="B117" s="13" t="str">
        <f>CONCATENATE("     ","Royalty &amp; Commissions                             ")</f>
        <v xml:space="preserve">     Royalty &amp; Commissions                             </v>
      </c>
      <c r="C117" s="13"/>
      <c r="D117" s="1">
        <f>SUM(OSRRefD22_15x_0)</f>
        <v>365.38</v>
      </c>
      <c r="E117" s="1"/>
      <c r="F117" s="5">
        <f t="shared" ref="F117:F120" si="53">IF(D$12=0,0,D117/D$12)</f>
        <v>1.1986290135274683E-3</v>
      </c>
      <c r="G117" s="1"/>
      <c r="H117" s="1">
        <f>SUM(OSRRefH22_15x_0)</f>
        <v>5485</v>
      </c>
      <c r="I117" s="1"/>
      <c r="J117" s="5">
        <f t="shared" ref="J117:J120" si="54">IF(H$12=0,0,H117/H$12)</f>
        <v>1.8400986866564006E-2</v>
      </c>
      <c r="K117" s="1"/>
      <c r="L117" s="1">
        <f t="shared" ref="L117:L120" si="55">+D117-H117</f>
        <v>-5119.62</v>
      </c>
      <c r="M117" s="1"/>
      <c r="N117" s="5">
        <f t="shared" ref="N117:N120" si="56">IF(H117=0,0,L117/H117)</f>
        <v>-0.93338559708295354</v>
      </c>
      <c r="O117" s="13"/>
      <c r="P117" s="1">
        <f>SUM(OSRRefP22_15x_0)</f>
        <v>4982.82</v>
      </c>
      <c r="Q117" s="1"/>
      <c r="R117" s="5">
        <f t="shared" ref="R117:R120" si="57">IF(P$12=0,0,P117/P$12)</f>
        <v>5.7967845448488381E-3</v>
      </c>
      <c r="S117" s="1"/>
      <c r="T117" s="1">
        <f>SUM(OSRRefT22_15x_0)</f>
        <v>16455</v>
      </c>
      <c r="U117" s="1"/>
      <c r="V117" s="5">
        <f t="shared" ref="V117:V120" si="58">IF(T$12=0,0,T117/T$12)</f>
        <v>1.9846671641739373E-2</v>
      </c>
      <c r="W117" s="1"/>
      <c r="X117" s="1">
        <f t="shared" ref="X117:X120" si="59">+P117-T117</f>
        <v>-11472.18</v>
      </c>
      <c r="Y117" s="1"/>
      <c r="Z117" s="5">
        <f t="shared" ref="Z117:Z120" si="60">IF(T117=0,0,X117/T117)</f>
        <v>-0.69718505013673659</v>
      </c>
    </row>
    <row r="118" spans="1:26" s="24" customFormat="1" hidden="1" outlineLevel="2" x14ac:dyDescent="0.25">
      <c r="A118" s="25"/>
      <c r="B118" s="11" t="str">
        <f>CONCATENATE("          ", "6252", " - ", "ROYALTY DUE CSTV")</f>
        <v xml:space="preserve">          6252 - ROYALTY DUE CSTV</v>
      </c>
      <c r="C118" s="11"/>
      <c r="D118" s="7"/>
      <c r="E118" s="2"/>
      <c r="F118" s="6">
        <f t="shared" si="53"/>
        <v>0</v>
      </c>
      <c r="G118" s="2"/>
      <c r="H118" s="7">
        <v>1085</v>
      </c>
      <c r="I118" s="2"/>
      <c r="J118" s="6">
        <f t="shared" si="54"/>
        <v>3.6399399726931535E-3</v>
      </c>
      <c r="K118" s="2"/>
      <c r="L118" s="7">
        <f t="shared" si="55"/>
        <v>-1085</v>
      </c>
      <c r="M118" s="2"/>
      <c r="N118" s="6">
        <f t="shared" si="56"/>
        <v>-1</v>
      </c>
      <c r="O118" s="11"/>
      <c r="P118" s="7"/>
      <c r="Q118" s="2"/>
      <c r="R118" s="6">
        <f t="shared" si="57"/>
        <v>0</v>
      </c>
      <c r="S118" s="2"/>
      <c r="T118" s="7">
        <v>3255</v>
      </c>
      <c r="U118" s="2"/>
      <c r="V118" s="6">
        <f t="shared" si="58"/>
        <v>3.9259140804534581E-3</v>
      </c>
      <c r="W118" s="2"/>
      <c r="X118" s="7">
        <f t="shared" si="59"/>
        <v>-3255</v>
      </c>
      <c r="Y118" s="2"/>
      <c r="Z118" s="6">
        <f t="shared" si="60"/>
        <v>-1</v>
      </c>
    </row>
    <row r="119" spans="1:26" s="24" customFormat="1" hidden="1" outlineLevel="2" x14ac:dyDescent="0.25">
      <c r="A119" s="25"/>
      <c r="B119" s="11" t="str">
        <f>CONCATENATE("          ", "6253", " - ", "ROYALTY DUE ATHLETICS-LRG")</f>
        <v xml:space="preserve">          6253 - ROYALTY DUE ATHLETICS-LRG</v>
      </c>
      <c r="C119" s="11"/>
      <c r="D119" s="7"/>
      <c r="E119" s="2"/>
      <c r="F119" s="6">
        <f t="shared" si="53"/>
        <v>0</v>
      </c>
      <c r="G119" s="2"/>
      <c r="H119" s="7">
        <v>3700</v>
      </c>
      <c r="I119" s="2"/>
      <c r="J119" s="6">
        <f t="shared" si="54"/>
        <v>1.24126985243914E-2</v>
      </c>
      <c r="K119" s="2"/>
      <c r="L119" s="7">
        <f t="shared" si="55"/>
        <v>-3700</v>
      </c>
      <c r="M119" s="2"/>
      <c r="N119" s="6">
        <f t="shared" si="56"/>
        <v>-1</v>
      </c>
      <c r="O119" s="11"/>
      <c r="P119" s="7">
        <v>4366.95</v>
      </c>
      <c r="Q119" s="2"/>
      <c r="R119" s="6">
        <f t="shared" si="57"/>
        <v>5.0803095974022005E-3</v>
      </c>
      <c r="S119" s="2"/>
      <c r="T119" s="7">
        <v>11100</v>
      </c>
      <c r="U119" s="2"/>
      <c r="V119" s="6">
        <f t="shared" si="58"/>
        <v>1.3387909767444972E-2</v>
      </c>
      <c r="W119" s="2"/>
      <c r="X119" s="7">
        <f t="shared" si="59"/>
        <v>-6733.05</v>
      </c>
      <c r="Y119" s="2"/>
      <c r="Z119" s="6">
        <f t="shared" si="60"/>
        <v>-0.60658108108108111</v>
      </c>
    </row>
    <row r="120" spans="1:26" s="24" customFormat="1" hidden="1" outlineLevel="2" x14ac:dyDescent="0.25">
      <c r="A120" s="25"/>
      <c r="B120" s="11" t="str">
        <f>CONCATENATE("          ", "6254", " - ", "ROYALTY &amp; COMMISSIONS")</f>
        <v xml:space="preserve">          6254 - ROYALTY &amp; COMMISSIONS</v>
      </c>
      <c r="C120" s="11"/>
      <c r="D120" s="7">
        <v>365.38</v>
      </c>
      <c r="E120" s="2"/>
      <c r="F120" s="6">
        <f t="shared" si="53"/>
        <v>1.1986290135274683E-3</v>
      </c>
      <c r="G120" s="2"/>
      <c r="H120" s="7">
        <v>700</v>
      </c>
      <c r="I120" s="2"/>
      <c r="J120" s="6">
        <f t="shared" si="54"/>
        <v>2.3483483694794541E-3</v>
      </c>
      <c r="K120" s="2"/>
      <c r="L120" s="7">
        <f t="shared" si="55"/>
        <v>-334.62</v>
      </c>
      <c r="M120" s="2"/>
      <c r="N120" s="6">
        <f t="shared" si="56"/>
        <v>-0.47802857142857141</v>
      </c>
      <c r="O120" s="11"/>
      <c r="P120" s="7">
        <v>615.87</v>
      </c>
      <c r="Q120" s="2"/>
      <c r="R120" s="6">
        <f t="shared" si="57"/>
        <v>7.1647494744663746E-4</v>
      </c>
      <c r="S120" s="2"/>
      <c r="T120" s="7">
        <v>2100</v>
      </c>
      <c r="U120" s="2"/>
      <c r="V120" s="6">
        <f t="shared" si="58"/>
        <v>2.5328477938409409E-3</v>
      </c>
      <c r="W120" s="2"/>
      <c r="X120" s="7">
        <f t="shared" si="59"/>
        <v>-1484.13</v>
      </c>
      <c r="Y120" s="2"/>
      <c r="Z120" s="6">
        <f t="shared" si="60"/>
        <v>-0.70672857142857148</v>
      </c>
    </row>
    <row r="121" spans="1:26" s="26" customFormat="1" outlineLevel="1" collapsed="1" x14ac:dyDescent="0.25">
      <c r="A121" s="27"/>
      <c r="B121" s="13" t="str">
        <f>CONCATENATE("     ","Services                                          ")</f>
        <v xml:space="preserve">     Services                                          </v>
      </c>
      <c r="C121" s="13"/>
      <c r="D121" s="1">
        <f>SUM(OSRRefD22_16x_0)</f>
        <v>241.37</v>
      </c>
      <c r="E121" s="1"/>
      <c r="F121" s="5">
        <f t="shared" ref="F121:F124" si="61">IF(D$12=0,0,D121/D$12)</f>
        <v>7.9181423448225149E-4</v>
      </c>
      <c r="G121" s="1"/>
      <c r="H121" s="1">
        <f>SUM(OSRRefH22_16x_0)</f>
        <v>232.5</v>
      </c>
      <c r="I121" s="1"/>
      <c r="J121" s="5">
        <f t="shared" ref="J121:J124" si="62">IF(H$12=0,0,H121/H$12)</f>
        <v>7.7998713700567579E-4</v>
      </c>
      <c r="K121" s="1"/>
      <c r="L121" s="1">
        <f t="shared" ref="L121:L124" si="63">+D121-H121</f>
        <v>8.8700000000000045</v>
      </c>
      <c r="M121" s="1"/>
      <c r="N121" s="5">
        <f t="shared" ref="N121:N124" si="64">IF(H121=0,0,L121/H121)</f>
        <v>3.8150537634408621E-2</v>
      </c>
      <c r="O121" s="13"/>
      <c r="P121" s="1">
        <f>SUM(OSRRefP22_16x_0)</f>
        <v>724.11</v>
      </c>
      <c r="Q121" s="1"/>
      <c r="R121" s="5">
        <f t="shared" ref="R121:R124" si="65">IF(P$12=0,0,P121/P$12)</f>
        <v>8.4239640540306347E-4</v>
      </c>
      <c r="S121" s="1"/>
      <c r="T121" s="1">
        <f>SUM(OSRRefT22_16x_0)</f>
        <v>697.5</v>
      </c>
      <c r="U121" s="1"/>
      <c r="V121" s="5">
        <f t="shared" ref="V121:V124" si="66">IF(T$12=0,0,T121/T$12)</f>
        <v>8.412673029543125E-4</v>
      </c>
      <c r="W121" s="1"/>
      <c r="X121" s="1">
        <f t="shared" ref="X121:X124" si="67">+P121-T121</f>
        <v>26.610000000000014</v>
      </c>
      <c r="Y121" s="1"/>
      <c r="Z121" s="5">
        <f t="shared" ref="Z121:Z124" si="68">IF(T121=0,0,X121/T121)</f>
        <v>3.8150537634408621E-2</v>
      </c>
    </row>
    <row r="122" spans="1:26" s="24" customFormat="1" hidden="1" outlineLevel="2" x14ac:dyDescent="0.25">
      <c r="A122" s="25"/>
      <c r="B122" s="11" t="str">
        <f>CONCATENATE("          ", "6283", " - ", "PLANT SERVICE")</f>
        <v xml:space="preserve">          6283 - PLANT SERVICE</v>
      </c>
      <c r="C122" s="11"/>
      <c r="D122" s="7">
        <v>59.55</v>
      </c>
      <c r="E122" s="2"/>
      <c r="F122" s="6">
        <f t="shared" si="61"/>
        <v>1.9535376253642983E-4</v>
      </c>
      <c r="G122" s="2"/>
      <c r="H122" s="7">
        <v>60</v>
      </c>
      <c r="I122" s="2"/>
      <c r="J122" s="6">
        <f t="shared" si="62"/>
        <v>2.0128700309823892E-4</v>
      </c>
      <c r="K122" s="2"/>
      <c r="L122" s="7">
        <f t="shared" si="63"/>
        <v>-0.45000000000000284</v>
      </c>
      <c r="M122" s="2"/>
      <c r="N122" s="6">
        <f t="shared" si="64"/>
        <v>-7.5000000000000474E-3</v>
      </c>
      <c r="O122" s="11"/>
      <c r="P122" s="7">
        <v>178.65</v>
      </c>
      <c r="Q122" s="2"/>
      <c r="R122" s="6">
        <f t="shared" si="65"/>
        <v>2.0783322675457775E-4</v>
      </c>
      <c r="S122" s="2"/>
      <c r="T122" s="7">
        <v>180</v>
      </c>
      <c r="U122" s="2"/>
      <c r="V122" s="6">
        <f t="shared" si="66"/>
        <v>2.1710123947208063E-4</v>
      </c>
      <c r="W122" s="2"/>
      <c r="X122" s="7">
        <f t="shared" si="67"/>
        <v>-1.3499999999999943</v>
      </c>
      <c r="Y122" s="2"/>
      <c r="Z122" s="6">
        <f t="shared" si="68"/>
        <v>-7.4999999999999685E-3</v>
      </c>
    </row>
    <row r="123" spans="1:26" s="24" customFormat="1" hidden="1" outlineLevel="2" x14ac:dyDescent="0.25">
      <c r="A123" s="25"/>
      <c r="B123" s="11" t="str">
        <f>CONCATENATE("          ", "6284", " - ", "TRASH REMOVAL EXPENSE")</f>
        <v xml:space="preserve">          6284 - TRASH REMOVAL EXPENSE</v>
      </c>
      <c r="C123" s="11"/>
      <c r="D123" s="7">
        <v>134.82</v>
      </c>
      <c r="E123" s="2"/>
      <c r="F123" s="6">
        <f t="shared" si="61"/>
        <v>4.4227698178272832E-4</v>
      </c>
      <c r="G123" s="2"/>
      <c r="H123" s="7">
        <v>62.5</v>
      </c>
      <c r="I123" s="2"/>
      <c r="J123" s="6">
        <f t="shared" si="62"/>
        <v>2.0967396156066552E-4</v>
      </c>
      <c r="K123" s="2"/>
      <c r="L123" s="7">
        <f t="shared" si="63"/>
        <v>72.319999999999993</v>
      </c>
      <c r="M123" s="2"/>
      <c r="N123" s="6">
        <f t="shared" si="64"/>
        <v>1.1571199999999999</v>
      </c>
      <c r="O123" s="11"/>
      <c r="P123" s="7">
        <v>404.46</v>
      </c>
      <c r="Q123" s="2"/>
      <c r="R123" s="6">
        <f t="shared" si="65"/>
        <v>4.7053023729726564E-4</v>
      </c>
      <c r="S123" s="2"/>
      <c r="T123" s="7">
        <v>187.5</v>
      </c>
      <c r="U123" s="2"/>
      <c r="V123" s="6">
        <f t="shared" si="66"/>
        <v>2.26147124450084E-4</v>
      </c>
      <c r="W123" s="2"/>
      <c r="X123" s="7">
        <f t="shared" si="67"/>
        <v>216.95999999999998</v>
      </c>
      <c r="Y123" s="2"/>
      <c r="Z123" s="6">
        <f t="shared" si="68"/>
        <v>1.1571199999999999</v>
      </c>
    </row>
    <row r="124" spans="1:26" s="24" customFormat="1" hidden="1" outlineLevel="2" x14ac:dyDescent="0.25">
      <c r="A124" s="25"/>
      <c r="B124" s="11" t="str">
        <f>CONCATENATE("          ", "6285", " - ", "JANITORIAL SERVICES")</f>
        <v xml:space="preserve">          6285 - JANITORIAL SERVICES</v>
      </c>
      <c r="C124" s="11"/>
      <c r="D124" s="7">
        <v>47</v>
      </c>
      <c r="E124" s="2"/>
      <c r="F124" s="6">
        <f t="shared" si="61"/>
        <v>1.5418349016309326E-4</v>
      </c>
      <c r="G124" s="2"/>
      <c r="H124" s="7">
        <v>110</v>
      </c>
      <c r="I124" s="2"/>
      <c r="J124" s="6">
        <f t="shared" si="62"/>
        <v>3.6902617234677135E-4</v>
      </c>
      <c r="K124" s="2"/>
      <c r="L124" s="7">
        <f t="shared" si="63"/>
        <v>-63</v>
      </c>
      <c r="M124" s="2"/>
      <c r="N124" s="6">
        <f t="shared" si="64"/>
        <v>-0.57272727272727275</v>
      </c>
      <c r="O124" s="11"/>
      <c r="P124" s="7">
        <v>141</v>
      </c>
      <c r="Q124" s="2"/>
      <c r="R124" s="6">
        <f t="shared" si="65"/>
        <v>1.6403294135122003E-4</v>
      </c>
      <c r="S124" s="2"/>
      <c r="T124" s="7">
        <v>330</v>
      </c>
      <c r="U124" s="2"/>
      <c r="V124" s="6">
        <f t="shared" si="66"/>
        <v>3.9801893903214781E-4</v>
      </c>
      <c r="W124" s="2"/>
      <c r="X124" s="7">
        <f t="shared" si="67"/>
        <v>-189</v>
      </c>
      <c r="Y124" s="2"/>
      <c r="Z124" s="6">
        <f t="shared" si="68"/>
        <v>-0.57272727272727275</v>
      </c>
    </row>
    <row r="125" spans="1:26" s="26" customFormat="1" outlineLevel="1" collapsed="1" x14ac:dyDescent="0.25">
      <c r="A125" s="27"/>
      <c r="B125" s="13" t="str">
        <f>CONCATENATE("     ","Subscriptions &amp; Dues                              ")</f>
        <v xml:space="preserve">     Subscriptions &amp; Dues                              </v>
      </c>
      <c r="C125" s="13"/>
      <c r="D125" s="1">
        <f>SUM(OSRRefD22_17x_0)</f>
        <v>296.64</v>
      </c>
      <c r="E125" s="1"/>
      <c r="F125" s="5">
        <f t="shared" ref="F125:F127" si="69">IF(D$12=0,0,D125/D$12)</f>
        <v>9.7312745791446769E-4</v>
      </c>
      <c r="G125" s="1"/>
      <c r="H125" s="1">
        <f>SUM(OSRRefH22_17x_0)</f>
        <v>215</v>
      </c>
      <c r="I125" s="1"/>
      <c r="J125" s="5">
        <f t="shared" ref="J125:J127" si="70">IF(H$12=0,0,H125/H$12)</f>
        <v>7.212784277686894E-4</v>
      </c>
      <c r="K125" s="1"/>
      <c r="L125" s="1">
        <f t="shared" ref="L125:L127" si="71">+D125-H125</f>
        <v>81.639999999999986</v>
      </c>
      <c r="M125" s="1"/>
      <c r="N125" s="5">
        <f t="shared" ref="N125:N127" si="72">IF(H125=0,0,L125/H125)</f>
        <v>0.3797209302325581</v>
      </c>
      <c r="O125" s="13"/>
      <c r="P125" s="1">
        <f>SUM(OSRRefP22_17x_0)</f>
        <v>310.06</v>
      </c>
      <c r="Q125" s="1"/>
      <c r="R125" s="5">
        <f t="shared" ref="R125:R127" si="73">IF(P$12=0,0,P125/P$12)</f>
        <v>3.6070960138552685E-4</v>
      </c>
      <c r="S125" s="1"/>
      <c r="T125" s="1">
        <f>SUM(OSRRefT22_17x_0)</f>
        <v>2915</v>
      </c>
      <c r="U125" s="1"/>
      <c r="V125" s="5">
        <f t="shared" ref="V125:V127" si="74">IF(T$12=0,0,T125/T$12)</f>
        <v>3.515833961450639E-3</v>
      </c>
      <c r="W125" s="1"/>
      <c r="X125" s="1">
        <f t="shared" ref="X125:X127" si="75">+P125-T125</f>
        <v>-2604.94</v>
      </c>
      <c r="Y125" s="1"/>
      <c r="Z125" s="5">
        <f t="shared" ref="Z125:Z127" si="76">IF(T125=0,0,X125/T125)</f>
        <v>-0.89363293310463121</v>
      </c>
    </row>
    <row r="126" spans="1:26" s="24" customFormat="1" hidden="1" outlineLevel="2" x14ac:dyDescent="0.25">
      <c r="A126" s="25"/>
      <c r="B126" s="11" t="str">
        <f>CONCATENATE("          ", "6258", " - ", "MEMBERSHIP DUES")</f>
        <v xml:space="preserve">          6258 - MEMBERSHIP DUES</v>
      </c>
      <c r="C126" s="11"/>
      <c r="D126" s="7"/>
      <c r="E126" s="2"/>
      <c r="F126" s="6">
        <f t="shared" si="69"/>
        <v>0</v>
      </c>
      <c r="G126" s="2"/>
      <c r="H126" s="7">
        <v>0</v>
      </c>
      <c r="I126" s="2"/>
      <c r="J126" s="6">
        <f t="shared" si="70"/>
        <v>0</v>
      </c>
      <c r="K126" s="2"/>
      <c r="L126" s="7">
        <f t="shared" si="71"/>
        <v>0</v>
      </c>
      <c r="M126" s="2"/>
      <c r="N126" s="6">
        <f t="shared" si="72"/>
        <v>0</v>
      </c>
      <c r="O126" s="11"/>
      <c r="P126" s="7"/>
      <c r="Q126" s="2"/>
      <c r="R126" s="6">
        <f t="shared" si="73"/>
        <v>0</v>
      </c>
      <c r="S126" s="2"/>
      <c r="T126" s="7">
        <v>1395</v>
      </c>
      <c r="U126" s="2"/>
      <c r="V126" s="6">
        <f t="shared" si="74"/>
        <v>1.682534605908625E-3</v>
      </c>
      <c r="W126" s="2"/>
      <c r="X126" s="7">
        <f t="shared" si="75"/>
        <v>-1395</v>
      </c>
      <c r="Y126" s="2"/>
      <c r="Z126" s="6">
        <f t="shared" si="76"/>
        <v>-1</v>
      </c>
    </row>
    <row r="127" spans="1:26" s="24" customFormat="1" hidden="1" outlineLevel="2" x14ac:dyDescent="0.25">
      <c r="A127" s="25"/>
      <c r="B127" s="11" t="str">
        <f>CONCATENATE("          ", "6275", " - ", "SUBSCRIPTIONS")</f>
        <v xml:space="preserve">          6275 - SUBSCRIPTIONS</v>
      </c>
      <c r="C127" s="11"/>
      <c r="D127" s="7">
        <v>296.64</v>
      </c>
      <c r="E127" s="2"/>
      <c r="F127" s="6">
        <f t="shared" si="69"/>
        <v>9.7312745791446769E-4</v>
      </c>
      <c r="G127" s="2"/>
      <c r="H127" s="7">
        <v>215</v>
      </c>
      <c r="I127" s="2"/>
      <c r="J127" s="6">
        <f t="shared" si="70"/>
        <v>7.212784277686894E-4</v>
      </c>
      <c r="K127" s="2"/>
      <c r="L127" s="7">
        <f t="shared" si="71"/>
        <v>81.639999999999986</v>
      </c>
      <c r="M127" s="2"/>
      <c r="N127" s="6">
        <f t="shared" si="72"/>
        <v>0.3797209302325581</v>
      </c>
      <c r="O127" s="11"/>
      <c r="P127" s="7">
        <v>310.06</v>
      </c>
      <c r="Q127" s="2"/>
      <c r="R127" s="6">
        <f t="shared" si="73"/>
        <v>3.6070960138552685E-4</v>
      </c>
      <c r="S127" s="2"/>
      <c r="T127" s="7">
        <v>1520</v>
      </c>
      <c r="U127" s="2"/>
      <c r="V127" s="6">
        <f t="shared" si="74"/>
        <v>1.8332993555420143E-3</v>
      </c>
      <c r="W127" s="2"/>
      <c r="X127" s="7">
        <f t="shared" si="75"/>
        <v>-1209.94</v>
      </c>
      <c r="Y127" s="2"/>
      <c r="Z127" s="6">
        <f t="shared" si="76"/>
        <v>-0.79601315789473692</v>
      </c>
    </row>
    <row r="128" spans="1:26" s="26" customFormat="1" outlineLevel="1" collapsed="1" x14ac:dyDescent="0.25">
      <c r="A128" s="27"/>
      <c r="B128" s="13" t="str">
        <f>CONCATENATE("     ","Supplies                                          ")</f>
        <v xml:space="preserve">     Supplies                                          </v>
      </c>
      <c r="C128" s="13"/>
      <c r="D128" s="1">
        <f>SUM(OSRRefD22_18x_0)</f>
        <v>866.06</v>
      </c>
      <c r="E128" s="1"/>
      <c r="F128" s="5">
        <f t="shared" ref="F128:F133" si="77">IF(D$12=0,0,D128/D$12)</f>
        <v>2.8411096487372029E-3</v>
      </c>
      <c r="G128" s="1"/>
      <c r="H128" s="1">
        <f>SUM(OSRRefH22_18x_0)</f>
        <v>1450</v>
      </c>
      <c r="I128" s="1"/>
      <c r="J128" s="5">
        <f t="shared" ref="J128:J133" si="78">IF(H$12=0,0,H128/H$12)</f>
        <v>4.8644359082074401E-3</v>
      </c>
      <c r="K128" s="1"/>
      <c r="L128" s="1">
        <f t="shared" ref="L128:L133" si="79">+D128-H128</f>
        <v>-583.94000000000005</v>
      </c>
      <c r="M128" s="1"/>
      <c r="N128" s="5">
        <f t="shared" ref="N128:N133" si="80">IF(H128=0,0,L128/H128)</f>
        <v>-0.40271724137931036</v>
      </c>
      <c r="O128" s="13"/>
      <c r="P128" s="1">
        <f>SUM(OSRRefP22_18x_0)</f>
        <v>2721.1400000000003</v>
      </c>
      <c r="Q128" s="1"/>
      <c r="R128" s="5">
        <f t="shared" ref="R128:R133" si="81">IF(P$12=0,0,P128/P$12)</f>
        <v>3.1656496314075105E-3</v>
      </c>
      <c r="S128" s="1"/>
      <c r="T128" s="1">
        <f>SUM(OSRRefT22_18x_0)</f>
        <v>4170</v>
      </c>
      <c r="U128" s="1"/>
      <c r="V128" s="5">
        <f t="shared" ref="V128:V133" si="82">IF(T$12=0,0,T128/T$12)</f>
        <v>5.0295120477698678E-3</v>
      </c>
      <c r="W128" s="1"/>
      <c r="X128" s="1">
        <f t="shared" ref="X128:X133" si="83">+P128-T128</f>
        <v>-1448.8599999999997</v>
      </c>
      <c r="Y128" s="1"/>
      <c r="Z128" s="5">
        <f t="shared" ref="Z128:Z133" si="84">IF(T128=0,0,X128/T128)</f>
        <v>-0.3474484412470023</v>
      </c>
    </row>
    <row r="129" spans="1:26" s="24" customFormat="1" hidden="1" outlineLevel="2" x14ac:dyDescent="0.25">
      <c r="A129" s="25"/>
      <c r="B129" s="11" t="str">
        <f>CONCATENATE("          ", "6234", " - ", "EXPENDABLE SUPPLIES &amp; EQUIPMEN")</f>
        <v xml:space="preserve">          6234 - EXPENDABLE SUPPLIES &amp; EQUIPMEN</v>
      </c>
      <c r="C129" s="11"/>
      <c r="D129" s="7"/>
      <c r="E129" s="2"/>
      <c r="F129" s="6">
        <f t="shared" si="77"/>
        <v>0</v>
      </c>
      <c r="G129" s="2"/>
      <c r="H129" s="7">
        <v>450</v>
      </c>
      <c r="I129" s="2"/>
      <c r="J129" s="6">
        <f t="shared" si="78"/>
        <v>1.5096525232367918E-3</v>
      </c>
      <c r="K129" s="2"/>
      <c r="L129" s="7">
        <f t="shared" si="79"/>
        <v>-450</v>
      </c>
      <c r="M129" s="2"/>
      <c r="N129" s="6">
        <f t="shared" si="80"/>
        <v>-1</v>
      </c>
      <c r="O129" s="11"/>
      <c r="P129" s="7">
        <v>-15.95</v>
      </c>
      <c r="Q129" s="2"/>
      <c r="R129" s="6">
        <f t="shared" si="81"/>
        <v>-1.855549939398553E-5</v>
      </c>
      <c r="S129" s="2"/>
      <c r="T129" s="7">
        <v>2050</v>
      </c>
      <c r="U129" s="2"/>
      <c r="V129" s="6">
        <f t="shared" si="82"/>
        <v>2.4725418939875849E-3</v>
      </c>
      <c r="W129" s="2"/>
      <c r="X129" s="7">
        <f t="shared" si="83"/>
        <v>-2065.9499999999998</v>
      </c>
      <c r="Y129" s="2"/>
      <c r="Z129" s="6">
        <f t="shared" si="84"/>
        <v>-1.0077804878048779</v>
      </c>
    </row>
    <row r="130" spans="1:26" s="24" customFormat="1" hidden="1" outlineLevel="2" x14ac:dyDescent="0.25">
      <c r="A130" s="25"/>
      <c r="B130" s="11" t="str">
        <f>CONCATENATE("          ", "6237", " - ", "JANITORIAL SUPPLIES")</f>
        <v xml:space="preserve">          6237 - JANITORIAL SUPPLIES</v>
      </c>
      <c r="C130" s="11"/>
      <c r="D130" s="7">
        <v>204.66</v>
      </c>
      <c r="E130" s="2"/>
      <c r="F130" s="6">
        <f t="shared" si="77"/>
        <v>6.7138708716550351E-4</v>
      </c>
      <c r="G130" s="2"/>
      <c r="H130" s="7">
        <v>75</v>
      </c>
      <c r="I130" s="2"/>
      <c r="J130" s="6">
        <f t="shared" si="78"/>
        <v>2.5160875387279861E-4</v>
      </c>
      <c r="K130" s="2"/>
      <c r="L130" s="7">
        <f t="shared" si="79"/>
        <v>129.66</v>
      </c>
      <c r="M130" s="2"/>
      <c r="N130" s="6">
        <f t="shared" si="80"/>
        <v>1.7287999999999999</v>
      </c>
      <c r="O130" s="11"/>
      <c r="P130" s="7">
        <v>204.66</v>
      </c>
      <c r="Q130" s="2"/>
      <c r="R130" s="6">
        <f t="shared" si="81"/>
        <v>2.3809206934000493E-4</v>
      </c>
      <c r="S130" s="2"/>
      <c r="T130" s="7">
        <v>145</v>
      </c>
      <c r="U130" s="2"/>
      <c r="V130" s="6">
        <f t="shared" si="82"/>
        <v>1.7488710957473162E-4</v>
      </c>
      <c r="W130" s="2"/>
      <c r="X130" s="7">
        <f t="shared" si="83"/>
        <v>59.66</v>
      </c>
      <c r="Y130" s="2"/>
      <c r="Z130" s="6">
        <f t="shared" si="84"/>
        <v>0.41144827586206895</v>
      </c>
    </row>
    <row r="131" spans="1:26" s="24" customFormat="1" hidden="1" outlineLevel="2" x14ac:dyDescent="0.25">
      <c r="A131" s="25"/>
      <c r="B131" s="11" t="str">
        <f>CONCATENATE("          ", "6241", " - ", "OFFICE EXPENSE")</f>
        <v xml:space="preserve">          6241 - OFFICE EXPENSE</v>
      </c>
      <c r="C131" s="11"/>
      <c r="D131" s="7">
        <v>508.76</v>
      </c>
      <c r="E131" s="2"/>
      <c r="F131" s="6">
        <f t="shared" si="77"/>
        <v>1.6689870735186239E-3</v>
      </c>
      <c r="G131" s="2"/>
      <c r="H131" s="7">
        <v>700</v>
      </c>
      <c r="I131" s="2"/>
      <c r="J131" s="6">
        <f t="shared" si="78"/>
        <v>2.3483483694794541E-3</v>
      </c>
      <c r="K131" s="2"/>
      <c r="L131" s="7">
        <f t="shared" si="79"/>
        <v>-191.24</v>
      </c>
      <c r="M131" s="2"/>
      <c r="N131" s="6">
        <f t="shared" si="80"/>
        <v>-0.2732</v>
      </c>
      <c r="O131" s="11"/>
      <c r="P131" s="7">
        <v>2352.8000000000002</v>
      </c>
      <c r="Q131" s="2"/>
      <c r="R131" s="6">
        <f t="shared" si="81"/>
        <v>2.7371397475968126E-3</v>
      </c>
      <c r="S131" s="2"/>
      <c r="T131" s="7">
        <v>1300</v>
      </c>
      <c r="U131" s="2"/>
      <c r="V131" s="6">
        <f t="shared" si="82"/>
        <v>1.567953396187249E-3</v>
      </c>
      <c r="W131" s="2"/>
      <c r="X131" s="7">
        <f t="shared" si="83"/>
        <v>1052.8000000000002</v>
      </c>
      <c r="Y131" s="2"/>
      <c r="Z131" s="6">
        <f t="shared" si="84"/>
        <v>0.80984615384615399</v>
      </c>
    </row>
    <row r="132" spans="1:26" s="24" customFormat="1" hidden="1" outlineLevel="2" x14ac:dyDescent="0.25">
      <c r="A132" s="25"/>
      <c r="B132" s="11" t="str">
        <f>CONCATENATE("          ", "6247", " - ", "STORE SUPPLIES")</f>
        <v xml:space="preserve">          6247 - STORE SUPPLIES</v>
      </c>
      <c r="C132" s="11"/>
      <c r="D132" s="7">
        <v>152.63999999999999</v>
      </c>
      <c r="E132" s="2"/>
      <c r="F132" s="6">
        <f t="shared" si="77"/>
        <v>5.0073548805307558E-4</v>
      </c>
      <c r="G132" s="2"/>
      <c r="H132" s="7">
        <v>225</v>
      </c>
      <c r="I132" s="2"/>
      <c r="J132" s="6">
        <f t="shared" si="78"/>
        <v>7.5482626161839589E-4</v>
      </c>
      <c r="K132" s="2"/>
      <c r="L132" s="7">
        <f t="shared" si="79"/>
        <v>-72.360000000000014</v>
      </c>
      <c r="M132" s="2"/>
      <c r="N132" s="6">
        <f t="shared" si="80"/>
        <v>-0.32160000000000005</v>
      </c>
      <c r="O132" s="11"/>
      <c r="P132" s="7">
        <v>179.63</v>
      </c>
      <c r="Q132" s="2"/>
      <c r="R132" s="6">
        <f t="shared" si="81"/>
        <v>2.0897331386467841E-4</v>
      </c>
      <c r="S132" s="2"/>
      <c r="T132" s="7">
        <v>675</v>
      </c>
      <c r="U132" s="2"/>
      <c r="V132" s="6">
        <f t="shared" si="82"/>
        <v>8.1412964802030237E-4</v>
      </c>
      <c r="W132" s="2"/>
      <c r="X132" s="7">
        <f t="shared" si="83"/>
        <v>-495.37</v>
      </c>
      <c r="Y132" s="2"/>
      <c r="Z132" s="6">
        <f t="shared" si="84"/>
        <v>-0.73388148148148147</v>
      </c>
    </row>
    <row r="133" spans="1:26" s="24" customFormat="1" hidden="1" outlineLevel="2" x14ac:dyDescent="0.25">
      <c r="A133" s="25"/>
      <c r="B133" s="11" t="str">
        <f>CONCATENATE("          ", "6248", " - ", "UNIFORMS")</f>
        <v xml:space="preserve">          6248 - UNIFORMS</v>
      </c>
      <c r="C133" s="11"/>
      <c r="D133" s="7"/>
      <c r="E133" s="2"/>
      <c r="F133" s="6">
        <f t="shared" si="77"/>
        <v>0</v>
      </c>
      <c r="G133" s="2"/>
      <c r="H133" s="7">
        <v>0</v>
      </c>
      <c r="I133" s="2"/>
      <c r="J133" s="6">
        <f t="shared" si="78"/>
        <v>0</v>
      </c>
      <c r="K133" s="2"/>
      <c r="L133" s="7">
        <f t="shared" si="79"/>
        <v>0</v>
      </c>
      <c r="M133" s="2"/>
      <c r="N133" s="6">
        <f t="shared" si="80"/>
        <v>0</v>
      </c>
      <c r="O133" s="11"/>
      <c r="P133" s="7"/>
      <c r="Q133" s="2"/>
      <c r="R133" s="6">
        <f t="shared" si="81"/>
        <v>0</v>
      </c>
      <c r="S133" s="2"/>
      <c r="T133" s="7">
        <v>0</v>
      </c>
      <c r="U133" s="2"/>
      <c r="V133" s="6">
        <f t="shared" si="82"/>
        <v>0</v>
      </c>
      <c r="W133" s="2"/>
      <c r="X133" s="7">
        <f t="shared" si="83"/>
        <v>0</v>
      </c>
      <c r="Y133" s="2"/>
      <c r="Z133" s="6">
        <f t="shared" si="84"/>
        <v>0</v>
      </c>
    </row>
    <row r="134" spans="1:26" s="26" customFormat="1" outlineLevel="1" collapsed="1" x14ac:dyDescent="0.25">
      <c r="A134" s="27"/>
      <c r="B134" s="13" t="str">
        <f>CONCATENATE("     ","Telephone/Data Lines                              ")</f>
        <v xml:space="preserve">     Telephone/Data Lines                              </v>
      </c>
      <c r="C134" s="13"/>
      <c r="D134" s="1">
        <f>SUM(OSRRefD22_19x_0)</f>
        <v>2664.97</v>
      </c>
      <c r="E134" s="1"/>
      <c r="F134" s="5">
        <f t="shared" ref="F134:F136" si="85">IF(D$12=0,0,D134/D$12)</f>
        <v>8.7424335272327357E-3</v>
      </c>
      <c r="G134" s="1"/>
      <c r="H134" s="1">
        <f>SUM(OSRRefH22_19x_0)</f>
        <v>2125</v>
      </c>
      <c r="I134" s="1"/>
      <c r="J134" s="5">
        <f t="shared" ref="J134:J136" si="86">IF(H$12=0,0,H134/H$12)</f>
        <v>7.1289146930626282E-3</v>
      </c>
      <c r="K134" s="1"/>
      <c r="L134" s="1">
        <f t="shared" ref="L134:L136" si="87">+D134-H134</f>
        <v>539.9699999999998</v>
      </c>
      <c r="M134" s="1"/>
      <c r="N134" s="5">
        <f t="shared" ref="N134:N136" si="88">IF(H134=0,0,L134/H134)</f>
        <v>0.25410352941176462</v>
      </c>
      <c r="O134" s="13"/>
      <c r="P134" s="1">
        <f>SUM(OSRRefP22_19x_0)</f>
        <v>4025.42</v>
      </c>
      <c r="Q134" s="1"/>
      <c r="R134" s="5">
        <f t="shared" ref="R134:R136" si="89">IF(P$12=0,0,P134/P$12)</f>
        <v>4.6829892395321149E-3</v>
      </c>
      <c r="S134" s="1"/>
      <c r="T134" s="1">
        <f>SUM(OSRRefT22_19x_0)</f>
        <v>3875</v>
      </c>
      <c r="U134" s="1"/>
      <c r="V134" s="5">
        <f t="shared" ref="V134:V136" si="90">IF(T$12=0,0,T134/T$12)</f>
        <v>4.6737072386350692E-3</v>
      </c>
      <c r="W134" s="1"/>
      <c r="X134" s="1">
        <f t="shared" ref="X134:X136" si="91">+P134-T134</f>
        <v>150.42000000000007</v>
      </c>
      <c r="Y134" s="1"/>
      <c r="Z134" s="5">
        <f t="shared" ref="Z134:Z136" si="92">IF(T134=0,0,X134/T134)</f>
        <v>3.8818064516129049E-2</v>
      </c>
    </row>
    <row r="135" spans="1:26" s="24" customFormat="1" hidden="1" outlineLevel="2" x14ac:dyDescent="0.25">
      <c r="A135" s="25"/>
      <c r="B135" s="11" t="str">
        <f>CONCATENATE("          ", "6303", " - ", "DATA PHONE LINES")</f>
        <v xml:space="preserve">          6303 - DATA PHONE LINES</v>
      </c>
      <c r="C135" s="11"/>
      <c r="D135" s="7"/>
      <c r="E135" s="2"/>
      <c r="F135" s="6">
        <f t="shared" si="85"/>
        <v>0</v>
      </c>
      <c r="G135" s="2"/>
      <c r="H135" s="7">
        <v>1500</v>
      </c>
      <c r="I135" s="2"/>
      <c r="J135" s="6">
        <f t="shared" si="86"/>
        <v>5.0321750774559729E-3</v>
      </c>
      <c r="K135" s="2"/>
      <c r="L135" s="7">
        <f t="shared" si="87"/>
        <v>-1500</v>
      </c>
      <c r="M135" s="2"/>
      <c r="N135" s="6">
        <f t="shared" si="88"/>
        <v>-1</v>
      </c>
      <c r="O135" s="11"/>
      <c r="P135" s="7"/>
      <c r="Q135" s="2"/>
      <c r="R135" s="6">
        <f t="shared" si="89"/>
        <v>0</v>
      </c>
      <c r="S135" s="2"/>
      <c r="T135" s="7">
        <v>2225</v>
      </c>
      <c r="U135" s="2"/>
      <c r="V135" s="6">
        <f t="shared" si="90"/>
        <v>2.6836125434743299E-3</v>
      </c>
      <c r="W135" s="2"/>
      <c r="X135" s="7">
        <f t="shared" si="91"/>
        <v>-2225</v>
      </c>
      <c r="Y135" s="2"/>
      <c r="Z135" s="6">
        <f t="shared" si="92"/>
        <v>-1</v>
      </c>
    </row>
    <row r="136" spans="1:26" s="24" customFormat="1" hidden="1" outlineLevel="2" x14ac:dyDescent="0.25">
      <c r="A136" s="25"/>
      <c r="B136" s="11" t="str">
        <f>CONCATENATE("          ", "6309", " - ", "TELEPHONE")</f>
        <v xml:space="preserve">          6309 - TELEPHONE</v>
      </c>
      <c r="C136" s="11"/>
      <c r="D136" s="7">
        <v>2664.97</v>
      </c>
      <c r="E136" s="2"/>
      <c r="F136" s="6">
        <f t="shared" si="85"/>
        <v>8.7424335272327357E-3</v>
      </c>
      <c r="G136" s="2"/>
      <c r="H136" s="7">
        <v>625</v>
      </c>
      <c r="I136" s="2"/>
      <c r="J136" s="6">
        <f t="shared" si="86"/>
        <v>2.0967396156066553E-3</v>
      </c>
      <c r="K136" s="2"/>
      <c r="L136" s="7">
        <f t="shared" si="87"/>
        <v>2039.9699999999998</v>
      </c>
      <c r="M136" s="2"/>
      <c r="N136" s="6">
        <f t="shared" si="88"/>
        <v>3.2639519999999997</v>
      </c>
      <c r="O136" s="11"/>
      <c r="P136" s="7">
        <v>4025.42</v>
      </c>
      <c r="Q136" s="2"/>
      <c r="R136" s="6">
        <f t="shared" si="89"/>
        <v>4.6829892395321149E-3</v>
      </c>
      <c r="S136" s="2"/>
      <c r="T136" s="7">
        <v>1650</v>
      </c>
      <c r="U136" s="2"/>
      <c r="V136" s="6">
        <f t="shared" si="90"/>
        <v>1.9900946951607393E-3</v>
      </c>
      <c r="W136" s="2"/>
      <c r="X136" s="7">
        <f t="shared" si="91"/>
        <v>2375.42</v>
      </c>
      <c r="Y136" s="2"/>
      <c r="Z136" s="6">
        <f t="shared" si="92"/>
        <v>1.439648484848485</v>
      </c>
    </row>
    <row r="137" spans="1:26" s="26" customFormat="1" outlineLevel="1" collapsed="1" x14ac:dyDescent="0.25">
      <c r="A137" s="27"/>
      <c r="B137" s="13" t="str">
        <f>CONCATENATE("     ","Training                                          ")</f>
        <v xml:space="preserve">     Training                                          </v>
      </c>
      <c r="C137" s="13"/>
      <c r="D137" s="1">
        <f>SUM(OSRRefD22_20x_0)</f>
        <v>0</v>
      </c>
      <c r="E137" s="1"/>
      <c r="F137" s="5">
        <f t="shared" ref="F137:F142" si="93">IF(D$12=0,0,D137/D$12)</f>
        <v>0</v>
      </c>
      <c r="G137" s="1"/>
      <c r="H137" s="1">
        <f>SUM(OSRRefH22_20x_0)</f>
        <v>0</v>
      </c>
      <c r="I137" s="1"/>
      <c r="J137" s="5">
        <f t="shared" ref="J137:J142" si="94">IF(H$12=0,0,H137/H$12)</f>
        <v>0</v>
      </c>
      <c r="K137" s="1"/>
      <c r="L137" s="1">
        <f t="shared" ref="L137:L142" si="95">+D137-H137</f>
        <v>0</v>
      </c>
      <c r="M137" s="1"/>
      <c r="N137" s="5">
        <f t="shared" ref="N137:N142" si="96">IF(H137=0,0,L137/H137)</f>
        <v>0</v>
      </c>
      <c r="O137" s="13"/>
      <c r="P137" s="1">
        <f>SUM(OSRRefP22_20x_0)</f>
        <v>103.5</v>
      </c>
      <c r="Q137" s="1"/>
      <c r="R137" s="5">
        <f t="shared" ref="R137:R142" si="97">IF(P$12=0,0,P137/P$12)</f>
        <v>1.204071590769594E-4</v>
      </c>
      <c r="S137" s="1"/>
      <c r="T137" s="1">
        <f>SUM(OSRRefT22_20x_0)</f>
        <v>700</v>
      </c>
      <c r="U137" s="1"/>
      <c r="V137" s="5">
        <f t="shared" ref="V137:V142" si="98">IF(T$12=0,0,T137/T$12)</f>
        <v>8.4428259794698025E-4</v>
      </c>
      <c r="W137" s="1"/>
      <c r="X137" s="1">
        <f t="shared" ref="X137:X142" si="99">+P137-T137</f>
        <v>-596.5</v>
      </c>
      <c r="Y137" s="1"/>
      <c r="Z137" s="5">
        <f t="shared" ref="Z137:Z142" si="100">IF(T137=0,0,X137/T137)</f>
        <v>-0.85214285714285709</v>
      </c>
    </row>
    <row r="138" spans="1:26" s="24" customFormat="1" hidden="1" outlineLevel="2" x14ac:dyDescent="0.25">
      <c r="A138" s="25"/>
      <c r="B138" s="11" t="str">
        <f>CONCATENATE("          ", "6376", " - ", "TRAINING")</f>
        <v xml:space="preserve">          6376 - TRAINING</v>
      </c>
      <c r="C138" s="11"/>
      <c r="D138" s="7"/>
      <c r="E138" s="2"/>
      <c r="F138" s="6">
        <f t="shared" si="93"/>
        <v>0</v>
      </c>
      <c r="G138" s="2"/>
      <c r="H138" s="7">
        <v>0</v>
      </c>
      <c r="I138" s="2"/>
      <c r="J138" s="6">
        <f t="shared" si="94"/>
        <v>0</v>
      </c>
      <c r="K138" s="2"/>
      <c r="L138" s="7">
        <f t="shared" si="95"/>
        <v>0</v>
      </c>
      <c r="M138" s="2"/>
      <c r="N138" s="6">
        <f t="shared" si="96"/>
        <v>0</v>
      </c>
      <c r="O138" s="11"/>
      <c r="P138" s="7">
        <v>103.5</v>
      </c>
      <c r="Q138" s="2"/>
      <c r="R138" s="6">
        <f t="shared" si="97"/>
        <v>1.204071590769594E-4</v>
      </c>
      <c r="S138" s="2"/>
      <c r="T138" s="7">
        <v>700</v>
      </c>
      <c r="U138" s="2"/>
      <c r="V138" s="6">
        <f t="shared" si="98"/>
        <v>8.4428259794698025E-4</v>
      </c>
      <c r="W138" s="2"/>
      <c r="X138" s="7">
        <f t="shared" si="99"/>
        <v>-596.5</v>
      </c>
      <c r="Y138" s="2"/>
      <c r="Z138" s="6">
        <f t="shared" si="100"/>
        <v>-0.85214285714285709</v>
      </c>
    </row>
    <row r="139" spans="1:26" s="26" customFormat="1" outlineLevel="1" collapsed="1" x14ac:dyDescent="0.25">
      <c r="A139" s="27"/>
      <c r="B139" s="13" t="str">
        <f>CONCATENATE("     ","Travel                                            ")</f>
        <v xml:space="preserve">     Travel                                            </v>
      </c>
      <c r="C139" s="13"/>
      <c r="D139" s="1">
        <f>SUM(OSRRefD22_21x_0)</f>
        <v>33.43</v>
      </c>
      <c r="E139" s="1"/>
      <c r="F139" s="5">
        <f t="shared" si="93"/>
        <v>1.0966710800323845E-4</v>
      </c>
      <c r="G139" s="1"/>
      <c r="H139" s="1">
        <f>SUM(OSRRefH22_21x_0)</f>
        <v>100</v>
      </c>
      <c r="I139" s="1"/>
      <c r="J139" s="5">
        <f t="shared" si="94"/>
        <v>3.3547833849706485E-4</v>
      </c>
      <c r="K139" s="1"/>
      <c r="L139" s="1">
        <f t="shared" si="95"/>
        <v>-66.569999999999993</v>
      </c>
      <c r="M139" s="1"/>
      <c r="N139" s="5">
        <f t="shared" si="96"/>
        <v>-0.66569999999999996</v>
      </c>
      <c r="O139" s="13"/>
      <c r="P139" s="1">
        <f>SUM(OSRRefP22_21x_0)</f>
        <v>102.1</v>
      </c>
      <c r="Q139" s="1"/>
      <c r="R139" s="5">
        <f t="shared" si="97"/>
        <v>1.1877846320538699E-4</v>
      </c>
      <c r="S139" s="1"/>
      <c r="T139" s="1">
        <f>SUM(OSRRefT22_21x_0)</f>
        <v>360</v>
      </c>
      <c r="U139" s="1"/>
      <c r="V139" s="5">
        <f t="shared" si="98"/>
        <v>4.3420247894416126E-4</v>
      </c>
      <c r="W139" s="1"/>
      <c r="X139" s="1">
        <f t="shared" si="99"/>
        <v>-257.89999999999998</v>
      </c>
      <c r="Y139" s="1"/>
      <c r="Z139" s="5">
        <f t="shared" si="100"/>
        <v>-0.71638888888888885</v>
      </c>
    </row>
    <row r="140" spans="1:26" s="24" customFormat="1" hidden="1" outlineLevel="2" x14ac:dyDescent="0.25">
      <c r="A140" s="25"/>
      <c r="B140" s="11" t="str">
        <f>CONCATENATE("          ", "6294", " - ", "TRAVEL OPERATIONAL")</f>
        <v xml:space="preserve">          6294 - TRAVEL OPERATIONAL</v>
      </c>
      <c r="C140" s="11"/>
      <c r="D140" s="7">
        <v>33.43</v>
      </c>
      <c r="E140" s="2"/>
      <c r="F140" s="6">
        <f t="shared" si="93"/>
        <v>1.0966710800323845E-4</v>
      </c>
      <c r="G140" s="2"/>
      <c r="H140" s="7">
        <v>100</v>
      </c>
      <c r="I140" s="2"/>
      <c r="J140" s="6">
        <f t="shared" si="94"/>
        <v>3.3547833849706485E-4</v>
      </c>
      <c r="K140" s="2"/>
      <c r="L140" s="7">
        <f t="shared" si="95"/>
        <v>-66.569999999999993</v>
      </c>
      <c r="M140" s="2"/>
      <c r="N140" s="6">
        <f t="shared" si="96"/>
        <v>-0.66569999999999996</v>
      </c>
      <c r="O140" s="11"/>
      <c r="P140" s="7">
        <v>102.1</v>
      </c>
      <c r="Q140" s="2"/>
      <c r="R140" s="6">
        <f t="shared" si="97"/>
        <v>1.1877846320538699E-4</v>
      </c>
      <c r="S140" s="2"/>
      <c r="T140" s="7">
        <v>360</v>
      </c>
      <c r="U140" s="2"/>
      <c r="V140" s="6">
        <f t="shared" si="98"/>
        <v>4.3420247894416126E-4</v>
      </c>
      <c r="W140" s="2"/>
      <c r="X140" s="7">
        <f t="shared" si="99"/>
        <v>-257.89999999999998</v>
      </c>
      <c r="Y140" s="2"/>
      <c r="Z140" s="6">
        <f t="shared" si="100"/>
        <v>-0.71638888888888885</v>
      </c>
    </row>
    <row r="141" spans="1:26" s="26" customFormat="1" outlineLevel="1" collapsed="1" x14ac:dyDescent="0.25">
      <c r="A141" s="27"/>
      <c r="B141" s="13" t="str">
        <f>CONCATENATE("     ","Utilities                                         ")</f>
        <v xml:space="preserve">     Utilities                                         </v>
      </c>
      <c r="C141" s="13"/>
      <c r="D141" s="1">
        <f>SUM(OSRRefD22_22x_0)</f>
        <v>55.02</v>
      </c>
      <c r="E141" s="1"/>
      <c r="F141" s="5">
        <f t="shared" si="93"/>
        <v>1.8049309848454023E-4</v>
      </c>
      <c r="G141" s="1"/>
      <c r="H141" s="1">
        <f>SUM(OSRRefH22_22x_0)</f>
        <v>75</v>
      </c>
      <c r="I141" s="1"/>
      <c r="J141" s="5">
        <f t="shared" si="94"/>
        <v>2.5160875387279861E-4</v>
      </c>
      <c r="K141" s="1"/>
      <c r="L141" s="1">
        <f t="shared" si="95"/>
        <v>-19.979999999999997</v>
      </c>
      <c r="M141" s="1"/>
      <c r="N141" s="5">
        <f t="shared" si="96"/>
        <v>-0.26639999999999997</v>
      </c>
      <c r="O141" s="13"/>
      <c r="P141" s="1">
        <f>SUM(OSRRefP22_22x_0)</f>
        <v>151.80000000000001</v>
      </c>
      <c r="Q141" s="1"/>
      <c r="R141" s="5">
        <f t="shared" si="97"/>
        <v>1.7659716664620713E-4</v>
      </c>
      <c r="S141" s="1"/>
      <c r="T141" s="1">
        <f>SUM(OSRRefT22_22x_0)</f>
        <v>250</v>
      </c>
      <c r="U141" s="1"/>
      <c r="V141" s="5">
        <f t="shared" si="98"/>
        <v>3.0152949926677867E-4</v>
      </c>
      <c r="W141" s="1"/>
      <c r="X141" s="1">
        <f t="shared" si="99"/>
        <v>-98.199999999999989</v>
      </c>
      <c r="Y141" s="1"/>
      <c r="Z141" s="5">
        <f t="shared" si="100"/>
        <v>-0.39279999999999993</v>
      </c>
    </row>
    <row r="142" spans="1:26" s="24" customFormat="1" hidden="1" outlineLevel="2" x14ac:dyDescent="0.25">
      <c r="A142" s="25"/>
      <c r="B142" s="11" t="str">
        <f>CONCATENATE("          ", "6274", " - ", "UTILITIES")</f>
        <v xml:space="preserve">          6274 - UTILITIES</v>
      </c>
      <c r="C142" s="11"/>
      <c r="D142" s="7">
        <v>55.02</v>
      </c>
      <c r="E142" s="2"/>
      <c r="F142" s="6">
        <f t="shared" si="93"/>
        <v>1.8049309848454023E-4</v>
      </c>
      <c r="G142" s="2"/>
      <c r="H142" s="7">
        <v>75</v>
      </c>
      <c r="I142" s="2"/>
      <c r="J142" s="6">
        <f t="shared" si="94"/>
        <v>2.5160875387279861E-4</v>
      </c>
      <c r="K142" s="2"/>
      <c r="L142" s="7">
        <f t="shared" si="95"/>
        <v>-19.979999999999997</v>
      </c>
      <c r="M142" s="2"/>
      <c r="N142" s="6">
        <f t="shared" si="96"/>
        <v>-0.26639999999999997</v>
      </c>
      <c r="O142" s="11"/>
      <c r="P142" s="7">
        <v>151.80000000000001</v>
      </c>
      <c r="Q142" s="2"/>
      <c r="R142" s="6">
        <f t="shared" si="97"/>
        <v>1.7659716664620713E-4</v>
      </c>
      <c r="S142" s="2"/>
      <c r="T142" s="7">
        <v>250</v>
      </c>
      <c r="U142" s="2"/>
      <c r="V142" s="6">
        <f t="shared" si="98"/>
        <v>3.0152949926677867E-4</v>
      </c>
      <c r="W142" s="2"/>
      <c r="X142" s="7">
        <f t="shared" si="99"/>
        <v>-98.199999999999989</v>
      </c>
      <c r="Y142" s="2"/>
      <c r="Z142" s="6">
        <f t="shared" si="100"/>
        <v>-0.39279999999999993</v>
      </c>
    </row>
    <row r="143" spans="1:26" s="63" customFormat="1" x14ac:dyDescent="0.25">
      <c r="A143" s="36"/>
      <c r="B143" s="36"/>
      <c r="C143" s="36"/>
      <c r="D143" s="1"/>
      <c r="E143" s="1"/>
      <c r="F143" s="5"/>
      <c r="G143" s="1"/>
      <c r="H143" s="1"/>
      <c r="I143" s="1"/>
      <c r="J143" s="5"/>
      <c r="K143" s="1"/>
      <c r="L143" s="1"/>
      <c r="M143" s="1"/>
      <c r="N143" s="5"/>
      <c r="O143" s="36"/>
      <c r="P143" s="1"/>
      <c r="Q143" s="1"/>
      <c r="R143" s="5"/>
      <c r="S143" s="1"/>
      <c r="T143" s="1"/>
      <c r="U143" s="1"/>
      <c r="V143" s="5"/>
      <c r="W143" s="1"/>
      <c r="X143" s="1"/>
      <c r="Y143" s="1"/>
      <c r="Z143" s="5"/>
    </row>
    <row r="144" spans="1:26" s="23" customFormat="1" collapsed="1" x14ac:dyDescent="0.25">
      <c r="A144" s="10"/>
      <c r="B144" s="28" t="s">
        <v>0</v>
      </c>
      <c r="C144" s="10"/>
      <c r="D144" s="4">
        <f>SUM(OSRRefD25x_0)</f>
        <v>0</v>
      </c>
      <c r="E144" s="4"/>
      <c r="F144" s="12">
        <f t="shared" ref="F144:F147" si="101">IF(D$12=0,0,D144/D$12)</f>
        <v>0</v>
      </c>
      <c r="G144" s="4"/>
      <c r="H144" s="4">
        <f>SUM(OSRRefH25x_0)</f>
        <v>8625</v>
      </c>
      <c r="I144" s="4"/>
      <c r="J144" s="12">
        <f t="shared" ref="J144:J147" si="102">IF(H$12=0,0,H144/H$12)</f>
        <v>2.8935006695371843E-2</v>
      </c>
      <c r="K144" s="4"/>
      <c r="L144" s="4">
        <f t="shared" ref="L144:L147" si="103">+D144-H144</f>
        <v>-8625</v>
      </c>
      <c r="M144" s="4"/>
      <c r="N144" s="12">
        <f t="shared" ref="N144:N147" si="104">IF(H144=0,0,L144/H144)</f>
        <v>-1</v>
      </c>
      <c r="O144" s="10"/>
      <c r="P144" s="4">
        <f>SUM(OSRRefP25x_0)</f>
        <v>14396.98</v>
      </c>
      <c r="Q144" s="4"/>
      <c r="R144" s="12">
        <f t="shared" ref="R144:R147" si="105">IF(P$12=0,0,P144/P$12)</f>
        <v>1.6748787063650267E-2</v>
      </c>
      <c r="S144" s="4"/>
      <c r="T144" s="4">
        <f>SUM(OSRRefT25x_0)</f>
        <v>25875</v>
      </c>
      <c r="U144" s="4"/>
      <c r="V144" s="12">
        <f t="shared" ref="V144:V147" si="106">IF(T$12=0,0,T144/T$12)</f>
        <v>3.1208303174111593E-2</v>
      </c>
      <c r="W144" s="4"/>
      <c r="X144" s="4">
        <f t="shared" ref="X144:X147" si="107">+P144-T144</f>
        <v>-11478.02</v>
      </c>
      <c r="Y144" s="4"/>
      <c r="Z144" s="12">
        <f t="shared" ref="Z144:Z147" si="108">IF(T144=0,0,X144/T144)</f>
        <v>-0.44359497584541063</v>
      </c>
    </row>
    <row r="145" spans="1:26" s="24" customFormat="1" hidden="1" outlineLevel="1" x14ac:dyDescent="0.25">
      <c r="A145" s="46"/>
      <c r="B145" s="11" t="str">
        <f>CONCATENATE("          ", "9150", " - ", "MISC. INCOME")</f>
        <v xml:space="preserve">          9150 - MISC. INCOME</v>
      </c>
      <c r="C145" s="11"/>
      <c r="D145" s="2">
        <f t="shared" ref="D145:D147" si="109">0</f>
        <v>0</v>
      </c>
      <c r="E145" s="2"/>
      <c r="F145" s="19">
        <f t="shared" si="101"/>
        <v>0</v>
      </c>
      <c r="G145" s="2"/>
      <c r="H145" s="2">
        <v>7725</v>
      </c>
      <c r="I145" s="2"/>
      <c r="J145" s="19">
        <f t="shared" si="102"/>
        <v>2.5915701648898261E-2</v>
      </c>
      <c r="K145" s="2"/>
      <c r="L145" s="2">
        <f t="shared" si="103"/>
        <v>-7725</v>
      </c>
      <c r="M145" s="2"/>
      <c r="N145" s="19">
        <f t="shared" si="104"/>
        <v>-1</v>
      </c>
      <c r="O145" s="11"/>
      <c r="P145" s="2">
        <f>--14396.98</f>
        <v>14396.98</v>
      </c>
      <c r="Q145" s="2"/>
      <c r="R145" s="19">
        <f t="shared" si="105"/>
        <v>1.6748787063650267E-2</v>
      </c>
      <c r="S145" s="2"/>
      <c r="T145" s="2">
        <v>23175</v>
      </c>
      <c r="U145" s="2"/>
      <c r="V145" s="19">
        <f t="shared" si="106"/>
        <v>2.7951784582030383E-2</v>
      </c>
      <c r="W145" s="2"/>
      <c r="X145" s="2">
        <f t="shared" si="107"/>
        <v>-8778.02</v>
      </c>
      <c r="Y145" s="2"/>
      <c r="Z145" s="19">
        <f t="shared" si="108"/>
        <v>-0.37877108953613808</v>
      </c>
    </row>
    <row r="146" spans="1:26" s="24" customFormat="1" hidden="1" outlineLevel="1" x14ac:dyDescent="0.25">
      <c r="A146" s="46"/>
      <c r="B146" s="11" t="str">
        <f>CONCATENATE("          ", "9151", " - ", "MISC. INCOME")</f>
        <v xml:space="preserve">          9151 - MISC. INCOME</v>
      </c>
      <c r="C146" s="11"/>
      <c r="D146" s="2">
        <f t="shared" si="109"/>
        <v>0</v>
      </c>
      <c r="E146" s="2"/>
      <c r="F146" s="19">
        <f t="shared" si="101"/>
        <v>0</v>
      </c>
      <c r="G146" s="2"/>
      <c r="H146" s="2">
        <v>100</v>
      </c>
      <c r="I146" s="2"/>
      <c r="J146" s="19">
        <f t="shared" si="102"/>
        <v>3.3547833849706485E-4</v>
      </c>
      <c r="K146" s="2"/>
      <c r="L146" s="2">
        <f t="shared" si="103"/>
        <v>-100</v>
      </c>
      <c r="M146" s="2"/>
      <c r="N146" s="19">
        <f t="shared" si="104"/>
        <v>-1</v>
      </c>
      <c r="O146" s="11"/>
      <c r="P146" s="2">
        <f t="shared" ref="P146:P147" si="110">0</f>
        <v>0</v>
      </c>
      <c r="Q146" s="2"/>
      <c r="R146" s="19">
        <f t="shared" si="105"/>
        <v>0</v>
      </c>
      <c r="S146" s="2"/>
      <c r="T146" s="2">
        <v>300</v>
      </c>
      <c r="U146" s="2"/>
      <c r="V146" s="19">
        <f t="shared" si="106"/>
        <v>3.6183539912013442E-4</v>
      </c>
      <c r="W146" s="2"/>
      <c r="X146" s="2">
        <f t="shared" si="107"/>
        <v>-300</v>
      </c>
      <c r="Y146" s="2"/>
      <c r="Z146" s="19">
        <f t="shared" si="108"/>
        <v>-1</v>
      </c>
    </row>
    <row r="147" spans="1:26" s="24" customFormat="1" hidden="1" outlineLevel="1" x14ac:dyDescent="0.25">
      <c r="A147" s="46"/>
      <c r="B147" s="11" t="str">
        <f>CONCATENATE("          ", "9160", " - ", "MISC. INCOME")</f>
        <v xml:space="preserve">          9160 - MISC. INCOME</v>
      </c>
      <c r="C147" s="11"/>
      <c r="D147" s="2">
        <f t="shared" si="109"/>
        <v>0</v>
      </c>
      <c r="E147" s="2"/>
      <c r="F147" s="19">
        <f t="shared" si="101"/>
        <v>0</v>
      </c>
      <c r="G147" s="2"/>
      <c r="H147" s="2">
        <v>800</v>
      </c>
      <c r="I147" s="2"/>
      <c r="J147" s="19">
        <f t="shared" si="102"/>
        <v>2.6838267079765188E-3</v>
      </c>
      <c r="K147" s="2"/>
      <c r="L147" s="2">
        <f t="shared" si="103"/>
        <v>-800</v>
      </c>
      <c r="M147" s="2"/>
      <c r="N147" s="19">
        <f t="shared" si="104"/>
        <v>-1</v>
      </c>
      <c r="O147" s="11"/>
      <c r="P147" s="2">
        <f t="shared" si="110"/>
        <v>0</v>
      </c>
      <c r="Q147" s="2"/>
      <c r="R147" s="19">
        <f t="shared" si="105"/>
        <v>0</v>
      </c>
      <c r="S147" s="2"/>
      <c r="T147" s="2">
        <v>2400</v>
      </c>
      <c r="U147" s="2"/>
      <c r="V147" s="19">
        <f t="shared" si="106"/>
        <v>2.8946831929610754E-3</v>
      </c>
      <c r="W147" s="2"/>
      <c r="X147" s="2">
        <f t="shared" si="107"/>
        <v>-2400</v>
      </c>
      <c r="Y147" s="2"/>
      <c r="Z147" s="19">
        <f t="shared" si="108"/>
        <v>-1</v>
      </c>
    </row>
    <row r="148" spans="1:26" x14ac:dyDescent="0.25">
      <c r="A148" s="9"/>
      <c r="B148" s="10"/>
      <c r="C148" s="10"/>
      <c r="D148" s="3"/>
      <c r="E148" s="3"/>
      <c r="F148" s="8"/>
      <c r="G148" s="3"/>
      <c r="H148" s="3"/>
      <c r="I148" s="3"/>
      <c r="J148" s="8"/>
      <c r="K148" s="3"/>
      <c r="L148" s="3"/>
      <c r="M148" s="3"/>
      <c r="N148" s="8"/>
      <c r="O148" s="10"/>
      <c r="P148" s="3"/>
      <c r="Q148" s="3"/>
      <c r="R148" s="8"/>
      <c r="S148" s="3"/>
      <c r="T148" s="3"/>
      <c r="U148" s="3"/>
      <c r="V148" s="8"/>
      <c r="W148" s="3"/>
      <c r="X148" s="3"/>
      <c r="Y148" s="3"/>
      <c r="Z148" s="8"/>
    </row>
    <row r="149" spans="1:26" s="23" customFormat="1" x14ac:dyDescent="0.25">
      <c r="A149" s="10"/>
      <c r="B149" s="29" t="s">
        <v>3</v>
      </c>
      <c r="C149" s="29"/>
      <c r="D149" s="22">
        <f>+D64-D66+D144</f>
        <v>93648.830000000147</v>
      </c>
      <c r="E149" s="14"/>
      <c r="F149" s="20">
        <f>IF(D$12=0,0,D149/D$12)</f>
        <v>0.30721496721468544</v>
      </c>
      <c r="G149" s="14"/>
      <c r="H149" s="22">
        <f>+H64-H66+H144</f>
        <v>92557.725420424977</v>
      </c>
      <c r="I149" s="14"/>
      <c r="J149" s="20">
        <f>IF(H$12=0,0,H149/H$12)</f>
        <v>0.31051111939111714</v>
      </c>
      <c r="K149" s="15"/>
      <c r="L149" s="22">
        <f>+D149-H149</f>
        <v>1091.1045795751706</v>
      </c>
      <c r="M149" s="15"/>
      <c r="N149" s="20">
        <f>IF(H149=0,0,L149/H149)</f>
        <v>1.178836855183126E-2</v>
      </c>
      <c r="O149" s="28"/>
      <c r="P149" s="22">
        <f>+P64-P66+P144</f>
        <v>238342.49000000011</v>
      </c>
      <c r="Q149" s="14"/>
      <c r="R149" s="20">
        <f>IF(P$12=0,0,P149/P$12)</f>
        <v>0.27727673534520403</v>
      </c>
      <c r="S149" s="14"/>
      <c r="T149" s="22">
        <f>+T64-T66+T144</f>
        <v>229368.23865888134</v>
      </c>
      <c r="U149" s="14"/>
      <c r="V149" s="20">
        <f>IF(T$12=0,0,T149/T$12)</f>
        <v>0.2766451606020619</v>
      </c>
      <c r="W149" s="15"/>
      <c r="X149" s="22">
        <f>+P149-T149</f>
        <v>8974.2513411187683</v>
      </c>
      <c r="Y149" s="15"/>
      <c r="Z149" s="20">
        <f>IF(T149=0,0,X149/T149)</f>
        <v>3.912595481218898E-2</v>
      </c>
    </row>
    <row r="150" spans="1:26" x14ac:dyDescent="0.25">
      <c r="A150" s="9"/>
      <c r="B150" s="10"/>
      <c r="C150" s="9"/>
      <c r="D150" s="3"/>
      <c r="E150" s="3"/>
      <c r="F150" s="8"/>
      <c r="G150" s="3"/>
      <c r="H150" s="3"/>
      <c r="I150" s="3"/>
      <c r="J150" s="8"/>
      <c r="K150" s="3"/>
      <c r="L150" s="3"/>
      <c r="M150" s="3"/>
      <c r="N150" s="8"/>
      <c r="P150" s="3"/>
      <c r="Q150" s="3"/>
      <c r="R150" s="8"/>
      <c r="S150" s="3"/>
      <c r="T150" s="3"/>
      <c r="U150" s="3"/>
      <c r="V150" s="8"/>
      <c r="W150" s="3"/>
      <c r="X150" s="3"/>
      <c r="Y150" s="3"/>
      <c r="Z150" s="8"/>
    </row>
    <row r="151" spans="1:26" s="23" customFormat="1" x14ac:dyDescent="0.25">
      <c r="A151" s="52"/>
      <c r="B151" s="10" t="s">
        <v>14</v>
      </c>
      <c r="C151" s="10"/>
      <c r="D151" s="4">
        <v>23163.21</v>
      </c>
      <c r="E151" s="4"/>
      <c r="F151" s="12">
        <f>IF(D$12=0,0,D151/D$12)</f>
        <v>7.5986905557035384E-2</v>
      </c>
      <c r="G151" s="4"/>
      <c r="H151" s="4">
        <v>18630</v>
      </c>
      <c r="I151" s="4"/>
      <c r="J151" s="12">
        <f>IF(H$12=0,0,H151/H$12)</f>
        <v>6.2499614462003181E-2</v>
      </c>
      <c r="K151" s="4"/>
      <c r="L151" s="4">
        <f>+D151-H151</f>
        <v>4533.2099999999991</v>
      </c>
      <c r="M151" s="4"/>
      <c r="N151" s="12">
        <f>IF(H151=0,0,L151/H151)</f>
        <v>0.24332850241545889</v>
      </c>
      <c r="O151" s="10"/>
      <c r="P151" s="4">
        <v>92330.65</v>
      </c>
      <c r="Q151" s="4"/>
      <c r="R151" s="12">
        <f>IF(P$12=0,0,P151/P$12)</f>
        <v>0.1074132489104257</v>
      </c>
      <c r="S151" s="4"/>
      <c r="T151" s="4">
        <v>104870</v>
      </c>
      <c r="U151" s="4"/>
      <c r="V151" s="12">
        <f>IF(T$12=0,0,T151/T$12)</f>
        <v>0.12648559435242832</v>
      </c>
      <c r="W151" s="4"/>
      <c r="X151" s="4">
        <f>+P151-T151</f>
        <v>-12539.350000000006</v>
      </c>
      <c r="Y151" s="4"/>
      <c r="Z151" s="12">
        <f>IF(T151=0,0,X151/T151)</f>
        <v>-0.11957042052064466</v>
      </c>
    </row>
    <row r="152" spans="1:26" x14ac:dyDescent="0.25">
      <c r="A152" s="9"/>
      <c r="B152" s="10"/>
      <c r="C152" s="10"/>
      <c r="D152" s="3"/>
      <c r="E152" s="3"/>
      <c r="F152" s="8"/>
      <c r="G152" s="3"/>
      <c r="H152" s="3"/>
      <c r="I152" s="3"/>
      <c r="J152" s="8"/>
      <c r="K152" s="3"/>
      <c r="L152" s="3"/>
      <c r="M152" s="3"/>
      <c r="N152" s="8"/>
      <c r="O152" s="10"/>
      <c r="P152" s="3"/>
      <c r="Q152" s="3"/>
      <c r="R152" s="8"/>
      <c r="S152" s="3"/>
      <c r="T152" s="3"/>
      <c r="U152" s="3"/>
      <c r="V152" s="8"/>
      <c r="W152" s="3"/>
      <c r="X152" s="3"/>
      <c r="Y152" s="3"/>
      <c r="Z152" s="8"/>
    </row>
    <row r="153" spans="1:26" s="23" customFormat="1" ht="15.75" thickBot="1" x14ac:dyDescent="0.3">
      <c r="A153" s="10"/>
      <c r="B153" s="29" t="s">
        <v>4</v>
      </c>
      <c r="C153" s="29"/>
      <c r="D153" s="35">
        <f>+D149-D151</f>
        <v>70485.620000000141</v>
      </c>
      <c r="E153" s="14"/>
      <c r="F153" s="32">
        <f>IF(D$12=0,0,D153/D$12)</f>
        <v>0.23122806165765</v>
      </c>
      <c r="G153" s="14"/>
      <c r="H153" s="35">
        <f>+H149-H151</f>
        <v>73927.725420424977</v>
      </c>
      <c r="I153" s="14"/>
      <c r="J153" s="32">
        <f>IF(H$12=0,0,H153/H$12)</f>
        <v>0.24801150492911397</v>
      </c>
      <c r="K153" s="15"/>
      <c r="L153" s="35">
        <f>D153-H153</f>
        <v>-3442.1054204248358</v>
      </c>
      <c r="M153" s="15"/>
      <c r="N153" s="32">
        <f>IF(H153=0,0,L153/H153)</f>
        <v>-4.6560412901244769E-2</v>
      </c>
      <c r="O153" s="28"/>
      <c r="P153" s="35">
        <f>+P149-P151</f>
        <v>146011.84000000011</v>
      </c>
      <c r="Q153" s="14"/>
      <c r="R153" s="32">
        <f>IF(P$12=0,0,P153/P$12)</f>
        <v>0.16986348643477833</v>
      </c>
      <c r="S153" s="14"/>
      <c r="T153" s="35">
        <f>+T149-T151</f>
        <v>124498.23865888134</v>
      </c>
      <c r="U153" s="14"/>
      <c r="V153" s="32">
        <f>IF(T$12=0,0,T153/T$12)</f>
        <v>0.15015956624963359</v>
      </c>
      <c r="W153" s="15"/>
      <c r="X153" s="35">
        <f>P153-T153</f>
        <v>21513.601341118774</v>
      </c>
      <c r="Y153" s="15"/>
      <c r="Z153" s="32">
        <f>IF(T153=0,0,X153/T153)</f>
        <v>0.17280245546336537</v>
      </c>
    </row>
    <row r="154" spans="1:26" ht="15.75" thickTop="1" x14ac:dyDescent="0.25">
      <c r="A154" s="9"/>
      <c r="B154" s="9"/>
      <c r="C154" s="9"/>
      <c r="D154" s="3"/>
      <c r="E154" s="3"/>
      <c r="F154" s="8"/>
      <c r="G154" s="3"/>
      <c r="H154" s="3"/>
      <c r="I154" s="3"/>
      <c r="J154" s="8"/>
      <c r="K154" s="3"/>
      <c r="L154" s="3"/>
      <c r="M154" s="3"/>
      <c r="N154" s="8"/>
      <c r="P154" s="3"/>
      <c r="Q154" s="3"/>
      <c r="R154" s="8"/>
      <c r="S154" s="3"/>
      <c r="T154" s="3"/>
      <c r="U154" s="3"/>
      <c r="V154" s="8"/>
      <c r="W154" s="3"/>
      <c r="X154" s="3"/>
      <c r="Y154" s="3"/>
      <c r="Z154" s="8"/>
    </row>
    <row r="155" spans="1:26" x14ac:dyDescent="0.25">
      <c r="A155" s="9"/>
      <c r="B155" s="9"/>
      <c r="C155" s="9"/>
      <c r="D155" s="3"/>
      <c r="E155" s="3"/>
      <c r="F155" s="8"/>
      <c r="G155" s="3"/>
      <c r="H155" s="3"/>
      <c r="I155" s="3"/>
      <c r="J155" s="8"/>
      <c r="K155" s="3"/>
      <c r="L155" s="3"/>
      <c r="M155" s="3"/>
      <c r="N155" s="8"/>
      <c r="P155" s="3"/>
      <c r="Q155" s="3"/>
      <c r="R155" s="8"/>
      <c r="S155" s="3"/>
      <c r="T155" s="3"/>
      <c r="U155" s="3"/>
      <c r="V155" s="8"/>
      <c r="W155" s="3"/>
      <c r="X155" s="3"/>
      <c r="Y155" s="3"/>
      <c r="Z155" s="8"/>
    </row>
    <row r="156" spans="1:26" s="23" customFormat="1" ht="15.75" thickBot="1" x14ac:dyDescent="0.3">
      <c r="A156" s="10"/>
      <c r="B156" s="29" t="s">
        <v>5</v>
      </c>
      <c r="C156" s="29"/>
      <c r="D156" s="30">
        <f>SUM(D153:D155)</f>
        <v>70485.620000000141</v>
      </c>
      <c r="E156" s="14"/>
      <c r="F156" s="31">
        <f>IF(D$12=0,0,D156/D$12)</f>
        <v>0.23122806165765</v>
      </c>
      <c r="G156" s="14"/>
      <c r="H156" s="30">
        <f>SUM(H153:H155)</f>
        <v>73927.725420424977</v>
      </c>
      <c r="I156" s="14"/>
      <c r="J156" s="31">
        <f>IF(H$12=0,0,H156/H$12)</f>
        <v>0.24801150492911397</v>
      </c>
      <c r="K156" s="15"/>
      <c r="L156" s="30">
        <f>+D156-H156</f>
        <v>-3442.1054204248358</v>
      </c>
      <c r="M156" s="15"/>
      <c r="N156" s="31">
        <f>IF(H156=0,0,L156/H156)</f>
        <v>-4.6560412901244769E-2</v>
      </c>
      <c r="O156" s="28"/>
      <c r="P156" s="30">
        <f>SUM(P153:P155)</f>
        <v>146011.84000000011</v>
      </c>
      <c r="Q156" s="14"/>
      <c r="R156" s="31">
        <f>IF(P$12=0,0,P156/P$12)</f>
        <v>0.16986348643477833</v>
      </c>
      <c r="S156" s="14"/>
      <c r="T156" s="30">
        <f>SUM(T153:T155)</f>
        <v>124498.23865888134</v>
      </c>
      <c r="U156" s="14"/>
      <c r="V156" s="31">
        <f>IF(T$12=0,0,T156/T$12)</f>
        <v>0.15015956624963359</v>
      </c>
      <c r="W156" s="15"/>
      <c r="X156" s="30">
        <f>+P156-T156</f>
        <v>21513.601341118774</v>
      </c>
      <c r="Y156" s="15"/>
      <c r="Z156" s="31">
        <f>IF(T156=0,0,X156/T156)</f>
        <v>0.17280245546336537</v>
      </c>
    </row>
    <row r="157" spans="1:26" ht="15.75" thickTop="1" x14ac:dyDescent="0.25">
      <c r="A157" s="9"/>
      <c r="C157" s="9"/>
      <c r="D157" s="18"/>
      <c r="E157" s="18"/>
      <c r="G157" s="18"/>
      <c r="H157" s="18"/>
      <c r="I157" s="18"/>
      <c r="J157" s="43"/>
      <c r="K157" s="18"/>
      <c r="L157" s="18"/>
      <c r="M157" s="18"/>
      <c r="P157" s="18"/>
      <c r="Q157" s="18"/>
      <c r="R157" s="43"/>
      <c r="S157" s="18"/>
      <c r="T157" s="18"/>
      <c r="U157" s="18"/>
      <c r="V157" s="43"/>
      <c r="W157" s="18"/>
      <c r="X157" s="18"/>
    </row>
    <row r="158" spans="1:26" x14ac:dyDescent="0.25">
      <c r="A158" s="9"/>
      <c r="B158" s="53">
        <v>43756.451873148151</v>
      </c>
      <c r="D158" s="18"/>
      <c r="E158" s="18"/>
      <c r="G158" s="18"/>
      <c r="H158" s="18"/>
      <c r="I158" s="18"/>
      <c r="J158" s="43"/>
      <c r="K158" s="18"/>
      <c r="L158" s="18"/>
      <c r="M158" s="18"/>
      <c r="P158" s="18"/>
      <c r="Q158" s="18"/>
      <c r="R158" s="43"/>
      <c r="S158" s="18"/>
      <c r="T158" s="18"/>
      <c r="U158" s="18"/>
      <c r="V158" s="43"/>
      <c r="W158" s="18"/>
      <c r="X158" s="18"/>
    </row>
    <row r="159" spans="1:26" x14ac:dyDescent="0.25">
      <c r="A159" s="9"/>
      <c r="B159" s="55" t="s">
        <v>314</v>
      </c>
      <c r="D159" s="18"/>
      <c r="E159" s="18"/>
      <c r="G159" s="18"/>
      <c r="H159" s="18"/>
      <c r="I159" s="18"/>
      <c r="J159" s="43"/>
      <c r="K159" s="18"/>
      <c r="L159" s="18"/>
      <c r="M159" s="18"/>
      <c r="P159" s="18"/>
      <c r="Q159" s="18"/>
      <c r="R159" s="43"/>
      <c r="S159" s="18"/>
      <c r="T159" s="18"/>
      <c r="U159" s="18"/>
      <c r="V159" s="43"/>
      <c r="W159" s="18"/>
      <c r="X159" s="18"/>
    </row>
    <row r="160" spans="1:26" x14ac:dyDescent="0.25">
      <c r="A160" s="9"/>
      <c r="B160" s="56"/>
      <c r="D160" s="18"/>
      <c r="E160" s="18"/>
      <c r="G160" s="18"/>
      <c r="H160" s="18"/>
      <c r="I160" s="18"/>
      <c r="J160" s="43"/>
      <c r="K160" s="18"/>
      <c r="L160" s="18"/>
      <c r="M160" s="18"/>
      <c r="P160" s="18"/>
      <c r="Q160" s="18"/>
      <c r="R160" s="43"/>
      <c r="S160" s="18"/>
      <c r="T160" s="18"/>
      <c r="U160" s="18"/>
      <c r="V160" s="43"/>
      <c r="W160" s="18"/>
      <c r="X160" s="18"/>
    </row>
    <row r="161" spans="4:24" x14ac:dyDescent="0.25">
      <c r="D161" s="18"/>
      <c r="E161" s="18"/>
      <c r="G161" s="18"/>
      <c r="H161" s="18"/>
      <c r="I161" s="18"/>
      <c r="J161" s="43"/>
      <c r="K161" s="18"/>
      <c r="L161" s="18"/>
      <c r="M161" s="18"/>
      <c r="P161" s="18"/>
      <c r="Q161" s="18"/>
      <c r="R161" s="43"/>
      <c r="S161" s="18"/>
      <c r="T161" s="18"/>
      <c r="U161" s="18"/>
      <c r="V161" s="43"/>
      <c r="W161" s="18"/>
      <c r="X161" s="18"/>
    </row>
  </sheetData>
  <pageMargins left="0.25" right="0.25" top="0.75" bottom="0.75" header="0.3" footer="0.3"/>
  <pageSetup scale="55" fitToWidth="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">
        <v>299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5"/>
      <c r="L31" s="35" t="e">
        <f ca="1">D31-H31</f>
        <v>#NAME?</v>
      </c>
      <c r="M31" s="15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5"/>
      <c r="X31" s="35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8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2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str">
        <f>CONCATENATE("Period ",RIGHT(202003,2),", ",2020)</f>
        <v>Period 03, 2020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43736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tr">
        <f>CONCATENATE("Department ","315", " - ", "Beach Shop")</f>
        <v>Department 315 - Beach Shop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272268.90000000008</v>
      </c>
      <c r="E12" s="4"/>
      <c r="F12" s="12"/>
      <c r="G12" s="4"/>
      <c r="H12" s="4">
        <f>SUM(OSRRefH13x_0)</f>
        <v>258298</v>
      </c>
      <c r="I12" s="4"/>
      <c r="J12" s="12"/>
      <c r="K12" s="4"/>
      <c r="L12" s="4">
        <f t="shared" ref="L12:L33" si="0">+D12-H12</f>
        <v>13970.900000000081</v>
      </c>
      <c r="M12" s="4"/>
      <c r="N12" s="12">
        <f t="shared" ref="N12:N33" si="1">IF(H12=0,0,L12/H12)</f>
        <v>5.4088301109571434E-2</v>
      </c>
      <c r="O12" s="10"/>
      <c r="P12" s="4">
        <f>SUM(OSRRefP13x_0)</f>
        <v>706044.76000000013</v>
      </c>
      <c r="Q12" s="4"/>
      <c r="R12" s="12"/>
      <c r="S12" s="4"/>
      <c r="T12" s="4">
        <f>SUM(OSRRefT13x_0)</f>
        <v>681124</v>
      </c>
      <c r="U12" s="4"/>
      <c r="V12" s="12"/>
      <c r="W12" s="4"/>
      <c r="X12" s="4">
        <f t="shared" ref="X12:X33" si="2">+P12-T12</f>
        <v>24920.760000000126</v>
      </c>
      <c r="Y12" s="4"/>
      <c r="Z12" s="12">
        <f t="shared" ref="Z12:Z33" si="3">IF(T12=0,0,X12/T12)</f>
        <v>3.6587699156100981E-2</v>
      </c>
    </row>
    <row r="13" spans="1:26" s="24" customFormat="1" hidden="1" outlineLevel="1" x14ac:dyDescent="0.25">
      <c r="A13" s="46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258298</v>
      </c>
      <c r="I13" s="2"/>
      <c r="J13" s="19"/>
      <c r="K13" s="2"/>
      <c r="L13" s="2">
        <f t="shared" si="0"/>
        <v>-258298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681124</v>
      </c>
      <c r="U13" s="2"/>
      <c r="V13" s="19"/>
      <c r="W13" s="2"/>
      <c r="X13" s="2">
        <f t="shared" si="2"/>
        <v>-681124</v>
      </c>
      <c r="Y13" s="2"/>
      <c r="Z13" s="19">
        <f t="shared" si="3"/>
        <v>-1</v>
      </c>
    </row>
    <row r="14" spans="1:26" s="24" customFormat="1" hidden="1" outlineLevel="1" x14ac:dyDescent="0.25">
      <c r="A14" s="46"/>
      <c r="B14" s="11" t="str">
        <f>CONCATENATE("          ", "4040", " - ", "TAXABLE SALES-LOGO CLOTHING")</f>
        <v xml:space="preserve">          4040 - TAXABLE SALES-LOGO CLOTHING</v>
      </c>
      <c r="C14" s="11"/>
      <c r="D14" s="2">
        <f>--215346.19</f>
        <v>215346.19</v>
      </c>
      <c r="E14" s="2"/>
      <c r="F14" s="19"/>
      <c r="G14" s="2"/>
      <c r="H14" s="2"/>
      <c r="I14" s="2"/>
      <c r="J14" s="19"/>
      <c r="K14" s="2"/>
      <c r="L14" s="2">
        <f t="shared" si="0"/>
        <v>215346.19</v>
      </c>
      <c r="M14" s="2"/>
      <c r="N14" s="19">
        <f t="shared" si="1"/>
        <v>0</v>
      </c>
      <c r="O14" s="11"/>
      <c r="P14" s="2">
        <f>--504543.07</f>
        <v>504543.07</v>
      </c>
      <c r="Q14" s="2"/>
      <c r="R14" s="19"/>
      <c r="S14" s="2"/>
      <c r="T14" s="2"/>
      <c r="U14" s="2"/>
      <c r="V14" s="19"/>
      <c r="W14" s="2"/>
      <c r="X14" s="2">
        <f t="shared" si="2"/>
        <v>504543.07</v>
      </c>
      <c r="Y14" s="2"/>
      <c r="Z14" s="19">
        <f t="shared" si="3"/>
        <v>0</v>
      </c>
    </row>
    <row r="15" spans="1:26" s="24" customFormat="1" hidden="1" outlineLevel="1" x14ac:dyDescent="0.25">
      <c r="A15" s="46"/>
      <c r="B15" s="11" t="str">
        <f>CONCATENATE("          ", "4041", " - ", "TAXABLE SALES-LOGO GIFTS")</f>
        <v xml:space="preserve">          4041 - TAXABLE SALES-LOGO GIFTS</v>
      </c>
      <c r="C15" s="11"/>
      <c r="D15" s="2">
        <f>--25084.64</f>
        <v>25084.639999999999</v>
      </c>
      <c r="E15" s="2"/>
      <c r="F15" s="19"/>
      <c r="G15" s="2"/>
      <c r="H15" s="2"/>
      <c r="I15" s="2"/>
      <c r="J15" s="19"/>
      <c r="K15" s="2"/>
      <c r="L15" s="2">
        <f t="shared" si="0"/>
        <v>25084.639999999999</v>
      </c>
      <c r="M15" s="2"/>
      <c r="N15" s="19">
        <f t="shared" si="1"/>
        <v>0</v>
      </c>
      <c r="O15" s="11"/>
      <c r="P15" s="2">
        <f>--88943.72</f>
        <v>88943.72</v>
      </c>
      <c r="Q15" s="2"/>
      <c r="R15" s="19"/>
      <c r="S15" s="2"/>
      <c r="T15" s="2"/>
      <c r="U15" s="2"/>
      <c r="V15" s="19"/>
      <c r="W15" s="2"/>
      <c r="X15" s="2">
        <f t="shared" si="2"/>
        <v>88943.72</v>
      </c>
      <c r="Y15" s="2"/>
      <c r="Z15" s="19">
        <f t="shared" si="3"/>
        <v>0</v>
      </c>
    </row>
    <row r="16" spans="1:26" s="24" customFormat="1" hidden="1" outlineLevel="1" x14ac:dyDescent="0.25">
      <c r="A16" s="46"/>
      <c r="B16" s="11" t="str">
        <f>CONCATENATE("          ", "4042", " - ", "TAXABLE SALES-EVERYDAY GIFTS")</f>
        <v xml:space="preserve">          4042 - TAXABLE SALES-EVERYDAY GIFTS</v>
      </c>
      <c r="C16" s="11"/>
      <c r="D16" s="2">
        <f>--25079.09</f>
        <v>25079.09</v>
      </c>
      <c r="E16" s="2"/>
      <c r="F16" s="19"/>
      <c r="G16" s="2"/>
      <c r="H16" s="2"/>
      <c r="I16" s="2"/>
      <c r="J16" s="19"/>
      <c r="K16" s="2"/>
      <c r="L16" s="2">
        <f t="shared" si="0"/>
        <v>25079.09</v>
      </c>
      <c r="M16" s="2"/>
      <c r="N16" s="19">
        <f t="shared" si="1"/>
        <v>0</v>
      </c>
      <c r="O16" s="11"/>
      <c r="P16" s="2">
        <f>--63877.88</f>
        <v>63877.88</v>
      </c>
      <c r="Q16" s="2"/>
      <c r="R16" s="19"/>
      <c r="S16" s="2"/>
      <c r="T16" s="2"/>
      <c r="U16" s="2"/>
      <c r="V16" s="19"/>
      <c r="W16" s="2"/>
      <c r="X16" s="2">
        <f t="shared" si="2"/>
        <v>63877.88</v>
      </c>
      <c r="Y16" s="2"/>
      <c r="Z16" s="19">
        <f t="shared" si="3"/>
        <v>0</v>
      </c>
    </row>
    <row r="17" spans="1:26" s="24" customFormat="1" hidden="1" outlineLevel="1" x14ac:dyDescent="0.25">
      <c r="A17" s="46"/>
      <c r="B17" s="11" t="str">
        <f>CONCATENATE("          ", "4043", " - ", "TAXABLE SALES-CARDS")</f>
        <v xml:space="preserve">          4043 - TAXABLE SALES-CARDS</v>
      </c>
      <c r="C17" s="11"/>
      <c r="D17" s="2">
        <f>--253.89</f>
        <v>253.89</v>
      </c>
      <c r="E17" s="2"/>
      <c r="F17" s="19"/>
      <c r="G17" s="2"/>
      <c r="H17" s="2"/>
      <c r="I17" s="2"/>
      <c r="J17" s="19"/>
      <c r="K17" s="2"/>
      <c r="L17" s="2">
        <f t="shared" si="0"/>
        <v>253.89</v>
      </c>
      <c r="M17" s="2"/>
      <c r="N17" s="19">
        <f t="shared" si="1"/>
        <v>0</v>
      </c>
      <c r="O17" s="11"/>
      <c r="P17" s="2">
        <f>--362.08</f>
        <v>362.08</v>
      </c>
      <c r="Q17" s="2"/>
      <c r="R17" s="19"/>
      <c r="S17" s="2"/>
      <c r="T17" s="2"/>
      <c r="U17" s="2"/>
      <c r="V17" s="19"/>
      <c r="W17" s="2"/>
      <c r="X17" s="2">
        <f t="shared" si="2"/>
        <v>362.08</v>
      </c>
      <c r="Y17" s="2"/>
      <c r="Z17" s="19">
        <f t="shared" si="3"/>
        <v>0</v>
      </c>
    </row>
    <row r="18" spans="1:26" s="24" customFormat="1" hidden="1" outlineLevel="1" x14ac:dyDescent="0.25">
      <c r="A18" s="46"/>
      <c r="B18" s="11" t="str">
        <f>CONCATENATE("          ", "4044", " - ", "TAXABLE SALES-ACCESSORIES")</f>
        <v xml:space="preserve">          4044 - TAXABLE SALES-ACCESSORIES</v>
      </c>
      <c r="C18" s="11"/>
      <c r="D18" s="2">
        <f>--6274.79</f>
        <v>6274.79</v>
      </c>
      <c r="E18" s="2"/>
      <c r="F18" s="19"/>
      <c r="G18" s="2"/>
      <c r="H18" s="2"/>
      <c r="I18" s="2"/>
      <c r="J18" s="19"/>
      <c r="K18" s="2"/>
      <c r="L18" s="2">
        <f t="shared" si="0"/>
        <v>6274.79</v>
      </c>
      <c r="M18" s="2"/>
      <c r="N18" s="19">
        <f t="shared" si="1"/>
        <v>0</v>
      </c>
      <c r="O18" s="11"/>
      <c r="P18" s="2">
        <f>--27289.91</f>
        <v>27289.91</v>
      </c>
      <c r="Q18" s="2"/>
      <c r="R18" s="19"/>
      <c r="S18" s="2"/>
      <c r="T18" s="2"/>
      <c r="U18" s="2"/>
      <c r="V18" s="19"/>
      <c r="W18" s="2"/>
      <c r="X18" s="2">
        <f t="shared" si="2"/>
        <v>27289.91</v>
      </c>
      <c r="Y18" s="2"/>
      <c r="Z18" s="19">
        <f t="shared" si="3"/>
        <v>0</v>
      </c>
    </row>
    <row r="19" spans="1:26" s="24" customFormat="1" hidden="1" outlineLevel="1" x14ac:dyDescent="0.25">
      <c r="A19" s="46"/>
      <c r="B19" s="11" t="str">
        <f>CONCATENATE("          ", "4045", " - ", "TAXABLE SALES-SPECIAL ORDERS")</f>
        <v xml:space="preserve">          4045 - TAXABLE SALES-SPECIAL ORDERS</v>
      </c>
      <c r="C19" s="11"/>
      <c r="D19" s="2">
        <f>--5803.07</f>
        <v>5803.07</v>
      </c>
      <c r="E19" s="2"/>
      <c r="F19" s="19"/>
      <c r="G19" s="2"/>
      <c r="H19" s="2"/>
      <c r="I19" s="2"/>
      <c r="J19" s="19"/>
      <c r="K19" s="2"/>
      <c r="L19" s="2">
        <f t="shared" si="0"/>
        <v>5803.07</v>
      </c>
      <c r="M19" s="2"/>
      <c r="N19" s="19">
        <f t="shared" si="1"/>
        <v>0</v>
      </c>
      <c r="O19" s="11"/>
      <c r="P19" s="2">
        <f>--30959.35</f>
        <v>30959.35</v>
      </c>
      <c r="Q19" s="2"/>
      <c r="R19" s="19"/>
      <c r="S19" s="2"/>
      <c r="T19" s="2"/>
      <c r="U19" s="2"/>
      <c r="V19" s="19"/>
      <c r="W19" s="2"/>
      <c r="X19" s="2">
        <f t="shared" si="2"/>
        <v>30959.35</v>
      </c>
      <c r="Y19" s="2"/>
      <c r="Z19" s="19">
        <f t="shared" si="3"/>
        <v>0</v>
      </c>
    </row>
    <row r="20" spans="1:26" s="24" customFormat="1" hidden="1" outlineLevel="1" x14ac:dyDescent="0.25">
      <c r="A20" s="46"/>
      <c r="B20" s="11" t="str">
        <f>CONCATENATE("          ", "4140", " - ", "NON-TAXABLE SALES-LOGO CLOTHIN")</f>
        <v xml:space="preserve">          4140 - NON-TAXABLE SALES-LOGO CLOTHIN</v>
      </c>
      <c r="C20" s="11"/>
      <c r="D20" s="2">
        <f>--3114.74</f>
        <v>3114.74</v>
      </c>
      <c r="E20" s="2"/>
      <c r="F20" s="19"/>
      <c r="G20" s="2"/>
      <c r="H20" s="2"/>
      <c r="I20" s="2"/>
      <c r="J20" s="19"/>
      <c r="K20" s="2"/>
      <c r="L20" s="2">
        <f t="shared" si="0"/>
        <v>3114.74</v>
      </c>
      <c r="M20" s="2"/>
      <c r="N20" s="19">
        <f t="shared" si="1"/>
        <v>0</v>
      </c>
      <c r="O20" s="11"/>
      <c r="P20" s="2">
        <f>--8257.7</f>
        <v>8257.7000000000007</v>
      </c>
      <c r="Q20" s="2"/>
      <c r="R20" s="19"/>
      <c r="S20" s="2"/>
      <c r="T20" s="2"/>
      <c r="U20" s="2"/>
      <c r="V20" s="19"/>
      <c r="W20" s="2"/>
      <c r="X20" s="2">
        <f t="shared" si="2"/>
        <v>8257.7000000000007</v>
      </c>
      <c r="Y20" s="2"/>
      <c r="Z20" s="19">
        <f t="shared" si="3"/>
        <v>0</v>
      </c>
    </row>
    <row r="21" spans="1:26" s="24" customFormat="1" hidden="1" outlineLevel="1" x14ac:dyDescent="0.25">
      <c r="A21" s="46"/>
      <c r="B21" s="11" t="str">
        <f>CONCATENATE("          ", "4141", " - ", "NON-TAXABLE SALES-LOGO GIFTS")</f>
        <v xml:space="preserve">          4141 - NON-TAXABLE SALES-LOGO GIFTS</v>
      </c>
      <c r="C21" s="11"/>
      <c r="D21" s="2">
        <f>--144.99</f>
        <v>144.99</v>
      </c>
      <c r="E21" s="2"/>
      <c r="F21" s="19"/>
      <c r="G21" s="2"/>
      <c r="H21" s="2"/>
      <c r="I21" s="2"/>
      <c r="J21" s="19"/>
      <c r="K21" s="2"/>
      <c r="L21" s="2">
        <f t="shared" si="0"/>
        <v>144.99</v>
      </c>
      <c r="M21" s="2"/>
      <c r="N21" s="19">
        <f t="shared" si="1"/>
        <v>0</v>
      </c>
      <c r="O21" s="11"/>
      <c r="P21" s="2">
        <f>--661.89</f>
        <v>661.89</v>
      </c>
      <c r="Q21" s="2"/>
      <c r="R21" s="19"/>
      <c r="S21" s="2"/>
      <c r="T21" s="2"/>
      <c r="U21" s="2"/>
      <c r="V21" s="19"/>
      <c r="W21" s="2"/>
      <c r="X21" s="2">
        <f t="shared" si="2"/>
        <v>661.89</v>
      </c>
      <c r="Y21" s="2"/>
      <c r="Z21" s="19">
        <f t="shared" si="3"/>
        <v>0</v>
      </c>
    </row>
    <row r="22" spans="1:26" s="24" customFormat="1" hidden="1" outlineLevel="1" x14ac:dyDescent="0.25">
      <c r="A22" s="46"/>
      <c r="B22" s="11" t="str">
        <f>CONCATENATE("          ", "4142", " - ", "NON-TAXABLE SALES-EVERYDAY GIF")</f>
        <v xml:space="preserve">          4142 - NON-TAXABLE SALES-EVERYDAY GIF</v>
      </c>
      <c r="C22" s="11"/>
      <c r="D22" s="2">
        <f>--516.4</f>
        <v>516.4</v>
      </c>
      <c r="E22" s="2"/>
      <c r="F22" s="19"/>
      <c r="G22" s="2"/>
      <c r="H22" s="2"/>
      <c r="I22" s="2"/>
      <c r="J22" s="19"/>
      <c r="K22" s="2"/>
      <c r="L22" s="2">
        <f t="shared" si="0"/>
        <v>516.4</v>
      </c>
      <c r="M22" s="2"/>
      <c r="N22" s="19">
        <f t="shared" si="1"/>
        <v>0</v>
      </c>
      <c r="O22" s="11"/>
      <c r="P22" s="2">
        <f>--821.53</f>
        <v>821.53</v>
      </c>
      <c r="Q22" s="2"/>
      <c r="R22" s="19"/>
      <c r="S22" s="2"/>
      <c r="T22" s="2"/>
      <c r="U22" s="2"/>
      <c r="V22" s="19"/>
      <c r="W22" s="2"/>
      <c r="X22" s="2">
        <f t="shared" si="2"/>
        <v>821.53</v>
      </c>
      <c r="Y22" s="2"/>
      <c r="Z22" s="19">
        <f t="shared" si="3"/>
        <v>0</v>
      </c>
    </row>
    <row r="23" spans="1:26" s="24" customFormat="1" hidden="1" outlineLevel="1" x14ac:dyDescent="0.25">
      <c r="A23" s="46"/>
      <c r="B23" s="11" t="str">
        <f>CONCATENATE("          ", "4144", " - ", "NON-TAXABLE SALES-ACCESSORIES")</f>
        <v xml:space="preserve">          4144 - NON-TAXABLE SALES-ACCESSORIES</v>
      </c>
      <c r="C23" s="11"/>
      <c r="D23" s="2">
        <f t="shared" ref="D23:D24" si="4">0</f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--139.76</f>
        <v>139.76</v>
      </c>
      <c r="Q23" s="2"/>
      <c r="R23" s="19"/>
      <c r="S23" s="2"/>
      <c r="T23" s="2"/>
      <c r="U23" s="2"/>
      <c r="V23" s="19"/>
      <c r="W23" s="2"/>
      <c r="X23" s="2">
        <f t="shared" si="2"/>
        <v>139.76</v>
      </c>
      <c r="Y23" s="2"/>
      <c r="Z23" s="19">
        <f t="shared" si="3"/>
        <v>0</v>
      </c>
    </row>
    <row r="24" spans="1:26" s="24" customFormat="1" hidden="1" outlineLevel="1" x14ac:dyDescent="0.25">
      <c r="A24" s="46"/>
      <c r="B24" s="11" t="str">
        <f>CONCATENATE("          ", "4145", " - ", "NON-TAXABLE SALES-SPECIAL ORDE")</f>
        <v xml:space="preserve">          4145 - NON-TAXABLE SALES-SPECIAL ORDE</v>
      </c>
      <c r="C24" s="11"/>
      <c r="D24" s="2">
        <f t="shared" si="4"/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--90</f>
        <v>90</v>
      </c>
      <c r="Q24" s="2"/>
      <c r="R24" s="19"/>
      <c r="S24" s="2"/>
      <c r="T24" s="2"/>
      <c r="U24" s="2"/>
      <c r="V24" s="19"/>
      <c r="W24" s="2"/>
      <c r="X24" s="2">
        <f t="shared" si="2"/>
        <v>90</v>
      </c>
      <c r="Y24" s="2"/>
      <c r="Z24" s="19">
        <f t="shared" si="3"/>
        <v>0</v>
      </c>
    </row>
    <row r="25" spans="1:26" s="24" customFormat="1" hidden="1" outlineLevel="1" x14ac:dyDescent="0.25">
      <c r="A25" s="46"/>
      <c r="B25" s="11" t="str">
        <f>CONCATENATE("          ", "4240", " - ", "SALES RETURN TAXABLE-LOGO CLOT")</f>
        <v xml:space="preserve">          4240 - SALES RETURN TAXABLE-LOGO CLOT</v>
      </c>
      <c r="C25" s="11"/>
      <c r="D25" s="2">
        <f>-8248.29</f>
        <v>-8248.2900000000009</v>
      </c>
      <c r="E25" s="2"/>
      <c r="F25" s="19"/>
      <c r="G25" s="2"/>
      <c r="H25" s="2"/>
      <c r="I25" s="2"/>
      <c r="J25" s="19"/>
      <c r="K25" s="2"/>
      <c r="L25" s="2">
        <f t="shared" si="0"/>
        <v>-8248.2900000000009</v>
      </c>
      <c r="M25" s="2"/>
      <c r="N25" s="19">
        <f t="shared" si="1"/>
        <v>0</v>
      </c>
      <c r="O25" s="11"/>
      <c r="P25" s="2">
        <f>-16436.94</f>
        <v>-16436.939999999999</v>
      </c>
      <c r="Q25" s="2"/>
      <c r="R25" s="19"/>
      <c r="S25" s="2"/>
      <c r="T25" s="2"/>
      <c r="U25" s="2"/>
      <c r="V25" s="19"/>
      <c r="W25" s="2"/>
      <c r="X25" s="2">
        <f t="shared" si="2"/>
        <v>-16436.939999999999</v>
      </c>
      <c r="Y25" s="2"/>
      <c r="Z25" s="19">
        <f t="shared" si="3"/>
        <v>0</v>
      </c>
    </row>
    <row r="26" spans="1:26" s="24" customFormat="1" hidden="1" outlineLevel="1" x14ac:dyDescent="0.25">
      <c r="A26" s="46"/>
      <c r="B26" s="11" t="str">
        <f>CONCATENATE("          ", "4241", " - ", "SALES RETURN TAXABLE-LOGO GIFT")</f>
        <v xml:space="preserve">          4241 - SALES RETURN TAXABLE-LOGO GIFT</v>
      </c>
      <c r="C26" s="11"/>
      <c r="D26" s="2">
        <f>-210.33</f>
        <v>-210.33</v>
      </c>
      <c r="E26" s="2"/>
      <c r="F26" s="19"/>
      <c r="G26" s="2"/>
      <c r="H26" s="2"/>
      <c r="I26" s="2"/>
      <c r="J26" s="19"/>
      <c r="K26" s="2"/>
      <c r="L26" s="2">
        <f t="shared" si="0"/>
        <v>-210.33</v>
      </c>
      <c r="M26" s="2"/>
      <c r="N26" s="19">
        <f t="shared" si="1"/>
        <v>0</v>
      </c>
      <c r="O26" s="11"/>
      <c r="P26" s="2">
        <f>-1100.63</f>
        <v>-1100.6300000000001</v>
      </c>
      <c r="Q26" s="2"/>
      <c r="R26" s="19"/>
      <c r="S26" s="2"/>
      <c r="T26" s="2"/>
      <c r="U26" s="2"/>
      <c r="V26" s="19"/>
      <c r="W26" s="2"/>
      <c r="X26" s="2">
        <f t="shared" si="2"/>
        <v>-1100.6300000000001</v>
      </c>
      <c r="Y26" s="2"/>
      <c r="Z26" s="19">
        <f t="shared" si="3"/>
        <v>0</v>
      </c>
    </row>
    <row r="27" spans="1:26" s="24" customFormat="1" hidden="1" outlineLevel="1" x14ac:dyDescent="0.25">
      <c r="A27" s="46"/>
      <c r="B27" s="11" t="str">
        <f>CONCATENATE("          ", "4242", " - ", "SALES RETURN TAXABLE-EVERYDAY")</f>
        <v xml:space="preserve">          4242 - SALES RETURN TAXABLE-EVERYDAY</v>
      </c>
      <c r="C27" s="11"/>
      <c r="D27" s="2">
        <f>-74.81</f>
        <v>-74.81</v>
      </c>
      <c r="E27" s="2"/>
      <c r="F27" s="19"/>
      <c r="G27" s="2"/>
      <c r="H27" s="2"/>
      <c r="I27" s="2"/>
      <c r="J27" s="19"/>
      <c r="K27" s="2"/>
      <c r="L27" s="2">
        <f t="shared" si="0"/>
        <v>-74.81</v>
      </c>
      <c r="M27" s="2"/>
      <c r="N27" s="19">
        <f t="shared" si="1"/>
        <v>0</v>
      </c>
      <c r="O27" s="11"/>
      <c r="P27" s="2">
        <f>-739.13</f>
        <v>-739.13</v>
      </c>
      <c r="Q27" s="2"/>
      <c r="R27" s="19"/>
      <c r="S27" s="2"/>
      <c r="T27" s="2"/>
      <c r="U27" s="2"/>
      <c r="V27" s="19"/>
      <c r="W27" s="2"/>
      <c r="X27" s="2">
        <f t="shared" si="2"/>
        <v>-739.13</v>
      </c>
      <c r="Y27" s="2"/>
      <c r="Z27" s="19">
        <f t="shared" si="3"/>
        <v>0</v>
      </c>
    </row>
    <row r="28" spans="1:26" s="24" customFormat="1" hidden="1" outlineLevel="1" x14ac:dyDescent="0.25">
      <c r="A28" s="46"/>
      <c r="B28" s="11" t="str">
        <f>CONCATENATE("          ", "4243", " - ", "SALES RETURN TAXABLE-CARDS")</f>
        <v xml:space="preserve">          4243 - SALES RETURN TAXABLE-CARDS</v>
      </c>
      <c r="C28" s="11"/>
      <c r="D28" s="2">
        <f>-4.5</f>
        <v>-4.5</v>
      </c>
      <c r="E28" s="2"/>
      <c r="F28" s="19"/>
      <c r="G28" s="2"/>
      <c r="H28" s="2"/>
      <c r="I28" s="2"/>
      <c r="J28" s="19"/>
      <c r="K28" s="2"/>
      <c r="L28" s="2">
        <f t="shared" si="0"/>
        <v>-4.5</v>
      </c>
      <c r="M28" s="2"/>
      <c r="N28" s="19">
        <f t="shared" si="1"/>
        <v>0</v>
      </c>
      <c r="O28" s="11"/>
      <c r="P28" s="2">
        <f>-4.5</f>
        <v>-4.5</v>
      </c>
      <c r="Q28" s="2"/>
      <c r="R28" s="19"/>
      <c r="S28" s="2"/>
      <c r="T28" s="2"/>
      <c r="U28" s="2"/>
      <c r="V28" s="19"/>
      <c r="W28" s="2"/>
      <c r="X28" s="2">
        <f t="shared" si="2"/>
        <v>-4.5</v>
      </c>
      <c r="Y28" s="2"/>
      <c r="Z28" s="19">
        <f t="shared" si="3"/>
        <v>0</v>
      </c>
    </row>
    <row r="29" spans="1:26" s="24" customFormat="1" hidden="1" outlineLevel="1" x14ac:dyDescent="0.25">
      <c r="A29" s="46"/>
      <c r="B29" s="11" t="str">
        <f>CONCATENATE("          ", "4244", " - ", "SALES RETURN TAXABLE-ACCESSORI")</f>
        <v xml:space="preserve">          4244 - SALES RETURN TAXABLE-ACCESSORI</v>
      </c>
      <c r="C29" s="11"/>
      <c r="D29" s="2">
        <f>-704.04</f>
        <v>-704.04</v>
      </c>
      <c r="E29" s="2"/>
      <c r="F29" s="19"/>
      <c r="G29" s="2"/>
      <c r="H29" s="2"/>
      <c r="I29" s="2"/>
      <c r="J29" s="19"/>
      <c r="K29" s="2"/>
      <c r="L29" s="2">
        <f t="shared" si="0"/>
        <v>-704.04</v>
      </c>
      <c r="M29" s="2"/>
      <c r="N29" s="19">
        <f t="shared" si="1"/>
        <v>0</v>
      </c>
      <c r="O29" s="11"/>
      <c r="P29" s="2">
        <f>-1231.56</f>
        <v>-1231.56</v>
      </c>
      <c r="Q29" s="2"/>
      <c r="R29" s="19"/>
      <c r="S29" s="2"/>
      <c r="T29" s="2"/>
      <c r="U29" s="2"/>
      <c r="V29" s="19"/>
      <c r="W29" s="2"/>
      <c r="X29" s="2">
        <f t="shared" si="2"/>
        <v>-1231.56</v>
      </c>
      <c r="Y29" s="2"/>
      <c r="Z29" s="19">
        <f t="shared" si="3"/>
        <v>0</v>
      </c>
    </row>
    <row r="30" spans="1:26" s="24" customFormat="1" hidden="1" outlineLevel="1" x14ac:dyDescent="0.25">
      <c r="A30" s="46"/>
      <c r="B30" s="11" t="str">
        <f>CONCATENATE("          ", "4245", " - ", "SALES RETURN TAXABLE-SPECIAL O")</f>
        <v xml:space="preserve">          4245 - SALES RETURN TAXABLE-SPECIAL O</v>
      </c>
      <c r="C30" s="11"/>
      <c r="D30" s="2">
        <f>-71.98</f>
        <v>-71.98</v>
      </c>
      <c r="E30" s="2"/>
      <c r="F30" s="19"/>
      <c r="G30" s="2"/>
      <c r="H30" s="2"/>
      <c r="I30" s="2"/>
      <c r="J30" s="19"/>
      <c r="K30" s="2"/>
      <c r="L30" s="2">
        <f t="shared" si="0"/>
        <v>-71.98</v>
      </c>
      <c r="M30" s="2"/>
      <c r="N30" s="19">
        <f t="shared" si="1"/>
        <v>0</v>
      </c>
      <c r="O30" s="11"/>
      <c r="P30" s="2">
        <f>-81.97</f>
        <v>-81.97</v>
      </c>
      <c r="Q30" s="2"/>
      <c r="R30" s="19"/>
      <c r="S30" s="2"/>
      <c r="T30" s="2"/>
      <c r="U30" s="2"/>
      <c r="V30" s="19"/>
      <c r="W30" s="2"/>
      <c r="X30" s="2">
        <f t="shared" si="2"/>
        <v>-81.97</v>
      </c>
      <c r="Y30" s="2"/>
      <c r="Z30" s="19">
        <f t="shared" si="3"/>
        <v>0</v>
      </c>
    </row>
    <row r="31" spans="1:26" s="24" customFormat="1" hidden="1" outlineLevel="1" x14ac:dyDescent="0.25">
      <c r="A31" s="46"/>
      <c r="B31" s="11" t="str">
        <f>CONCATENATE("          ", "4340", " - ", "SALES RETURN NON TAXABLE-LOGO")</f>
        <v xml:space="preserve">          4340 - SALES RETURN NON TAXABLE-LOGO</v>
      </c>
      <c r="C31" s="11"/>
      <c r="D31" s="2">
        <f>-24.95</f>
        <v>-24.95</v>
      </c>
      <c r="E31" s="2"/>
      <c r="F31" s="19"/>
      <c r="G31" s="2"/>
      <c r="H31" s="2"/>
      <c r="I31" s="2"/>
      <c r="J31" s="19"/>
      <c r="K31" s="2"/>
      <c r="L31" s="2">
        <f t="shared" si="0"/>
        <v>-24.95</v>
      </c>
      <c r="M31" s="2"/>
      <c r="N31" s="19">
        <f t="shared" si="1"/>
        <v>0</v>
      </c>
      <c r="O31" s="11"/>
      <c r="P31" s="2">
        <f>-293.45</f>
        <v>-293.45</v>
      </c>
      <c r="Q31" s="2"/>
      <c r="R31" s="19"/>
      <c r="S31" s="2"/>
      <c r="T31" s="2"/>
      <c r="U31" s="2"/>
      <c r="V31" s="19"/>
      <c r="W31" s="2"/>
      <c r="X31" s="2">
        <f t="shared" si="2"/>
        <v>-293.45</v>
      </c>
      <c r="Y31" s="2"/>
      <c r="Z31" s="19">
        <f t="shared" si="3"/>
        <v>0</v>
      </c>
    </row>
    <row r="32" spans="1:26" s="24" customFormat="1" hidden="1" outlineLevel="1" x14ac:dyDescent="0.25">
      <c r="A32" s="46"/>
      <c r="B32" s="11" t="str">
        <f>CONCATENATE("          ", "4341", " - ", "SALES RETURN NON TAXABLE-LOGO")</f>
        <v xml:space="preserve">          4341 - SALES RETURN NON TAXABLE-LOGO</v>
      </c>
      <c r="C32" s="11"/>
      <c r="D32" s="2">
        <f>0</f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-3.95</f>
        <v>-3.95</v>
      </c>
      <c r="Q32" s="2"/>
      <c r="R32" s="19"/>
      <c r="S32" s="2"/>
      <c r="T32" s="2"/>
      <c r="U32" s="2"/>
      <c r="V32" s="19"/>
      <c r="W32" s="2"/>
      <c r="X32" s="2">
        <f t="shared" si="2"/>
        <v>-3.95</v>
      </c>
      <c r="Y32" s="2"/>
      <c r="Z32" s="19">
        <f t="shared" si="3"/>
        <v>0</v>
      </c>
    </row>
    <row r="33" spans="1:26" s="24" customFormat="1" hidden="1" outlineLevel="1" x14ac:dyDescent="0.25">
      <c r="A33" s="46"/>
      <c r="B33" s="11" t="str">
        <f>CONCATENATE("          ", "4342", " - ", "SALES RETURN NON TAXABLE-EVERY")</f>
        <v xml:space="preserve">          4342 - SALES RETURN NON TAXABLE-EVERY</v>
      </c>
      <c r="C33" s="11"/>
      <c r="D33" s="2">
        <f>-10</f>
        <v>-10</v>
      </c>
      <c r="E33" s="2"/>
      <c r="F33" s="19"/>
      <c r="G33" s="2"/>
      <c r="H33" s="2"/>
      <c r="I33" s="2"/>
      <c r="J33" s="19"/>
      <c r="K33" s="2"/>
      <c r="L33" s="2">
        <f t="shared" si="0"/>
        <v>-10</v>
      </c>
      <c r="M33" s="2"/>
      <c r="N33" s="19">
        <f t="shared" si="1"/>
        <v>0</v>
      </c>
      <c r="O33" s="11"/>
      <c r="P33" s="2">
        <f>-10</f>
        <v>-10</v>
      </c>
      <c r="Q33" s="2"/>
      <c r="R33" s="19"/>
      <c r="S33" s="2"/>
      <c r="T33" s="2"/>
      <c r="U33" s="2"/>
      <c r="V33" s="19"/>
      <c r="W33" s="2"/>
      <c r="X33" s="2">
        <f t="shared" si="2"/>
        <v>-10</v>
      </c>
      <c r="Y33" s="2"/>
      <c r="Z33" s="19">
        <f t="shared" si="3"/>
        <v>0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collapsed="1" x14ac:dyDescent="0.25">
      <c r="A35" s="10"/>
      <c r="B35" s="28" t="s">
        <v>8</v>
      </c>
      <c r="C35" s="10"/>
      <c r="D35" s="4">
        <f>SUM(OSRRefD16x_0)</f>
        <v>123485.38</v>
      </c>
      <c r="E35" s="4"/>
      <c r="F35" s="12">
        <f t="shared" ref="F35:F50" si="5">IF(D$12=0,0,D35/D$12)</f>
        <v>0.45354199469715406</v>
      </c>
      <c r="G35" s="4"/>
      <c r="H35" s="4">
        <f>SUM(OSRRefH16x_0)</f>
        <v>115642</v>
      </c>
      <c r="I35" s="4"/>
      <c r="J35" s="12">
        <f t="shared" ref="J35:J50" si="6">IF(H$12=0,0,H35/H$12)</f>
        <v>0.44770768647066567</v>
      </c>
      <c r="K35" s="4"/>
      <c r="L35" s="4">
        <f t="shared" ref="L35:L50" si="7">+D35-H35</f>
        <v>7843.3800000000047</v>
      </c>
      <c r="M35" s="4"/>
      <c r="N35" s="12">
        <f t="shared" ref="N35:N50" si="8">IF(H35=0,0,L35/H35)</f>
        <v>6.7824665778869309E-2</v>
      </c>
      <c r="O35" s="10"/>
      <c r="P35" s="4">
        <f>SUM(OSRRefP16x_0)</f>
        <v>325008.66000000009</v>
      </c>
      <c r="Q35" s="4"/>
      <c r="R35" s="12">
        <f t="shared" ref="R35:R50" si="9">IF(P$12=0,0,P35/P$12)</f>
        <v>0.46032302541272319</v>
      </c>
      <c r="S35" s="4"/>
      <c r="T35" s="4">
        <f>SUM(OSRRefT16x_0)</f>
        <v>315912</v>
      </c>
      <c r="U35" s="4"/>
      <c r="V35" s="12">
        <f t="shared" ref="V35:V50" si="10">IF(T$12=0,0,T35/T$12)</f>
        <v>0.46380982023831197</v>
      </c>
      <c r="W35" s="4"/>
      <c r="X35" s="4">
        <f t="shared" ref="X35:X50" si="11">+P35-T35</f>
        <v>9096.6600000000908</v>
      </c>
      <c r="Y35" s="4"/>
      <c r="Z35" s="12">
        <f t="shared" ref="Z35:Z50" si="12">IF(T35=0,0,X35/T35)</f>
        <v>2.8794917571982357E-2</v>
      </c>
    </row>
    <row r="36" spans="1:26" s="24" customFormat="1" hidden="1" outlineLevel="1" x14ac:dyDescent="0.25">
      <c r="A36" s="46"/>
      <c r="B36" s="11" t="str">
        <f>CONCATENATE("          ", "5000", " - ", "PURCHASES @ COST")</f>
        <v xml:space="preserve">          5000 - PURCHASES @ COST</v>
      </c>
      <c r="C36" s="11"/>
      <c r="D36" s="2"/>
      <c r="E36" s="2"/>
      <c r="F36" s="19">
        <f t="shared" si="5"/>
        <v>0</v>
      </c>
      <c r="G36" s="2"/>
      <c r="H36" s="2">
        <v>115642</v>
      </c>
      <c r="I36" s="2"/>
      <c r="J36" s="19">
        <f t="shared" si="6"/>
        <v>0.44770768647066567</v>
      </c>
      <c r="K36" s="2"/>
      <c r="L36" s="2">
        <f t="shared" si="7"/>
        <v>-115642</v>
      </c>
      <c r="M36" s="2"/>
      <c r="N36" s="19">
        <f t="shared" si="8"/>
        <v>-1</v>
      </c>
      <c r="O36" s="11"/>
      <c r="P36" s="2"/>
      <c r="Q36" s="2"/>
      <c r="R36" s="19">
        <f t="shared" si="9"/>
        <v>0</v>
      </c>
      <c r="S36" s="2"/>
      <c r="T36" s="2">
        <v>315912</v>
      </c>
      <c r="U36" s="2"/>
      <c r="V36" s="19">
        <f t="shared" si="10"/>
        <v>0.46380982023831197</v>
      </c>
      <c r="W36" s="2"/>
      <c r="X36" s="2">
        <f t="shared" si="11"/>
        <v>-315912</v>
      </c>
      <c r="Y36" s="2"/>
      <c r="Z36" s="19">
        <f t="shared" si="12"/>
        <v>-1</v>
      </c>
    </row>
    <row r="37" spans="1:26" s="24" customFormat="1" hidden="1" outlineLevel="1" x14ac:dyDescent="0.25">
      <c r="A37" s="46"/>
      <c r="B37" s="11" t="str">
        <f>CONCATENATE("          ", "5040", " - ", "PURCHASES @ COST-LOGO CLOTHING")</f>
        <v xml:space="preserve">          5040 - PURCHASES @ COST-LOGO CLOTHING</v>
      </c>
      <c r="C37" s="11"/>
      <c r="D37" s="2">
        <v>123711.69000000002</v>
      </c>
      <c r="E37" s="2"/>
      <c r="F37" s="19">
        <f t="shared" si="5"/>
        <v>0.45437319502888496</v>
      </c>
      <c r="G37" s="2"/>
      <c r="H37" s="2"/>
      <c r="I37" s="2"/>
      <c r="J37" s="19">
        <f t="shared" si="6"/>
        <v>0</v>
      </c>
      <c r="K37" s="2"/>
      <c r="L37" s="2">
        <f t="shared" si="7"/>
        <v>123711.69000000002</v>
      </c>
      <c r="M37" s="2"/>
      <c r="N37" s="19">
        <f t="shared" si="8"/>
        <v>0</v>
      </c>
      <c r="O37" s="11"/>
      <c r="P37" s="2">
        <v>251429.50000000003</v>
      </c>
      <c r="Q37" s="2"/>
      <c r="R37" s="19">
        <f t="shared" si="9"/>
        <v>0.3561098590973184</v>
      </c>
      <c r="S37" s="2"/>
      <c r="T37" s="2"/>
      <c r="U37" s="2"/>
      <c r="V37" s="19">
        <f t="shared" si="10"/>
        <v>0</v>
      </c>
      <c r="W37" s="2"/>
      <c r="X37" s="2">
        <f t="shared" si="11"/>
        <v>251429.50000000003</v>
      </c>
      <c r="Y37" s="2"/>
      <c r="Z37" s="19">
        <f t="shared" si="12"/>
        <v>0</v>
      </c>
    </row>
    <row r="38" spans="1:26" s="24" customFormat="1" hidden="1" outlineLevel="1" x14ac:dyDescent="0.25">
      <c r="A38" s="46"/>
      <c r="B38" s="11" t="str">
        <f>CONCATENATE("          ", "5041", " - ", "PURCHASES @ COST-LOGO GIFTS")</f>
        <v xml:space="preserve">          5041 - PURCHASES @ COST-LOGO GIFTS</v>
      </c>
      <c r="C38" s="11"/>
      <c r="D38" s="2">
        <v>11249.19</v>
      </c>
      <c r="E38" s="2"/>
      <c r="F38" s="19">
        <f t="shared" si="5"/>
        <v>4.131647059212417E-2</v>
      </c>
      <c r="G38" s="2"/>
      <c r="H38" s="2"/>
      <c r="I38" s="2"/>
      <c r="J38" s="19">
        <f t="shared" si="6"/>
        <v>0</v>
      </c>
      <c r="K38" s="2"/>
      <c r="L38" s="2">
        <f t="shared" si="7"/>
        <v>11249.19</v>
      </c>
      <c r="M38" s="2"/>
      <c r="N38" s="19">
        <f t="shared" si="8"/>
        <v>0</v>
      </c>
      <c r="O38" s="11"/>
      <c r="P38" s="2">
        <v>31311.73</v>
      </c>
      <c r="Q38" s="2"/>
      <c r="R38" s="19">
        <f t="shared" si="9"/>
        <v>4.4348080708084277E-2</v>
      </c>
      <c r="S38" s="2"/>
      <c r="T38" s="2"/>
      <c r="U38" s="2"/>
      <c r="V38" s="19">
        <f t="shared" si="10"/>
        <v>0</v>
      </c>
      <c r="W38" s="2"/>
      <c r="X38" s="2">
        <f t="shared" si="11"/>
        <v>31311.73</v>
      </c>
      <c r="Y38" s="2"/>
      <c r="Z38" s="19">
        <f t="shared" si="12"/>
        <v>0</v>
      </c>
    </row>
    <row r="39" spans="1:26" s="24" customFormat="1" hidden="1" outlineLevel="1" x14ac:dyDescent="0.25">
      <c r="A39" s="46"/>
      <c r="B39" s="11" t="str">
        <f>CONCATENATE("          ", "5042", " - ", "PURCHASES @ COST-EVERYDAY GIFT")</f>
        <v xml:space="preserve">          5042 - PURCHASES @ COST-EVERYDAY GIFT</v>
      </c>
      <c r="C39" s="11"/>
      <c r="D39" s="2">
        <v>10312.81</v>
      </c>
      <c r="E39" s="2"/>
      <c r="F39" s="19">
        <f t="shared" si="5"/>
        <v>3.7877297039801451E-2</v>
      </c>
      <c r="G39" s="2"/>
      <c r="H39" s="2"/>
      <c r="I39" s="2"/>
      <c r="J39" s="19">
        <f t="shared" si="6"/>
        <v>0</v>
      </c>
      <c r="K39" s="2"/>
      <c r="L39" s="2">
        <f t="shared" si="7"/>
        <v>10312.81</v>
      </c>
      <c r="M39" s="2"/>
      <c r="N39" s="19">
        <f t="shared" si="8"/>
        <v>0</v>
      </c>
      <c r="O39" s="11"/>
      <c r="P39" s="2">
        <v>27656.510000000002</v>
      </c>
      <c r="Q39" s="2"/>
      <c r="R39" s="19">
        <f t="shared" si="9"/>
        <v>3.9171043490217244E-2</v>
      </c>
      <c r="S39" s="2"/>
      <c r="T39" s="2"/>
      <c r="U39" s="2"/>
      <c r="V39" s="19">
        <f t="shared" si="10"/>
        <v>0</v>
      </c>
      <c r="W39" s="2"/>
      <c r="X39" s="2">
        <f t="shared" si="11"/>
        <v>27656.510000000002</v>
      </c>
      <c r="Y39" s="2"/>
      <c r="Z39" s="19">
        <f t="shared" si="12"/>
        <v>0</v>
      </c>
    </row>
    <row r="40" spans="1:26" s="24" customFormat="1" hidden="1" outlineLevel="1" x14ac:dyDescent="0.25">
      <c r="A40" s="46"/>
      <c r="B40" s="11" t="str">
        <f>CONCATENATE("          ", "5043", " - ", "PURCHASES @ COST-CARDS")</f>
        <v xml:space="preserve">          5043 - PURCHASES @ COST-CARDS</v>
      </c>
      <c r="C40" s="11"/>
      <c r="D40" s="2">
        <v>495.49</v>
      </c>
      <c r="E40" s="2"/>
      <c r="F40" s="19">
        <f t="shared" si="5"/>
        <v>1.8198552974651157E-3</v>
      </c>
      <c r="G40" s="2"/>
      <c r="H40" s="2"/>
      <c r="I40" s="2"/>
      <c r="J40" s="19">
        <f t="shared" si="6"/>
        <v>0</v>
      </c>
      <c r="K40" s="2"/>
      <c r="L40" s="2">
        <f t="shared" si="7"/>
        <v>495.49</v>
      </c>
      <c r="M40" s="2"/>
      <c r="N40" s="19">
        <f t="shared" si="8"/>
        <v>0</v>
      </c>
      <c r="O40" s="11"/>
      <c r="P40" s="2">
        <v>1008.99</v>
      </c>
      <c r="Q40" s="2"/>
      <c r="R40" s="19">
        <f t="shared" si="9"/>
        <v>1.4290737034858808E-3</v>
      </c>
      <c r="S40" s="2"/>
      <c r="T40" s="2"/>
      <c r="U40" s="2"/>
      <c r="V40" s="19">
        <f t="shared" si="10"/>
        <v>0</v>
      </c>
      <c r="W40" s="2"/>
      <c r="X40" s="2">
        <f t="shared" si="11"/>
        <v>1008.99</v>
      </c>
      <c r="Y40" s="2"/>
      <c r="Z40" s="19">
        <f t="shared" si="12"/>
        <v>0</v>
      </c>
    </row>
    <row r="41" spans="1:26" s="24" customFormat="1" hidden="1" outlineLevel="1" x14ac:dyDescent="0.25">
      <c r="A41" s="46"/>
      <c r="B41" s="11" t="str">
        <f>CONCATENATE("          ", "5044", " - ", "PURCHASES @ COST-ACCESSORIES")</f>
        <v xml:space="preserve">          5044 - PURCHASES @ COST-ACCESSORIES</v>
      </c>
      <c r="C41" s="11"/>
      <c r="D41" s="2">
        <v>2061.4299999999998</v>
      </c>
      <c r="E41" s="2"/>
      <c r="F41" s="19">
        <f t="shared" si="5"/>
        <v>7.571301753523811E-3</v>
      </c>
      <c r="G41" s="2"/>
      <c r="H41" s="2"/>
      <c r="I41" s="2"/>
      <c r="J41" s="19">
        <f t="shared" si="6"/>
        <v>0</v>
      </c>
      <c r="K41" s="2"/>
      <c r="L41" s="2">
        <f t="shared" si="7"/>
        <v>2061.4299999999998</v>
      </c>
      <c r="M41" s="2"/>
      <c r="N41" s="19">
        <f t="shared" si="8"/>
        <v>0</v>
      </c>
      <c r="O41" s="11"/>
      <c r="P41" s="2">
        <v>18656.22</v>
      </c>
      <c r="Q41" s="2"/>
      <c r="R41" s="19">
        <f t="shared" si="9"/>
        <v>2.6423565554115857E-2</v>
      </c>
      <c r="S41" s="2"/>
      <c r="T41" s="2"/>
      <c r="U41" s="2"/>
      <c r="V41" s="19">
        <f t="shared" si="10"/>
        <v>0</v>
      </c>
      <c r="W41" s="2"/>
      <c r="X41" s="2">
        <f t="shared" si="11"/>
        <v>18656.22</v>
      </c>
      <c r="Y41" s="2"/>
      <c r="Z41" s="19">
        <f t="shared" si="12"/>
        <v>0</v>
      </c>
    </row>
    <row r="42" spans="1:26" s="24" customFormat="1" hidden="1" outlineLevel="1" x14ac:dyDescent="0.25">
      <c r="A42" s="46"/>
      <c r="B42" s="11" t="str">
        <f>CONCATENATE("          ", "5045", " - ", "PURCHASES @ COST-SPECIAL ORDER")</f>
        <v xml:space="preserve">          5045 - PURCHASES @ COST-SPECIAL ORDER</v>
      </c>
      <c r="C42" s="11"/>
      <c r="D42" s="2">
        <v>5585.6</v>
      </c>
      <c r="E42" s="2"/>
      <c r="F42" s="19">
        <f t="shared" si="5"/>
        <v>2.0515012915540476E-2</v>
      </c>
      <c r="G42" s="2"/>
      <c r="H42" s="2"/>
      <c r="I42" s="2"/>
      <c r="J42" s="19">
        <f t="shared" si="6"/>
        <v>0</v>
      </c>
      <c r="K42" s="2"/>
      <c r="L42" s="2">
        <f t="shared" si="7"/>
        <v>5585.6</v>
      </c>
      <c r="M42" s="2"/>
      <c r="N42" s="19">
        <f t="shared" si="8"/>
        <v>0</v>
      </c>
      <c r="O42" s="11"/>
      <c r="P42" s="2">
        <v>25432.230000000003</v>
      </c>
      <c r="Q42" s="2"/>
      <c r="R42" s="19">
        <f t="shared" si="9"/>
        <v>3.6020704976268074E-2</v>
      </c>
      <c r="S42" s="2"/>
      <c r="T42" s="2"/>
      <c r="U42" s="2"/>
      <c r="V42" s="19">
        <f t="shared" si="10"/>
        <v>0</v>
      </c>
      <c r="W42" s="2"/>
      <c r="X42" s="2">
        <f t="shared" si="11"/>
        <v>25432.230000000003</v>
      </c>
      <c r="Y42" s="2"/>
      <c r="Z42" s="19">
        <f t="shared" si="12"/>
        <v>0</v>
      </c>
    </row>
    <row r="43" spans="1:26" s="24" customFormat="1" hidden="1" outlineLevel="1" x14ac:dyDescent="0.25">
      <c r="A43" s="46"/>
      <c r="B43" s="11" t="str">
        <f>CONCATENATE("          ", "5200", " - ", "PURCHASES OFFSET")</f>
        <v xml:space="preserve">          5200 - PURCHASES OFFSET</v>
      </c>
      <c r="C43" s="11"/>
      <c r="D43" s="2">
        <v>-156307</v>
      </c>
      <c r="E43" s="2"/>
      <c r="F43" s="19">
        <f t="shared" si="5"/>
        <v>-0.57409054063831733</v>
      </c>
      <c r="G43" s="2"/>
      <c r="H43" s="2"/>
      <c r="I43" s="2"/>
      <c r="J43" s="19">
        <f t="shared" si="6"/>
        <v>0</v>
      </c>
      <c r="K43" s="2"/>
      <c r="L43" s="2">
        <f t="shared" si="7"/>
        <v>-156307</v>
      </c>
      <c r="M43" s="2"/>
      <c r="N43" s="19">
        <f t="shared" si="8"/>
        <v>0</v>
      </c>
      <c r="O43" s="11"/>
      <c r="P43" s="2">
        <v>-361895</v>
      </c>
      <c r="Q43" s="2"/>
      <c r="R43" s="19">
        <f t="shared" si="9"/>
        <v>-0.51256665370620402</v>
      </c>
      <c r="S43" s="2"/>
      <c r="T43" s="2"/>
      <c r="U43" s="2"/>
      <c r="V43" s="19">
        <f t="shared" si="10"/>
        <v>0</v>
      </c>
      <c r="W43" s="2"/>
      <c r="X43" s="2">
        <f t="shared" si="11"/>
        <v>-361895</v>
      </c>
      <c r="Y43" s="2"/>
      <c r="Z43" s="19">
        <f t="shared" si="12"/>
        <v>0</v>
      </c>
    </row>
    <row r="44" spans="1:26" s="24" customFormat="1" hidden="1" outlineLevel="1" x14ac:dyDescent="0.25">
      <c r="A44" s="46"/>
      <c r="B44" s="11" t="str">
        <f>CONCATENATE("          ", "5300", " - ", "COG$ OFFSET")</f>
        <v xml:space="preserve">          5300 - COG$ OFFSET</v>
      </c>
      <c r="C44" s="11"/>
      <c r="D44" s="2">
        <v>123486.00000000001</v>
      </c>
      <c r="E44" s="2"/>
      <c r="F44" s="19">
        <f t="shared" si="5"/>
        <v>0.45354427185771118</v>
      </c>
      <c r="G44" s="2"/>
      <c r="H44" s="2"/>
      <c r="I44" s="2"/>
      <c r="J44" s="19">
        <f t="shared" si="6"/>
        <v>0</v>
      </c>
      <c r="K44" s="2"/>
      <c r="L44" s="2">
        <f t="shared" si="7"/>
        <v>123486.00000000001</v>
      </c>
      <c r="M44" s="2"/>
      <c r="N44" s="19">
        <f t="shared" si="8"/>
        <v>0</v>
      </c>
      <c r="O44" s="11"/>
      <c r="P44" s="2">
        <v>325011</v>
      </c>
      <c r="Q44" s="2"/>
      <c r="R44" s="19">
        <f t="shared" si="9"/>
        <v>0.46032633965019432</v>
      </c>
      <c r="S44" s="2"/>
      <c r="T44" s="2"/>
      <c r="U44" s="2"/>
      <c r="V44" s="19">
        <f t="shared" si="10"/>
        <v>0</v>
      </c>
      <c r="W44" s="2"/>
      <c r="X44" s="2">
        <f t="shared" si="11"/>
        <v>325011</v>
      </c>
      <c r="Y44" s="2"/>
      <c r="Z44" s="19">
        <f t="shared" si="12"/>
        <v>0</v>
      </c>
    </row>
    <row r="45" spans="1:26" s="24" customFormat="1" hidden="1" outlineLevel="1" x14ac:dyDescent="0.25">
      <c r="A45" s="46"/>
      <c r="B45" s="11" t="str">
        <f>CONCATENATE("          ", "5540", " - ", "FREIGHT-IN-LOGO CLOTHING")</f>
        <v xml:space="preserve">          5540 - FREIGHT-IN-LOGO CLOTHING</v>
      </c>
      <c r="C45" s="11"/>
      <c r="D45" s="2">
        <v>2672.92</v>
      </c>
      <c r="E45" s="2"/>
      <c r="F45" s="19">
        <f t="shared" si="5"/>
        <v>9.8172064455396817E-3</v>
      </c>
      <c r="G45" s="2"/>
      <c r="H45" s="2"/>
      <c r="I45" s="2"/>
      <c r="J45" s="19">
        <f t="shared" si="6"/>
        <v>0</v>
      </c>
      <c r="K45" s="2"/>
      <c r="L45" s="2">
        <f t="shared" si="7"/>
        <v>2672.92</v>
      </c>
      <c r="M45" s="2"/>
      <c r="N45" s="19">
        <f t="shared" si="8"/>
        <v>0</v>
      </c>
      <c r="O45" s="11"/>
      <c r="P45" s="2">
        <v>5004.8599999999997</v>
      </c>
      <c r="Q45" s="2"/>
      <c r="R45" s="19">
        <f t="shared" si="9"/>
        <v>7.0885874147695663E-3</v>
      </c>
      <c r="S45" s="2"/>
      <c r="T45" s="2"/>
      <c r="U45" s="2"/>
      <c r="V45" s="19">
        <f t="shared" si="10"/>
        <v>0</v>
      </c>
      <c r="W45" s="2"/>
      <c r="X45" s="2">
        <f t="shared" si="11"/>
        <v>5004.8599999999997</v>
      </c>
      <c r="Y45" s="2"/>
      <c r="Z45" s="19">
        <f t="shared" si="12"/>
        <v>0</v>
      </c>
    </row>
    <row r="46" spans="1:26" s="24" customFormat="1" hidden="1" outlineLevel="1" x14ac:dyDescent="0.25">
      <c r="A46" s="46"/>
      <c r="B46" s="11" t="str">
        <f>CONCATENATE("          ", "5541", " - ", "FREIGHT-IN-LOGO GIFTS")</f>
        <v xml:space="preserve">          5541 - FREIGHT-IN-LOGO GIFTS</v>
      </c>
      <c r="C46" s="11"/>
      <c r="D46" s="2">
        <v>97.6</v>
      </c>
      <c r="E46" s="2"/>
      <c r="F46" s="19">
        <f t="shared" si="5"/>
        <v>3.5846914575994528E-4</v>
      </c>
      <c r="G46" s="2"/>
      <c r="H46" s="2"/>
      <c r="I46" s="2"/>
      <c r="J46" s="19">
        <f t="shared" si="6"/>
        <v>0</v>
      </c>
      <c r="K46" s="2"/>
      <c r="L46" s="2">
        <f t="shared" si="7"/>
        <v>97.6</v>
      </c>
      <c r="M46" s="2"/>
      <c r="N46" s="19">
        <f t="shared" si="8"/>
        <v>0</v>
      </c>
      <c r="O46" s="11"/>
      <c r="P46" s="2">
        <v>818.01</v>
      </c>
      <c r="Q46" s="2"/>
      <c r="R46" s="19">
        <f t="shared" si="9"/>
        <v>1.1585809375598225E-3</v>
      </c>
      <c r="S46" s="2"/>
      <c r="T46" s="2"/>
      <c r="U46" s="2"/>
      <c r="V46" s="19">
        <f t="shared" si="10"/>
        <v>0</v>
      </c>
      <c r="W46" s="2"/>
      <c r="X46" s="2">
        <f t="shared" si="11"/>
        <v>818.01</v>
      </c>
      <c r="Y46" s="2"/>
      <c r="Z46" s="19">
        <f t="shared" si="12"/>
        <v>0</v>
      </c>
    </row>
    <row r="47" spans="1:26" s="24" customFormat="1" hidden="1" outlineLevel="1" x14ac:dyDescent="0.25">
      <c r="A47" s="46"/>
      <c r="B47" s="11" t="str">
        <f>CONCATENATE("          ", "5542", " - ", "FREIGHT-IN-EVERYDAY GIFTS")</f>
        <v xml:space="preserve">          5542 - FREIGHT-IN-EVERYDAY GIFTS</v>
      </c>
      <c r="C47" s="11"/>
      <c r="D47" s="2">
        <v>58.91</v>
      </c>
      <c r="E47" s="2"/>
      <c r="F47" s="19">
        <f t="shared" si="5"/>
        <v>2.1636698131883582E-4</v>
      </c>
      <c r="G47" s="2"/>
      <c r="H47" s="2"/>
      <c r="I47" s="2"/>
      <c r="J47" s="19">
        <f t="shared" si="6"/>
        <v>0</v>
      </c>
      <c r="K47" s="2"/>
      <c r="L47" s="2">
        <f t="shared" si="7"/>
        <v>58.91</v>
      </c>
      <c r="M47" s="2"/>
      <c r="N47" s="19">
        <f t="shared" si="8"/>
        <v>0</v>
      </c>
      <c r="O47" s="11"/>
      <c r="P47" s="2">
        <v>171.68</v>
      </c>
      <c r="Q47" s="2"/>
      <c r="R47" s="19">
        <f t="shared" si="9"/>
        <v>2.4315738849191372E-4</v>
      </c>
      <c r="S47" s="2"/>
      <c r="T47" s="2"/>
      <c r="U47" s="2"/>
      <c r="V47" s="19">
        <f t="shared" si="10"/>
        <v>0</v>
      </c>
      <c r="W47" s="2"/>
      <c r="X47" s="2">
        <f t="shared" si="11"/>
        <v>171.68</v>
      </c>
      <c r="Y47" s="2"/>
      <c r="Z47" s="19">
        <f t="shared" si="12"/>
        <v>0</v>
      </c>
    </row>
    <row r="48" spans="1:26" s="24" customFormat="1" hidden="1" outlineLevel="1" x14ac:dyDescent="0.25">
      <c r="A48" s="46"/>
      <c r="B48" s="11" t="str">
        <f>CONCATENATE("          ", "5543", " - ", "FREIGHT-IN-CARDS")</f>
        <v xml:space="preserve">          5543 - FREIGHT-IN-CARDS</v>
      </c>
      <c r="C48" s="11"/>
      <c r="D48" s="2"/>
      <c r="E48" s="2"/>
      <c r="F48" s="19">
        <f t="shared" si="5"/>
        <v>0</v>
      </c>
      <c r="G48" s="2"/>
      <c r="H48" s="2"/>
      <c r="I48" s="2"/>
      <c r="J48" s="19">
        <f t="shared" si="6"/>
        <v>0</v>
      </c>
      <c r="K48" s="2"/>
      <c r="L48" s="2">
        <f t="shared" si="7"/>
        <v>0</v>
      </c>
      <c r="M48" s="2"/>
      <c r="N48" s="19">
        <f t="shared" si="8"/>
        <v>0</v>
      </c>
      <c r="O48" s="11"/>
      <c r="P48" s="2">
        <v>4.58</v>
      </c>
      <c r="Q48" s="2"/>
      <c r="R48" s="19">
        <f t="shared" si="9"/>
        <v>6.4868408626104656E-6</v>
      </c>
      <c r="S48" s="2"/>
      <c r="T48" s="2"/>
      <c r="U48" s="2"/>
      <c r="V48" s="19">
        <f t="shared" si="10"/>
        <v>0</v>
      </c>
      <c r="W48" s="2"/>
      <c r="X48" s="2">
        <f t="shared" si="11"/>
        <v>4.58</v>
      </c>
      <c r="Y48" s="2"/>
      <c r="Z48" s="19">
        <f t="shared" si="12"/>
        <v>0</v>
      </c>
    </row>
    <row r="49" spans="1:26" s="24" customFormat="1" hidden="1" outlineLevel="1" x14ac:dyDescent="0.25">
      <c r="A49" s="46"/>
      <c r="B49" s="11" t="str">
        <f>CONCATENATE("          ", "5544", " - ", "FREIGHT-IN-ACCESSORIES")</f>
        <v xml:space="preserve">          5544 - FREIGHT-IN-ACCESSORIES</v>
      </c>
      <c r="C49" s="11"/>
      <c r="D49" s="2">
        <v>34.18</v>
      </c>
      <c r="E49" s="2"/>
      <c r="F49" s="19">
        <f t="shared" si="5"/>
        <v>1.2553765780814479E-4</v>
      </c>
      <c r="G49" s="2"/>
      <c r="H49" s="2"/>
      <c r="I49" s="2"/>
      <c r="J49" s="19">
        <f t="shared" si="6"/>
        <v>0</v>
      </c>
      <c r="K49" s="2"/>
      <c r="L49" s="2">
        <f t="shared" si="7"/>
        <v>34.18</v>
      </c>
      <c r="M49" s="2"/>
      <c r="N49" s="19">
        <f t="shared" si="8"/>
        <v>0</v>
      </c>
      <c r="O49" s="11"/>
      <c r="P49" s="2">
        <v>135.84</v>
      </c>
      <c r="Q49" s="2"/>
      <c r="R49" s="19">
        <f t="shared" si="9"/>
        <v>1.9239573423078727E-4</v>
      </c>
      <c r="S49" s="2"/>
      <c r="T49" s="2"/>
      <c r="U49" s="2"/>
      <c r="V49" s="19">
        <f t="shared" si="10"/>
        <v>0</v>
      </c>
      <c r="W49" s="2"/>
      <c r="X49" s="2">
        <f t="shared" si="11"/>
        <v>135.84</v>
      </c>
      <c r="Y49" s="2"/>
      <c r="Z49" s="19">
        <f t="shared" si="12"/>
        <v>0</v>
      </c>
    </row>
    <row r="50" spans="1:26" s="24" customFormat="1" hidden="1" outlineLevel="1" x14ac:dyDescent="0.25">
      <c r="A50" s="46"/>
      <c r="B50" s="11" t="str">
        <f>CONCATENATE("          ", "5545", " - ", "FREIGHT-IN-SPECIAL ORDERS")</f>
        <v xml:space="preserve">          5545 - FREIGHT-IN-SPECIAL ORDERS</v>
      </c>
      <c r="C50" s="11"/>
      <c r="D50" s="2">
        <v>26.56</v>
      </c>
      <c r="E50" s="2"/>
      <c r="F50" s="19">
        <f t="shared" si="5"/>
        <v>9.7550619993690027E-5</v>
      </c>
      <c r="G50" s="2"/>
      <c r="H50" s="2"/>
      <c r="I50" s="2"/>
      <c r="J50" s="19">
        <f t="shared" si="6"/>
        <v>0</v>
      </c>
      <c r="K50" s="2"/>
      <c r="L50" s="2">
        <f t="shared" si="7"/>
        <v>26.56</v>
      </c>
      <c r="M50" s="2"/>
      <c r="N50" s="19">
        <f t="shared" si="8"/>
        <v>0</v>
      </c>
      <c r="O50" s="11"/>
      <c r="P50" s="2">
        <v>262.51</v>
      </c>
      <c r="Q50" s="2"/>
      <c r="R50" s="19">
        <f t="shared" si="9"/>
        <v>3.7180362332835663E-4</v>
      </c>
      <c r="S50" s="2"/>
      <c r="T50" s="2"/>
      <c r="U50" s="2"/>
      <c r="V50" s="19">
        <f t="shared" si="10"/>
        <v>0</v>
      </c>
      <c r="W50" s="2"/>
      <c r="X50" s="2">
        <f t="shared" si="11"/>
        <v>262.51</v>
      </c>
      <c r="Y50" s="2"/>
      <c r="Z50" s="19">
        <f t="shared" si="12"/>
        <v>0</v>
      </c>
    </row>
    <row r="51" spans="1:26" x14ac:dyDescent="0.25">
      <c r="A51" s="9"/>
      <c r="B51" s="10"/>
      <c r="C51" s="10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O51" s="10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x14ac:dyDescent="0.25">
      <c r="A52" s="10"/>
      <c r="B52" s="29" t="s">
        <v>6</v>
      </c>
      <c r="C52" s="29"/>
      <c r="D52" s="22">
        <f>D12-D35</f>
        <v>148783.52000000008</v>
      </c>
      <c r="E52" s="14"/>
      <c r="F52" s="20">
        <f>IF(D$12=0,0,D52/D$12)</f>
        <v>0.54645800530284594</v>
      </c>
      <c r="G52" s="14"/>
      <c r="H52" s="22">
        <f>H12-H35</f>
        <v>142656</v>
      </c>
      <c r="I52" s="14"/>
      <c r="J52" s="20">
        <f>IF(H$12=0,0,H52/H$12)</f>
        <v>0.55229231352933439</v>
      </c>
      <c r="K52" s="15"/>
      <c r="L52" s="22">
        <f>+D52-H52</f>
        <v>6127.5200000000768</v>
      </c>
      <c r="M52" s="15"/>
      <c r="N52" s="20">
        <f>IF(H52=0,0,L52/H52)</f>
        <v>4.2953117990130643E-2</v>
      </c>
      <c r="O52" s="28"/>
      <c r="P52" s="22">
        <f>P12-P35</f>
        <v>381036.10000000003</v>
      </c>
      <c r="Q52" s="14"/>
      <c r="R52" s="20">
        <f>IF(P$12=0,0,P52/P$12)</f>
        <v>0.53967697458727681</v>
      </c>
      <c r="S52" s="14"/>
      <c r="T52" s="22">
        <f>T12-T35</f>
        <v>365212</v>
      </c>
      <c r="U52" s="14"/>
      <c r="V52" s="20">
        <f>IF(T$12=0,0,T52/T$12)</f>
        <v>0.53619017976168803</v>
      </c>
      <c r="W52" s="15"/>
      <c r="X52" s="22">
        <f>+P52-T52</f>
        <v>15824.100000000035</v>
      </c>
      <c r="Y52" s="15"/>
      <c r="Z52" s="20">
        <f>IF(T52=0,0,X52/T52)</f>
        <v>4.3328532468812728E-2</v>
      </c>
    </row>
    <row r="53" spans="1:26" x14ac:dyDescent="0.25">
      <c r="A53" s="9"/>
      <c r="B53" s="10"/>
      <c r="C53" s="9"/>
      <c r="D53" s="1"/>
      <c r="E53" s="1"/>
      <c r="F53" s="5"/>
      <c r="G53" s="1"/>
      <c r="H53" s="1"/>
      <c r="I53" s="1"/>
      <c r="J53" s="5"/>
      <c r="K53" s="1"/>
      <c r="L53" s="1"/>
      <c r="M53" s="1"/>
      <c r="N53" s="5"/>
      <c r="O53" s="36"/>
      <c r="P53" s="1"/>
      <c r="Q53" s="1"/>
      <c r="R53" s="5"/>
      <c r="S53" s="1"/>
      <c r="T53" s="1"/>
      <c r="U53" s="1"/>
      <c r="V53" s="5"/>
      <c r="W53" s="1"/>
      <c r="X53" s="1"/>
      <c r="Y53" s="1"/>
      <c r="Z53" s="5"/>
    </row>
    <row r="54" spans="1:26" s="23" customFormat="1" x14ac:dyDescent="0.25">
      <c r="A54" s="10"/>
      <c r="B54" s="28" t="s">
        <v>9</v>
      </c>
      <c r="C54" s="10"/>
      <c r="D54" s="21">
        <f>SUM(OSRRefD22x_0)</f>
        <v>49071.69999999999</v>
      </c>
      <c r="E54" s="21"/>
      <c r="F54" s="33">
        <f t="shared" ref="F54:F64" si="13">IF(D$12=0,0,D54/D$12)</f>
        <v>0.18023248340151951</v>
      </c>
      <c r="G54" s="21"/>
      <c r="H54" s="21">
        <f>SUM(OSRRefH22x_0)</f>
        <v>57124.877886244227</v>
      </c>
      <c r="I54" s="21"/>
      <c r="J54" s="33">
        <f t="shared" ref="J54:J64" si="14">IF(H$12=0,0,H54/H$12)</f>
        <v>0.221158808377317</v>
      </c>
      <c r="K54" s="4"/>
      <c r="L54" s="21">
        <f t="shared" ref="L54:L64" si="15">+D54-H54</f>
        <v>-8053.177886244237</v>
      </c>
      <c r="M54" s="4"/>
      <c r="N54" s="33">
        <f t="shared" ref="N54:N64" si="16">IF(H54=0,0,L54/H54)</f>
        <v>-0.14097496894927206</v>
      </c>
      <c r="O54" s="10"/>
      <c r="P54" s="21">
        <f>SUM(OSRRefP22x_0)</f>
        <v>156074.66000000003</v>
      </c>
      <c r="Q54" s="21"/>
      <c r="R54" s="33">
        <f t="shared" ref="R54:R64" si="17">IF(P$12=0,0,P54/P$12)</f>
        <v>0.22105490875677627</v>
      </c>
      <c r="S54" s="21"/>
      <c r="T54" s="21">
        <f>SUM(OSRRefT22x_0)</f>
        <v>165814.54259279376</v>
      </c>
      <c r="U54" s="21"/>
      <c r="V54" s="33">
        <f t="shared" ref="V54:V64" si="18">IF(T$12=0,0,T54/T$12)</f>
        <v>0.24344251941319608</v>
      </c>
      <c r="W54" s="4"/>
      <c r="X54" s="21">
        <f t="shared" ref="X54:X64" si="19">+P54-T54</f>
        <v>-9739.8825927937287</v>
      </c>
      <c r="Y54" s="4"/>
      <c r="Z54" s="33">
        <f t="shared" ref="Z54:Z64" si="20">IF(T54=0,0,X54/T54)</f>
        <v>-5.8739616203102682E-2</v>
      </c>
    </row>
    <row r="55" spans="1:26" s="26" customFormat="1" outlineLevel="1" collapsed="1" x14ac:dyDescent="0.25">
      <c r="A55" s="27"/>
      <c r="B55" s="13" t="str">
        <f>CONCATENATE("     ","*Benefits                                         ")</f>
        <v xml:space="preserve">     *Benefits                                         </v>
      </c>
      <c r="C55" s="13"/>
      <c r="D55" s="1">
        <f>SUM(OSRRefD22_0x_0)</f>
        <v>7193.2</v>
      </c>
      <c r="E55" s="1"/>
      <c r="F55" s="5">
        <f t="shared" si="13"/>
        <v>2.6419469869676623E-2</v>
      </c>
      <c r="G55" s="1"/>
      <c r="H55" s="1">
        <f>SUM(OSRRefH22_0x_0)</f>
        <v>4150.3500304749996</v>
      </c>
      <c r="I55" s="1"/>
      <c r="J55" s="5">
        <f t="shared" si="14"/>
        <v>1.6068068782859331E-2</v>
      </c>
      <c r="K55" s="1"/>
      <c r="L55" s="1">
        <f t="shared" si="15"/>
        <v>3042.8499695250002</v>
      </c>
      <c r="M55" s="1"/>
      <c r="N55" s="5">
        <f t="shared" si="16"/>
        <v>0.73315502239138897</v>
      </c>
      <c r="O55" s="13"/>
      <c r="P55" s="1">
        <f>SUM(OSRRefP22_0x_0)</f>
        <v>21716.639999999999</v>
      </c>
      <c r="Q55" s="1"/>
      <c r="R55" s="5">
        <f t="shared" si="17"/>
        <v>3.0758163264323349E-2</v>
      </c>
      <c r="S55" s="1"/>
      <c r="T55" s="1">
        <f>SUM(OSRRefT22_0x_0)</f>
        <v>14533.57706154375</v>
      </c>
      <c r="U55" s="1"/>
      <c r="V55" s="5">
        <f t="shared" si="18"/>
        <v>2.1337637583676027E-2</v>
      </c>
      <c r="W55" s="1"/>
      <c r="X55" s="1">
        <f t="shared" si="19"/>
        <v>7183.062938456249</v>
      </c>
      <c r="Y55" s="1"/>
      <c r="Z55" s="5">
        <f t="shared" si="20"/>
        <v>0.49423916135985774</v>
      </c>
    </row>
    <row r="56" spans="1:26" s="24" customFormat="1" hidden="1" outlineLevel="2" x14ac:dyDescent="0.25">
      <c r="A56" s="25"/>
      <c r="B56" s="11" t="str">
        <f>CONCATENATE("          ", "6111", " - ", "F.I.C.A.")</f>
        <v xml:space="preserve">          6111 - F.I.C.A.</v>
      </c>
      <c r="C56" s="11"/>
      <c r="D56" s="7">
        <v>1039.95</v>
      </c>
      <c r="E56" s="2"/>
      <c r="F56" s="6">
        <f t="shared" si="13"/>
        <v>3.8195695505435978E-3</v>
      </c>
      <c r="G56" s="2"/>
      <c r="H56" s="7">
        <v>688.68491924423097</v>
      </c>
      <c r="I56" s="2"/>
      <c r="J56" s="6">
        <f t="shared" si="14"/>
        <v>2.666241779821102E-3</v>
      </c>
      <c r="K56" s="2"/>
      <c r="L56" s="7">
        <f t="shared" si="15"/>
        <v>351.26508075576908</v>
      </c>
      <c r="M56" s="2"/>
      <c r="N56" s="6">
        <f t="shared" si="16"/>
        <v>0.51005194239079688</v>
      </c>
      <c r="O56" s="11"/>
      <c r="P56" s="7">
        <v>4437.76</v>
      </c>
      <c r="Q56" s="2"/>
      <c r="R56" s="6">
        <f t="shared" si="17"/>
        <v>6.2853805472616207E-3</v>
      </c>
      <c r="S56" s="2"/>
      <c r="T56" s="7">
        <v>3961.0119500437513</v>
      </c>
      <c r="U56" s="2"/>
      <c r="V56" s="6">
        <f t="shared" si="18"/>
        <v>5.8154050511268892E-3</v>
      </c>
      <c r="W56" s="2"/>
      <c r="X56" s="7">
        <f t="shared" si="19"/>
        <v>476.74804995624891</v>
      </c>
      <c r="Y56" s="2"/>
      <c r="Z56" s="6">
        <f t="shared" si="20"/>
        <v>0.12036016451578314</v>
      </c>
    </row>
    <row r="57" spans="1:26" s="24" customFormat="1" hidden="1" outlineLevel="2" x14ac:dyDescent="0.25">
      <c r="A57" s="25"/>
      <c r="B57" s="11" t="str">
        <f>CONCATENATE("          ", "6112", " - ", "COMPENSATION INSURANCE")</f>
        <v xml:space="preserve">          6112 - COMPENSATION INSURANCE</v>
      </c>
      <c r="C57" s="11"/>
      <c r="D57" s="7">
        <v>479.18</v>
      </c>
      <c r="E57" s="2"/>
      <c r="F57" s="6">
        <f t="shared" si="13"/>
        <v>1.7599512834554365E-3</v>
      </c>
      <c r="G57" s="2"/>
      <c r="H57" s="7">
        <v>416.93387711538497</v>
      </c>
      <c r="I57" s="2"/>
      <c r="J57" s="6">
        <f t="shared" si="14"/>
        <v>1.6141583640422496E-3</v>
      </c>
      <c r="K57" s="2"/>
      <c r="L57" s="7">
        <f t="shared" si="15"/>
        <v>62.246122884615033</v>
      </c>
      <c r="M57" s="2"/>
      <c r="N57" s="6">
        <f t="shared" si="16"/>
        <v>0.14929495131284004</v>
      </c>
      <c r="O57" s="11"/>
      <c r="P57" s="7">
        <v>1361.29</v>
      </c>
      <c r="Q57" s="2"/>
      <c r="R57" s="6">
        <f t="shared" si="17"/>
        <v>1.9280505672189957E-3</v>
      </c>
      <c r="S57" s="2"/>
      <c r="T57" s="7">
        <v>1229.3501006250008</v>
      </c>
      <c r="U57" s="2"/>
      <c r="V57" s="6">
        <f t="shared" si="18"/>
        <v>1.8048844272481968E-3</v>
      </c>
      <c r="W57" s="2"/>
      <c r="X57" s="7">
        <f t="shared" si="19"/>
        <v>131.93989937499919</v>
      </c>
      <c r="Y57" s="2"/>
      <c r="Z57" s="6">
        <f t="shared" si="20"/>
        <v>0.10732491851419788</v>
      </c>
    </row>
    <row r="58" spans="1:26" s="24" customFormat="1" hidden="1" outlineLevel="2" x14ac:dyDescent="0.25">
      <c r="A58" s="25"/>
      <c r="B58" s="11" t="str">
        <f>CONCATENATE("          ", "6113", " - ", "GROUP INSURANCE")</f>
        <v xml:space="preserve">          6113 - GROUP INSURANCE</v>
      </c>
      <c r="C58" s="11"/>
      <c r="D58" s="7">
        <v>3221.63</v>
      </c>
      <c r="E58" s="2"/>
      <c r="F58" s="6">
        <f t="shared" si="13"/>
        <v>1.1832530266952999E-2</v>
      </c>
      <c r="G58" s="2"/>
      <c r="H58" s="7">
        <v>1875.25</v>
      </c>
      <c r="I58" s="2"/>
      <c r="J58" s="6">
        <f t="shared" si="14"/>
        <v>7.2600252421621539E-3</v>
      </c>
      <c r="K58" s="2"/>
      <c r="L58" s="7">
        <f t="shared" si="15"/>
        <v>1346.38</v>
      </c>
      <c r="M58" s="2"/>
      <c r="N58" s="6">
        <f t="shared" si="16"/>
        <v>0.71797360351953077</v>
      </c>
      <c r="O58" s="11"/>
      <c r="P58" s="7">
        <v>7794.29</v>
      </c>
      <c r="Q58" s="2"/>
      <c r="R58" s="6">
        <f t="shared" si="17"/>
        <v>1.1039370931667276E-2</v>
      </c>
      <c r="S58" s="2"/>
      <c r="T58" s="7">
        <v>5625.75</v>
      </c>
      <c r="U58" s="2"/>
      <c r="V58" s="6">
        <f t="shared" si="18"/>
        <v>8.2595092817166916E-3</v>
      </c>
      <c r="W58" s="2"/>
      <c r="X58" s="7">
        <f t="shared" si="19"/>
        <v>2168.54</v>
      </c>
      <c r="Y58" s="2"/>
      <c r="Z58" s="6">
        <f t="shared" si="20"/>
        <v>0.38546682664533616</v>
      </c>
    </row>
    <row r="59" spans="1:26" s="24" customFormat="1" hidden="1" outlineLevel="2" x14ac:dyDescent="0.25">
      <c r="A59" s="25"/>
      <c r="B59" s="11" t="str">
        <f>CONCATENATE("          ", "6114", " - ", "STATE UNEMPLOYMENT INSURANCE")</f>
        <v xml:space="preserve">          6114 - STATE UNEMPLOYMENT INSURANCE</v>
      </c>
      <c r="C59" s="11"/>
      <c r="D59" s="7">
        <v>65.569999999999993</v>
      </c>
      <c r="E59" s="2"/>
      <c r="F59" s="6">
        <f t="shared" si="13"/>
        <v>2.4082809310942225E-4</v>
      </c>
      <c r="G59" s="2"/>
      <c r="H59" s="7">
        <v>57.054109500000003</v>
      </c>
      <c r="I59" s="2"/>
      <c r="J59" s="6">
        <f t="shared" si="14"/>
        <v>2.2088482876367606E-4</v>
      </c>
      <c r="K59" s="2"/>
      <c r="L59" s="7">
        <f t="shared" si="15"/>
        <v>8.5158904999999905</v>
      </c>
      <c r="M59" s="2"/>
      <c r="N59" s="6">
        <f t="shared" si="16"/>
        <v>0.14925989687035585</v>
      </c>
      <c r="O59" s="11"/>
      <c r="P59" s="7">
        <v>177.55</v>
      </c>
      <c r="Q59" s="2"/>
      <c r="R59" s="6">
        <f t="shared" si="17"/>
        <v>2.5147130898613281E-4</v>
      </c>
      <c r="S59" s="2"/>
      <c r="T59" s="7">
        <v>168.22685587500001</v>
      </c>
      <c r="U59" s="2"/>
      <c r="V59" s="6">
        <f t="shared" si="18"/>
        <v>2.4698418478133206E-4</v>
      </c>
      <c r="W59" s="2"/>
      <c r="X59" s="7">
        <f t="shared" si="19"/>
        <v>9.3231441249999989</v>
      </c>
      <c r="Y59" s="2"/>
      <c r="Z59" s="6">
        <f t="shared" si="20"/>
        <v>5.5420069979358749E-2</v>
      </c>
    </row>
    <row r="60" spans="1:26" s="24" customFormat="1" hidden="1" outlineLevel="2" x14ac:dyDescent="0.25">
      <c r="A60" s="25"/>
      <c r="B60" s="11" t="str">
        <f>CONCATENATE("          ", "6115", " - ", "P.E.R.S.")</f>
        <v xml:space="preserve">          6115 - P.E.R.S.</v>
      </c>
      <c r="C60" s="11"/>
      <c r="D60" s="7">
        <v>902.12</v>
      </c>
      <c r="E60" s="2"/>
      <c r="F60" s="6">
        <f t="shared" si="13"/>
        <v>3.3133420673459204E-3</v>
      </c>
      <c r="G60" s="2"/>
      <c r="H60" s="7">
        <v>609.49991115384591</v>
      </c>
      <c r="I60" s="2"/>
      <c r="J60" s="6">
        <f t="shared" si="14"/>
        <v>2.3596772377403072E-3</v>
      </c>
      <c r="K60" s="2"/>
      <c r="L60" s="7">
        <f t="shared" si="15"/>
        <v>292.62008884615409</v>
      </c>
      <c r="M60" s="2"/>
      <c r="N60" s="6">
        <f t="shared" si="16"/>
        <v>0.48009865709774135</v>
      </c>
      <c r="O60" s="11"/>
      <c r="P60" s="7">
        <v>2266.91</v>
      </c>
      <c r="Q60" s="2"/>
      <c r="R60" s="6">
        <f t="shared" si="17"/>
        <v>3.210717122240238E-3</v>
      </c>
      <c r="S60" s="2"/>
      <c r="T60" s="7">
        <v>1980.8747112499998</v>
      </c>
      <c r="U60" s="2"/>
      <c r="V60" s="6">
        <f t="shared" si="18"/>
        <v>2.9082438898790819E-3</v>
      </c>
      <c r="W60" s="2"/>
      <c r="X60" s="7">
        <f t="shared" si="19"/>
        <v>286.03528875000006</v>
      </c>
      <c r="Y60" s="2"/>
      <c r="Z60" s="6">
        <f t="shared" si="20"/>
        <v>0.14439847564589384</v>
      </c>
    </row>
    <row r="61" spans="1:26" s="24" customFormat="1" hidden="1" outlineLevel="2" x14ac:dyDescent="0.25">
      <c r="A61" s="25"/>
      <c r="B61" s="11" t="str">
        <f>CONCATENATE("          ", "6116", " - ", "EDUCATIONAL BENEFITS")</f>
        <v xml:space="preserve">          6116 - EDUCATIONAL BENEFITS</v>
      </c>
      <c r="C61" s="11"/>
      <c r="D61" s="7"/>
      <c r="E61" s="2"/>
      <c r="F61" s="6">
        <f t="shared" si="13"/>
        <v>0</v>
      </c>
      <c r="G61" s="2"/>
      <c r="H61" s="7">
        <v>0</v>
      </c>
      <c r="I61" s="2"/>
      <c r="J61" s="6">
        <f t="shared" si="14"/>
        <v>0</v>
      </c>
      <c r="K61" s="2"/>
      <c r="L61" s="7">
        <f t="shared" si="15"/>
        <v>0</v>
      </c>
      <c r="M61" s="2"/>
      <c r="N61" s="6">
        <f t="shared" si="16"/>
        <v>0</v>
      </c>
      <c r="O61" s="11"/>
      <c r="P61" s="7"/>
      <c r="Q61" s="2"/>
      <c r="R61" s="6">
        <f t="shared" si="17"/>
        <v>0</v>
      </c>
      <c r="S61" s="2"/>
      <c r="T61" s="7">
        <v>0</v>
      </c>
      <c r="U61" s="2"/>
      <c r="V61" s="6">
        <f t="shared" si="18"/>
        <v>0</v>
      </c>
      <c r="W61" s="2"/>
      <c r="X61" s="7">
        <f t="shared" si="19"/>
        <v>0</v>
      </c>
      <c r="Y61" s="2"/>
      <c r="Z61" s="6">
        <f t="shared" si="20"/>
        <v>0</v>
      </c>
    </row>
    <row r="62" spans="1:26" s="24" customFormat="1" hidden="1" outlineLevel="2" x14ac:dyDescent="0.25">
      <c r="A62" s="25"/>
      <c r="B62" s="11" t="str">
        <f>CONCATENATE("          ", "6118", " - ", "VACATION")</f>
        <v xml:space="preserve">          6118 - VACATION</v>
      </c>
      <c r="C62" s="11"/>
      <c r="D62" s="7">
        <v>753.6</v>
      </c>
      <c r="E62" s="2"/>
      <c r="F62" s="6">
        <f t="shared" si="13"/>
        <v>2.7678519287366271E-3</v>
      </c>
      <c r="G62" s="2"/>
      <c r="H62" s="7">
        <v>212.616248076923</v>
      </c>
      <c r="I62" s="2"/>
      <c r="J62" s="6">
        <f t="shared" si="14"/>
        <v>8.2314322246754908E-4</v>
      </c>
      <c r="K62" s="2"/>
      <c r="L62" s="7">
        <f t="shared" si="15"/>
        <v>540.98375192307708</v>
      </c>
      <c r="M62" s="2"/>
      <c r="N62" s="6">
        <f t="shared" si="16"/>
        <v>2.5444139703159143</v>
      </c>
      <c r="O62" s="11"/>
      <c r="P62" s="7">
        <v>2272.61</v>
      </c>
      <c r="Q62" s="2"/>
      <c r="R62" s="6">
        <f t="shared" si="17"/>
        <v>3.2187902647985091E-3</v>
      </c>
      <c r="S62" s="2"/>
      <c r="T62" s="7">
        <v>691.00280624999994</v>
      </c>
      <c r="U62" s="2"/>
      <c r="V62" s="6">
        <f t="shared" si="18"/>
        <v>1.0145036825159588E-3</v>
      </c>
      <c r="W62" s="2"/>
      <c r="X62" s="7">
        <f t="shared" si="19"/>
        <v>1581.6071937500001</v>
      </c>
      <c r="Y62" s="2"/>
      <c r="Z62" s="6">
        <f t="shared" si="20"/>
        <v>2.2888578446348391</v>
      </c>
    </row>
    <row r="63" spans="1:26" s="24" customFormat="1" hidden="1" outlineLevel="2" x14ac:dyDescent="0.25">
      <c r="A63" s="25"/>
      <c r="B63" s="11" t="str">
        <f>CONCATENATE("          ", "6119", " - ", "SICK LEAVE")</f>
        <v xml:space="preserve">          6119 - SICK LEAVE</v>
      </c>
      <c r="C63" s="11"/>
      <c r="D63" s="7">
        <v>465.7</v>
      </c>
      <c r="E63" s="2"/>
      <c r="F63" s="6">
        <f t="shared" si="13"/>
        <v>1.7104414055369522E-3</v>
      </c>
      <c r="G63" s="2"/>
      <c r="H63" s="7">
        <v>290.31096538461503</v>
      </c>
      <c r="I63" s="2"/>
      <c r="J63" s="6">
        <f t="shared" si="14"/>
        <v>1.1239381078622949E-3</v>
      </c>
      <c r="K63" s="2"/>
      <c r="L63" s="7">
        <f t="shared" si="15"/>
        <v>175.38903461538496</v>
      </c>
      <c r="M63" s="2"/>
      <c r="N63" s="6">
        <f t="shared" si="16"/>
        <v>0.60414195648112323</v>
      </c>
      <c r="O63" s="11"/>
      <c r="P63" s="7">
        <v>2846.2</v>
      </c>
      <c r="Q63" s="2"/>
      <c r="R63" s="6">
        <f t="shared" si="17"/>
        <v>4.0311891840964864E-3</v>
      </c>
      <c r="S63" s="2"/>
      <c r="T63" s="7">
        <v>877.36063749999903</v>
      </c>
      <c r="U63" s="2"/>
      <c r="V63" s="6">
        <f t="shared" si="18"/>
        <v>1.2881070664078774E-3</v>
      </c>
      <c r="W63" s="2"/>
      <c r="X63" s="7">
        <f t="shared" si="19"/>
        <v>1968.8393625000008</v>
      </c>
      <c r="Y63" s="2"/>
      <c r="Z63" s="6">
        <f t="shared" si="20"/>
        <v>2.2440479756535727</v>
      </c>
    </row>
    <row r="64" spans="1:26" s="24" customFormat="1" hidden="1" outlineLevel="2" x14ac:dyDescent="0.25">
      <c r="A64" s="25"/>
      <c r="B64" s="11" t="str">
        <f>CONCATENATE("          ", "6156", " - ", "EMPLOYEE MEALS")</f>
        <v xml:space="preserve">          6156 - EMPLOYEE MEALS</v>
      </c>
      <c r="C64" s="11"/>
      <c r="D64" s="7">
        <v>265.45</v>
      </c>
      <c r="E64" s="2"/>
      <c r="F64" s="6">
        <f t="shared" si="13"/>
        <v>9.7495527399567088E-4</v>
      </c>
      <c r="G64" s="2"/>
      <c r="H64" s="7"/>
      <c r="I64" s="2"/>
      <c r="J64" s="6">
        <f t="shared" si="14"/>
        <v>0</v>
      </c>
      <c r="K64" s="2"/>
      <c r="L64" s="7">
        <f t="shared" si="15"/>
        <v>265.45</v>
      </c>
      <c r="M64" s="2"/>
      <c r="N64" s="6">
        <f t="shared" si="16"/>
        <v>0</v>
      </c>
      <c r="O64" s="11"/>
      <c r="P64" s="7">
        <v>560.03</v>
      </c>
      <c r="Q64" s="2"/>
      <c r="R64" s="6">
        <f t="shared" si="17"/>
        <v>7.9319333805409143E-4</v>
      </c>
      <c r="S64" s="2"/>
      <c r="T64" s="7"/>
      <c r="U64" s="2"/>
      <c r="V64" s="6">
        <f t="shared" si="18"/>
        <v>0</v>
      </c>
      <c r="W64" s="2"/>
      <c r="X64" s="7">
        <f t="shared" si="19"/>
        <v>560.03</v>
      </c>
      <c r="Y64" s="2"/>
      <c r="Z64" s="6">
        <f t="shared" si="20"/>
        <v>0</v>
      </c>
    </row>
    <row r="65" spans="1:26" s="26" customFormat="1" outlineLevel="1" collapsed="1" x14ac:dyDescent="0.25">
      <c r="A65" s="27"/>
      <c r="B65" s="13" t="str">
        <f>CONCATENATE("     ","*Payroll                                          ")</f>
        <v xml:space="preserve">     *Payroll                                          </v>
      </c>
      <c r="C65" s="13"/>
      <c r="D65" s="1">
        <f>SUM(OSRRefD22_1x_0)</f>
        <v>26800.68</v>
      </c>
      <c r="E65" s="1"/>
      <c r="F65" s="5">
        <f t="shared" ref="F65:F75" si="21">IF(D$12=0,0,D65/D$12)</f>
        <v>9.843459903059068E-2</v>
      </c>
      <c r="G65" s="1"/>
      <c r="H65" s="1">
        <f>SUM(OSRRefH22_1x_0)</f>
        <v>21589.527855769229</v>
      </c>
      <c r="I65" s="1"/>
      <c r="J65" s="5">
        <f t="shared" ref="J65:J75" si="22">IF(H$12=0,0,H65/H$12)</f>
        <v>8.3583797999865386E-2</v>
      </c>
      <c r="K65" s="1"/>
      <c r="L65" s="1">
        <f t="shared" ref="L65:L75" si="23">+D65-H65</f>
        <v>5211.1521442307712</v>
      </c>
      <c r="M65" s="1"/>
      <c r="N65" s="5">
        <f t="shared" ref="N65:N75" si="24">IF(H65=0,0,L65/H65)</f>
        <v>0.24137406704974462</v>
      </c>
      <c r="O65" s="13"/>
      <c r="P65" s="1">
        <f>SUM(OSRRefP22_1x_0)</f>
        <v>75932.75</v>
      </c>
      <c r="Q65" s="1"/>
      <c r="R65" s="5">
        <f t="shared" ref="R65:R75" si="25">IF(P$12=0,0,P65/P$12)</f>
        <v>0.10754665185816263</v>
      </c>
      <c r="S65" s="1"/>
      <c r="T65" s="1">
        <f>SUM(OSRRefT22_1x_0)</f>
        <v>63550.965531249996</v>
      </c>
      <c r="U65" s="1"/>
      <c r="V65" s="5">
        <f t="shared" ref="V65:V75" si="26">IF(T$12=0,0,T65/T$12)</f>
        <v>9.3303077752729308E-2</v>
      </c>
      <c r="W65" s="1"/>
      <c r="X65" s="1">
        <f t="shared" ref="X65:X75" si="27">+P65-T65</f>
        <v>12381.784468750004</v>
      </c>
      <c r="Y65" s="1"/>
      <c r="Z65" s="5">
        <f t="shared" ref="Z65:Z75" si="28">IF(T65=0,0,X65/T65)</f>
        <v>0.19483235801762119</v>
      </c>
    </row>
    <row r="66" spans="1:26" s="24" customFormat="1" hidden="1" outlineLevel="2" x14ac:dyDescent="0.25">
      <c r="A66" s="25"/>
      <c r="B66" s="11" t="str">
        <f>CONCATENATE("          ", "6001", " - ", "ADMINISTRATIVE SALARIES")</f>
        <v xml:space="preserve">          6001 - ADMINISTRATIVE SALARIES</v>
      </c>
      <c r="C66" s="11"/>
      <c r="D66" s="7"/>
      <c r="E66" s="2"/>
      <c r="F66" s="6">
        <f t="shared" si="21"/>
        <v>0</v>
      </c>
      <c r="G66" s="2"/>
      <c r="H66" s="7">
        <v>0</v>
      </c>
      <c r="I66" s="2"/>
      <c r="J66" s="6">
        <f t="shared" si="22"/>
        <v>0</v>
      </c>
      <c r="K66" s="2"/>
      <c r="L66" s="7">
        <f t="shared" si="23"/>
        <v>0</v>
      </c>
      <c r="M66" s="2"/>
      <c r="N66" s="6">
        <f t="shared" si="24"/>
        <v>0</v>
      </c>
      <c r="O66" s="11"/>
      <c r="P66" s="7"/>
      <c r="Q66" s="2"/>
      <c r="R66" s="6">
        <f t="shared" si="25"/>
        <v>0</v>
      </c>
      <c r="S66" s="2"/>
      <c r="T66" s="7">
        <v>0</v>
      </c>
      <c r="U66" s="2"/>
      <c r="V66" s="6">
        <f t="shared" si="26"/>
        <v>0</v>
      </c>
      <c r="W66" s="2"/>
      <c r="X66" s="7">
        <f t="shared" si="27"/>
        <v>0</v>
      </c>
      <c r="Y66" s="2"/>
      <c r="Z66" s="6">
        <f t="shared" si="28"/>
        <v>0</v>
      </c>
    </row>
    <row r="67" spans="1:26" s="24" customFormat="1" hidden="1" outlineLevel="2" x14ac:dyDescent="0.25">
      <c r="A67" s="25"/>
      <c r="B67" s="11" t="str">
        <f>CONCATENATE("          ", "6002", " - ", "STAFF SALARIES")</f>
        <v xml:space="preserve">          6002 - STAFF SALARIES</v>
      </c>
      <c r="C67" s="11"/>
      <c r="D67" s="7">
        <v>11099.56</v>
      </c>
      <c r="E67" s="2"/>
      <c r="F67" s="6">
        <f t="shared" si="21"/>
        <v>4.0766903601549775E-2</v>
      </c>
      <c r="G67" s="2"/>
      <c r="H67" s="7">
        <v>6732.8478557692297</v>
      </c>
      <c r="I67" s="2"/>
      <c r="J67" s="6">
        <f t="shared" si="22"/>
        <v>2.6066202044805729E-2</v>
      </c>
      <c r="K67" s="2"/>
      <c r="L67" s="7">
        <f t="shared" si="23"/>
        <v>4366.7121442307698</v>
      </c>
      <c r="M67" s="2"/>
      <c r="N67" s="6">
        <f t="shared" si="24"/>
        <v>0.64856836776565951</v>
      </c>
      <c r="O67" s="11"/>
      <c r="P67" s="7">
        <v>26719.63</v>
      </c>
      <c r="Q67" s="2"/>
      <c r="R67" s="6">
        <f t="shared" si="25"/>
        <v>3.7844102121797486E-2</v>
      </c>
      <c r="S67" s="2"/>
      <c r="T67" s="7">
        <v>21881.755531250001</v>
      </c>
      <c r="U67" s="2"/>
      <c r="V67" s="6">
        <f t="shared" si="26"/>
        <v>3.2125949946338703E-2</v>
      </c>
      <c r="W67" s="2"/>
      <c r="X67" s="7">
        <f t="shared" si="27"/>
        <v>4837.8744687500002</v>
      </c>
      <c r="Y67" s="2"/>
      <c r="Z67" s="6">
        <f t="shared" si="28"/>
        <v>0.22109169722881167</v>
      </c>
    </row>
    <row r="68" spans="1:26" s="24" customFormat="1" hidden="1" outlineLevel="2" x14ac:dyDescent="0.25">
      <c r="A68" s="25"/>
      <c r="B68" s="11" t="str">
        <f>CONCATENATE("          ", "6003", " - ", "STAFF HOURLY-9 MONTH")</f>
        <v xml:space="preserve">          6003 - STAFF HOURLY-9 MONTH</v>
      </c>
      <c r="C68" s="11"/>
      <c r="D68" s="7"/>
      <c r="E68" s="2"/>
      <c r="F68" s="6">
        <f t="shared" si="21"/>
        <v>0</v>
      </c>
      <c r="G68" s="2"/>
      <c r="H68" s="7">
        <v>0</v>
      </c>
      <c r="I68" s="2"/>
      <c r="J68" s="6">
        <f t="shared" si="22"/>
        <v>0</v>
      </c>
      <c r="K68" s="2"/>
      <c r="L68" s="7">
        <f t="shared" si="23"/>
        <v>0</v>
      </c>
      <c r="M68" s="2"/>
      <c r="N68" s="6">
        <f t="shared" si="24"/>
        <v>0</v>
      </c>
      <c r="O68" s="11"/>
      <c r="P68" s="7"/>
      <c r="Q68" s="2"/>
      <c r="R68" s="6">
        <f t="shared" si="25"/>
        <v>0</v>
      </c>
      <c r="S68" s="2"/>
      <c r="T68" s="7">
        <v>0</v>
      </c>
      <c r="U68" s="2"/>
      <c r="V68" s="6">
        <f t="shared" si="26"/>
        <v>0</v>
      </c>
      <c r="W68" s="2"/>
      <c r="X68" s="7">
        <f t="shared" si="27"/>
        <v>0</v>
      </c>
      <c r="Y68" s="2"/>
      <c r="Z68" s="6">
        <f t="shared" si="28"/>
        <v>0</v>
      </c>
    </row>
    <row r="69" spans="1:26" s="24" customFormat="1" hidden="1" outlineLevel="2" x14ac:dyDescent="0.25">
      <c r="A69" s="25"/>
      <c r="B69" s="11" t="str">
        <f>CONCATENATE("          ", "6004", " - ", "STAFF HOURLY")</f>
        <v xml:space="preserve">          6004 - STAFF HOURLY</v>
      </c>
      <c r="C69" s="11"/>
      <c r="D69" s="7"/>
      <c r="E69" s="2"/>
      <c r="F69" s="6">
        <f t="shared" si="21"/>
        <v>0</v>
      </c>
      <c r="G69" s="2"/>
      <c r="H69" s="7">
        <v>1911.68</v>
      </c>
      <c r="I69" s="2"/>
      <c r="J69" s="6">
        <f t="shared" si="22"/>
        <v>7.4010638874478316E-3</v>
      </c>
      <c r="K69" s="2"/>
      <c r="L69" s="7">
        <f t="shared" si="23"/>
        <v>-1911.68</v>
      </c>
      <c r="M69" s="2"/>
      <c r="N69" s="6">
        <f t="shared" si="24"/>
        <v>-1</v>
      </c>
      <c r="O69" s="11"/>
      <c r="P69" s="7"/>
      <c r="Q69" s="2"/>
      <c r="R69" s="6">
        <f t="shared" si="25"/>
        <v>0</v>
      </c>
      <c r="S69" s="2"/>
      <c r="T69" s="7">
        <v>6212.96</v>
      </c>
      <c r="U69" s="2"/>
      <c r="V69" s="6">
        <f t="shared" si="26"/>
        <v>9.1216283672282874E-3</v>
      </c>
      <c r="W69" s="2"/>
      <c r="X69" s="7">
        <f t="shared" si="27"/>
        <v>-6212.96</v>
      </c>
      <c r="Y69" s="2"/>
      <c r="Z69" s="6">
        <f t="shared" si="28"/>
        <v>-1</v>
      </c>
    </row>
    <row r="70" spans="1:26" s="24" customFormat="1" hidden="1" outlineLevel="2" x14ac:dyDescent="0.25">
      <c r="A70" s="25"/>
      <c r="B70" s="11" t="str">
        <f>CONCATENATE("          ", "6005", " - ", "TEMPORARY WAGES-HOURLY")</f>
        <v xml:space="preserve">          6005 - TEMPORARY WAGES-HOURLY</v>
      </c>
      <c r="C70" s="11"/>
      <c r="D70" s="7">
        <v>2687.6</v>
      </c>
      <c r="E70" s="2"/>
      <c r="F70" s="6">
        <f t="shared" si="21"/>
        <v>9.8711237309880018E-3</v>
      </c>
      <c r="G70" s="2"/>
      <c r="H70" s="7">
        <v>0</v>
      </c>
      <c r="I70" s="2"/>
      <c r="J70" s="6">
        <f t="shared" si="22"/>
        <v>0</v>
      </c>
      <c r="K70" s="2"/>
      <c r="L70" s="7">
        <f t="shared" si="23"/>
        <v>2687.6</v>
      </c>
      <c r="M70" s="2"/>
      <c r="N70" s="6">
        <f t="shared" si="24"/>
        <v>0</v>
      </c>
      <c r="O70" s="11"/>
      <c r="P70" s="7">
        <v>10352.19</v>
      </c>
      <c r="Q70" s="2"/>
      <c r="R70" s="6">
        <f t="shared" si="25"/>
        <v>1.4662229063211232E-2</v>
      </c>
      <c r="S70" s="2"/>
      <c r="T70" s="7">
        <v>0</v>
      </c>
      <c r="U70" s="2"/>
      <c r="V70" s="6">
        <f t="shared" si="26"/>
        <v>0</v>
      </c>
      <c r="W70" s="2"/>
      <c r="X70" s="7">
        <f t="shared" si="27"/>
        <v>10352.19</v>
      </c>
      <c r="Y70" s="2"/>
      <c r="Z70" s="6">
        <f t="shared" si="28"/>
        <v>0</v>
      </c>
    </row>
    <row r="71" spans="1:26" s="24" customFormat="1" hidden="1" outlineLevel="2" x14ac:dyDescent="0.25">
      <c r="A71" s="25"/>
      <c r="B71" s="11" t="str">
        <f>CONCATENATE("          ", "6006", " - ", "TEMPORARY PART TIME")</f>
        <v xml:space="preserve">          6006 - TEMPORARY PART TIME</v>
      </c>
      <c r="C71" s="11"/>
      <c r="D71" s="7"/>
      <c r="E71" s="2"/>
      <c r="F71" s="6">
        <f t="shared" si="21"/>
        <v>0</v>
      </c>
      <c r="G71" s="2"/>
      <c r="H71" s="7">
        <v>0</v>
      </c>
      <c r="I71" s="2"/>
      <c r="J71" s="6">
        <f t="shared" si="22"/>
        <v>0</v>
      </c>
      <c r="K71" s="2"/>
      <c r="L71" s="7">
        <f t="shared" si="23"/>
        <v>0</v>
      </c>
      <c r="M71" s="2"/>
      <c r="N71" s="6">
        <f t="shared" si="24"/>
        <v>0</v>
      </c>
      <c r="O71" s="11"/>
      <c r="P71" s="7"/>
      <c r="Q71" s="2"/>
      <c r="R71" s="6">
        <f t="shared" si="25"/>
        <v>0</v>
      </c>
      <c r="S71" s="2"/>
      <c r="T71" s="7">
        <v>0</v>
      </c>
      <c r="U71" s="2"/>
      <c r="V71" s="6">
        <f t="shared" si="26"/>
        <v>0</v>
      </c>
      <c r="W71" s="2"/>
      <c r="X71" s="7">
        <f t="shared" si="27"/>
        <v>0</v>
      </c>
      <c r="Y71" s="2"/>
      <c r="Z71" s="6">
        <f t="shared" si="28"/>
        <v>0</v>
      </c>
    </row>
    <row r="72" spans="1:26" s="24" customFormat="1" hidden="1" outlineLevel="2" x14ac:dyDescent="0.25">
      <c r="A72" s="25"/>
      <c r="B72" s="11" t="str">
        <f>CONCATENATE("          ", "6007", " - ", "STUDENT HOURLY")</f>
        <v xml:space="preserve">          6007 - STUDENT HOURLY</v>
      </c>
      <c r="C72" s="11"/>
      <c r="D72" s="7">
        <v>13013.52</v>
      </c>
      <c r="E72" s="2"/>
      <c r="F72" s="6">
        <f t="shared" si="21"/>
        <v>4.7796571698052903E-2</v>
      </c>
      <c r="G72" s="2"/>
      <c r="H72" s="7">
        <v>0</v>
      </c>
      <c r="I72" s="2"/>
      <c r="J72" s="6">
        <f t="shared" si="22"/>
        <v>0</v>
      </c>
      <c r="K72" s="2"/>
      <c r="L72" s="7">
        <f t="shared" si="23"/>
        <v>13013.52</v>
      </c>
      <c r="M72" s="2"/>
      <c r="N72" s="6">
        <f t="shared" si="24"/>
        <v>0</v>
      </c>
      <c r="O72" s="11"/>
      <c r="P72" s="7">
        <v>38665.93</v>
      </c>
      <c r="Q72" s="2"/>
      <c r="R72" s="6">
        <f t="shared" si="25"/>
        <v>5.4764134217213073E-2</v>
      </c>
      <c r="S72" s="2"/>
      <c r="T72" s="7">
        <v>22511.25</v>
      </c>
      <c r="U72" s="2"/>
      <c r="V72" s="6">
        <f t="shared" si="26"/>
        <v>3.3050149458835693E-2</v>
      </c>
      <c r="W72" s="2"/>
      <c r="X72" s="7">
        <f t="shared" si="27"/>
        <v>16154.68</v>
      </c>
      <c r="Y72" s="2"/>
      <c r="Z72" s="6">
        <f t="shared" si="28"/>
        <v>0.71762696429563</v>
      </c>
    </row>
    <row r="73" spans="1:26" s="24" customFormat="1" hidden="1" outlineLevel="2" x14ac:dyDescent="0.25">
      <c r="A73" s="25"/>
      <c r="B73" s="11" t="str">
        <f>CONCATENATE("          ", "6008", " - ", "STUDENT HOURLY-FICA EXEMPT")</f>
        <v xml:space="preserve">          6008 - STUDENT HOURLY-FICA EXEMPT</v>
      </c>
      <c r="C73" s="11"/>
      <c r="D73" s="7"/>
      <c r="E73" s="2"/>
      <c r="F73" s="6">
        <f t="shared" si="21"/>
        <v>0</v>
      </c>
      <c r="G73" s="2"/>
      <c r="H73" s="7">
        <v>12945</v>
      </c>
      <c r="I73" s="2"/>
      <c r="J73" s="6">
        <f t="shared" si="22"/>
        <v>5.0116532067611831E-2</v>
      </c>
      <c r="K73" s="2"/>
      <c r="L73" s="7">
        <f t="shared" si="23"/>
        <v>-12945</v>
      </c>
      <c r="M73" s="2"/>
      <c r="N73" s="6">
        <f t="shared" si="24"/>
        <v>-1</v>
      </c>
      <c r="O73" s="11"/>
      <c r="P73" s="7">
        <v>195</v>
      </c>
      <c r="Q73" s="2"/>
      <c r="R73" s="6">
        <f t="shared" si="25"/>
        <v>2.7618645594083862E-4</v>
      </c>
      <c r="S73" s="2"/>
      <c r="T73" s="7">
        <v>12945</v>
      </c>
      <c r="U73" s="2"/>
      <c r="V73" s="6">
        <f t="shared" si="26"/>
        <v>1.9005349980326637E-2</v>
      </c>
      <c r="W73" s="2"/>
      <c r="X73" s="7">
        <f t="shared" si="27"/>
        <v>-12750</v>
      </c>
      <c r="Y73" s="2"/>
      <c r="Z73" s="6">
        <f t="shared" si="28"/>
        <v>-0.98493626882966401</v>
      </c>
    </row>
    <row r="74" spans="1:26" s="24" customFormat="1" hidden="1" outlineLevel="2" x14ac:dyDescent="0.25">
      <c r="A74" s="25"/>
      <c r="B74" s="11" t="str">
        <f>CONCATENATE("          ", "6009", " - ", "TEMPORARY-SEASONAL")</f>
        <v xml:space="preserve">          6009 - TEMPORARY-SEASONAL</v>
      </c>
      <c r="C74" s="11"/>
      <c r="D74" s="7"/>
      <c r="E74" s="2"/>
      <c r="F74" s="6">
        <f t="shared" si="21"/>
        <v>0</v>
      </c>
      <c r="G74" s="2"/>
      <c r="H74" s="7">
        <v>0</v>
      </c>
      <c r="I74" s="2"/>
      <c r="J74" s="6">
        <f t="shared" si="22"/>
        <v>0</v>
      </c>
      <c r="K74" s="2"/>
      <c r="L74" s="7">
        <f t="shared" si="23"/>
        <v>0</v>
      </c>
      <c r="M74" s="2"/>
      <c r="N74" s="6">
        <f t="shared" si="24"/>
        <v>0</v>
      </c>
      <c r="O74" s="11"/>
      <c r="P74" s="7"/>
      <c r="Q74" s="2"/>
      <c r="R74" s="6">
        <f t="shared" si="25"/>
        <v>0</v>
      </c>
      <c r="S74" s="2"/>
      <c r="T74" s="7">
        <v>0</v>
      </c>
      <c r="U74" s="2"/>
      <c r="V74" s="6">
        <f t="shared" si="26"/>
        <v>0</v>
      </c>
      <c r="W74" s="2"/>
      <c r="X74" s="7">
        <f t="shared" si="27"/>
        <v>0</v>
      </c>
      <c r="Y74" s="2"/>
      <c r="Z74" s="6">
        <f t="shared" si="28"/>
        <v>0</v>
      </c>
    </row>
    <row r="75" spans="1:26" s="24" customFormat="1" hidden="1" outlineLevel="2" x14ac:dyDescent="0.25">
      <c r="A75" s="25"/>
      <c r="B75" s="11" t="str">
        <f>CONCATENATE("          ", "6010", " - ", "GRATUITY")</f>
        <v xml:space="preserve">          6010 - GRATUITY</v>
      </c>
      <c r="C75" s="11"/>
      <c r="D75" s="7"/>
      <c r="E75" s="2"/>
      <c r="F75" s="6">
        <f t="shared" si="21"/>
        <v>0</v>
      </c>
      <c r="G75" s="2"/>
      <c r="H75" s="7">
        <v>0</v>
      </c>
      <c r="I75" s="2"/>
      <c r="J75" s="6">
        <f t="shared" si="22"/>
        <v>0</v>
      </c>
      <c r="K75" s="2"/>
      <c r="L75" s="7">
        <f t="shared" si="23"/>
        <v>0</v>
      </c>
      <c r="M75" s="2"/>
      <c r="N75" s="6">
        <f t="shared" si="24"/>
        <v>0</v>
      </c>
      <c r="O75" s="11"/>
      <c r="P75" s="7"/>
      <c r="Q75" s="2"/>
      <c r="R75" s="6">
        <f t="shared" si="25"/>
        <v>0</v>
      </c>
      <c r="S75" s="2"/>
      <c r="T75" s="7">
        <v>0</v>
      </c>
      <c r="U75" s="2"/>
      <c r="V75" s="6">
        <f t="shared" si="26"/>
        <v>0</v>
      </c>
      <c r="W75" s="2"/>
      <c r="X75" s="7">
        <f t="shared" si="27"/>
        <v>0</v>
      </c>
      <c r="Y75" s="2"/>
      <c r="Z75" s="6">
        <f t="shared" si="28"/>
        <v>0</v>
      </c>
    </row>
    <row r="76" spans="1:26" s="26" customFormat="1" outlineLevel="1" collapsed="1" x14ac:dyDescent="0.25">
      <c r="A76" s="27"/>
      <c r="B76" s="13" t="str">
        <f>CONCATENATE("     ","Advertising/Promo                                 ")</f>
        <v xml:space="preserve">     Advertising/Promo                                 </v>
      </c>
      <c r="C76" s="13"/>
      <c r="D76" s="1">
        <f>SUM(OSRRefD22_2x_0)</f>
        <v>396.33</v>
      </c>
      <c r="E76" s="1"/>
      <c r="F76" s="5">
        <f t="shared" ref="F76:F80" si="29">IF(D$12=0,0,D76/D$12)</f>
        <v>1.4556565219163843E-3</v>
      </c>
      <c r="G76" s="1"/>
      <c r="H76" s="1">
        <f>SUM(OSRRefH22_2x_0)</f>
        <v>500</v>
      </c>
      <c r="I76" s="1"/>
      <c r="J76" s="5">
        <f t="shared" ref="J76:J80" si="30">IF(H$12=0,0,H76/H$12)</f>
        <v>1.9357486314257176E-3</v>
      </c>
      <c r="K76" s="1"/>
      <c r="L76" s="1">
        <f t="shared" ref="L76:L80" si="31">+D76-H76</f>
        <v>-103.67000000000002</v>
      </c>
      <c r="M76" s="1"/>
      <c r="N76" s="5">
        <f t="shared" ref="N76:N80" si="32">IF(H76=0,0,L76/H76)</f>
        <v>-0.20734000000000002</v>
      </c>
      <c r="O76" s="13"/>
      <c r="P76" s="1">
        <f>SUM(OSRRefP22_2x_0)</f>
        <v>2762.11</v>
      </c>
      <c r="Q76" s="1"/>
      <c r="R76" s="5">
        <f t="shared" ref="R76:R80" si="33">IF(P$12=0,0,P76/P$12)</f>
        <v>3.912089086249999E-3</v>
      </c>
      <c r="S76" s="1"/>
      <c r="T76" s="1">
        <f>SUM(OSRRefT22_2x_0)</f>
        <v>1300</v>
      </c>
      <c r="U76" s="1"/>
      <c r="V76" s="5">
        <f t="shared" ref="V76:V80" si="34">IF(T$12=0,0,T76/T$12)</f>
        <v>1.9086098860119449E-3</v>
      </c>
      <c r="W76" s="1"/>
      <c r="X76" s="1">
        <f t="shared" ref="X76:X80" si="35">+P76-T76</f>
        <v>1462.1100000000001</v>
      </c>
      <c r="Y76" s="1"/>
      <c r="Z76" s="5">
        <f t="shared" ref="Z76:Z80" si="36">IF(T76=0,0,X76/T76)</f>
        <v>1.1247</v>
      </c>
    </row>
    <row r="77" spans="1:26" s="24" customFormat="1" hidden="1" outlineLevel="2" x14ac:dyDescent="0.25">
      <c r="A77" s="25"/>
      <c r="B77" s="11" t="str">
        <f>CONCATENATE("          ", "6362", " - ", "ADVERTISING EXPENSE")</f>
        <v xml:space="preserve">          6362 - ADVERTISING EXPENSE</v>
      </c>
      <c r="C77" s="11"/>
      <c r="D77" s="7">
        <v>396.33</v>
      </c>
      <c r="E77" s="2"/>
      <c r="F77" s="6">
        <f t="shared" si="29"/>
        <v>1.4556565219163843E-3</v>
      </c>
      <c r="G77" s="2"/>
      <c r="H77" s="7">
        <v>500</v>
      </c>
      <c r="I77" s="2"/>
      <c r="J77" s="6">
        <f t="shared" si="30"/>
        <v>1.9357486314257176E-3</v>
      </c>
      <c r="K77" s="2"/>
      <c r="L77" s="7">
        <f t="shared" si="31"/>
        <v>-103.67000000000002</v>
      </c>
      <c r="M77" s="2"/>
      <c r="N77" s="6">
        <f t="shared" si="32"/>
        <v>-0.20734000000000002</v>
      </c>
      <c r="O77" s="11"/>
      <c r="P77" s="7">
        <v>2762.11</v>
      </c>
      <c r="Q77" s="2"/>
      <c r="R77" s="6">
        <f t="shared" si="33"/>
        <v>3.912089086249999E-3</v>
      </c>
      <c r="S77" s="2"/>
      <c r="T77" s="7">
        <v>1300</v>
      </c>
      <c r="U77" s="2"/>
      <c r="V77" s="6">
        <f t="shared" si="34"/>
        <v>1.9086098860119449E-3</v>
      </c>
      <c r="W77" s="2"/>
      <c r="X77" s="7">
        <f t="shared" si="35"/>
        <v>1462.1100000000001</v>
      </c>
      <c r="Y77" s="2"/>
      <c r="Z77" s="6">
        <f t="shared" si="36"/>
        <v>1.1247</v>
      </c>
    </row>
    <row r="78" spans="1:26" s="26" customFormat="1" outlineLevel="1" collapsed="1" x14ac:dyDescent="0.25">
      <c r="A78" s="27"/>
      <c r="B78" s="13" t="str">
        <f>CONCATENATE("     ","Discounts and Markdowns                           ")</f>
        <v xml:space="preserve">     Discounts and Markdowns                           </v>
      </c>
      <c r="C78" s="13"/>
      <c r="D78" s="1">
        <f>SUM(OSRRefD22_3x_0)</f>
        <v>9940.4499999999989</v>
      </c>
      <c r="E78" s="1"/>
      <c r="F78" s="5">
        <f t="shared" si="29"/>
        <v>3.650967848329352E-2</v>
      </c>
      <c r="G78" s="1"/>
      <c r="H78" s="1">
        <f>SUM(OSRRefH22_3x_0)</f>
        <v>21000</v>
      </c>
      <c r="I78" s="1"/>
      <c r="J78" s="5">
        <f t="shared" si="30"/>
        <v>8.130144251988014E-2</v>
      </c>
      <c r="K78" s="1"/>
      <c r="L78" s="1">
        <f t="shared" si="31"/>
        <v>-11059.550000000001</v>
      </c>
      <c r="M78" s="1"/>
      <c r="N78" s="5">
        <f t="shared" si="32"/>
        <v>-0.52664523809523811</v>
      </c>
      <c r="O78" s="13"/>
      <c r="P78" s="1">
        <f>SUM(OSRRefP22_3x_0)</f>
        <v>38235.449999999997</v>
      </c>
      <c r="Q78" s="1"/>
      <c r="R78" s="5">
        <f t="shared" si="33"/>
        <v>5.4154427829759676E-2</v>
      </c>
      <c r="S78" s="1"/>
      <c r="T78" s="1">
        <f>SUM(OSRRefT22_3x_0)</f>
        <v>52000</v>
      </c>
      <c r="U78" s="1"/>
      <c r="V78" s="5">
        <f t="shared" si="34"/>
        <v>7.6344395440477802E-2</v>
      </c>
      <c r="W78" s="1"/>
      <c r="X78" s="1">
        <f t="shared" si="35"/>
        <v>-13764.550000000003</v>
      </c>
      <c r="Y78" s="1"/>
      <c r="Z78" s="5">
        <f t="shared" si="36"/>
        <v>-0.26470288461538466</v>
      </c>
    </row>
    <row r="79" spans="1:26" s="24" customFormat="1" hidden="1" outlineLevel="2" x14ac:dyDescent="0.25">
      <c r="A79" s="25"/>
      <c r="B79" s="11" t="str">
        <f>CONCATENATE("          ", "6382", " - ", "DISCOUNTS/MARK DOWNS")</f>
        <v xml:space="preserve">          6382 - DISCOUNTS/MARK DOWNS</v>
      </c>
      <c r="C79" s="11"/>
      <c r="D79" s="7">
        <v>9978.7099999999991</v>
      </c>
      <c r="E79" s="2"/>
      <c r="F79" s="6">
        <f t="shared" si="29"/>
        <v>3.6650201326703109E-2</v>
      </c>
      <c r="G79" s="2"/>
      <c r="H79" s="7">
        <v>21000</v>
      </c>
      <c r="I79" s="2"/>
      <c r="J79" s="6">
        <f t="shared" si="30"/>
        <v>8.130144251988014E-2</v>
      </c>
      <c r="K79" s="2"/>
      <c r="L79" s="7">
        <f t="shared" si="31"/>
        <v>-11021.29</v>
      </c>
      <c r="M79" s="2"/>
      <c r="N79" s="6">
        <f t="shared" si="32"/>
        <v>-0.52482333333333342</v>
      </c>
      <c r="O79" s="11"/>
      <c r="P79" s="7">
        <v>38273.71</v>
      </c>
      <c r="Q79" s="2"/>
      <c r="R79" s="6">
        <f t="shared" si="33"/>
        <v>5.4208617028756068E-2</v>
      </c>
      <c r="S79" s="2"/>
      <c r="T79" s="7">
        <v>52000</v>
      </c>
      <c r="U79" s="2"/>
      <c r="V79" s="6">
        <f t="shared" si="34"/>
        <v>7.6344395440477802E-2</v>
      </c>
      <c r="W79" s="2"/>
      <c r="X79" s="7">
        <f t="shared" si="35"/>
        <v>-13726.29</v>
      </c>
      <c r="Y79" s="2"/>
      <c r="Z79" s="6">
        <f t="shared" si="36"/>
        <v>-0.26396711538461543</v>
      </c>
    </row>
    <row r="80" spans="1:26" s="24" customFormat="1" hidden="1" outlineLevel="2" x14ac:dyDescent="0.25">
      <c r="A80" s="25"/>
      <c r="B80" s="11" t="str">
        <f>CONCATENATE("          ", "9175", " - ", "EARNED DISCOUNTS")</f>
        <v xml:space="preserve">          9175 - EARNED DISCOUNTS</v>
      </c>
      <c r="C80" s="11"/>
      <c r="D80" s="7">
        <v>-38.26</v>
      </c>
      <c r="E80" s="2"/>
      <c r="F80" s="6">
        <f t="shared" si="29"/>
        <v>-1.4052284340958511E-4</v>
      </c>
      <c r="G80" s="2"/>
      <c r="H80" s="7"/>
      <c r="I80" s="2"/>
      <c r="J80" s="6">
        <f t="shared" si="30"/>
        <v>0</v>
      </c>
      <c r="K80" s="2"/>
      <c r="L80" s="7">
        <f t="shared" si="31"/>
        <v>-38.26</v>
      </c>
      <c r="M80" s="2"/>
      <c r="N80" s="6">
        <f t="shared" si="32"/>
        <v>0</v>
      </c>
      <c r="O80" s="11"/>
      <c r="P80" s="7">
        <v>-38.26</v>
      </c>
      <c r="Q80" s="2"/>
      <c r="R80" s="6">
        <f t="shared" si="33"/>
        <v>-5.4189198996392226E-5</v>
      </c>
      <c r="S80" s="2"/>
      <c r="T80" s="7"/>
      <c r="U80" s="2"/>
      <c r="V80" s="6">
        <f t="shared" si="34"/>
        <v>0</v>
      </c>
      <c r="W80" s="2"/>
      <c r="X80" s="7">
        <f t="shared" si="35"/>
        <v>-38.26</v>
      </c>
      <c r="Y80" s="2"/>
      <c r="Z80" s="6">
        <f t="shared" si="36"/>
        <v>0</v>
      </c>
    </row>
    <row r="81" spans="1:26" s="26" customFormat="1" outlineLevel="1" collapsed="1" x14ac:dyDescent="0.25">
      <c r="A81" s="27"/>
      <c r="B81" s="13" t="str">
        <f>CONCATENATE("     ","Employees' Appreciation                           ")</f>
        <v xml:space="preserve">     Employees' Appreciation                           </v>
      </c>
      <c r="C81" s="13"/>
      <c r="D81" s="1">
        <f>SUM(OSRRefD22_4x_0)</f>
        <v>0</v>
      </c>
      <c r="E81" s="1"/>
      <c r="F81" s="5">
        <f t="shared" ref="F81:F96" si="37">IF(D$12=0,0,D81/D$12)</f>
        <v>0</v>
      </c>
      <c r="G81" s="1"/>
      <c r="H81" s="1">
        <f>SUM(OSRRefH22_4x_0)</f>
        <v>150</v>
      </c>
      <c r="I81" s="1"/>
      <c r="J81" s="5">
        <f t="shared" ref="J81:J96" si="38">IF(H$12=0,0,H81/H$12)</f>
        <v>5.8072458942771531E-4</v>
      </c>
      <c r="K81" s="1"/>
      <c r="L81" s="1">
        <f t="shared" ref="L81:L96" si="39">+D81-H81</f>
        <v>-150</v>
      </c>
      <c r="M81" s="1"/>
      <c r="N81" s="5">
        <f t="shared" ref="N81:N96" si="40">IF(H81=0,0,L81/H81)</f>
        <v>-1</v>
      </c>
      <c r="O81" s="13"/>
      <c r="P81" s="1">
        <f>SUM(OSRRefP22_4x_0)</f>
        <v>12.98</v>
      </c>
      <c r="Q81" s="1"/>
      <c r="R81" s="5">
        <f t="shared" ref="R81:R96" si="41">IF(P$12=0,0,P81/P$12)</f>
        <v>1.8384103580061976E-5</v>
      </c>
      <c r="S81" s="1"/>
      <c r="T81" s="1">
        <f>SUM(OSRRefT22_4x_0)</f>
        <v>450</v>
      </c>
      <c r="U81" s="1"/>
      <c r="V81" s="5">
        <f t="shared" ref="V81:V96" si="42">IF(T$12=0,0,T81/T$12)</f>
        <v>6.6067265285028865E-4</v>
      </c>
      <c r="W81" s="1"/>
      <c r="X81" s="1">
        <f t="shared" ref="X81:X96" si="43">+P81-T81</f>
        <v>-437.02</v>
      </c>
      <c r="Y81" s="1"/>
      <c r="Z81" s="5">
        <f t="shared" ref="Z81:Z96" si="44">IF(T81=0,0,X81/T81)</f>
        <v>-0.97115555555555555</v>
      </c>
    </row>
    <row r="82" spans="1:26" s="24" customFormat="1" hidden="1" outlineLevel="2" x14ac:dyDescent="0.25">
      <c r="A82" s="25"/>
      <c r="B82" s="11" t="str">
        <f>CONCATENATE("          ", "6277", " - ", "EMPLOYEE APPRECIATION")</f>
        <v xml:space="preserve">          6277 - EMPLOYEE APPRECIATION</v>
      </c>
      <c r="C82" s="11"/>
      <c r="D82" s="7"/>
      <c r="E82" s="2"/>
      <c r="F82" s="6">
        <f t="shared" si="37"/>
        <v>0</v>
      </c>
      <c r="G82" s="2"/>
      <c r="H82" s="7">
        <v>150</v>
      </c>
      <c r="I82" s="2"/>
      <c r="J82" s="6">
        <f t="shared" si="38"/>
        <v>5.8072458942771531E-4</v>
      </c>
      <c r="K82" s="2"/>
      <c r="L82" s="7">
        <f t="shared" si="39"/>
        <v>-150</v>
      </c>
      <c r="M82" s="2"/>
      <c r="N82" s="6">
        <f t="shared" si="40"/>
        <v>-1</v>
      </c>
      <c r="O82" s="11"/>
      <c r="P82" s="7">
        <v>12.98</v>
      </c>
      <c r="Q82" s="2"/>
      <c r="R82" s="6">
        <f t="shared" si="41"/>
        <v>1.8384103580061976E-5</v>
      </c>
      <c r="S82" s="2"/>
      <c r="T82" s="7">
        <v>450</v>
      </c>
      <c r="U82" s="2"/>
      <c r="V82" s="6">
        <f t="shared" si="42"/>
        <v>6.6067265285028865E-4</v>
      </c>
      <c r="W82" s="2"/>
      <c r="X82" s="7">
        <f t="shared" si="43"/>
        <v>-437.02</v>
      </c>
      <c r="Y82" s="2"/>
      <c r="Z82" s="6">
        <f t="shared" si="44"/>
        <v>-0.97115555555555555</v>
      </c>
    </row>
    <row r="83" spans="1:26" s="26" customFormat="1" outlineLevel="1" collapsed="1" x14ac:dyDescent="0.25">
      <c r="A83" s="27"/>
      <c r="B83" s="13" t="str">
        <f>CONCATENATE("     ","Freight out/Postage                               ")</f>
        <v xml:space="preserve">     Freight out/Postage                               </v>
      </c>
      <c r="C83" s="13"/>
      <c r="D83" s="1">
        <f>SUM(OSRRefD22_5x_0)</f>
        <v>0</v>
      </c>
      <c r="E83" s="1"/>
      <c r="F83" s="5">
        <f t="shared" si="37"/>
        <v>0</v>
      </c>
      <c r="G83" s="1"/>
      <c r="H83" s="1">
        <f>SUM(OSRRefH22_5x_0)</f>
        <v>50</v>
      </c>
      <c r="I83" s="1"/>
      <c r="J83" s="5">
        <f t="shared" si="38"/>
        <v>1.9357486314257175E-4</v>
      </c>
      <c r="K83" s="1"/>
      <c r="L83" s="1">
        <f t="shared" si="39"/>
        <v>-50</v>
      </c>
      <c r="M83" s="1"/>
      <c r="N83" s="5">
        <f t="shared" si="40"/>
        <v>-1</v>
      </c>
      <c r="O83" s="13"/>
      <c r="P83" s="1">
        <f>SUM(OSRRefP22_5x_0)</f>
        <v>0</v>
      </c>
      <c r="Q83" s="1"/>
      <c r="R83" s="5">
        <f t="shared" si="41"/>
        <v>0</v>
      </c>
      <c r="S83" s="1"/>
      <c r="T83" s="1">
        <f>SUM(OSRRefT22_5x_0)</f>
        <v>150</v>
      </c>
      <c r="U83" s="1"/>
      <c r="V83" s="5">
        <f t="shared" si="42"/>
        <v>2.2022421761676289E-4</v>
      </c>
      <c r="W83" s="1"/>
      <c r="X83" s="1">
        <f t="shared" si="43"/>
        <v>-150</v>
      </c>
      <c r="Y83" s="1"/>
      <c r="Z83" s="5">
        <f t="shared" si="44"/>
        <v>-1</v>
      </c>
    </row>
    <row r="84" spans="1:26" s="24" customFormat="1" hidden="1" outlineLevel="2" x14ac:dyDescent="0.25">
      <c r="A84" s="25"/>
      <c r="B84" s="11" t="str">
        <f>CONCATENATE("          ", "6305", " - ", "FREIGHT OUT")</f>
        <v xml:space="preserve">          6305 - FREIGHT OUT</v>
      </c>
      <c r="C84" s="11"/>
      <c r="D84" s="7"/>
      <c r="E84" s="2"/>
      <c r="F84" s="6">
        <f t="shared" si="37"/>
        <v>0</v>
      </c>
      <c r="G84" s="2"/>
      <c r="H84" s="7">
        <v>50</v>
      </c>
      <c r="I84" s="2"/>
      <c r="J84" s="6">
        <f t="shared" si="38"/>
        <v>1.9357486314257175E-4</v>
      </c>
      <c r="K84" s="2"/>
      <c r="L84" s="7">
        <f t="shared" si="39"/>
        <v>-50</v>
      </c>
      <c r="M84" s="2"/>
      <c r="N84" s="6">
        <f t="shared" si="40"/>
        <v>-1</v>
      </c>
      <c r="O84" s="11"/>
      <c r="P84" s="7"/>
      <c r="Q84" s="2"/>
      <c r="R84" s="6">
        <f t="shared" si="41"/>
        <v>0</v>
      </c>
      <c r="S84" s="2"/>
      <c r="T84" s="7">
        <v>150</v>
      </c>
      <c r="U84" s="2"/>
      <c r="V84" s="6">
        <f t="shared" si="42"/>
        <v>2.2022421761676289E-4</v>
      </c>
      <c r="W84" s="2"/>
      <c r="X84" s="7">
        <f t="shared" si="43"/>
        <v>-150</v>
      </c>
      <c r="Y84" s="2"/>
      <c r="Z84" s="6">
        <f t="shared" si="44"/>
        <v>-1</v>
      </c>
    </row>
    <row r="85" spans="1:26" s="26" customFormat="1" outlineLevel="1" collapsed="1" x14ac:dyDescent="0.25">
      <c r="A85" s="27"/>
      <c r="B85" s="13" t="str">
        <f>CONCATENATE("     ","General                                           ")</f>
        <v xml:space="preserve">     General                                           </v>
      </c>
      <c r="C85" s="13"/>
      <c r="D85" s="1">
        <f>SUM(OSRRefD22_6x_0)</f>
        <v>0</v>
      </c>
      <c r="E85" s="1"/>
      <c r="F85" s="5">
        <f t="shared" si="37"/>
        <v>0</v>
      </c>
      <c r="G85" s="1"/>
      <c r="H85" s="1">
        <f>SUM(OSRRefH22_6x_0)</f>
        <v>0</v>
      </c>
      <c r="I85" s="1"/>
      <c r="J85" s="5">
        <f t="shared" si="38"/>
        <v>0</v>
      </c>
      <c r="K85" s="1"/>
      <c r="L85" s="1">
        <f t="shared" si="39"/>
        <v>0</v>
      </c>
      <c r="M85" s="1"/>
      <c r="N85" s="5">
        <f t="shared" si="40"/>
        <v>0</v>
      </c>
      <c r="O85" s="13"/>
      <c r="P85" s="1">
        <f>SUM(OSRRefP22_6x_0)</f>
        <v>0</v>
      </c>
      <c r="Q85" s="1"/>
      <c r="R85" s="5">
        <f t="shared" si="41"/>
        <v>0</v>
      </c>
      <c r="S85" s="1"/>
      <c r="T85" s="1">
        <f>SUM(OSRRefT22_6x_0)</f>
        <v>0</v>
      </c>
      <c r="U85" s="1"/>
      <c r="V85" s="5">
        <f t="shared" si="42"/>
        <v>0</v>
      </c>
      <c r="W85" s="1"/>
      <c r="X85" s="1">
        <f t="shared" si="43"/>
        <v>0</v>
      </c>
      <c r="Y85" s="1"/>
      <c r="Z85" s="5">
        <f t="shared" si="44"/>
        <v>0</v>
      </c>
    </row>
    <row r="86" spans="1:26" s="24" customFormat="1" hidden="1" outlineLevel="2" x14ac:dyDescent="0.25">
      <c r="A86" s="25"/>
      <c r="B86" s="11" t="str">
        <f>CONCATENATE("          ", "6279", " - ", "GENERAL EXPENSE")</f>
        <v xml:space="preserve">          6279 - GENERAL EXPENSE</v>
      </c>
      <c r="C86" s="11"/>
      <c r="D86" s="7"/>
      <c r="E86" s="2"/>
      <c r="F86" s="6">
        <f t="shared" si="37"/>
        <v>0</v>
      </c>
      <c r="G86" s="2"/>
      <c r="H86" s="7">
        <v>0</v>
      </c>
      <c r="I86" s="2"/>
      <c r="J86" s="6">
        <f t="shared" si="38"/>
        <v>0</v>
      </c>
      <c r="K86" s="2"/>
      <c r="L86" s="7">
        <f t="shared" si="39"/>
        <v>0</v>
      </c>
      <c r="M86" s="2"/>
      <c r="N86" s="6">
        <f t="shared" si="40"/>
        <v>0</v>
      </c>
      <c r="O86" s="11"/>
      <c r="P86" s="7"/>
      <c r="Q86" s="2"/>
      <c r="R86" s="6">
        <f t="shared" si="41"/>
        <v>0</v>
      </c>
      <c r="S86" s="2"/>
      <c r="T86" s="7">
        <v>0</v>
      </c>
      <c r="U86" s="2"/>
      <c r="V86" s="6">
        <f t="shared" si="42"/>
        <v>0</v>
      </c>
      <c r="W86" s="2"/>
      <c r="X86" s="7">
        <f t="shared" si="43"/>
        <v>0</v>
      </c>
      <c r="Y86" s="2"/>
      <c r="Z86" s="6">
        <f t="shared" si="44"/>
        <v>0</v>
      </c>
    </row>
    <row r="87" spans="1:26" s="26" customFormat="1" outlineLevel="1" collapsed="1" x14ac:dyDescent="0.25">
      <c r="A87" s="27"/>
      <c r="B87" s="13" t="str">
        <f>CONCATENATE("     ","Inventory Adjustment                              ")</f>
        <v xml:space="preserve">     Inventory Adjustment                              </v>
      </c>
      <c r="C87" s="13"/>
      <c r="D87" s="1">
        <f>SUM(OSRRefD22_7x_0)</f>
        <v>2850</v>
      </c>
      <c r="E87" s="1"/>
      <c r="F87" s="5">
        <f t="shared" si="37"/>
        <v>1.0467592883359059E-2</v>
      </c>
      <c r="G87" s="1"/>
      <c r="H87" s="1">
        <f>SUM(OSRRefH22_7x_0)</f>
        <v>2850</v>
      </c>
      <c r="I87" s="1"/>
      <c r="J87" s="5">
        <f t="shared" si="38"/>
        <v>1.103376719912659E-2</v>
      </c>
      <c r="K87" s="1"/>
      <c r="L87" s="1">
        <f t="shared" si="39"/>
        <v>0</v>
      </c>
      <c r="M87" s="1"/>
      <c r="N87" s="5">
        <f t="shared" si="40"/>
        <v>0</v>
      </c>
      <c r="O87" s="13"/>
      <c r="P87" s="1">
        <f>SUM(OSRRefP22_7x_0)</f>
        <v>8550</v>
      </c>
      <c r="Q87" s="1"/>
      <c r="R87" s="5">
        <f t="shared" si="41"/>
        <v>1.2109713837406E-2</v>
      </c>
      <c r="S87" s="1"/>
      <c r="T87" s="1">
        <f>SUM(OSRRefT22_7x_0)</f>
        <v>8550</v>
      </c>
      <c r="U87" s="1"/>
      <c r="V87" s="5">
        <f t="shared" si="42"/>
        <v>1.2552780404155485E-2</v>
      </c>
      <c r="W87" s="1"/>
      <c r="X87" s="1">
        <f t="shared" si="43"/>
        <v>0</v>
      </c>
      <c r="Y87" s="1"/>
      <c r="Z87" s="5">
        <f t="shared" si="44"/>
        <v>0</v>
      </c>
    </row>
    <row r="88" spans="1:26" s="24" customFormat="1" hidden="1" outlineLevel="2" x14ac:dyDescent="0.25">
      <c r="A88" s="25"/>
      <c r="B88" s="11" t="str">
        <f>CONCATENATE("          ", "6408", " - ", "INVENTORY ADJUSTMENT")</f>
        <v xml:space="preserve">          6408 - INVENTORY ADJUSTMENT</v>
      </c>
      <c r="C88" s="11"/>
      <c r="D88" s="7">
        <v>2850</v>
      </c>
      <c r="E88" s="2"/>
      <c r="F88" s="6">
        <f t="shared" si="37"/>
        <v>1.0467592883359059E-2</v>
      </c>
      <c r="G88" s="2"/>
      <c r="H88" s="7">
        <v>2850</v>
      </c>
      <c r="I88" s="2"/>
      <c r="J88" s="6">
        <f t="shared" si="38"/>
        <v>1.103376719912659E-2</v>
      </c>
      <c r="K88" s="2"/>
      <c r="L88" s="7">
        <f t="shared" si="39"/>
        <v>0</v>
      </c>
      <c r="M88" s="2"/>
      <c r="N88" s="6">
        <f t="shared" si="40"/>
        <v>0</v>
      </c>
      <c r="O88" s="11"/>
      <c r="P88" s="7">
        <v>8550</v>
      </c>
      <c r="Q88" s="2"/>
      <c r="R88" s="6">
        <f t="shared" si="41"/>
        <v>1.2109713837406E-2</v>
      </c>
      <c r="S88" s="2"/>
      <c r="T88" s="7">
        <v>8550</v>
      </c>
      <c r="U88" s="2"/>
      <c r="V88" s="6">
        <f t="shared" si="42"/>
        <v>1.2552780404155485E-2</v>
      </c>
      <c r="W88" s="2"/>
      <c r="X88" s="7">
        <f t="shared" si="43"/>
        <v>0</v>
      </c>
      <c r="Y88" s="2"/>
      <c r="Z88" s="6">
        <f t="shared" si="44"/>
        <v>0</v>
      </c>
    </row>
    <row r="89" spans="1:26" s="26" customFormat="1" outlineLevel="1" collapsed="1" x14ac:dyDescent="0.25">
      <c r="A89" s="27"/>
      <c r="B89" s="13" t="str">
        <f>CONCATENATE("     ","Professional Services                             ")</f>
        <v xml:space="preserve">     Professional Services                             </v>
      </c>
      <c r="C89" s="13"/>
      <c r="D89" s="1">
        <f>SUM(OSRRefD22_8x_0)</f>
        <v>0</v>
      </c>
      <c r="E89" s="1"/>
      <c r="F89" s="5">
        <f t="shared" si="37"/>
        <v>0</v>
      </c>
      <c r="G89" s="1"/>
      <c r="H89" s="1">
        <f>SUM(OSRRefH22_8x_0)</f>
        <v>0</v>
      </c>
      <c r="I89" s="1"/>
      <c r="J89" s="5">
        <f t="shared" si="38"/>
        <v>0</v>
      </c>
      <c r="K89" s="1"/>
      <c r="L89" s="1">
        <f t="shared" si="39"/>
        <v>0</v>
      </c>
      <c r="M89" s="1"/>
      <c r="N89" s="5">
        <f t="shared" si="40"/>
        <v>0</v>
      </c>
      <c r="O89" s="13"/>
      <c r="P89" s="1">
        <f>SUM(OSRRefP22_8x_0)</f>
        <v>0</v>
      </c>
      <c r="Q89" s="1"/>
      <c r="R89" s="5">
        <f t="shared" si="41"/>
        <v>0</v>
      </c>
      <c r="S89" s="1"/>
      <c r="T89" s="1">
        <f>SUM(OSRRefT22_8x_0)</f>
        <v>1500</v>
      </c>
      <c r="U89" s="1"/>
      <c r="V89" s="5">
        <f t="shared" si="42"/>
        <v>2.2022421761676288E-3</v>
      </c>
      <c r="W89" s="1"/>
      <c r="X89" s="1">
        <f t="shared" si="43"/>
        <v>-1500</v>
      </c>
      <c r="Y89" s="1"/>
      <c r="Z89" s="5">
        <f t="shared" si="44"/>
        <v>-1</v>
      </c>
    </row>
    <row r="90" spans="1:26" s="24" customFormat="1" hidden="1" outlineLevel="2" x14ac:dyDescent="0.25">
      <c r="A90" s="25"/>
      <c r="B90" s="11" t="str">
        <f>CONCATENATE("          ", "6336", " - ", "PROFESSIONAL SERVICES")</f>
        <v xml:space="preserve">          6336 - PROFESSIONAL SERVICES</v>
      </c>
      <c r="C90" s="11"/>
      <c r="D90" s="7"/>
      <c r="E90" s="2"/>
      <c r="F90" s="6">
        <f t="shared" si="37"/>
        <v>0</v>
      </c>
      <c r="G90" s="2"/>
      <c r="H90" s="7">
        <v>0</v>
      </c>
      <c r="I90" s="2"/>
      <c r="J90" s="6">
        <f t="shared" si="38"/>
        <v>0</v>
      </c>
      <c r="K90" s="2"/>
      <c r="L90" s="7">
        <f t="shared" si="39"/>
        <v>0</v>
      </c>
      <c r="M90" s="2"/>
      <c r="N90" s="6">
        <f t="shared" si="40"/>
        <v>0</v>
      </c>
      <c r="O90" s="11"/>
      <c r="P90" s="7"/>
      <c r="Q90" s="2"/>
      <c r="R90" s="6">
        <f t="shared" si="41"/>
        <v>0</v>
      </c>
      <c r="S90" s="2"/>
      <c r="T90" s="7">
        <v>1500</v>
      </c>
      <c r="U90" s="2"/>
      <c r="V90" s="6">
        <f t="shared" si="42"/>
        <v>2.2022421761676288E-3</v>
      </c>
      <c r="W90" s="2"/>
      <c r="X90" s="7">
        <f t="shared" si="43"/>
        <v>-1500</v>
      </c>
      <c r="Y90" s="2"/>
      <c r="Z90" s="6">
        <f t="shared" si="44"/>
        <v>-1</v>
      </c>
    </row>
    <row r="91" spans="1:26" s="26" customFormat="1" outlineLevel="1" collapsed="1" x14ac:dyDescent="0.25">
      <c r="A91" s="27"/>
      <c r="B91" s="13" t="str">
        <f>CONCATENATE("     ","Repair and Maintenance                            ")</f>
        <v xml:space="preserve">     Repair and Maintenance                            </v>
      </c>
      <c r="C91" s="13"/>
      <c r="D91" s="1">
        <f>SUM(OSRRefD22_9x_0)</f>
        <v>0</v>
      </c>
      <c r="E91" s="1"/>
      <c r="F91" s="5">
        <f t="shared" si="37"/>
        <v>0</v>
      </c>
      <c r="G91" s="1"/>
      <c r="H91" s="1">
        <f>SUM(OSRRefH22_9x_0)</f>
        <v>50</v>
      </c>
      <c r="I91" s="1"/>
      <c r="J91" s="5">
        <f t="shared" si="38"/>
        <v>1.9357486314257175E-4</v>
      </c>
      <c r="K91" s="1"/>
      <c r="L91" s="1">
        <f t="shared" si="39"/>
        <v>-50</v>
      </c>
      <c r="M91" s="1"/>
      <c r="N91" s="5">
        <f t="shared" si="40"/>
        <v>-1</v>
      </c>
      <c r="O91" s="13"/>
      <c r="P91" s="1">
        <f>SUM(OSRRefP22_9x_0)</f>
        <v>0</v>
      </c>
      <c r="Q91" s="1"/>
      <c r="R91" s="5">
        <f t="shared" si="41"/>
        <v>0</v>
      </c>
      <c r="S91" s="1"/>
      <c r="T91" s="1">
        <f>SUM(OSRRefT22_9x_0)</f>
        <v>150</v>
      </c>
      <c r="U91" s="1"/>
      <c r="V91" s="5">
        <f t="shared" si="42"/>
        <v>2.2022421761676289E-4</v>
      </c>
      <c r="W91" s="1"/>
      <c r="X91" s="1">
        <f t="shared" si="43"/>
        <v>-150</v>
      </c>
      <c r="Y91" s="1"/>
      <c r="Z91" s="5">
        <f t="shared" si="44"/>
        <v>-1</v>
      </c>
    </row>
    <row r="92" spans="1:26" s="24" customFormat="1" hidden="1" outlineLevel="2" x14ac:dyDescent="0.25">
      <c r="A92" s="25"/>
      <c r="B92" s="11" t="str">
        <f>CONCATENATE("          ", "6375", " - ", "OUTSIDE REPAIRS &amp; MAINTENANCE")</f>
        <v xml:space="preserve">          6375 - OUTSIDE REPAIRS &amp; MAINTENANCE</v>
      </c>
      <c r="C92" s="11"/>
      <c r="D92" s="7"/>
      <c r="E92" s="2"/>
      <c r="F92" s="6">
        <f t="shared" si="37"/>
        <v>0</v>
      </c>
      <c r="G92" s="2"/>
      <c r="H92" s="7">
        <v>50</v>
      </c>
      <c r="I92" s="2"/>
      <c r="J92" s="6">
        <f t="shared" si="38"/>
        <v>1.9357486314257175E-4</v>
      </c>
      <c r="K92" s="2"/>
      <c r="L92" s="7">
        <f t="shared" si="39"/>
        <v>-50</v>
      </c>
      <c r="M92" s="2"/>
      <c r="N92" s="6">
        <f t="shared" si="40"/>
        <v>-1</v>
      </c>
      <c r="O92" s="11"/>
      <c r="P92" s="7"/>
      <c r="Q92" s="2"/>
      <c r="R92" s="6">
        <f t="shared" si="41"/>
        <v>0</v>
      </c>
      <c r="S92" s="2"/>
      <c r="T92" s="7">
        <v>150</v>
      </c>
      <c r="U92" s="2"/>
      <c r="V92" s="6">
        <f t="shared" si="42"/>
        <v>2.2022421761676289E-4</v>
      </c>
      <c r="W92" s="2"/>
      <c r="X92" s="7">
        <f t="shared" si="43"/>
        <v>-150</v>
      </c>
      <c r="Y92" s="2"/>
      <c r="Z92" s="6">
        <f t="shared" si="44"/>
        <v>-1</v>
      </c>
    </row>
    <row r="93" spans="1:26" s="26" customFormat="1" outlineLevel="1" collapsed="1" x14ac:dyDescent="0.25">
      <c r="A93" s="27"/>
      <c r="B93" s="13" t="str">
        <f>CONCATENATE("     ","Royalty &amp; Commissions                             ")</f>
        <v xml:space="preserve">     Royalty &amp; Commissions                             </v>
      </c>
      <c r="C93" s="13"/>
      <c r="D93" s="1">
        <f>SUM(OSRRefD22_10x_0)</f>
        <v>365.38</v>
      </c>
      <c r="E93" s="1"/>
      <c r="F93" s="5">
        <f t="shared" si="37"/>
        <v>1.3419821360427131E-3</v>
      </c>
      <c r="G93" s="1"/>
      <c r="H93" s="1">
        <f>SUM(OSRRefH22_10x_0)</f>
        <v>5485</v>
      </c>
      <c r="I93" s="1"/>
      <c r="J93" s="5">
        <f t="shared" si="38"/>
        <v>2.1235162486740122E-2</v>
      </c>
      <c r="K93" s="1"/>
      <c r="L93" s="1">
        <f t="shared" si="39"/>
        <v>-5119.62</v>
      </c>
      <c r="M93" s="1"/>
      <c r="N93" s="5">
        <f t="shared" si="40"/>
        <v>-0.93338559708295354</v>
      </c>
      <c r="O93" s="13"/>
      <c r="P93" s="1">
        <f>SUM(OSRRefP22_10x_0)</f>
        <v>4982.82</v>
      </c>
      <c r="Q93" s="1"/>
      <c r="R93" s="5">
        <f t="shared" si="41"/>
        <v>7.057371263544253E-3</v>
      </c>
      <c r="S93" s="1"/>
      <c r="T93" s="1">
        <f>SUM(OSRRefT22_10x_0)</f>
        <v>16455</v>
      </c>
      <c r="U93" s="1"/>
      <c r="V93" s="5">
        <f t="shared" si="42"/>
        <v>2.4158596672558888E-2</v>
      </c>
      <c r="W93" s="1"/>
      <c r="X93" s="1">
        <f t="shared" si="43"/>
        <v>-11472.18</v>
      </c>
      <c r="Y93" s="1"/>
      <c r="Z93" s="5">
        <f t="shared" si="44"/>
        <v>-0.69718505013673659</v>
      </c>
    </row>
    <row r="94" spans="1:26" s="24" customFormat="1" hidden="1" outlineLevel="2" x14ac:dyDescent="0.25">
      <c r="A94" s="25"/>
      <c r="B94" s="11" t="str">
        <f>CONCATENATE("          ", "6252", " - ", "ROYALTY DUE CSTV")</f>
        <v xml:space="preserve">          6252 - ROYALTY DUE CSTV</v>
      </c>
      <c r="C94" s="11"/>
      <c r="D94" s="7"/>
      <c r="E94" s="2"/>
      <c r="F94" s="6">
        <f t="shared" si="37"/>
        <v>0</v>
      </c>
      <c r="G94" s="2"/>
      <c r="H94" s="7">
        <v>1085</v>
      </c>
      <c r="I94" s="2"/>
      <c r="J94" s="6">
        <f t="shared" si="38"/>
        <v>4.2005745301938076E-3</v>
      </c>
      <c r="K94" s="2"/>
      <c r="L94" s="7">
        <f t="shared" si="39"/>
        <v>-1085</v>
      </c>
      <c r="M94" s="2"/>
      <c r="N94" s="6">
        <f t="shared" si="40"/>
        <v>-1</v>
      </c>
      <c r="O94" s="11"/>
      <c r="P94" s="7"/>
      <c r="Q94" s="2"/>
      <c r="R94" s="6">
        <f t="shared" si="41"/>
        <v>0</v>
      </c>
      <c r="S94" s="2"/>
      <c r="T94" s="7">
        <v>3255</v>
      </c>
      <c r="U94" s="2"/>
      <c r="V94" s="6">
        <f t="shared" si="42"/>
        <v>4.7788655222837546E-3</v>
      </c>
      <c r="W94" s="2"/>
      <c r="X94" s="7">
        <f t="shared" si="43"/>
        <v>-3255</v>
      </c>
      <c r="Y94" s="2"/>
      <c r="Z94" s="6">
        <f t="shared" si="44"/>
        <v>-1</v>
      </c>
    </row>
    <row r="95" spans="1:26" s="24" customFormat="1" hidden="1" outlineLevel="2" x14ac:dyDescent="0.25">
      <c r="A95" s="25"/>
      <c r="B95" s="11" t="str">
        <f>CONCATENATE("          ", "6253", " - ", "ROYALTY DUE ATHLETICS-LRG")</f>
        <v xml:space="preserve">          6253 - ROYALTY DUE ATHLETICS-LRG</v>
      </c>
      <c r="C95" s="11"/>
      <c r="D95" s="7"/>
      <c r="E95" s="2"/>
      <c r="F95" s="6">
        <f t="shared" si="37"/>
        <v>0</v>
      </c>
      <c r="G95" s="2"/>
      <c r="H95" s="7">
        <v>3700</v>
      </c>
      <c r="I95" s="2"/>
      <c r="J95" s="6">
        <f t="shared" si="38"/>
        <v>1.432453987255031E-2</v>
      </c>
      <c r="K95" s="2"/>
      <c r="L95" s="7">
        <f t="shared" si="39"/>
        <v>-3700</v>
      </c>
      <c r="M95" s="2"/>
      <c r="N95" s="6">
        <f t="shared" si="40"/>
        <v>-1</v>
      </c>
      <c r="O95" s="11"/>
      <c r="P95" s="7">
        <v>4366.95</v>
      </c>
      <c r="Q95" s="2"/>
      <c r="R95" s="6">
        <f t="shared" si="41"/>
        <v>6.1850894552351026E-3</v>
      </c>
      <c r="S95" s="2"/>
      <c r="T95" s="7">
        <v>11100</v>
      </c>
      <c r="U95" s="2"/>
      <c r="V95" s="6">
        <f t="shared" si="42"/>
        <v>1.6296592103640452E-2</v>
      </c>
      <c r="W95" s="2"/>
      <c r="X95" s="7">
        <f t="shared" si="43"/>
        <v>-6733.05</v>
      </c>
      <c r="Y95" s="2"/>
      <c r="Z95" s="6">
        <f t="shared" si="44"/>
        <v>-0.60658108108108111</v>
      </c>
    </row>
    <row r="96" spans="1:26" s="24" customFormat="1" hidden="1" outlineLevel="2" x14ac:dyDescent="0.25">
      <c r="A96" s="25"/>
      <c r="B96" s="11" t="str">
        <f>CONCATENATE("          ", "6254", " - ", "ROYALTY &amp; COMMISSIONS")</f>
        <v xml:space="preserve">          6254 - ROYALTY &amp; COMMISSIONS</v>
      </c>
      <c r="C96" s="11"/>
      <c r="D96" s="7">
        <v>365.38</v>
      </c>
      <c r="E96" s="2"/>
      <c r="F96" s="6">
        <f t="shared" si="37"/>
        <v>1.3419821360427131E-3</v>
      </c>
      <c r="G96" s="2"/>
      <c r="H96" s="7">
        <v>700</v>
      </c>
      <c r="I96" s="2"/>
      <c r="J96" s="6">
        <f t="shared" si="38"/>
        <v>2.7100480839960047E-3</v>
      </c>
      <c r="K96" s="2"/>
      <c r="L96" s="7">
        <f t="shared" si="39"/>
        <v>-334.62</v>
      </c>
      <c r="M96" s="2"/>
      <c r="N96" s="6">
        <f t="shared" si="40"/>
        <v>-0.47802857142857141</v>
      </c>
      <c r="O96" s="11"/>
      <c r="P96" s="7">
        <v>615.87</v>
      </c>
      <c r="Q96" s="2"/>
      <c r="R96" s="6">
        <f t="shared" si="41"/>
        <v>8.7228180830915011E-4</v>
      </c>
      <c r="S96" s="2"/>
      <c r="T96" s="7">
        <v>2100</v>
      </c>
      <c r="U96" s="2"/>
      <c r="V96" s="6">
        <f t="shared" si="42"/>
        <v>3.0831390466346804E-3</v>
      </c>
      <c r="W96" s="2"/>
      <c r="X96" s="7">
        <f t="shared" si="43"/>
        <v>-1484.13</v>
      </c>
      <c r="Y96" s="2"/>
      <c r="Z96" s="6">
        <f t="shared" si="44"/>
        <v>-0.70672857142857148</v>
      </c>
    </row>
    <row r="97" spans="1:26" s="26" customFormat="1" outlineLevel="1" collapsed="1" x14ac:dyDescent="0.25">
      <c r="A97" s="27"/>
      <c r="B97" s="13" t="str">
        <f>CONCATENATE("     ","Subscriptions &amp; Dues                              ")</f>
        <v xml:space="preserve">     Subscriptions &amp; Dues                              </v>
      </c>
      <c r="C97" s="13"/>
      <c r="D97" s="1">
        <f>SUM(OSRRefD22_11x_0)</f>
        <v>296.64</v>
      </c>
      <c r="E97" s="1"/>
      <c r="F97" s="5">
        <f t="shared" ref="F97:F99" si="45">IF(D$12=0,0,D97/D$12)</f>
        <v>1.0895111413753091E-3</v>
      </c>
      <c r="G97" s="1"/>
      <c r="H97" s="1">
        <f>SUM(OSRRefH22_11x_0)</f>
        <v>0</v>
      </c>
      <c r="I97" s="1"/>
      <c r="J97" s="5">
        <f t="shared" ref="J97:J99" si="46">IF(H$12=0,0,H97/H$12)</f>
        <v>0</v>
      </c>
      <c r="K97" s="1"/>
      <c r="L97" s="1">
        <f t="shared" ref="L97:L99" si="47">+D97-H97</f>
        <v>296.64</v>
      </c>
      <c r="M97" s="1"/>
      <c r="N97" s="5">
        <f t="shared" ref="N97:N99" si="48">IF(H97=0,0,L97/H97)</f>
        <v>0</v>
      </c>
      <c r="O97" s="13"/>
      <c r="P97" s="1">
        <f>SUM(OSRRefP22_11x_0)</f>
        <v>296.64</v>
      </c>
      <c r="Q97" s="1"/>
      <c r="R97" s="5">
        <f t="shared" ref="R97:R99" si="49">IF(P$12=0,0,P97/P$12)</f>
        <v>4.2014333482200182E-4</v>
      </c>
      <c r="S97" s="1"/>
      <c r="T97" s="1">
        <f>SUM(OSRRefT22_11x_0)</f>
        <v>1800</v>
      </c>
      <c r="U97" s="1"/>
      <c r="V97" s="5">
        <f t="shared" ref="V97:V99" si="50">IF(T$12=0,0,T97/T$12)</f>
        <v>2.6426906114011546E-3</v>
      </c>
      <c r="W97" s="1"/>
      <c r="X97" s="1">
        <f t="shared" ref="X97:X99" si="51">+P97-T97</f>
        <v>-1503.3600000000001</v>
      </c>
      <c r="Y97" s="1"/>
      <c r="Z97" s="5">
        <f t="shared" ref="Z97:Z99" si="52">IF(T97=0,0,X97/T97)</f>
        <v>-0.83520000000000005</v>
      </c>
    </row>
    <row r="98" spans="1:26" s="24" customFormat="1" hidden="1" outlineLevel="2" x14ac:dyDescent="0.25">
      <c r="A98" s="25"/>
      <c r="B98" s="11" t="str">
        <f>CONCATENATE("          ", "6258", " - ", "MEMBERSHIP DUES")</f>
        <v xml:space="preserve">          6258 - MEMBERSHIP DUES</v>
      </c>
      <c r="C98" s="11"/>
      <c r="D98" s="7"/>
      <c r="E98" s="2"/>
      <c r="F98" s="6">
        <f t="shared" si="45"/>
        <v>0</v>
      </c>
      <c r="G98" s="2"/>
      <c r="H98" s="7">
        <v>0</v>
      </c>
      <c r="I98" s="2"/>
      <c r="J98" s="6">
        <f t="shared" si="46"/>
        <v>0</v>
      </c>
      <c r="K98" s="2"/>
      <c r="L98" s="7">
        <f t="shared" si="47"/>
        <v>0</v>
      </c>
      <c r="M98" s="2"/>
      <c r="N98" s="6">
        <f t="shared" si="48"/>
        <v>0</v>
      </c>
      <c r="O98" s="11"/>
      <c r="P98" s="7"/>
      <c r="Q98" s="2"/>
      <c r="R98" s="6">
        <f t="shared" si="49"/>
        <v>0</v>
      </c>
      <c r="S98" s="2"/>
      <c r="T98" s="7">
        <v>1000</v>
      </c>
      <c r="U98" s="2"/>
      <c r="V98" s="6">
        <f t="shared" si="50"/>
        <v>1.4681614507784191E-3</v>
      </c>
      <c r="W98" s="2"/>
      <c r="X98" s="7">
        <f t="shared" si="51"/>
        <v>-1000</v>
      </c>
      <c r="Y98" s="2"/>
      <c r="Z98" s="6">
        <f t="shared" si="52"/>
        <v>-1</v>
      </c>
    </row>
    <row r="99" spans="1:26" s="24" customFormat="1" hidden="1" outlineLevel="2" x14ac:dyDescent="0.25">
      <c r="A99" s="25"/>
      <c r="B99" s="11" t="str">
        <f>CONCATENATE("          ", "6275", " - ", "SUBSCRIPTIONS")</f>
        <v xml:space="preserve">          6275 - SUBSCRIPTIONS</v>
      </c>
      <c r="C99" s="11"/>
      <c r="D99" s="7">
        <v>296.64</v>
      </c>
      <c r="E99" s="2"/>
      <c r="F99" s="6">
        <f t="shared" si="45"/>
        <v>1.0895111413753091E-3</v>
      </c>
      <c r="G99" s="2"/>
      <c r="H99" s="7">
        <v>0</v>
      </c>
      <c r="I99" s="2"/>
      <c r="J99" s="6">
        <f t="shared" si="46"/>
        <v>0</v>
      </c>
      <c r="K99" s="2"/>
      <c r="L99" s="7">
        <f t="shared" si="47"/>
        <v>296.64</v>
      </c>
      <c r="M99" s="2"/>
      <c r="N99" s="6">
        <f t="shared" si="48"/>
        <v>0</v>
      </c>
      <c r="O99" s="11"/>
      <c r="P99" s="7">
        <v>296.64</v>
      </c>
      <c r="Q99" s="2"/>
      <c r="R99" s="6">
        <f t="shared" si="49"/>
        <v>4.2014333482200182E-4</v>
      </c>
      <c r="S99" s="2"/>
      <c r="T99" s="7">
        <v>800</v>
      </c>
      <c r="U99" s="2"/>
      <c r="V99" s="6">
        <f t="shared" si="50"/>
        <v>1.1745291606227353E-3</v>
      </c>
      <c r="W99" s="2"/>
      <c r="X99" s="7">
        <f t="shared" si="51"/>
        <v>-503.36</v>
      </c>
      <c r="Y99" s="2"/>
      <c r="Z99" s="6">
        <f t="shared" si="52"/>
        <v>-0.62919999999999998</v>
      </c>
    </row>
    <row r="100" spans="1:26" s="26" customFormat="1" outlineLevel="1" collapsed="1" x14ac:dyDescent="0.25">
      <c r="A100" s="27"/>
      <c r="B100" s="13" t="str">
        <f>CONCATENATE("     ","Supplies                                          ")</f>
        <v xml:space="preserve">     Supplies                                          </v>
      </c>
      <c r="C100" s="13"/>
      <c r="D100" s="1">
        <f>SUM(OSRRefD22_12x_0)</f>
        <v>290.02</v>
      </c>
      <c r="E100" s="1"/>
      <c r="F100" s="5">
        <f t="shared" ref="F100:F104" si="53">IF(D$12=0,0,D100/D$12)</f>
        <v>1.0651969431690505E-3</v>
      </c>
      <c r="G100" s="1"/>
      <c r="H100" s="1">
        <f>SUM(OSRRefH22_12x_0)</f>
        <v>625</v>
      </c>
      <c r="I100" s="1"/>
      <c r="J100" s="5">
        <f t="shared" ref="J100:J104" si="54">IF(H$12=0,0,H100/H$12)</f>
        <v>2.419685789282147E-3</v>
      </c>
      <c r="K100" s="1"/>
      <c r="L100" s="1">
        <f t="shared" ref="L100:L104" si="55">+D100-H100</f>
        <v>-334.98</v>
      </c>
      <c r="M100" s="1"/>
      <c r="N100" s="5">
        <f t="shared" ref="N100:N104" si="56">IF(H100=0,0,L100/H100)</f>
        <v>-0.535968</v>
      </c>
      <c r="O100" s="13"/>
      <c r="P100" s="1">
        <f>SUM(OSRRefP22_12x_0)</f>
        <v>1433.25</v>
      </c>
      <c r="Q100" s="1"/>
      <c r="R100" s="5">
        <f t="shared" ref="R100:R104" si="57">IF(P$12=0,0,P100/P$12)</f>
        <v>2.0299704511651637E-3</v>
      </c>
      <c r="S100" s="1"/>
      <c r="T100" s="1">
        <f>SUM(OSRRefT22_12x_0)</f>
        <v>2875</v>
      </c>
      <c r="U100" s="1"/>
      <c r="V100" s="5">
        <f t="shared" ref="V100:V104" si="58">IF(T$12=0,0,T100/T$12)</f>
        <v>4.2209641709879554E-3</v>
      </c>
      <c r="W100" s="1"/>
      <c r="X100" s="1">
        <f t="shared" ref="X100:X104" si="59">+P100-T100</f>
        <v>-1441.75</v>
      </c>
      <c r="Y100" s="1"/>
      <c r="Z100" s="5">
        <f t="shared" ref="Z100:Z104" si="60">IF(T100=0,0,X100/T100)</f>
        <v>-0.50147826086956526</v>
      </c>
    </row>
    <row r="101" spans="1:26" s="24" customFormat="1" hidden="1" outlineLevel="2" x14ac:dyDescent="0.25">
      <c r="A101" s="25"/>
      <c r="B101" s="11" t="str">
        <f>CONCATENATE("          ", "6234", " - ", "EXPENDABLE SUPPLIES &amp; EQUIPMEN")</f>
        <v xml:space="preserve">          6234 - EXPENDABLE SUPPLIES &amp; EQUIPMEN</v>
      </c>
      <c r="C101" s="11"/>
      <c r="D101" s="7"/>
      <c r="E101" s="2"/>
      <c r="F101" s="6">
        <f t="shared" si="53"/>
        <v>0</v>
      </c>
      <c r="G101" s="2"/>
      <c r="H101" s="7">
        <v>200</v>
      </c>
      <c r="I101" s="2"/>
      <c r="J101" s="6">
        <f t="shared" si="54"/>
        <v>7.7429945257028701E-4</v>
      </c>
      <c r="K101" s="2"/>
      <c r="L101" s="7">
        <f t="shared" si="55"/>
        <v>-200</v>
      </c>
      <c r="M101" s="2"/>
      <c r="N101" s="6">
        <f t="shared" si="56"/>
        <v>-1</v>
      </c>
      <c r="O101" s="11"/>
      <c r="P101" s="7">
        <v>-15.95</v>
      </c>
      <c r="Q101" s="2"/>
      <c r="R101" s="6">
        <f t="shared" si="57"/>
        <v>-2.25906357551609E-5</v>
      </c>
      <c r="S101" s="2"/>
      <c r="T101" s="7">
        <v>1600</v>
      </c>
      <c r="U101" s="2"/>
      <c r="V101" s="6">
        <f t="shared" si="58"/>
        <v>2.3490583212454706E-3</v>
      </c>
      <c r="W101" s="2"/>
      <c r="X101" s="7">
        <f t="shared" si="59"/>
        <v>-1615.95</v>
      </c>
      <c r="Y101" s="2"/>
      <c r="Z101" s="6">
        <f t="shared" si="60"/>
        <v>-1.0099687500000001</v>
      </c>
    </row>
    <row r="102" spans="1:26" s="24" customFormat="1" hidden="1" outlineLevel="2" x14ac:dyDescent="0.25">
      <c r="A102" s="25"/>
      <c r="B102" s="11" t="str">
        <f>CONCATENATE("          ", "6237", " - ", "JANITORIAL SUPPLIES")</f>
        <v xml:space="preserve">          6237 - JANITORIAL SUPPLIES</v>
      </c>
      <c r="C102" s="11"/>
      <c r="D102" s="7"/>
      <c r="E102" s="2"/>
      <c r="F102" s="6">
        <f t="shared" si="53"/>
        <v>0</v>
      </c>
      <c r="G102" s="2"/>
      <c r="H102" s="7">
        <v>25</v>
      </c>
      <c r="I102" s="2"/>
      <c r="J102" s="6">
        <f t="shared" si="54"/>
        <v>9.6787431571285877E-5</v>
      </c>
      <c r="K102" s="2"/>
      <c r="L102" s="7">
        <f t="shared" si="55"/>
        <v>-25</v>
      </c>
      <c r="M102" s="2"/>
      <c r="N102" s="6">
        <f t="shared" si="56"/>
        <v>-1</v>
      </c>
      <c r="O102" s="11"/>
      <c r="P102" s="7"/>
      <c r="Q102" s="2"/>
      <c r="R102" s="6">
        <f t="shared" si="57"/>
        <v>0</v>
      </c>
      <c r="S102" s="2"/>
      <c r="T102" s="7">
        <v>75</v>
      </c>
      <c r="U102" s="2"/>
      <c r="V102" s="6">
        <f t="shared" si="58"/>
        <v>1.1011210880838145E-4</v>
      </c>
      <c r="W102" s="2"/>
      <c r="X102" s="7">
        <f t="shared" si="59"/>
        <v>-75</v>
      </c>
      <c r="Y102" s="2"/>
      <c r="Z102" s="6">
        <f t="shared" si="60"/>
        <v>-1</v>
      </c>
    </row>
    <row r="103" spans="1:26" s="24" customFormat="1" hidden="1" outlineLevel="2" x14ac:dyDescent="0.25">
      <c r="A103" s="25"/>
      <c r="B103" s="11" t="str">
        <f>CONCATENATE("          ", "6241", " - ", "OFFICE EXPENSE")</f>
        <v xml:space="preserve">          6241 - OFFICE EXPENSE</v>
      </c>
      <c r="C103" s="11"/>
      <c r="D103" s="7">
        <v>137.38</v>
      </c>
      <c r="E103" s="2"/>
      <c r="F103" s="6">
        <f t="shared" si="53"/>
        <v>5.0457470537398853E-4</v>
      </c>
      <c r="G103" s="2"/>
      <c r="H103" s="7">
        <v>200</v>
      </c>
      <c r="I103" s="2"/>
      <c r="J103" s="6">
        <f t="shared" si="54"/>
        <v>7.7429945257028701E-4</v>
      </c>
      <c r="K103" s="2"/>
      <c r="L103" s="7">
        <f t="shared" si="55"/>
        <v>-62.620000000000005</v>
      </c>
      <c r="M103" s="2"/>
      <c r="N103" s="6">
        <f t="shared" si="56"/>
        <v>-0.31310000000000004</v>
      </c>
      <c r="O103" s="11"/>
      <c r="P103" s="7">
        <v>1269.57</v>
      </c>
      <c r="Q103" s="2"/>
      <c r="R103" s="6">
        <f t="shared" si="57"/>
        <v>1.7981437890708229E-3</v>
      </c>
      <c r="S103" s="2"/>
      <c r="T103" s="7">
        <v>600</v>
      </c>
      <c r="U103" s="2"/>
      <c r="V103" s="6">
        <f t="shared" si="58"/>
        <v>8.8089687046705157E-4</v>
      </c>
      <c r="W103" s="2"/>
      <c r="X103" s="7">
        <f t="shared" si="59"/>
        <v>669.56999999999994</v>
      </c>
      <c r="Y103" s="2"/>
      <c r="Z103" s="6">
        <f t="shared" si="60"/>
        <v>1.11595</v>
      </c>
    </row>
    <row r="104" spans="1:26" s="24" customFormat="1" hidden="1" outlineLevel="2" x14ac:dyDescent="0.25">
      <c r="A104" s="25"/>
      <c r="B104" s="11" t="str">
        <f>CONCATENATE("          ", "6247", " - ", "STORE SUPPLIES")</f>
        <v xml:space="preserve">          6247 - STORE SUPPLIES</v>
      </c>
      <c r="C104" s="11"/>
      <c r="D104" s="7">
        <v>152.63999999999999</v>
      </c>
      <c r="E104" s="2"/>
      <c r="F104" s="6">
        <f t="shared" si="53"/>
        <v>5.6062223779506195E-4</v>
      </c>
      <c r="G104" s="2"/>
      <c r="H104" s="7">
        <v>200</v>
      </c>
      <c r="I104" s="2"/>
      <c r="J104" s="6">
        <f t="shared" si="54"/>
        <v>7.7429945257028701E-4</v>
      </c>
      <c r="K104" s="2"/>
      <c r="L104" s="7">
        <f t="shared" si="55"/>
        <v>-47.360000000000014</v>
      </c>
      <c r="M104" s="2"/>
      <c r="N104" s="6">
        <f t="shared" si="56"/>
        <v>-0.23680000000000007</v>
      </c>
      <c r="O104" s="11"/>
      <c r="P104" s="7">
        <v>179.63</v>
      </c>
      <c r="Q104" s="2"/>
      <c r="R104" s="6">
        <f t="shared" si="57"/>
        <v>2.5441729784950174E-4</v>
      </c>
      <c r="S104" s="2"/>
      <c r="T104" s="7">
        <v>600</v>
      </c>
      <c r="U104" s="2"/>
      <c r="V104" s="6">
        <f t="shared" si="58"/>
        <v>8.8089687046705157E-4</v>
      </c>
      <c r="W104" s="2"/>
      <c r="X104" s="7">
        <f t="shared" si="59"/>
        <v>-420.37</v>
      </c>
      <c r="Y104" s="2"/>
      <c r="Z104" s="6">
        <f t="shared" si="60"/>
        <v>-0.70061666666666667</v>
      </c>
    </row>
    <row r="105" spans="1:26" s="26" customFormat="1" outlineLevel="1" collapsed="1" x14ac:dyDescent="0.25">
      <c r="A105" s="27"/>
      <c r="B105" s="13" t="str">
        <f>CONCATENATE("     ","Telephone/Data Lines                              ")</f>
        <v xml:space="preserve">     Telephone/Data Lines                              </v>
      </c>
      <c r="C105" s="13"/>
      <c r="D105" s="1">
        <f>SUM(OSRRefD22_13x_0)</f>
        <v>939</v>
      </c>
      <c r="E105" s="1"/>
      <c r="F105" s="5">
        <f t="shared" ref="F105:F110" si="61">IF(D$12=0,0,D105/D$12)</f>
        <v>3.448796392096195E-3</v>
      </c>
      <c r="G105" s="1"/>
      <c r="H105" s="1">
        <f>SUM(OSRRefH22_13x_0)</f>
        <v>625</v>
      </c>
      <c r="I105" s="1"/>
      <c r="J105" s="5">
        <f t="shared" ref="J105:J110" si="62">IF(H$12=0,0,H105/H$12)</f>
        <v>2.419685789282147E-3</v>
      </c>
      <c r="K105" s="1"/>
      <c r="L105" s="1">
        <f t="shared" ref="L105:L110" si="63">+D105-H105</f>
        <v>314</v>
      </c>
      <c r="M105" s="1"/>
      <c r="N105" s="5">
        <f t="shared" ref="N105:N110" si="64">IF(H105=0,0,L105/H105)</f>
        <v>0.50239999999999996</v>
      </c>
      <c r="O105" s="13"/>
      <c r="P105" s="1">
        <f>SUM(OSRRefP22_13x_0)</f>
        <v>2048.52</v>
      </c>
      <c r="Q105" s="1"/>
      <c r="R105" s="5">
        <f t="shared" ref="R105:R110" si="65">IF(P$12=0,0,P105/P$12)</f>
        <v>2.901402454994496E-3</v>
      </c>
      <c r="S105" s="1"/>
      <c r="T105" s="1">
        <f>SUM(OSRRefT22_13x_0)</f>
        <v>1650</v>
      </c>
      <c r="U105" s="1"/>
      <c r="V105" s="5">
        <f t="shared" ref="V105:V110" si="66">IF(T$12=0,0,T105/T$12)</f>
        <v>2.4224663937843917E-3</v>
      </c>
      <c r="W105" s="1"/>
      <c r="X105" s="1">
        <f t="shared" ref="X105:X110" si="67">+P105-T105</f>
        <v>398.52</v>
      </c>
      <c r="Y105" s="1"/>
      <c r="Z105" s="5">
        <f t="shared" ref="Z105:Z110" si="68">IF(T105=0,0,X105/T105)</f>
        <v>0.24152727272727273</v>
      </c>
    </row>
    <row r="106" spans="1:26" s="24" customFormat="1" hidden="1" outlineLevel="2" x14ac:dyDescent="0.25">
      <c r="A106" s="25"/>
      <c r="B106" s="11" t="str">
        <f>CONCATENATE("          ", "6309", " - ", "TELEPHONE")</f>
        <v xml:space="preserve">          6309 - TELEPHONE</v>
      </c>
      <c r="C106" s="11"/>
      <c r="D106" s="7">
        <v>939</v>
      </c>
      <c r="E106" s="2"/>
      <c r="F106" s="6">
        <f t="shared" si="61"/>
        <v>3.448796392096195E-3</v>
      </c>
      <c r="G106" s="2"/>
      <c r="H106" s="7">
        <v>625</v>
      </c>
      <c r="I106" s="2"/>
      <c r="J106" s="6">
        <f t="shared" si="62"/>
        <v>2.419685789282147E-3</v>
      </c>
      <c r="K106" s="2"/>
      <c r="L106" s="7">
        <f t="shared" si="63"/>
        <v>314</v>
      </c>
      <c r="M106" s="2"/>
      <c r="N106" s="6">
        <f t="shared" si="64"/>
        <v>0.50239999999999996</v>
      </c>
      <c r="O106" s="11"/>
      <c r="P106" s="7">
        <v>2048.52</v>
      </c>
      <c r="Q106" s="2"/>
      <c r="R106" s="6">
        <f t="shared" si="65"/>
        <v>2.901402454994496E-3</v>
      </c>
      <c r="S106" s="2"/>
      <c r="T106" s="7">
        <v>1650</v>
      </c>
      <c r="U106" s="2"/>
      <c r="V106" s="6">
        <f t="shared" si="66"/>
        <v>2.4224663937843917E-3</v>
      </c>
      <c r="W106" s="2"/>
      <c r="X106" s="7">
        <f t="shared" si="67"/>
        <v>398.52</v>
      </c>
      <c r="Y106" s="2"/>
      <c r="Z106" s="6">
        <f t="shared" si="68"/>
        <v>0.24152727272727273</v>
      </c>
    </row>
    <row r="107" spans="1:26" s="26" customFormat="1" outlineLevel="1" collapsed="1" x14ac:dyDescent="0.25">
      <c r="A107" s="27"/>
      <c r="B107" s="13" t="str">
        <f>CONCATENATE("     ","Training                                          ")</f>
        <v xml:space="preserve">     Training                                          </v>
      </c>
      <c r="C107" s="13"/>
      <c r="D107" s="1">
        <f>SUM(OSRRefD22_14x_0)</f>
        <v>0</v>
      </c>
      <c r="E107" s="1"/>
      <c r="F107" s="5">
        <f t="shared" si="61"/>
        <v>0</v>
      </c>
      <c r="G107" s="1"/>
      <c r="H107" s="1">
        <f>SUM(OSRRefH22_14x_0)</f>
        <v>0</v>
      </c>
      <c r="I107" s="1"/>
      <c r="J107" s="5">
        <f t="shared" si="62"/>
        <v>0</v>
      </c>
      <c r="K107" s="1"/>
      <c r="L107" s="1">
        <f t="shared" si="63"/>
        <v>0</v>
      </c>
      <c r="M107" s="1"/>
      <c r="N107" s="5">
        <f t="shared" si="64"/>
        <v>0</v>
      </c>
      <c r="O107" s="13"/>
      <c r="P107" s="1">
        <f>SUM(OSRRefP22_14x_0)</f>
        <v>103.5</v>
      </c>
      <c r="Q107" s="1"/>
      <c r="R107" s="5">
        <f t="shared" si="65"/>
        <v>1.4659127276859895E-4</v>
      </c>
      <c r="S107" s="1"/>
      <c r="T107" s="1">
        <f>SUM(OSRRefT22_14x_0)</f>
        <v>700</v>
      </c>
      <c r="U107" s="1"/>
      <c r="V107" s="5">
        <f t="shared" si="66"/>
        <v>1.0277130155448935E-3</v>
      </c>
      <c r="W107" s="1"/>
      <c r="X107" s="1">
        <f t="shared" si="67"/>
        <v>-596.5</v>
      </c>
      <c r="Y107" s="1"/>
      <c r="Z107" s="5">
        <f t="shared" si="68"/>
        <v>-0.85214285714285709</v>
      </c>
    </row>
    <row r="108" spans="1:26" s="24" customFormat="1" hidden="1" outlineLevel="2" x14ac:dyDescent="0.25">
      <c r="A108" s="25"/>
      <c r="B108" s="11" t="str">
        <f>CONCATENATE("          ", "6376", " - ", "TRAINING")</f>
        <v xml:space="preserve">          6376 - TRAINING</v>
      </c>
      <c r="C108" s="11"/>
      <c r="D108" s="7"/>
      <c r="E108" s="2"/>
      <c r="F108" s="6">
        <f t="shared" si="61"/>
        <v>0</v>
      </c>
      <c r="G108" s="2"/>
      <c r="H108" s="7">
        <v>0</v>
      </c>
      <c r="I108" s="2"/>
      <c r="J108" s="6">
        <f t="shared" si="62"/>
        <v>0</v>
      </c>
      <c r="K108" s="2"/>
      <c r="L108" s="7">
        <f t="shared" si="63"/>
        <v>0</v>
      </c>
      <c r="M108" s="2"/>
      <c r="N108" s="6">
        <f t="shared" si="64"/>
        <v>0</v>
      </c>
      <c r="O108" s="11"/>
      <c r="P108" s="7">
        <v>103.5</v>
      </c>
      <c r="Q108" s="2"/>
      <c r="R108" s="6">
        <f t="shared" si="65"/>
        <v>1.4659127276859895E-4</v>
      </c>
      <c r="S108" s="2"/>
      <c r="T108" s="7">
        <v>700</v>
      </c>
      <c r="U108" s="2"/>
      <c r="V108" s="6">
        <f t="shared" si="66"/>
        <v>1.0277130155448935E-3</v>
      </c>
      <c r="W108" s="2"/>
      <c r="X108" s="7">
        <f t="shared" si="67"/>
        <v>-596.5</v>
      </c>
      <c r="Y108" s="2"/>
      <c r="Z108" s="6">
        <f t="shared" si="68"/>
        <v>-0.85214285714285709</v>
      </c>
    </row>
    <row r="109" spans="1:26" s="26" customFormat="1" outlineLevel="1" collapsed="1" x14ac:dyDescent="0.25">
      <c r="A109" s="27"/>
      <c r="B109" s="13" t="str">
        <f>CONCATENATE("     ","Travel                                            ")</f>
        <v xml:space="preserve">     Travel                                            </v>
      </c>
      <c r="C109" s="13"/>
      <c r="D109" s="1">
        <f>SUM(OSRRefD22_15x_0)</f>
        <v>0</v>
      </c>
      <c r="E109" s="1"/>
      <c r="F109" s="5">
        <f t="shared" si="61"/>
        <v>0</v>
      </c>
      <c r="G109" s="1"/>
      <c r="H109" s="1">
        <f>SUM(OSRRefH22_15x_0)</f>
        <v>50</v>
      </c>
      <c r="I109" s="1"/>
      <c r="J109" s="5">
        <f t="shared" si="62"/>
        <v>1.9357486314257175E-4</v>
      </c>
      <c r="K109" s="1"/>
      <c r="L109" s="1">
        <f t="shared" si="63"/>
        <v>-50</v>
      </c>
      <c r="M109" s="1"/>
      <c r="N109" s="5">
        <f t="shared" si="64"/>
        <v>-1</v>
      </c>
      <c r="O109" s="13"/>
      <c r="P109" s="1">
        <f>SUM(OSRRefP22_15x_0)</f>
        <v>0</v>
      </c>
      <c r="Q109" s="1"/>
      <c r="R109" s="5">
        <f t="shared" si="65"/>
        <v>0</v>
      </c>
      <c r="S109" s="1"/>
      <c r="T109" s="1">
        <f>SUM(OSRRefT22_15x_0)</f>
        <v>150</v>
      </c>
      <c r="U109" s="1"/>
      <c r="V109" s="5">
        <f t="shared" si="66"/>
        <v>2.2022421761676289E-4</v>
      </c>
      <c r="W109" s="1"/>
      <c r="X109" s="1">
        <f t="shared" si="67"/>
        <v>-150</v>
      </c>
      <c r="Y109" s="1"/>
      <c r="Z109" s="5">
        <f t="shared" si="68"/>
        <v>-1</v>
      </c>
    </row>
    <row r="110" spans="1:26" s="24" customFormat="1" hidden="1" outlineLevel="2" x14ac:dyDescent="0.25">
      <c r="A110" s="25"/>
      <c r="B110" s="11" t="str">
        <f>CONCATENATE("          ", "6294", " - ", "TRAVEL OPERATIONAL")</f>
        <v xml:space="preserve">          6294 - TRAVEL OPERATIONAL</v>
      </c>
      <c r="C110" s="11"/>
      <c r="D110" s="7"/>
      <c r="E110" s="2"/>
      <c r="F110" s="6">
        <f t="shared" si="61"/>
        <v>0</v>
      </c>
      <c r="G110" s="2"/>
      <c r="H110" s="7">
        <v>50</v>
      </c>
      <c r="I110" s="2"/>
      <c r="J110" s="6">
        <f t="shared" si="62"/>
        <v>1.9357486314257175E-4</v>
      </c>
      <c r="K110" s="2"/>
      <c r="L110" s="7">
        <f t="shared" si="63"/>
        <v>-50</v>
      </c>
      <c r="M110" s="2"/>
      <c r="N110" s="6">
        <f t="shared" si="64"/>
        <v>-1</v>
      </c>
      <c r="O110" s="11"/>
      <c r="P110" s="7"/>
      <c r="Q110" s="2"/>
      <c r="R110" s="6">
        <f t="shared" si="65"/>
        <v>0</v>
      </c>
      <c r="S110" s="2"/>
      <c r="T110" s="7">
        <v>150</v>
      </c>
      <c r="U110" s="2"/>
      <c r="V110" s="6">
        <f t="shared" si="66"/>
        <v>2.2022421761676289E-4</v>
      </c>
      <c r="W110" s="2"/>
      <c r="X110" s="7">
        <f t="shared" si="67"/>
        <v>-150</v>
      </c>
      <c r="Y110" s="2"/>
      <c r="Z110" s="6">
        <f t="shared" si="68"/>
        <v>-1</v>
      </c>
    </row>
    <row r="111" spans="1:26" s="63" customFormat="1" x14ac:dyDescent="0.25">
      <c r="A111" s="36"/>
      <c r="B111" s="36"/>
      <c r="C111" s="36"/>
      <c r="D111" s="1"/>
      <c r="E111" s="1"/>
      <c r="F111" s="5"/>
      <c r="G111" s="1"/>
      <c r="H111" s="1"/>
      <c r="I111" s="1"/>
      <c r="J111" s="5"/>
      <c r="K111" s="1"/>
      <c r="L111" s="1"/>
      <c r="M111" s="1"/>
      <c r="N111" s="5"/>
      <c r="O111" s="36"/>
      <c r="P111" s="1"/>
      <c r="Q111" s="1"/>
      <c r="R111" s="5"/>
      <c r="S111" s="1"/>
      <c r="T111" s="1"/>
      <c r="U111" s="1"/>
      <c r="V111" s="5"/>
      <c r="W111" s="1"/>
      <c r="X111" s="1"/>
      <c r="Y111" s="1"/>
      <c r="Z111" s="5"/>
    </row>
    <row r="112" spans="1:26" s="23" customFormat="1" collapsed="1" x14ac:dyDescent="0.25">
      <c r="A112" s="10"/>
      <c r="B112" s="28" t="s">
        <v>0</v>
      </c>
      <c r="C112" s="10"/>
      <c r="D112" s="4">
        <f>SUM(OSRRefD25x_0)</f>
        <v>0</v>
      </c>
      <c r="E112" s="4"/>
      <c r="F112" s="12">
        <f t="shared" ref="F112:F115" si="69">IF(D$12=0,0,D112/D$12)</f>
        <v>0</v>
      </c>
      <c r="G112" s="4"/>
      <c r="H112" s="4">
        <f>SUM(OSRRefH25x_0)</f>
        <v>8625</v>
      </c>
      <c r="I112" s="4"/>
      <c r="J112" s="12">
        <f t="shared" ref="J112:J115" si="70">IF(H$12=0,0,H112/H$12)</f>
        <v>3.339166389209363E-2</v>
      </c>
      <c r="K112" s="4"/>
      <c r="L112" s="4">
        <f t="shared" ref="L112:L115" si="71">+D112-H112</f>
        <v>-8625</v>
      </c>
      <c r="M112" s="4"/>
      <c r="N112" s="12">
        <f t="shared" ref="N112:N115" si="72">IF(H112=0,0,L112/H112)</f>
        <v>-1</v>
      </c>
      <c r="O112" s="10"/>
      <c r="P112" s="4">
        <f>SUM(OSRRefP25x_0)</f>
        <v>14396.98</v>
      </c>
      <c r="Q112" s="4"/>
      <c r="R112" s="12">
        <f t="shared" ref="R112:R115" si="73">IF(P$12=0,0,P112/P$12)</f>
        <v>2.0391030166416073E-2</v>
      </c>
      <c r="S112" s="4"/>
      <c r="T112" s="4">
        <f>SUM(OSRRefT25x_0)</f>
        <v>25875</v>
      </c>
      <c r="U112" s="4"/>
      <c r="V112" s="12">
        <f t="shared" ref="V112:V115" si="74">IF(T$12=0,0,T112/T$12)</f>
        <v>3.7988677538891596E-2</v>
      </c>
      <c r="W112" s="4"/>
      <c r="X112" s="4">
        <f t="shared" ref="X112:X115" si="75">+P112-T112</f>
        <v>-11478.02</v>
      </c>
      <c r="Y112" s="4"/>
      <c r="Z112" s="12">
        <f t="shared" ref="Z112:Z115" si="76">IF(T112=0,0,X112/T112)</f>
        <v>-0.44359497584541063</v>
      </c>
    </row>
    <row r="113" spans="1:26" s="24" customFormat="1" hidden="1" outlineLevel="1" x14ac:dyDescent="0.25">
      <c r="A113" s="46"/>
      <c r="B113" s="11" t="str">
        <f>CONCATENATE("          ", "9150", " - ", "MISC. INCOME")</f>
        <v xml:space="preserve">          9150 - MISC. INCOME</v>
      </c>
      <c r="C113" s="11"/>
      <c r="D113" s="2">
        <f t="shared" ref="D113:D115" si="77">0</f>
        <v>0</v>
      </c>
      <c r="E113" s="2"/>
      <c r="F113" s="19">
        <f t="shared" si="69"/>
        <v>0</v>
      </c>
      <c r="G113" s="2"/>
      <c r="H113" s="2">
        <v>7725</v>
      </c>
      <c r="I113" s="2"/>
      <c r="J113" s="19">
        <f t="shared" si="70"/>
        <v>2.9907316355527336E-2</v>
      </c>
      <c r="K113" s="2"/>
      <c r="L113" s="2">
        <f t="shared" si="71"/>
        <v>-7725</v>
      </c>
      <c r="M113" s="2"/>
      <c r="N113" s="19">
        <f t="shared" si="72"/>
        <v>-1</v>
      </c>
      <c r="O113" s="11"/>
      <c r="P113" s="2">
        <f>--14396.98</f>
        <v>14396.98</v>
      </c>
      <c r="Q113" s="2"/>
      <c r="R113" s="19">
        <f t="shared" si="73"/>
        <v>2.0391030166416073E-2</v>
      </c>
      <c r="S113" s="2"/>
      <c r="T113" s="2">
        <v>23175</v>
      </c>
      <c r="U113" s="2"/>
      <c r="V113" s="19">
        <f t="shared" si="74"/>
        <v>3.4024641621789864E-2</v>
      </c>
      <c r="W113" s="2"/>
      <c r="X113" s="2">
        <f t="shared" si="75"/>
        <v>-8778.02</v>
      </c>
      <c r="Y113" s="2"/>
      <c r="Z113" s="19">
        <f t="shared" si="76"/>
        <v>-0.37877108953613808</v>
      </c>
    </row>
    <row r="114" spans="1:26" s="24" customFormat="1" hidden="1" outlineLevel="1" x14ac:dyDescent="0.25">
      <c r="A114" s="46"/>
      <c r="B114" s="11" t="str">
        <f>CONCATENATE("          ", "9151", " - ", "MISC. INCOME")</f>
        <v xml:space="preserve">          9151 - MISC. INCOME</v>
      </c>
      <c r="C114" s="11"/>
      <c r="D114" s="2">
        <f t="shared" si="77"/>
        <v>0</v>
      </c>
      <c r="E114" s="2"/>
      <c r="F114" s="19">
        <f t="shared" si="69"/>
        <v>0</v>
      </c>
      <c r="G114" s="2"/>
      <c r="H114" s="2">
        <v>100</v>
      </c>
      <c r="I114" s="2"/>
      <c r="J114" s="19">
        <f t="shared" si="70"/>
        <v>3.8714972628514351E-4</v>
      </c>
      <c r="K114" s="2"/>
      <c r="L114" s="2">
        <f t="shared" si="71"/>
        <v>-100</v>
      </c>
      <c r="M114" s="2"/>
      <c r="N114" s="19">
        <f t="shared" si="72"/>
        <v>-1</v>
      </c>
      <c r="O114" s="11"/>
      <c r="P114" s="2">
        <f t="shared" ref="P114:P115" si="78">0</f>
        <v>0</v>
      </c>
      <c r="Q114" s="2"/>
      <c r="R114" s="19">
        <f t="shared" si="73"/>
        <v>0</v>
      </c>
      <c r="S114" s="2"/>
      <c r="T114" s="2">
        <v>300</v>
      </c>
      <c r="U114" s="2"/>
      <c r="V114" s="19">
        <f t="shared" si="74"/>
        <v>4.4044843523352578E-4</v>
      </c>
      <c r="W114" s="2"/>
      <c r="X114" s="2">
        <f t="shared" si="75"/>
        <v>-300</v>
      </c>
      <c r="Y114" s="2"/>
      <c r="Z114" s="19">
        <f t="shared" si="76"/>
        <v>-1</v>
      </c>
    </row>
    <row r="115" spans="1:26" s="24" customFormat="1" hidden="1" outlineLevel="1" x14ac:dyDescent="0.25">
      <c r="A115" s="46"/>
      <c r="B115" s="11" t="str">
        <f>CONCATENATE("          ", "9160", " - ", "MISC. INCOME")</f>
        <v xml:space="preserve">          9160 - MISC. INCOME</v>
      </c>
      <c r="C115" s="11"/>
      <c r="D115" s="2">
        <f t="shared" si="77"/>
        <v>0</v>
      </c>
      <c r="E115" s="2"/>
      <c r="F115" s="19">
        <f t="shared" si="69"/>
        <v>0</v>
      </c>
      <c r="G115" s="2"/>
      <c r="H115" s="2">
        <v>800</v>
      </c>
      <c r="I115" s="2"/>
      <c r="J115" s="19">
        <f t="shared" si="70"/>
        <v>3.0971978102811481E-3</v>
      </c>
      <c r="K115" s="2"/>
      <c r="L115" s="2">
        <f t="shared" si="71"/>
        <v>-800</v>
      </c>
      <c r="M115" s="2"/>
      <c r="N115" s="19">
        <f t="shared" si="72"/>
        <v>-1</v>
      </c>
      <c r="O115" s="11"/>
      <c r="P115" s="2">
        <f t="shared" si="78"/>
        <v>0</v>
      </c>
      <c r="Q115" s="2"/>
      <c r="R115" s="19">
        <f t="shared" si="73"/>
        <v>0</v>
      </c>
      <c r="S115" s="2"/>
      <c r="T115" s="2">
        <v>2400</v>
      </c>
      <c r="U115" s="2"/>
      <c r="V115" s="19">
        <f t="shared" si="74"/>
        <v>3.5235874818682063E-3</v>
      </c>
      <c r="W115" s="2"/>
      <c r="X115" s="2">
        <f t="shared" si="75"/>
        <v>-2400</v>
      </c>
      <c r="Y115" s="2"/>
      <c r="Z115" s="19">
        <f t="shared" si="76"/>
        <v>-1</v>
      </c>
    </row>
    <row r="116" spans="1:26" x14ac:dyDescent="0.25">
      <c r="A116" s="9"/>
      <c r="B116" s="10"/>
      <c r="C116" s="10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O116" s="10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3" customFormat="1" x14ac:dyDescent="0.25">
      <c r="A117" s="10"/>
      <c r="B117" s="29" t="s">
        <v>3</v>
      </c>
      <c r="C117" s="29"/>
      <c r="D117" s="22">
        <f>+D52-D54+D112</f>
        <v>99711.820000000094</v>
      </c>
      <c r="E117" s="14"/>
      <c r="F117" s="20">
        <f>IF(D$12=0,0,D117/D$12)</f>
        <v>0.36622552190132646</v>
      </c>
      <c r="G117" s="14"/>
      <c r="H117" s="22">
        <f>+H52-H54+H112</f>
        <v>94156.122113755773</v>
      </c>
      <c r="I117" s="14"/>
      <c r="J117" s="20">
        <f>IF(H$12=0,0,H117/H$12)</f>
        <v>0.36452516904411097</v>
      </c>
      <c r="K117" s="15"/>
      <c r="L117" s="22">
        <f>+D117-H117</f>
        <v>5555.6978862443211</v>
      </c>
      <c r="M117" s="15"/>
      <c r="N117" s="20">
        <f>IF(H117=0,0,L117/H117)</f>
        <v>5.9005168878260968E-2</v>
      </c>
      <c r="O117" s="28"/>
      <c r="P117" s="22">
        <f>+P52-P54+P112</f>
        <v>239358.42</v>
      </c>
      <c r="Q117" s="14"/>
      <c r="R117" s="20">
        <f>IF(P$12=0,0,P117/P$12)</f>
        <v>0.33901309599691665</v>
      </c>
      <c r="S117" s="14"/>
      <c r="T117" s="22">
        <f>+T52-T54+T112</f>
        <v>225272.45740720624</v>
      </c>
      <c r="U117" s="14"/>
      <c r="V117" s="20">
        <f>IF(T$12=0,0,T117/T$12)</f>
        <v>0.33073633788738355</v>
      </c>
      <c r="W117" s="15"/>
      <c r="X117" s="22">
        <f>+P117-T117</f>
        <v>14085.962592793774</v>
      </c>
      <c r="Y117" s="15"/>
      <c r="Z117" s="20">
        <f>IF(T117=0,0,X117/T117)</f>
        <v>6.2528560991953641E-2</v>
      </c>
    </row>
    <row r="118" spans="1:26" x14ac:dyDescent="0.25">
      <c r="A118" s="9"/>
      <c r="B118" s="10"/>
      <c r="C118" s="9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x14ac:dyDescent="0.25">
      <c r="A119" s="52"/>
      <c r="B119" s="10" t="s">
        <v>14</v>
      </c>
      <c r="C119" s="10"/>
      <c r="D119" s="4">
        <v>21754.62</v>
      </c>
      <c r="E119" s="4"/>
      <c r="F119" s="12">
        <f>IF(D$12=0,0,D119/D$12)</f>
        <v>7.9901229997256365E-2</v>
      </c>
      <c r="G119" s="4"/>
      <c r="H119" s="4">
        <v>17484</v>
      </c>
      <c r="I119" s="4"/>
      <c r="J119" s="12">
        <f>IF(H$12=0,0,H119/H$12)</f>
        <v>6.7689258143694489E-2</v>
      </c>
      <c r="K119" s="4"/>
      <c r="L119" s="4">
        <f>+D119-H119</f>
        <v>4270.619999999999</v>
      </c>
      <c r="M119" s="4"/>
      <c r="N119" s="12">
        <f>IF(H119=0,0,L119/H119)</f>
        <v>0.2442587508579272</v>
      </c>
      <c r="O119" s="10"/>
      <c r="P119" s="4">
        <v>75838.559999999998</v>
      </c>
      <c r="Q119" s="4"/>
      <c r="R119" s="12">
        <f>IF(P$12=0,0,P119/P$12)</f>
        <v>0.10741324671823919</v>
      </c>
      <c r="S119" s="4"/>
      <c r="T119" s="4">
        <v>86152</v>
      </c>
      <c r="U119" s="4"/>
      <c r="V119" s="12">
        <f>IF(T$12=0,0,T119/T$12)</f>
        <v>0.12648504530746238</v>
      </c>
      <c r="W119" s="4"/>
      <c r="X119" s="4">
        <f>+P119-T119</f>
        <v>-10313.440000000002</v>
      </c>
      <c r="Y119" s="4"/>
      <c r="Z119" s="12">
        <f>IF(T119=0,0,X119/T119)</f>
        <v>-0.11971213668864336</v>
      </c>
    </row>
    <row r="120" spans="1:26" x14ac:dyDescent="0.25">
      <c r="A120" s="9"/>
      <c r="B120" s="10"/>
      <c r="C120" s="10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O120" s="10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ht="15.75" thickBot="1" x14ac:dyDescent="0.3">
      <c r="A121" s="10"/>
      <c r="B121" s="29" t="s">
        <v>4</v>
      </c>
      <c r="C121" s="29"/>
      <c r="D121" s="35">
        <f>+D117-D119</f>
        <v>77957.200000000099</v>
      </c>
      <c r="E121" s="14"/>
      <c r="F121" s="32">
        <f>IF(D$12=0,0,D121/D$12)</f>
        <v>0.28632429190407011</v>
      </c>
      <c r="G121" s="14"/>
      <c r="H121" s="35">
        <f>+H117-H119</f>
        <v>76672.122113755773</v>
      </c>
      <c r="I121" s="14"/>
      <c r="J121" s="32">
        <f>IF(H$12=0,0,H121/H$12)</f>
        <v>0.29683591090041644</v>
      </c>
      <c r="K121" s="15"/>
      <c r="L121" s="35">
        <f>D121-H121</f>
        <v>1285.0778862443258</v>
      </c>
      <c r="M121" s="15"/>
      <c r="N121" s="32">
        <f>IF(H121=0,0,L121/H121)</f>
        <v>1.6760692815280372E-2</v>
      </c>
      <c r="O121" s="28"/>
      <c r="P121" s="35">
        <f>+P117-P119</f>
        <v>163519.86000000002</v>
      </c>
      <c r="Q121" s="14"/>
      <c r="R121" s="32">
        <f>IF(P$12=0,0,P121/P$12)</f>
        <v>0.23159984927867744</v>
      </c>
      <c r="S121" s="14"/>
      <c r="T121" s="35">
        <f>+T117-T119</f>
        <v>139120.45740720624</v>
      </c>
      <c r="U121" s="14"/>
      <c r="V121" s="32">
        <f>IF(T$12=0,0,T121/T$12)</f>
        <v>0.2042512925799212</v>
      </c>
      <c r="W121" s="15"/>
      <c r="X121" s="35">
        <f>P121-T121</f>
        <v>24399.402592793776</v>
      </c>
      <c r="Y121" s="15"/>
      <c r="Z121" s="32">
        <f>IF(T121=0,0,X121/T121)</f>
        <v>0.17538328328936276</v>
      </c>
    </row>
    <row r="122" spans="1:26" ht="15.75" thickTop="1" x14ac:dyDescent="0.25">
      <c r="A122" s="9"/>
      <c r="B122" s="9"/>
      <c r="C122" s="9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x14ac:dyDescent="0.25">
      <c r="A123" s="9"/>
      <c r="B123" s="9"/>
      <c r="C123" s="9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ht="15.75" thickBot="1" x14ac:dyDescent="0.3">
      <c r="A124" s="10"/>
      <c r="B124" s="29" t="s">
        <v>5</v>
      </c>
      <c r="C124" s="29"/>
      <c r="D124" s="30">
        <f>SUM(D121:D123)</f>
        <v>77957.200000000099</v>
      </c>
      <c r="E124" s="14"/>
      <c r="F124" s="31">
        <f>IF(D$12=0,0,D124/D$12)</f>
        <v>0.28632429190407011</v>
      </c>
      <c r="G124" s="14"/>
      <c r="H124" s="30">
        <f>SUM(H121:H123)</f>
        <v>76672.122113755773</v>
      </c>
      <c r="I124" s="14"/>
      <c r="J124" s="31">
        <f>IF(H$12=0,0,H124/H$12)</f>
        <v>0.29683591090041644</v>
      </c>
      <c r="K124" s="15"/>
      <c r="L124" s="30">
        <f>+D124-H124</f>
        <v>1285.0778862443258</v>
      </c>
      <c r="M124" s="15"/>
      <c r="N124" s="31">
        <f>IF(H124=0,0,L124/H124)</f>
        <v>1.6760692815280372E-2</v>
      </c>
      <c r="O124" s="28"/>
      <c r="P124" s="30">
        <f>SUM(P121:P123)</f>
        <v>163519.86000000002</v>
      </c>
      <c r="Q124" s="14"/>
      <c r="R124" s="31">
        <f>IF(P$12=0,0,P124/P$12)</f>
        <v>0.23159984927867744</v>
      </c>
      <c r="S124" s="14"/>
      <c r="T124" s="30">
        <f>SUM(T121:T123)</f>
        <v>139120.45740720624</v>
      </c>
      <c r="U124" s="14"/>
      <c r="V124" s="31">
        <f>IF(T$12=0,0,T124/T$12)</f>
        <v>0.2042512925799212</v>
      </c>
      <c r="W124" s="15"/>
      <c r="X124" s="30">
        <f>+P124-T124</f>
        <v>24399.402592793776</v>
      </c>
      <c r="Y124" s="15"/>
      <c r="Z124" s="31">
        <f>IF(T124=0,0,X124/T124)</f>
        <v>0.17538328328936276</v>
      </c>
    </row>
    <row r="125" spans="1:26" ht="15.75" thickTop="1" x14ac:dyDescent="0.25">
      <c r="A125" s="9"/>
      <c r="C125" s="9"/>
      <c r="D125" s="18"/>
      <c r="E125" s="18"/>
      <c r="G125" s="18"/>
      <c r="H125" s="18"/>
      <c r="I125" s="18"/>
      <c r="J125" s="43"/>
      <c r="K125" s="18"/>
      <c r="L125" s="18"/>
      <c r="M125" s="18"/>
      <c r="P125" s="18"/>
      <c r="Q125" s="18"/>
      <c r="R125" s="43"/>
      <c r="S125" s="18"/>
      <c r="T125" s="18"/>
      <c r="U125" s="18"/>
      <c r="V125" s="43"/>
      <c r="W125" s="18"/>
      <c r="X125" s="18"/>
    </row>
    <row r="126" spans="1:26" x14ac:dyDescent="0.25">
      <c r="A126" s="9"/>
      <c r="B126" s="53">
        <v>43756.452359062503</v>
      </c>
      <c r="D126" s="18"/>
      <c r="E126" s="18"/>
      <c r="G126" s="18"/>
      <c r="H126" s="18"/>
      <c r="I126" s="18"/>
      <c r="J126" s="43"/>
      <c r="K126" s="18"/>
      <c r="L126" s="18"/>
      <c r="M126" s="18"/>
      <c r="P126" s="18"/>
      <c r="Q126" s="18"/>
      <c r="R126" s="43"/>
      <c r="S126" s="18"/>
      <c r="T126" s="18"/>
      <c r="U126" s="18"/>
      <c r="V126" s="43"/>
      <c r="W126" s="18"/>
      <c r="X126" s="18"/>
    </row>
    <row r="127" spans="1:26" x14ac:dyDescent="0.25">
      <c r="A127" s="9"/>
      <c r="B127" s="55" t="s">
        <v>314</v>
      </c>
      <c r="D127" s="18"/>
      <c r="E127" s="18"/>
      <c r="G127" s="18"/>
      <c r="H127" s="18"/>
      <c r="I127" s="18"/>
      <c r="J127" s="43"/>
      <c r="K127" s="18"/>
      <c r="L127" s="18"/>
      <c r="M127" s="18"/>
      <c r="P127" s="18"/>
      <c r="Q127" s="18"/>
      <c r="R127" s="43"/>
      <c r="S127" s="18"/>
      <c r="T127" s="18"/>
      <c r="U127" s="18"/>
      <c r="V127" s="43"/>
      <c r="W127" s="18"/>
      <c r="X127" s="18"/>
    </row>
    <row r="128" spans="1:26" x14ac:dyDescent="0.25">
      <c r="A128" s="9"/>
      <c r="B128" s="56"/>
      <c r="D128" s="18"/>
      <c r="E128" s="18"/>
      <c r="G128" s="18"/>
      <c r="H128" s="18"/>
      <c r="I128" s="18"/>
      <c r="J128" s="43"/>
      <c r="K128" s="18"/>
      <c r="L128" s="18"/>
      <c r="M128" s="18"/>
      <c r="P128" s="18"/>
      <c r="Q128" s="18"/>
      <c r="R128" s="43"/>
      <c r="S128" s="18"/>
      <c r="T128" s="18"/>
      <c r="U128" s="18"/>
      <c r="V128" s="43"/>
      <c r="W128" s="18"/>
      <c r="X128" s="18"/>
    </row>
    <row r="129" spans="4:24" x14ac:dyDescent="0.25">
      <c r="D129" s="18"/>
      <c r="E129" s="18"/>
      <c r="G129" s="18"/>
      <c r="H129" s="18"/>
      <c r="I129" s="18"/>
      <c r="J129" s="43"/>
      <c r="K129" s="18"/>
      <c r="L129" s="18"/>
      <c r="M129" s="18"/>
      <c r="P129" s="18"/>
      <c r="Q129" s="18"/>
      <c r="R129" s="43"/>
      <c r="S129" s="18"/>
      <c r="T129" s="18"/>
      <c r="U129" s="18"/>
      <c r="V129" s="43"/>
      <c r="W129" s="18"/>
      <c r="X129" s="18"/>
    </row>
  </sheetData>
  <pageMargins left="0.25" right="0.25" top="0.75" bottom="0.75" header="0.3" footer="0.3"/>
  <pageSetup scale="55" fitToWidth="2" orientation="landscape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3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str">
        <f>CONCATENATE("Period ",RIGHT(202003,2),", ",2020)</f>
        <v>Period 03, 2020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43736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tr">
        <f>CONCATENATE("Department ","326", " - ", "2nd Street Store")</f>
        <v>Department 326 - 2nd Street Store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32562.700000000008</v>
      </c>
      <c r="E12" s="4"/>
      <c r="F12" s="12"/>
      <c r="G12" s="4"/>
      <c r="H12" s="4">
        <f>SUM(OSRRefH13x_0)</f>
        <v>39783.838750000003</v>
      </c>
      <c r="I12" s="4"/>
      <c r="J12" s="12"/>
      <c r="K12" s="4"/>
      <c r="L12" s="4">
        <f t="shared" ref="L12:L30" si="0">+D12-H12</f>
        <v>-7221.1387499999946</v>
      </c>
      <c r="M12" s="4"/>
      <c r="N12" s="12">
        <f t="shared" ref="N12:N30" si="1">IF(H12=0,0,L12/H12)</f>
        <v>-0.18150935095472642</v>
      </c>
      <c r="O12" s="10"/>
      <c r="P12" s="4">
        <f>SUM(OSRRefP13x_0)</f>
        <v>153538.67999999996</v>
      </c>
      <c r="Q12" s="4"/>
      <c r="R12" s="12"/>
      <c r="S12" s="4"/>
      <c r="T12" s="4">
        <f>SUM(OSRRefT13x_0)</f>
        <v>147982.27519999997</v>
      </c>
      <c r="U12" s="4"/>
      <c r="V12" s="12"/>
      <c r="W12" s="4"/>
      <c r="X12" s="4">
        <f t="shared" ref="X12:X30" si="2">+P12-T12</f>
        <v>5556.4047999999893</v>
      </c>
      <c r="Y12" s="4"/>
      <c r="Z12" s="12">
        <f t="shared" ref="Z12:Z30" si="3">IF(T12=0,0,X12/T12)</f>
        <v>3.7547772478091962E-2</v>
      </c>
    </row>
    <row r="13" spans="1:26" s="24" customFormat="1" hidden="1" outlineLevel="1" x14ac:dyDescent="0.25">
      <c r="A13" s="46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39783.838750000003</v>
      </c>
      <c r="I13" s="2"/>
      <c r="J13" s="19"/>
      <c r="K13" s="2"/>
      <c r="L13" s="2">
        <f t="shared" si="0"/>
        <v>-39783.838750000003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147982.27519999997</v>
      </c>
      <c r="U13" s="2"/>
      <c r="V13" s="19"/>
      <c r="W13" s="2"/>
      <c r="X13" s="2">
        <f t="shared" si="2"/>
        <v>-147982.27519999997</v>
      </c>
      <c r="Y13" s="2"/>
      <c r="Z13" s="19">
        <f t="shared" si="3"/>
        <v>-1</v>
      </c>
    </row>
    <row r="14" spans="1:26" s="24" customFormat="1" hidden="1" outlineLevel="1" x14ac:dyDescent="0.25">
      <c r="A14" s="46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--19.16</f>
        <v>19.16</v>
      </c>
      <c r="E14" s="2"/>
      <c r="F14" s="19"/>
      <c r="G14" s="2"/>
      <c r="H14" s="2"/>
      <c r="I14" s="2"/>
      <c r="J14" s="19"/>
      <c r="K14" s="2"/>
      <c r="L14" s="2">
        <f t="shared" si="0"/>
        <v>19.16</v>
      </c>
      <c r="M14" s="2"/>
      <c r="N14" s="19">
        <f t="shared" si="1"/>
        <v>0</v>
      </c>
      <c r="O14" s="11"/>
      <c r="P14" s="2">
        <f>--83.72</f>
        <v>83.72</v>
      </c>
      <c r="Q14" s="2"/>
      <c r="R14" s="19"/>
      <c r="S14" s="2"/>
      <c r="T14" s="2"/>
      <c r="U14" s="2"/>
      <c r="V14" s="19"/>
      <c r="W14" s="2"/>
      <c r="X14" s="2">
        <f t="shared" si="2"/>
        <v>83.72</v>
      </c>
      <c r="Y14" s="2"/>
      <c r="Z14" s="19">
        <f t="shared" si="3"/>
        <v>0</v>
      </c>
    </row>
    <row r="15" spans="1:26" s="24" customFormat="1" hidden="1" outlineLevel="1" x14ac:dyDescent="0.25">
      <c r="A15" s="46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--7.48</f>
        <v>7.48</v>
      </c>
      <c r="E15" s="2"/>
      <c r="F15" s="19"/>
      <c r="G15" s="2"/>
      <c r="H15" s="2"/>
      <c r="I15" s="2"/>
      <c r="J15" s="19"/>
      <c r="K15" s="2"/>
      <c r="L15" s="2">
        <f t="shared" si="0"/>
        <v>7.48</v>
      </c>
      <c r="M15" s="2"/>
      <c r="N15" s="19">
        <f t="shared" si="1"/>
        <v>0</v>
      </c>
      <c r="O15" s="11"/>
      <c r="P15" s="2">
        <f>--47.91</f>
        <v>47.91</v>
      </c>
      <c r="Q15" s="2"/>
      <c r="R15" s="19"/>
      <c r="S15" s="2"/>
      <c r="T15" s="2"/>
      <c r="U15" s="2"/>
      <c r="V15" s="19"/>
      <c r="W15" s="2"/>
      <c r="X15" s="2">
        <f t="shared" si="2"/>
        <v>47.91</v>
      </c>
      <c r="Y15" s="2"/>
      <c r="Z15" s="19">
        <f t="shared" si="3"/>
        <v>0</v>
      </c>
    </row>
    <row r="16" spans="1:26" s="24" customFormat="1" hidden="1" outlineLevel="1" x14ac:dyDescent="0.25">
      <c r="A16" s="46"/>
      <c r="B16" s="11" t="str">
        <f>CONCATENATE("          ", "4040", " - ", "TAXABLE SALES-LOGO CLOTHING")</f>
        <v xml:space="preserve">          4040 - TAXABLE SALES-LOGO CLOTHING</v>
      </c>
      <c r="C16" s="11"/>
      <c r="D16" s="2">
        <f>--27799.65</f>
        <v>27799.65</v>
      </c>
      <c r="E16" s="2"/>
      <c r="F16" s="19"/>
      <c r="G16" s="2"/>
      <c r="H16" s="2"/>
      <c r="I16" s="2"/>
      <c r="J16" s="19"/>
      <c r="K16" s="2"/>
      <c r="L16" s="2">
        <f t="shared" si="0"/>
        <v>27799.65</v>
      </c>
      <c r="M16" s="2"/>
      <c r="N16" s="19">
        <f t="shared" si="1"/>
        <v>0</v>
      </c>
      <c r="O16" s="11"/>
      <c r="P16" s="2">
        <f>--128356.45</f>
        <v>128356.45</v>
      </c>
      <c r="Q16" s="2"/>
      <c r="R16" s="19"/>
      <c r="S16" s="2"/>
      <c r="T16" s="2"/>
      <c r="U16" s="2"/>
      <c r="V16" s="19"/>
      <c r="W16" s="2"/>
      <c r="X16" s="2">
        <f t="shared" si="2"/>
        <v>128356.45</v>
      </c>
      <c r="Y16" s="2"/>
      <c r="Z16" s="19">
        <f t="shared" si="3"/>
        <v>0</v>
      </c>
    </row>
    <row r="17" spans="1:26" s="24" customFormat="1" hidden="1" outlineLevel="1" x14ac:dyDescent="0.25">
      <c r="A17" s="46"/>
      <c r="B17" s="11" t="str">
        <f>CONCATENATE("          ", "4041", " - ", "TAXABLE SALES-LOGO GIFTS")</f>
        <v xml:space="preserve">          4041 - TAXABLE SALES-LOGO GIFTS</v>
      </c>
      <c r="C17" s="11"/>
      <c r="D17" s="2">
        <f>--3929.16</f>
        <v>3929.16</v>
      </c>
      <c r="E17" s="2"/>
      <c r="F17" s="19"/>
      <c r="G17" s="2"/>
      <c r="H17" s="2"/>
      <c r="I17" s="2"/>
      <c r="J17" s="19"/>
      <c r="K17" s="2"/>
      <c r="L17" s="2">
        <f t="shared" si="0"/>
        <v>3929.16</v>
      </c>
      <c r="M17" s="2"/>
      <c r="N17" s="19">
        <f t="shared" si="1"/>
        <v>0</v>
      </c>
      <c r="O17" s="11"/>
      <c r="P17" s="2">
        <f>--17394.69</f>
        <v>17394.689999999999</v>
      </c>
      <c r="Q17" s="2"/>
      <c r="R17" s="19"/>
      <c r="S17" s="2"/>
      <c r="T17" s="2"/>
      <c r="U17" s="2"/>
      <c r="V17" s="19"/>
      <c r="W17" s="2"/>
      <c r="X17" s="2">
        <f t="shared" si="2"/>
        <v>17394.689999999999</v>
      </c>
      <c r="Y17" s="2"/>
      <c r="Z17" s="19">
        <f t="shared" si="3"/>
        <v>0</v>
      </c>
    </row>
    <row r="18" spans="1:26" s="24" customFormat="1" hidden="1" outlineLevel="1" x14ac:dyDescent="0.25">
      <c r="A18" s="46"/>
      <c r="B18" s="11" t="str">
        <f>CONCATENATE("          ", "4042", " - ", "TAXABLE SALES-EVERYDAY GIFTS")</f>
        <v xml:space="preserve">          4042 - TAXABLE SALES-EVERYDAY GIFTS</v>
      </c>
      <c r="C18" s="11"/>
      <c r="D18" s="2">
        <f>--2319.31</f>
        <v>2319.31</v>
      </c>
      <c r="E18" s="2"/>
      <c r="F18" s="19"/>
      <c r="G18" s="2"/>
      <c r="H18" s="2"/>
      <c r="I18" s="2"/>
      <c r="J18" s="19"/>
      <c r="K18" s="2"/>
      <c r="L18" s="2">
        <f t="shared" si="0"/>
        <v>2319.31</v>
      </c>
      <c r="M18" s="2"/>
      <c r="N18" s="19">
        <f t="shared" si="1"/>
        <v>0</v>
      </c>
      <c r="O18" s="11"/>
      <c r="P18" s="2">
        <f>--11482.5</f>
        <v>11482.5</v>
      </c>
      <c r="Q18" s="2"/>
      <c r="R18" s="19"/>
      <c r="S18" s="2"/>
      <c r="T18" s="2"/>
      <c r="U18" s="2"/>
      <c r="V18" s="19"/>
      <c r="W18" s="2"/>
      <c r="X18" s="2">
        <f t="shared" si="2"/>
        <v>11482.5</v>
      </c>
      <c r="Y18" s="2"/>
      <c r="Z18" s="19">
        <f t="shared" si="3"/>
        <v>0</v>
      </c>
    </row>
    <row r="19" spans="1:26" s="24" customFormat="1" hidden="1" outlineLevel="1" x14ac:dyDescent="0.25">
      <c r="A19" s="46"/>
      <c r="B19" s="11" t="str">
        <f>CONCATENATE("          ", "4044", " - ", "TAXABLE SALES-ACCESSORIES")</f>
        <v xml:space="preserve">          4044 - TAXABLE SALES-ACCESSORIES</v>
      </c>
      <c r="C19" s="11"/>
      <c r="D19" s="2">
        <f>--176.55</f>
        <v>176.55</v>
      </c>
      <c r="E19" s="2"/>
      <c r="F19" s="19"/>
      <c r="G19" s="2"/>
      <c r="H19" s="2"/>
      <c r="I19" s="2"/>
      <c r="J19" s="19"/>
      <c r="K19" s="2"/>
      <c r="L19" s="2">
        <f t="shared" si="0"/>
        <v>176.55</v>
      </c>
      <c r="M19" s="2"/>
      <c r="N19" s="19">
        <f t="shared" si="1"/>
        <v>0</v>
      </c>
      <c r="O19" s="11"/>
      <c r="P19" s="2">
        <f>--938.5</f>
        <v>938.5</v>
      </c>
      <c r="Q19" s="2"/>
      <c r="R19" s="19"/>
      <c r="S19" s="2"/>
      <c r="T19" s="2"/>
      <c r="U19" s="2"/>
      <c r="V19" s="19"/>
      <c r="W19" s="2"/>
      <c r="X19" s="2">
        <f t="shared" si="2"/>
        <v>938.5</v>
      </c>
      <c r="Y19" s="2"/>
      <c r="Z19" s="19">
        <f t="shared" si="3"/>
        <v>0</v>
      </c>
    </row>
    <row r="20" spans="1:26" s="24" customFormat="1" hidden="1" outlineLevel="1" x14ac:dyDescent="0.25">
      <c r="A20" s="46"/>
      <c r="B20" s="11" t="str">
        <f>CONCATENATE("          ", "4045", " - ", "TAXABLE SALES-SPECIAL ORDERS")</f>
        <v xml:space="preserve">          4045 - TAXABLE SALES-SPECIAL ORDERS</v>
      </c>
      <c r="C20" s="11"/>
      <c r="D20" s="2">
        <f t="shared" ref="D20:D21" si="4">0</f>
        <v>0</v>
      </c>
      <c r="E20" s="2"/>
      <c r="F20" s="19"/>
      <c r="G20" s="2"/>
      <c r="H20" s="2"/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--367.76</f>
        <v>367.76</v>
      </c>
      <c r="Q20" s="2"/>
      <c r="R20" s="19"/>
      <c r="S20" s="2"/>
      <c r="T20" s="2"/>
      <c r="U20" s="2"/>
      <c r="V20" s="19"/>
      <c r="W20" s="2"/>
      <c r="X20" s="2">
        <f t="shared" si="2"/>
        <v>367.76</v>
      </c>
      <c r="Y20" s="2"/>
      <c r="Z20" s="19">
        <f t="shared" si="3"/>
        <v>0</v>
      </c>
    </row>
    <row r="21" spans="1:26" s="24" customFormat="1" hidden="1" outlineLevel="1" x14ac:dyDescent="0.25">
      <c r="A21" s="46"/>
      <c r="B21" s="11" t="str">
        <f>CONCATENATE("          ", "4092", " - ", "TAXABLE SALES-GRAD MERCH")</f>
        <v xml:space="preserve">          4092 - TAXABLE SALES-GRAD MERCH</v>
      </c>
      <c r="C21" s="11"/>
      <c r="D21" s="2">
        <f t="shared" si="4"/>
        <v>0</v>
      </c>
      <c r="E21" s="2"/>
      <c r="F21" s="19"/>
      <c r="G21" s="2"/>
      <c r="H21" s="2"/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>-39.95</f>
        <v>-39.950000000000003</v>
      </c>
      <c r="Q21" s="2"/>
      <c r="R21" s="19"/>
      <c r="S21" s="2"/>
      <c r="T21" s="2"/>
      <c r="U21" s="2"/>
      <c r="V21" s="19"/>
      <c r="W21" s="2"/>
      <c r="X21" s="2">
        <f t="shared" si="2"/>
        <v>-39.950000000000003</v>
      </c>
      <c r="Y21" s="2"/>
      <c r="Z21" s="19">
        <f t="shared" si="3"/>
        <v>0</v>
      </c>
    </row>
    <row r="22" spans="1:26" s="24" customFormat="1" hidden="1" outlineLevel="1" x14ac:dyDescent="0.25">
      <c r="A22" s="46"/>
      <c r="B22" s="11" t="str">
        <f>CONCATENATE("          ", "4095", " - ", "TAXABLE SALES-CUSTOMER SERVICE")</f>
        <v xml:space="preserve">          4095 - TAXABLE SALES-CUSTOMER SERVICE</v>
      </c>
      <c r="C22" s="11"/>
      <c r="D22" s="2">
        <f>--6.93</f>
        <v>6.93</v>
      </c>
      <c r="E22" s="2"/>
      <c r="F22" s="19"/>
      <c r="G22" s="2"/>
      <c r="H22" s="2"/>
      <c r="I22" s="2"/>
      <c r="J22" s="19"/>
      <c r="K22" s="2"/>
      <c r="L22" s="2">
        <f t="shared" si="0"/>
        <v>6.93</v>
      </c>
      <c r="M22" s="2"/>
      <c r="N22" s="19">
        <f t="shared" si="1"/>
        <v>0</v>
      </c>
      <c r="O22" s="11"/>
      <c r="P22" s="2">
        <f>--23.76</f>
        <v>23.76</v>
      </c>
      <c r="Q22" s="2"/>
      <c r="R22" s="19"/>
      <c r="S22" s="2"/>
      <c r="T22" s="2"/>
      <c r="U22" s="2"/>
      <c r="V22" s="19"/>
      <c r="W22" s="2"/>
      <c r="X22" s="2">
        <f t="shared" si="2"/>
        <v>23.76</v>
      </c>
      <c r="Y22" s="2"/>
      <c r="Z22" s="19">
        <f t="shared" si="3"/>
        <v>0</v>
      </c>
    </row>
    <row r="23" spans="1:26" s="24" customFormat="1" hidden="1" outlineLevel="1" x14ac:dyDescent="0.25">
      <c r="A23" s="46"/>
      <c r="B23" s="11" t="str">
        <f>CONCATENATE("          ", "4137", " - ", "NON-TAXABLE SALES-WATER")</f>
        <v xml:space="preserve">          4137 - NON-TAXABLE SALES-WATER</v>
      </c>
      <c r="C23" s="11"/>
      <c r="D23" s="2">
        <f>--19.5</f>
        <v>19.5</v>
      </c>
      <c r="E23" s="2"/>
      <c r="F23" s="19"/>
      <c r="G23" s="2"/>
      <c r="H23" s="2"/>
      <c r="I23" s="2"/>
      <c r="J23" s="19"/>
      <c r="K23" s="2"/>
      <c r="L23" s="2">
        <f t="shared" si="0"/>
        <v>19.5</v>
      </c>
      <c r="M23" s="2"/>
      <c r="N23" s="19">
        <f t="shared" si="1"/>
        <v>0</v>
      </c>
      <c r="O23" s="11"/>
      <c r="P23" s="2">
        <f>--73.5</f>
        <v>73.5</v>
      </c>
      <c r="Q23" s="2"/>
      <c r="R23" s="19"/>
      <c r="S23" s="2"/>
      <c r="T23" s="2"/>
      <c r="U23" s="2"/>
      <c r="V23" s="19"/>
      <c r="W23" s="2"/>
      <c r="X23" s="2">
        <f t="shared" si="2"/>
        <v>73.5</v>
      </c>
      <c r="Y23" s="2"/>
      <c r="Z23" s="19">
        <f t="shared" si="3"/>
        <v>0</v>
      </c>
    </row>
    <row r="24" spans="1:26" s="24" customFormat="1" hidden="1" outlineLevel="1" x14ac:dyDescent="0.25">
      <c r="A24" s="46"/>
      <c r="B24" s="11" t="str">
        <f>CONCATENATE("          ", "4142", " - ", "NON-TAXABLE SALES-EVERYDAY GIF")</f>
        <v xml:space="preserve">          4142 - NON-TAXABLE SALES-EVERYDAY GIF</v>
      </c>
      <c r="C24" s="11"/>
      <c r="D24" s="2">
        <f>--10.5</f>
        <v>10.5</v>
      </c>
      <c r="E24" s="2"/>
      <c r="F24" s="19"/>
      <c r="G24" s="2"/>
      <c r="H24" s="2"/>
      <c r="I24" s="2"/>
      <c r="J24" s="19"/>
      <c r="K24" s="2"/>
      <c r="L24" s="2">
        <f t="shared" si="0"/>
        <v>10.5</v>
      </c>
      <c r="M24" s="2"/>
      <c r="N24" s="19">
        <f t="shared" si="1"/>
        <v>0</v>
      </c>
      <c r="O24" s="11"/>
      <c r="P24" s="2">
        <f>--113.47</f>
        <v>113.47</v>
      </c>
      <c r="Q24" s="2"/>
      <c r="R24" s="19"/>
      <c r="S24" s="2"/>
      <c r="T24" s="2"/>
      <c r="U24" s="2"/>
      <c r="V24" s="19"/>
      <c r="W24" s="2"/>
      <c r="X24" s="2">
        <f t="shared" si="2"/>
        <v>113.47</v>
      </c>
      <c r="Y24" s="2"/>
      <c r="Z24" s="19">
        <f t="shared" si="3"/>
        <v>0</v>
      </c>
    </row>
    <row r="25" spans="1:26" s="24" customFormat="1" hidden="1" outlineLevel="1" x14ac:dyDescent="0.25">
      <c r="A25" s="46"/>
      <c r="B25" s="11" t="str">
        <f>CONCATENATE("          ", "4240", " - ", "SALES RETURN TAXABLE-LOGO CLOT")</f>
        <v xml:space="preserve">          4240 - SALES RETURN TAXABLE-LOGO CLOT</v>
      </c>
      <c r="C25" s="11"/>
      <c r="D25" s="2">
        <f>-1290.2</f>
        <v>-1290.2</v>
      </c>
      <c r="E25" s="2"/>
      <c r="F25" s="19"/>
      <c r="G25" s="2"/>
      <c r="H25" s="2"/>
      <c r="I25" s="2"/>
      <c r="J25" s="19"/>
      <c r="K25" s="2"/>
      <c r="L25" s="2">
        <f t="shared" si="0"/>
        <v>-1290.2</v>
      </c>
      <c r="M25" s="2"/>
      <c r="N25" s="19">
        <f t="shared" si="1"/>
        <v>0</v>
      </c>
      <c r="O25" s="11"/>
      <c r="P25" s="2">
        <f>-4356.04</f>
        <v>-4356.04</v>
      </c>
      <c r="Q25" s="2"/>
      <c r="R25" s="19"/>
      <c r="S25" s="2"/>
      <c r="T25" s="2"/>
      <c r="U25" s="2"/>
      <c r="V25" s="19"/>
      <c r="W25" s="2"/>
      <c r="X25" s="2">
        <f t="shared" si="2"/>
        <v>-4356.04</v>
      </c>
      <c r="Y25" s="2"/>
      <c r="Z25" s="19">
        <f t="shared" si="3"/>
        <v>0</v>
      </c>
    </row>
    <row r="26" spans="1:26" s="24" customFormat="1" hidden="1" outlineLevel="1" x14ac:dyDescent="0.25">
      <c r="A26" s="46"/>
      <c r="B26" s="11" t="str">
        <f>CONCATENATE("          ", "4241", " - ", "SALES RETURN TAXABLE-LOGO GIFT")</f>
        <v xml:space="preserve">          4241 - SALES RETURN TAXABLE-LOGO GIFT</v>
      </c>
      <c r="C26" s="11"/>
      <c r="D26" s="2">
        <f>-340.49</f>
        <v>-340.49</v>
      </c>
      <c r="E26" s="2"/>
      <c r="F26" s="19"/>
      <c r="G26" s="2"/>
      <c r="H26" s="2"/>
      <c r="I26" s="2"/>
      <c r="J26" s="19"/>
      <c r="K26" s="2"/>
      <c r="L26" s="2">
        <f t="shared" si="0"/>
        <v>-340.49</v>
      </c>
      <c r="M26" s="2"/>
      <c r="N26" s="19">
        <f t="shared" si="1"/>
        <v>0</v>
      </c>
      <c r="O26" s="11"/>
      <c r="P26" s="2">
        <f>-676.5</f>
        <v>-676.5</v>
      </c>
      <c r="Q26" s="2"/>
      <c r="R26" s="19"/>
      <c r="S26" s="2"/>
      <c r="T26" s="2"/>
      <c r="U26" s="2"/>
      <c r="V26" s="19"/>
      <c r="W26" s="2"/>
      <c r="X26" s="2">
        <f t="shared" si="2"/>
        <v>-676.5</v>
      </c>
      <c r="Y26" s="2"/>
      <c r="Z26" s="19">
        <f t="shared" si="3"/>
        <v>0</v>
      </c>
    </row>
    <row r="27" spans="1:26" s="24" customFormat="1" hidden="1" outlineLevel="1" x14ac:dyDescent="0.25">
      <c r="A27" s="46"/>
      <c r="B27" s="11" t="str">
        <f>CONCATENATE("          ", "4242", " - ", "SALES RETURN TAXABLE-EVERYDAY")</f>
        <v xml:space="preserve">          4242 - SALES RETURN TAXABLE-EVERYDAY</v>
      </c>
      <c r="C27" s="11"/>
      <c r="D27" s="2">
        <f>-94.85</f>
        <v>-94.85</v>
      </c>
      <c r="E27" s="2"/>
      <c r="F27" s="19"/>
      <c r="G27" s="2"/>
      <c r="H27" s="2"/>
      <c r="I27" s="2"/>
      <c r="J27" s="19"/>
      <c r="K27" s="2"/>
      <c r="L27" s="2">
        <f t="shared" si="0"/>
        <v>-94.85</v>
      </c>
      <c r="M27" s="2"/>
      <c r="N27" s="19">
        <f t="shared" si="1"/>
        <v>0</v>
      </c>
      <c r="O27" s="11"/>
      <c r="P27" s="2">
        <f>-239.14</f>
        <v>-239.14</v>
      </c>
      <c r="Q27" s="2"/>
      <c r="R27" s="19"/>
      <c r="S27" s="2"/>
      <c r="T27" s="2"/>
      <c r="U27" s="2"/>
      <c r="V27" s="19"/>
      <c r="W27" s="2"/>
      <c r="X27" s="2">
        <f t="shared" si="2"/>
        <v>-239.14</v>
      </c>
      <c r="Y27" s="2"/>
      <c r="Z27" s="19">
        <f t="shared" si="3"/>
        <v>0</v>
      </c>
    </row>
    <row r="28" spans="1:26" s="24" customFormat="1" hidden="1" outlineLevel="1" x14ac:dyDescent="0.25">
      <c r="A28" s="46"/>
      <c r="B28" s="11" t="str">
        <f>CONCATENATE("          ", "4244", " - ", "SALES RETURN TAXABLE-ACCESSORI")</f>
        <v xml:space="preserve">          4244 - SALES RETURN TAXABLE-ACCESSORI</v>
      </c>
      <c r="C28" s="11"/>
      <c r="D28" s="2">
        <f t="shared" ref="D28:D30" si="5">0</f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-22.95</f>
        <v>-22.95</v>
      </c>
      <c r="Q28" s="2"/>
      <c r="R28" s="19"/>
      <c r="S28" s="2"/>
      <c r="T28" s="2"/>
      <c r="U28" s="2"/>
      <c r="V28" s="19"/>
      <c r="W28" s="2"/>
      <c r="X28" s="2">
        <f t="shared" si="2"/>
        <v>-22.95</v>
      </c>
      <c r="Y28" s="2"/>
      <c r="Z28" s="19">
        <f t="shared" si="3"/>
        <v>0</v>
      </c>
    </row>
    <row r="29" spans="1:26" s="24" customFormat="1" hidden="1" outlineLevel="1" x14ac:dyDescent="0.25">
      <c r="A29" s="46"/>
      <c r="B29" s="11" t="str">
        <f>CONCATENATE("          ", "4245", " - ", "SALES RETURN TAXABLE-SPECIAL O")</f>
        <v xml:space="preserve">          4245 - SALES RETURN TAXABLE-SPECIAL O</v>
      </c>
      <c r="C29" s="11"/>
      <c r="D29" s="2">
        <f t="shared" si="5"/>
        <v>0</v>
      </c>
      <c r="E29" s="2"/>
      <c r="F29" s="19"/>
      <c r="G29" s="2"/>
      <c r="H29" s="2"/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-9.99</f>
        <v>-9.99</v>
      </c>
      <c r="Q29" s="2"/>
      <c r="R29" s="19"/>
      <c r="S29" s="2"/>
      <c r="T29" s="2"/>
      <c r="U29" s="2"/>
      <c r="V29" s="19"/>
      <c r="W29" s="2"/>
      <c r="X29" s="2">
        <f t="shared" si="2"/>
        <v>-9.99</v>
      </c>
      <c r="Y29" s="2"/>
      <c r="Z29" s="19">
        <f t="shared" si="3"/>
        <v>0</v>
      </c>
    </row>
    <row r="30" spans="1:26" s="24" customFormat="1" hidden="1" outlineLevel="1" x14ac:dyDescent="0.25">
      <c r="A30" s="46"/>
      <c r="B30" s="11" t="str">
        <f>CONCATENATE("          ", "4295", " - ", "SALES RETURN TAXABLE-CUSTOMER")</f>
        <v xml:space="preserve">          4295 - SALES RETURN TAXABLE-CUSTOMER</v>
      </c>
      <c r="C30" s="11"/>
      <c r="D30" s="2">
        <f t="shared" si="5"/>
        <v>0</v>
      </c>
      <c r="E30" s="2"/>
      <c r="F30" s="19"/>
      <c r="G30" s="2"/>
      <c r="H30" s="2"/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--0.99</f>
        <v>0.99</v>
      </c>
      <c r="Q30" s="2"/>
      <c r="R30" s="19"/>
      <c r="S30" s="2"/>
      <c r="T30" s="2"/>
      <c r="U30" s="2"/>
      <c r="V30" s="19"/>
      <c r="W30" s="2"/>
      <c r="X30" s="2">
        <f t="shared" si="2"/>
        <v>0.99</v>
      </c>
      <c r="Y30" s="2"/>
      <c r="Z30" s="19">
        <f t="shared" si="3"/>
        <v>0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collapsed="1" x14ac:dyDescent="0.25">
      <c r="A32" s="10"/>
      <c r="B32" s="28" t="s">
        <v>8</v>
      </c>
      <c r="C32" s="10"/>
      <c r="D32" s="4">
        <f>SUM(OSRRefD16x_0)</f>
        <v>13915.560000000001</v>
      </c>
      <c r="E32" s="4"/>
      <c r="F32" s="12">
        <f t="shared" ref="F32:F46" si="6">IF(D$12=0,0,D32/D$12)</f>
        <v>0.42734662666179396</v>
      </c>
      <c r="G32" s="4"/>
      <c r="H32" s="4">
        <f>SUM(OSRRefH16x_0)</f>
        <v>16914.466229999998</v>
      </c>
      <c r="I32" s="4"/>
      <c r="J32" s="12">
        <f t="shared" ref="J32:J46" si="7">IF(H$12=0,0,H32/H$12)</f>
        <v>0.42515922951251145</v>
      </c>
      <c r="K32" s="4"/>
      <c r="L32" s="4">
        <f t="shared" ref="L32:L46" si="8">+D32-H32</f>
        <v>-2998.9062299999969</v>
      </c>
      <c r="M32" s="4"/>
      <c r="N32" s="12">
        <f t="shared" ref="N32:N46" si="9">IF(H32=0,0,L32/H32)</f>
        <v>-0.17729830721356421</v>
      </c>
      <c r="O32" s="10"/>
      <c r="P32" s="4">
        <f>SUM(OSRRefP16x_0)</f>
        <v>65008.949999999975</v>
      </c>
      <c r="Q32" s="4"/>
      <c r="R32" s="12">
        <f t="shared" ref="R32:R46" si="10">IF(P$12=0,0,P32/P$12)</f>
        <v>0.4234043825308384</v>
      </c>
      <c r="S32" s="4"/>
      <c r="T32" s="4">
        <f>SUM(OSRRefT16x_0)</f>
        <v>63085.617190000004</v>
      </c>
      <c r="U32" s="4"/>
      <c r="V32" s="12">
        <f t="shared" ref="V32:V46" si="11">IF(T$12=0,0,T32/T$12)</f>
        <v>0.42630522543824234</v>
      </c>
      <c r="W32" s="4"/>
      <c r="X32" s="4">
        <f t="shared" ref="X32:X46" si="12">+P32-T32</f>
        <v>1923.3328099999708</v>
      </c>
      <c r="Y32" s="4"/>
      <c r="Z32" s="12">
        <f t="shared" ref="Z32:Z46" si="13">IF(T32=0,0,X32/T32)</f>
        <v>3.0487659401148687E-2</v>
      </c>
    </row>
    <row r="33" spans="1:26" s="24" customFormat="1" hidden="1" outlineLevel="1" x14ac:dyDescent="0.25">
      <c r="A33" s="46"/>
      <c r="B33" s="11" t="str">
        <f>CONCATENATE("          ", "5000", " - ", "PURCHASES @ COST")</f>
        <v xml:space="preserve">          5000 - PURCHASES @ COST</v>
      </c>
      <c r="C33" s="11"/>
      <c r="D33" s="2"/>
      <c r="E33" s="2"/>
      <c r="F33" s="19">
        <f t="shared" si="6"/>
        <v>0</v>
      </c>
      <c r="G33" s="2"/>
      <c r="H33" s="2">
        <v>16914.466229999998</v>
      </c>
      <c r="I33" s="2"/>
      <c r="J33" s="19">
        <f t="shared" si="7"/>
        <v>0.42515922951251145</v>
      </c>
      <c r="K33" s="2"/>
      <c r="L33" s="2">
        <f t="shared" si="8"/>
        <v>-16914.466229999998</v>
      </c>
      <c r="M33" s="2"/>
      <c r="N33" s="19">
        <f t="shared" si="9"/>
        <v>-1</v>
      </c>
      <c r="O33" s="11"/>
      <c r="P33" s="2"/>
      <c r="Q33" s="2"/>
      <c r="R33" s="19">
        <f t="shared" si="10"/>
        <v>0</v>
      </c>
      <c r="S33" s="2"/>
      <c r="T33" s="2">
        <v>63085.617190000004</v>
      </c>
      <c r="U33" s="2"/>
      <c r="V33" s="19">
        <f t="shared" si="11"/>
        <v>0.42630522543824234</v>
      </c>
      <c r="W33" s="2"/>
      <c r="X33" s="2">
        <f t="shared" si="12"/>
        <v>-63085.617190000004</v>
      </c>
      <c r="Y33" s="2"/>
      <c r="Z33" s="19">
        <f t="shared" si="13"/>
        <v>-1</v>
      </c>
    </row>
    <row r="34" spans="1:26" s="24" customFormat="1" hidden="1" outlineLevel="1" x14ac:dyDescent="0.25">
      <c r="A34" s="46"/>
      <c r="B34" s="11" t="str">
        <f>CONCATENATE("          ", "5026", " - ", "PURCHASES @ COST-WRITING INSTR")</f>
        <v xml:space="preserve">          5026 - PURCHASES @ COST-WRITING INSTR</v>
      </c>
      <c r="C34" s="11"/>
      <c r="D34" s="2">
        <v>-11.31</v>
      </c>
      <c r="E34" s="2"/>
      <c r="F34" s="19">
        <f t="shared" si="6"/>
        <v>-3.4732992043043105E-4</v>
      </c>
      <c r="G34" s="2"/>
      <c r="H34" s="2"/>
      <c r="I34" s="2"/>
      <c r="J34" s="19">
        <f t="shared" si="7"/>
        <v>0</v>
      </c>
      <c r="K34" s="2"/>
      <c r="L34" s="2">
        <f t="shared" si="8"/>
        <v>-11.31</v>
      </c>
      <c r="M34" s="2"/>
      <c r="N34" s="19">
        <f t="shared" si="9"/>
        <v>0</v>
      </c>
      <c r="O34" s="11"/>
      <c r="P34" s="2">
        <v>-64.930000000000007</v>
      </c>
      <c r="Q34" s="2"/>
      <c r="R34" s="19">
        <f t="shared" si="10"/>
        <v>-4.2289017985565607E-4</v>
      </c>
      <c r="S34" s="2"/>
      <c r="T34" s="2"/>
      <c r="U34" s="2"/>
      <c r="V34" s="19">
        <f t="shared" si="11"/>
        <v>0</v>
      </c>
      <c r="W34" s="2"/>
      <c r="X34" s="2">
        <f t="shared" si="12"/>
        <v>-64.930000000000007</v>
      </c>
      <c r="Y34" s="2"/>
      <c r="Z34" s="19">
        <f t="shared" si="13"/>
        <v>0</v>
      </c>
    </row>
    <row r="35" spans="1:26" s="24" customFormat="1" hidden="1" outlineLevel="1" x14ac:dyDescent="0.25">
      <c r="A35" s="46"/>
      <c r="B35" s="11" t="str">
        <f>CONCATENATE("          ", "5027", " - ", "PURCHASES @ COST-SCHOOL SUPPLI")</f>
        <v xml:space="preserve">          5027 - PURCHASES @ COST-SCHOOL SUPPLI</v>
      </c>
      <c r="C35" s="11"/>
      <c r="D35" s="2">
        <v>-35.06</v>
      </c>
      <c r="E35" s="2"/>
      <c r="F35" s="19">
        <f t="shared" si="6"/>
        <v>-1.0766920433502134E-3</v>
      </c>
      <c r="G35" s="2"/>
      <c r="H35" s="2"/>
      <c r="I35" s="2"/>
      <c r="J35" s="19">
        <f t="shared" si="7"/>
        <v>0</v>
      </c>
      <c r="K35" s="2"/>
      <c r="L35" s="2">
        <f t="shared" si="8"/>
        <v>-35.06</v>
      </c>
      <c r="M35" s="2"/>
      <c r="N35" s="19">
        <f t="shared" si="9"/>
        <v>0</v>
      </c>
      <c r="O35" s="11"/>
      <c r="P35" s="2">
        <v>28.46</v>
      </c>
      <c r="Q35" s="2"/>
      <c r="R35" s="19">
        <f t="shared" si="10"/>
        <v>1.8536045770355721E-4</v>
      </c>
      <c r="S35" s="2"/>
      <c r="T35" s="2"/>
      <c r="U35" s="2"/>
      <c r="V35" s="19">
        <f t="shared" si="11"/>
        <v>0</v>
      </c>
      <c r="W35" s="2"/>
      <c r="X35" s="2">
        <f t="shared" si="12"/>
        <v>28.46</v>
      </c>
      <c r="Y35" s="2"/>
      <c r="Z35" s="19">
        <f t="shared" si="13"/>
        <v>0</v>
      </c>
    </row>
    <row r="36" spans="1:26" s="24" customFormat="1" hidden="1" outlineLevel="1" x14ac:dyDescent="0.25">
      <c r="A36" s="46"/>
      <c r="B36" s="11" t="str">
        <f>CONCATENATE("          ", "5037", " - ", "PURCHASES @ COST-WATER")</f>
        <v xml:space="preserve">          5037 - PURCHASES @ COST-WATER</v>
      </c>
      <c r="C36" s="11"/>
      <c r="D36" s="2"/>
      <c r="E36" s="2"/>
      <c r="F36" s="19">
        <f t="shared" si="6"/>
        <v>0</v>
      </c>
      <c r="G36" s="2"/>
      <c r="H36" s="2"/>
      <c r="I36" s="2"/>
      <c r="J36" s="19">
        <f t="shared" si="7"/>
        <v>0</v>
      </c>
      <c r="K36" s="2"/>
      <c r="L36" s="2">
        <f t="shared" si="8"/>
        <v>0</v>
      </c>
      <c r="M36" s="2"/>
      <c r="N36" s="19">
        <f t="shared" si="9"/>
        <v>0</v>
      </c>
      <c r="O36" s="11"/>
      <c r="P36" s="2">
        <v>29.76</v>
      </c>
      <c r="Q36" s="2"/>
      <c r="R36" s="19">
        <f t="shared" si="10"/>
        <v>1.9382737952416948E-4</v>
      </c>
      <c r="S36" s="2"/>
      <c r="T36" s="2"/>
      <c r="U36" s="2"/>
      <c r="V36" s="19">
        <f t="shared" si="11"/>
        <v>0</v>
      </c>
      <c r="W36" s="2"/>
      <c r="X36" s="2">
        <f t="shared" si="12"/>
        <v>29.76</v>
      </c>
      <c r="Y36" s="2"/>
      <c r="Z36" s="19">
        <f t="shared" si="13"/>
        <v>0</v>
      </c>
    </row>
    <row r="37" spans="1:26" s="24" customFormat="1" hidden="1" outlineLevel="1" x14ac:dyDescent="0.25">
      <c r="A37" s="46"/>
      <c r="B37" s="11" t="str">
        <f>CONCATENATE("          ", "5040", " - ", "PURCHASES @ COST-LOGO CLOTHING")</f>
        <v xml:space="preserve">          5040 - PURCHASES @ COST-LOGO CLOTHING</v>
      </c>
      <c r="C37" s="11"/>
      <c r="D37" s="2">
        <v>26571.200000000001</v>
      </c>
      <c r="E37" s="2"/>
      <c r="F37" s="19">
        <f t="shared" si="6"/>
        <v>0.8160011301274156</v>
      </c>
      <c r="G37" s="2"/>
      <c r="H37" s="2"/>
      <c r="I37" s="2"/>
      <c r="J37" s="19">
        <f t="shared" si="7"/>
        <v>0</v>
      </c>
      <c r="K37" s="2"/>
      <c r="L37" s="2">
        <f t="shared" si="8"/>
        <v>26571.200000000001</v>
      </c>
      <c r="M37" s="2"/>
      <c r="N37" s="19">
        <f t="shared" si="9"/>
        <v>0</v>
      </c>
      <c r="O37" s="11"/>
      <c r="P37" s="2">
        <v>84422.36</v>
      </c>
      <c r="Q37" s="2"/>
      <c r="R37" s="19">
        <f t="shared" si="10"/>
        <v>0.54984424771660156</v>
      </c>
      <c r="S37" s="2"/>
      <c r="T37" s="2"/>
      <c r="U37" s="2"/>
      <c r="V37" s="19">
        <f t="shared" si="11"/>
        <v>0</v>
      </c>
      <c r="W37" s="2"/>
      <c r="X37" s="2">
        <f t="shared" si="12"/>
        <v>84422.36</v>
      </c>
      <c r="Y37" s="2"/>
      <c r="Z37" s="19">
        <f t="shared" si="13"/>
        <v>0</v>
      </c>
    </row>
    <row r="38" spans="1:26" s="24" customFormat="1" hidden="1" outlineLevel="1" x14ac:dyDescent="0.25">
      <c r="A38" s="46"/>
      <c r="B38" s="11" t="str">
        <f>CONCATENATE("          ", "5041", " - ", "PURCHASES @ COST-LOGO GIFTS")</f>
        <v xml:space="preserve">          5041 - PURCHASES @ COST-LOGO GIFTS</v>
      </c>
      <c r="C38" s="11"/>
      <c r="D38" s="2">
        <v>2918.13</v>
      </c>
      <c r="E38" s="2"/>
      <c r="F38" s="19">
        <f t="shared" si="6"/>
        <v>8.9615725968669652E-2</v>
      </c>
      <c r="G38" s="2"/>
      <c r="H38" s="2"/>
      <c r="I38" s="2"/>
      <c r="J38" s="19">
        <f t="shared" si="7"/>
        <v>0</v>
      </c>
      <c r="K38" s="2"/>
      <c r="L38" s="2">
        <f t="shared" si="8"/>
        <v>2918.13</v>
      </c>
      <c r="M38" s="2"/>
      <c r="N38" s="19">
        <f t="shared" si="9"/>
        <v>0</v>
      </c>
      <c r="O38" s="11"/>
      <c r="P38" s="2">
        <v>11384.75</v>
      </c>
      <c r="Q38" s="2"/>
      <c r="R38" s="19">
        <f t="shared" si="10"/>
        <v>7.4149067844011707E-2</v>
      </c>
      <c r="S38" s="2"/>
      <c r="T38" s="2"/>
      <c r="U38" s="2"/>
      <c r="V38" s="19">
        <f t="shared" si="11"/>
        <v>0</v>
      </c>
      <c r="W38" s="2"/>
      <c r="X38" s="2">
        <f t="shared" si="12"/>
        <v>11384.75</v>
      </c>
      <c r="Y38" s="2"/>
      <c r="Z38" s="19">
        <f t="shared" si="13"/>
        <v>0</v>
      </c>
    </row>
    <row r="39" spans="1:26" s="24" customFormat="1" hidden="1" outlineLevel="1" x14ac:dyDescent="0.25">
      <c r="A39" s="46"/>
      <c r="B39" s="11" t="str">
        <f>CONCATENATE("          ", "5042", " - ", "PURCHASES @ COST-EVERYDAY GIFT")</f>
        <v xml:space="preserve">          5042 - PURCHASES @ COST-EVERYDAY GIFT</v>
      </c>
      <c r="C39" s="11"/>
      <c r="D39" s="2">
        <v>1246.6500000000001</v>
      </c>
      <c r="E39" s="2"/>
      <c r="F39" s="19">
        <f t="shared" si="6"/>
        <v>3.8284601706860912E-2</v>
      </c>
      <c r="G39" s="2"/>
      <c r="H39" s="2"/>
      <c r="I39" s="2"/>
      <c r="J39" s="19">
        <f t="shared" si="7"/>
        <v>0</v>
      </c>
      <c r="K39" s="2"/>
      <c r="L39" s="2">
        <f t="shared" si="8"/>
        <v>1246.6500000000001</v>
      </c>
      <c r="M39" s="2"/>
      <c r="N39" s="19">
        <f t="shared" si="9"/>
        <v>0</v>
      </c>
      <c r="O39" s="11"/>
      <c r="P39" s="2">
        <v>7635.17</v>
      </c>
      <c r="Q39" s="2"/>
      <c r="R39" s="19">
        <f t="shared" si="10"/>
        <v>4.9727990366987669E-2</v>
      </c>
      <c r="S39" s="2"/>
      <c r="T39" s="2"/>
      <c r="U39" s="2"/>
      <c r="V39" s="19">
        <f t="shared" si="11"/>
        <v>0</v>
      </c>
      <c r="W39" s="2"/>
      <c r="X39" s="2">
        <f t="shared" si="12"/>
        <v>7635.17</v>
      </c>
      <c r="Y39" s="2"/>
      <c r="Z39" s="19">
        <f t="shared" si="13"/>
        <v>0</v>
      </c>
    </row>
    <row r="40" spans="1:26" s="24" customFormat="1" hidden="1" outlineLevel="1" x14ac:dyDescent="0.25">
      <c r="A40" s="46"/>
      <c r="B40" s="11" t="str">
        <f>CONCATENATE("          ", "5044", " - ", "PURCHASES @ COST-ACCESSORIES")</f>
        <v xml:space="preserve">          5044 - PURCHASES @ COST-ACCESSORIES</v>
      </c>
      <c r="C40" s="11"/>
      <c r="D40" s="2">
        <v>254.1</v>
      </c>
      <c r="E40" s="2"/>
      <c r="F40" s="19">
        <f t="shared" si="6"/>
        <v>7.8034069656385966E-3</v>
      </c>
      <c r="G40" s="2"/>
      <c r="H40" s="2"/>
      <c r="I40" s="2"/>
      <c r="J40" s="19">
        <f t="shared" si="7"/>
        <v>0</v>
      </c>
      <c r="K40" s="2"/>
      <c r="L40" s="2">
        <f t="shared" si="8"/>
        <v>254.1</v>
      </c>
      <c r="M40" s="2"/>
      <c r="N40" s="19">
        <f t="shared" si="9"/>
        <v>0</v>
      </c>
      <c r="O40" s="11"/>
      <c r="P40" s="2">
        <v>1747.43</v>
      </c>
      <c r="Q40" s="2"/>
      <c r="R40" s="19">
        <f t="shared" si="10"/>
        <v>1.1381040920763422E-2</v>
      </c>
      <c r="S40" s="2"/>
      <c r="T40" s="2"/>
      <c r="U40" s="2"/>
      <c r="V40" s="19">
        <f t="shared" si="11"/>
        <v>0</v>
      </c>
      <c r="W40" s="2"/>
      <c r="X40" s="2">
        <f t="shared" si="12"/>
        <v>1747.43</v>
      </c>
      <c r="Y40" s="2"/>
      <c r="Z40" s="19">
        <f t="shared" si="13"/>
        <v>0</v>
      </c>
    </row>
    <row r="41" spans="1:26" s="24" customFormat="1" hidden="1" outlineLevel="1" x14ac:dyDescent="0.25">
      <c r="A41" s="46"/>
      <c r="B41" s="11" t="str">
        <f>CONCATENATE("          ", "5045", " - ", "PURCHASES @ COST-SPECIAL ORDER")</f>
        <v xml:space="preserve">          5045 - PURCHASES @ COST-SPECIAL ORDER</v>
      </c>
      <c r="C41" s="11"/>
      <c r="D41" s="2">
        <v>-1267.2</v>
      </c>
      <c r="E41" s="2"/>
      <c r="F41" s="19">
        <f t="shared" si="6"/>
        <v>-3.8915691880587293E-2</v>
      </c>
      <c r="G41" s="2"/>
      <c r="H41" s="2"/>
      <c r="I41" s="2"/>
      <c r="J41" s="19">
        <f t="shared" si="7"/>
        <v>0</v>
      </c>
      <c r="K41" s="2"/>
      <c r="L41" s="2">
        <f t="shared" si="8"/>
        <v>-1267.2</v>
      </c>
      <c r="M41" s="2"/>
      <c r="N41" s="19">
        <f t="shared" si="9"/>
        <v>0</v>
      </c>
      <c r="O41" s="11"/>
      <c r="P41" s="2">
        <v>-968.2</v>
      </c>
      <c r="Q41" s="2"/>
      <c r="R41" s="19">
        <f t="shared" si="10"/>
        <v>-6.3059028513205943E-3</v>
      </c>
      <c r="S41" s="2"/>
      <c r="T41" s="2"/>
      <c r="U41" s="2"/>
      <c r="V41" s="19">
        <f t="shared" si="11"/>
        <v>0</v>
      </c>
      <c r="W41" s="2"/>
      <c r="X41" s="2">
        <f t="shared" si="12"/>
        <v>-968.2</v>
      </c>
      <c r="Y41" s="2"/>
      <c r="Z41" s="19">
        <f t="shared" si="13"/>
        <v>0</v>
      </c>
    </row>
    <row r="42" spans="1:26" s="24" customFormat="1" hidden="1" outlineLevel="1" x14ac:dyDescent="0.25">
      <c r="A42" s="46"/>
      <c r="B42" s="11" t="str">
        <f>CONCATENATE("          ", "5083", " - ", "PURCHASES @ COST-COMPUTER EQUI")</f>
        <v xml:space="preserve">          5083 - PURCHASES @ COST-COMPUTER EQUI</v>
      </c>
      <c r="C42" s="11"/>
      <c r="D42" s="2"/>
      <c r="E42" s="2"/>
      <c r="F42" s="19">
        <f t="shared" si="6"/>
        <v>0</v>
      </c>
      <c r="G42" s="2"/>
      <c r="H42" s="2"/>
      <c r="I42" s="2"/>
      <c r="J42" s="19">
        <f t="shared" si="7"/>
        <v>0</v>
      </c>
      <c r="K42" s="2"/>
      <c r="L42" s="2">
        <f t="shared" si="8"/>
        <v>0</v>
      </c>
      <c r="M42" s="2"/>
      <c r="N42" s="19">
        <f t="shared" si="9"/>
        <v>0</v>
      </c>
      <c r="O42" s="11"/>
      <c r="P42" s="2">
        <v>39.950000000000003</v>
      </c>
      <c r="Q42" s="2"/>
      <c r="R42" s="19">
        <f t="shared" si="10"/>
        <v>2.6019502056419928E-4</v>
      </c>
      <c r="S42" s="2"/>
      <c r="T42" s="2"/>
      <c r="U42" s="2"/>
      <c r="V42" s="19">
        <f t="shared" si="11"/>
        <v>0</v>
      </c>
      <c r="W42" s="2"/>
      <c r="X42" s="2">
        <f t="shared" si="12"/>
        <v>39.950000000000003</v>
      </c>
      <c r="Y42" s="2"/>
      <c r="Z42" s="19">
        <f t="shared" si="13"/>
        <v>0</v>
      </c>
    </row>
    <row r="43" spans="1:26" s="24" customFormat="1" hidden="1" outlineLevel="1" x14ac:dyDescent="0.25">
      <c r="A43" s="46"/>
      <c r="B43" s="11" t="str">
        <f>CONCATENATE("          ", "5092", " - ", "PURCHASES @ COST-GRAD MERCH")</f>
        <v xml:space="preserve">          5092 - PURCHASES @ COST-GRAD MERCH</v>
      </c>
      <c r="C43" s="11"/>
      <c r="D43" s="2">
        <v>-12.95</v>
      </c>
      <c r="E43" s="2"/>
      <c r="F43" s="19">
        <f t="shared" si="6"/>
        <v>-3.9769429439204967E-4</v>
      </c>
      <c r="G43" s="2"/>
      <c r="H43" s="2"/>
      <c r="I43" s="2"/>
      <c r="J43" s="19">
        <f t="shared" si="7"/>
        <v>0</v>
      </c>
      <c r="K43" s="2"/>
      <c r="L43" s="2">
        <f t="shared" si="8"/>
        <v>-12.95</v>
      </c>
      <c r="M43" s="2"/>
      <c r="N43" s="19">
        <f t="shared" si="9"/>
        <v>0</v>
      </c>
      <c r="O43" s="11"/>
      <c r="P43" s="2">
        <v>-12.95</v>
      </c>
      <c r="Q43" s="2"/>
      <c r="R43" s="19">
        <f t="shared" si="10"/>
        <v>-8.4343567366868089E-5</v>
      </c>
      <c r="S43" s="2"/>
      <c r="T43" s="2"/>
      <c r="U43" s="2"/>
      <c r="V43" s="19">
        <f t="shared" si="11"/>
        <v>0</v>
      </c>
      <c r="W43" s="2"/>
      <c r="X43" s="2">
        <f t="shared" si="12"/>
        <v>-12.95</v>
      </c>
      <c r="Y43" s="2"/>
      <c r="Z43" s="19">
        <f t="shared" si="13"/>
        <v>0</v>
      </c>
    </row>
    <row r="44" spans="1:26" s="24" customFormat="1" hidden="1" outlineLevel="1" x14ac:dyDescent="0.25">
      <c r="A44" s="46"/>
      <c r="B44" s="11" t="str">
        <f>CONCATENATE("          ", "5095", " - ", "PURCHASES @ COST-CUSTOMER SERV")</f>
        <v xml:space="preserve">          5095 - PURCHASES @ COST-CUSTOMER SERV</v>
      </c>
      <c r="C44" s="11"/>
      <c r="D44" s="2"/>
      <c r="E44" s="2"/>
      <c r="F44" s="19">
        <f t="shared" si="6"/>
        <v>0</v>
      </c>
      <c r="G44" s="2"/>
      <c r="H44" s="2"/>
      <c r="I44" s="2"/>
      <c r="J44" s="19">
        <f t="shared" si="7"/>
        <v>0</v>
      </c>
      <c r="K44" s="2"/>
      <c r="L44" s="2">
        <f t="shared" si="8"/>
        <v>0</v>
      </c>
      <c r="M44" s="2"/>
      <c r="N44" s="19">
        <f t="shared" si="9"/>
        <v>0</v>
      </c>
      <c r="O44" s="11"/>
      <c r="P44" s="2">
        <v>-11.85</v>
      </c>
      <c r="Q44" s="2"/>
      <c r="R44" s="19">
        <f t="shared" si="10"/>
        <v>-7.7179248903273115E-5</v>
      </c>
      <c r="S44" s="2"/>
      <c r="T44" s="2"/>
      <c r="U44" s="2"/>
      <c r="V44" s="19">
        <f t="shared" si="11"/>
        <v>0</v>
      </c>
      <c r="W44" s="2"/>
      <c r="X44" s="2">
        <f t="shared" si="12"/>
        <v>-11.85</v>
      </c>
      <c r="Y44" s="2"/>
      <c r="Z44" s="19">
        <f t="shared" si="13"/>
        <v>0</v>
      </c>
    </row>
    <row r="45" spans="1:26" s="24" customFormat="1" hidden="1" outlineLevel="1" x14ac:dyDescent="0.25">
      <c r="A45" s="46"/>
      <c r="B45" s="11" t="str">
        <f>CONCATENATE("          ", "5200", " - ", "PURCHASES OFFSET")</f>
        <v xml:space="preserve">          5200 - PURCHASES OFFSET</v>
      </c>
      <c r="C45" s="11"/>
      <c r="D45" s="2">
        <v>-29664</v>
      </c>
      <c r="E45" s="2"/>
      <c r="F45" s="19">
        <f t="shared" si="6"/>
        <v>-0.91098096902283876</v>
      </c>
      <c r="G45" s="2"/>
      <c r="H45" s="2"/>
      <c r="I45" s="2"/>
      <c r="J45" s="19">
        <f t="shared" si="7"/>
        <v>0</v>
      </c>
      <c r="K45" s="2"/>
      <c r="L45" s="2">
        <f t="shared" si="8"/>
        <v>-29664</v>
      </c>
      <c r="M45" s="2"/>
      <c r="N45" s="19">
        <f t="shared" si="9"/>
        <v>0</v>
      </c>
      <c r="O45" s="11"/>
      <c r="P45" s="2">
        <v>-104230</v>
      </c>
      <c r="Q45" s="2"/>
      <c r="R45" s="19">
        <f t="shared" si="10"/>
        <v>-0.67885173950954913</v>
      </c>
      <c r="S45" s="2"/>
      <c r="T45" s="2"/>
      <c r="U45" s="2"/>
      <c r="V45" s="19">
        <f t="shared" si="11"/>
        <v>0</v>
      </c>
      <c r="W45" s="2"/>
      <c r="X45" s="2">
        <f t="shared" si="12"/>
        <v>-104230</v>
      </c>
      <c r="Y45" s="2"/>
      <c r="Z45" s="19">
        <f t="shared" si="13"/>
        <v>0</v>
      </c>
    </row>
    <row r="46" spans="1:26" s="24" customFormat="1" hidden="1" outlineLevel="1" x14ac:dyDescent="0.25">
      <c r="A46" s="46"/>
      <c r="B46" s="11" t="str">
        <f>CONCATENATE("          ", "5300", " - ", "COG$ OFFSET")</f>
        <v xml:space="preserve">          5300 - COG$ OFFSET</v>
      </c>
      <c r="C46" s="11"/>
      <c r="D46" s="2">
        <v>13916</v>
      </c>
      <c r="E46" s="2"/>
      <c r="F46" s="19">
        <f t="shared" si="6"/>
        <v>0.42736013905480802</v>
      </c>
      <c r="G46" s="2"/>
      <c r="H46" s="2"/>
      <c r="I46" s="2"/>
      <c r="J46" s="19">
        <f t="shared" si="7"/>
        <v>0</v>
      </c>
      <c r="K46" s="2"/>
      <c r="L46" s="2">
        <f t="shared" si="8"/>
        <v>13916</v>
      </c>
      <c r="M46" s="2"/>
      <c r="N46" s="19">
        <f t="shared" si="9"/>
        <v>0</v>
      </c>
      <c r="O46" s="11"/>
      <c r="P46" s="2">
        <v>65008.999999999993</v>
      </c>
      <c r="Q46" s="2"/>
      <c r="R46" s="19">
        <f t="shared" si="10"/>
        <v>0.4234047081816778</v>
      </c>
      <c r="S46" s="2"/>
      <c r="T46" s="2"/>
      <c r="U46" s="2"/>
      <c r="V46" s="19">
        <f t="shared" si="11"/>
        <v>0</v>
      </c>
      <c r="W46" s="2"/>
      <c r="X46" s="2">
        <f t="shared" si="12"/>
        <v>65008.999999999993</v>
      </c>
      <c r="Y46" s="2"/>
      <c r="Z46" s="19">
        <f t="shared" si="13"/>
        <v>0</v>
      </c>
    </row>
    <row r="47" spans="1:26" x14ac:dyDescent="0.25">
      <c r="A47" s="9"/>
      <c r="B47" s="10"/>
      <c r="C47" s="10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O47" s="10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x14ac:dyDescent="0.25">
      <c r="A48" s="10"/>
      <c r="B48" s="29" t="s">
        <v>6</v>
      </c>
      <c r="C48" s="29"/>
      <c r="D48" s="22">
        <f>D12-D32</f>
        <v>18647.140000000007</v>
      </c>
      <c r="E48" s="14"/>
      <c r="F48" s="20">
        <f>IF(D$12=0,0,D48/D$12)</f>
        <v>0.5726533733382061</v>
      </c>
      <c r="G48" s="14"/>
      <c r="H48" s="22">
        <f>H12-H32</f>
        <v>22869.372520000004</v>
      </c>
      <c r="I48" s="14"/>
      <c r="J48" s="20">
        <f>IF(H$12=0,0,H48/H$12)</f>
        <v>0.57484077048748849</v>
      </c>
      <c r="K48" s="15"/>
      <c r="L48" s="22">
        <f>+D48-H48</f>
        <v>-4222.2325199999977</v>
      </c>
      <c r="M48" s="15"/>
      <c r="N48" s="20">
        <f>IF(H48=0,0,L48/H48)</f>
        <v>-0.18462389015297725</v>
      </c>
      <c r="O48" s="28"/>
      <c r="P48" s="22">
        <f>P12-P32</f>
        <v>88529.729999999981</v>
      </c>
      <c r="Q48" s="14"/>
      <c r="R48" s="20">
        <f>IF(P$12=0,0,P48/P$12)</f>
        <v>0.57659561746916155</v>
      </c>
      <c r="S48" s="14"/>
      <c r="T48" s="22">
        <f>T12-T32</f>
        <v>84896.65800999997</v>
      </c>
      <c r="U48" s="14"/>
      <c r="V48" s="20">
        <f>IF(T$12=0,0,T48/T$12)</f>
        <v>0.57369477456175766</v>
      </c>
      <c r="W48" s="15"/>
      <c r="X48" s="22">
        <f>+P48-T48</f>
        <v>3633.0719900000113</v>
      </c>
      <c r="Y48" s="15"/>
      <c r="Z48" s="20">
        <f>IF(T48=0,0,X48/T48)</f>
        <v>4.2794051911584932E-2</v>
      </c>
    </row>
    <row r="49" spans="1:26" x14ac:dyDescent="0.25">
      <c r="A49" s="9"/>
      <c r="B49" s="10"/>
      <c r="C49" s="9"/>
      <c r="D49" s="1"/>
      <c r="E49" s="1"/>
      <c r="F49" s="5"/>
      <c r="G49" s="1"/>
      <c r="H49" s="1"/>
      <c r="I49" s="1"/>
      <c r="J49" s="5"/>
      <c r="K49" s="1"/>
      <c r="L49" s="1"/>
      <c r="M49" s="1"/>
      <c r="N49" s="5"/>
      <c r="O49" s="36"/>
      <c r="P49" s="1"/>
      <c r="Q49" s="1"/>
      <c r="R49" s="5"/>
      <c r="S49" s="1"/>
      <c r="T49" s="1"/>
      <c r="U49" s="1"/>
      <c r="V49" s="5"/>
      <c r="W49" s="1"/>
      <c r="X49" s="1"/>
      <c r="Y49" s="1"/>
      <c r="Z49" s="5"/>
    </row>
    <row r="50" spans="1:26" s="23" customFormat="1" x14ac:dyDescent="0.25">
      <c r="A50" s="10"/>
      <c r="B50" s="28" t="s">
        <v>9</v>
      </c>
      <c r="C50" s="10"/>
      <c r="D50" s="21">
        <f>SUM(OSRRefD22x_0)</f>
        <v>24710.130000000005</v>
      </c>
      <c r="E50" s="21"/>
      <c r="F50" s="33">
        <f t="shared" ref="F50:F60" si="14">IF(D$12=0,0,D50/D$12)</f>
        <v>0.75884769997573909</v>
      </c>
      <c r="G50" s="21"/>
      <c r="H50" s="21">
        <f>SUM(OSRRefH22x_0)</f>
        <v>24467.769213330772</v>
      </c>
      <c r="I50" s="21"/>
      <c r="J50" s="33">
        <f t="shared" ref="J50:J60" si="15">IF(H$12=0,0,H50/H$12)</f>
        <v>0.61501780577498366</v>
      </c>
      <c r="K50" s="4"/>
      <c r="L50" s="21">
        <f t="shared" ref="L50:L60" si="16">+D50-H50</f>
        <v>242.36078666923277</v>
      </c>
      <c r="M50" s="4"/>
      <c r="N50" s="33">
        <f t="shared" ref="N50:N60" si="17">IF(H50=0,0,L50/H50)</f>
        <v>9.9053078585189264E-3</v>
      </c>
      <c r="O50" s="10"/>
      <c r="P50" s="21">
        <f>SUM(OSRRefP22x_0)</f>
        <v>89545.66</v>
      </c>
      <c r="Q50" s="21"/>
      <c r="R50" s="33">
        <f t="shared" ref="R50:R60" si="18">IF(P$12=0,0,P50/P$12)</f>
        <v>0.58321238661163444</v>
      </c>
      <c r="S50" s="21"/>
      <c r="T50" s="21">
        <f>SUM(OSRRefT22x_0)</f>
        <v>80800.876758325001</v>
      </c>
      <c r="U50" s="21"/>
      <c r="V50" s="33">
        <f t="shared" ref="V50:V60" si="19">IF(T$12=0,0,T50/T$12)</f>
        <v>0.54601726219658109</v>
      </c>
      <c r="W50" s="4"/>
      <c r="X50" s="21">
        <f t="shared" ref="X50:X60" si="20">+P50-T50</f>
        <v>8744.7832416750025</v>
      </c>
      <c r="Y50" s="4"/>
      <c r="Z50" s="33">
        <f t="shared" ref="Z50:Z60" si="21">IF(T50=0,0,X50/T50)</f>
        <v>0.10822634100655372</v>
      </c>
    </row>
    <row r="51" spans="1:26" s="26" customFormat="1" outlineLevel="1" collapsed="1" x14ac:dyDescent="0.25">
      <c r="A51" s="27"/>
      <c r="B51" s="13" t="str">
        <f>CONCATENATE("     ","*Benefits                                         ")</f>
        <v xml:space="preserve">     *Benefits                                         </v>
      </c>
      <c r="C51" s="13"/>
      <c r="D51" s="1">
        <f>SUM(OSRRefD22_0x_0)</f>
        <v>804.87</v>
      </c>
      <c r="E51" s="1"/>
      <c r="F51" s="5">
        <f t="shared" si="14"/>
        <v>2.4717544921029271E-2</v>
      </c>
      <c r="G51" s="1"/>
      <c r="H51" s="1">
        <f>SUM(OSRRefH22_0x_0)</f>
        <v>1790.2434441</v>
      </c>
      <c r="I51" s="1"/>
      <c r="J51" s="5">
        <f t="shared" si="15"/>
        <v>4.4999263528836819E-2</v>
      </c>
      <c r="K51" s="1"/>
      <c r="L51" s="1">
        <f t="shared" si="16"/>
        <v>-985.37344410000003</v>
      </c>
      <c r="M51" s="1"/>
      <c r="N51" s="5">
        <f t="shared" si="17"/>
        <v>-0.55041310015542144</v>
      </c>
      <c r="O51" s="13"/>
      <c r="P51" s="1">
        <f>SUM(OSRRefP22_0x_0)</f>
        <v>5538.7099999999991</v>
      </c>
      <c r="Q51" s="1"/>
      <c r="R51" s="5">
        <f t="shared" si="18"/>
        <v>3.6073711197725553E-2</v>
      </c>
      <c r="S51" s="1"/>
      <c r="T51" s="1">
        <f>SUM(OSRRefT22_0x_0)</f>
        <v>6674.7930083249985</v>
      </c>
      <c r="U51" s="1"/>
      <c r="V51" s="5">
        <f t="shared" si="19"/>
        <v>4.5105354673753519E-2</v>
      </c>
      <c r="W51" s="1"/>
      <c r="X51" s="1">
        <f t="shared" si="20"/>
        <v>-1136.0830083249994</v>
      </c>
      <c r="Y51" s="1"/>
      <c r="Z51" s="5">
        <f t="shared" si="21"/>
        <v>-0.17020497967623013</v>
      </c>
    </row>
    <row r="52" spans="1:26" s="24" customFormat="1" hidden="1" outlineLevel="2" x14ac:dyDescent="0.25">
      <c r="A52" s="25"/>
      <c r="B52" s="11" t="str">
        <f>CONCATENATE("          ", "6111", " - ", "F.I.C.A.")</f>
        <v xml:space="preserve">          6111 - F.I.C.A.</v>
      </c>
      <c r="C52" s="11"/>
      <c r="D52" s="7">
        <v>183.6</v>
      </c>
      <c r="E52" s="2"/>
      <c r="F52" s="6">
        <f t="shared" si="14"/>
        <v>5.6383530849714531E-3</v>
      </c>
      <c r="G52" s="2"/>
      <c r="H52" s="7">
        <v>292.98280133076901</v>
      </c>
      <c r="I52" s="2"/>
      <c r="J52" s="6">
        <f t="shared" si="15"/>
        <v>7.3643673043182391E-3</v>
      </c>
      <c r="K52" s="2"/>
      <c r="L52" s="7">
        <f t="shared" si="16"/>
        <v>-109.38280133076901</v>
      </c>
      <c r="M52" s="2"/>
      <c r="N52" s="6">
        <f t="shared" si="17"/>
        <v>-0.37334205569042611</v>
      </c>
      <c r="O52" s="11"/>
      <c r="P52" s="7">
        <v>1831.17</v>
      </c>
      <c r="Q52" s="2"/>
      <c r="R52" s="6">
        <f t="shared" si="18"/>
        <v>1.1926440946346553E-2</v>
      </c>
      <c r="S52" s="2"/>
      <c r="T52" s="7">
        <v>1948.2703193249988</v>
      </c>
      <c r="U52" s="2"/>
      <c r="V52" s="6">
        <f t="shared" si="19"/>
        <v>1.3165565380663907E-2</v>
      </c>
      <c r="W52" s="2"/>
      <c r="X52" s="7">
        <f t="shared" si="20"/>
        <v>-117.10031932499874</v>
      </c>
      <c r="Y52" s="2"/>
      <c r="Z52" s="6">
        <f t="shared" si="21"/>
        <v>-6.0104759675017543E-2</v>
      </c>
    </row>
    <row r="53" spans="1:26" s="24" customFormat="1" hidden="1" outlineLevel="2" x14ac:dyDescent="0.25">
      <c r="A53" s="25"/>
      <c r="B53" s="11" t="str">
        <f>CONCATENATE("          ", "6112", " - ", "COMPENSATION INSURANCE")</f>
        <v xml:space="preserve">          6112 - COMPENSATION INSURANCE</v>
      </c>
      <c r="C53" s="11"/>
      <c r="D53" s="7">
        <v>193.01</v>
      </c>
      <c r="E53" s="2"/>
      <c r="F53" s="6">
        <f t="shared" si="14"/>
        <v>5.927334035568302E-3</v>
      </c>
      <c r="G53" s="2"/>
      <c r="H53" s="7">
        <v>153.90644538461498</v>
      </c>
      <c r="I53" s="2"/>
      <c r="J53" s="6">
        <f t="shared" si="15"/>
        <v>3.8685669915303226E-3</v>
      </c>
      <c r="K53" s="2"/>
      <c r="L53" s="7">
        <f t="shared" si="16"/>
        <v>39.103554615385008</v>
      </c>
      <c r="M53" s="2"/>
      <c r="N53" s="6">
        <f t="shared" si="17"/>
        <v>0.25407353485206235</v>
      </c>
      <c r="O53" s="11"/>
      <c r="P53" s="7">
        <v>586.37</v>
      </c>
      <c r="Q53" s="2"/>
      <c r="R53" s="6">
        <f t="shared" si="18"/>
        <v>3.8190376522710769E-3</v>
      </c>
      <c r="S53" s="2"/>
      <c r="T53" s="7">
        <v>564.86244749999901</v>
      </c>
      <c r="U53" s="2"/>
      <c r="V53" s="6">
        <f t="shared" si="19"/>
        <v>3.8170953023703687E-3</v>
      </c>
      <c r="W53" s="2"/>
      <c r="X53" s="7">
        <f t="shared" si="20"/>
        <v>21.507552500000997</v>
      </c>
      <c r="Y53" s="2"/>
      <c r="Z53" s="6">
        <f t="shared" si="21"/>
        <v>3.8075734358320991E-2</v>
      </c>
    </row>
    <row r="54" spans="1:26" s="24" customFormat="1" hidden="1" outlineLevel="2" x14ac:dyDescent="0.25">
      <c r="A54" s="25"/>
      <c r="B54" s="11" t="str">
        <f>CONCATENATE("          ", "6113", " - ", "GROUP INSURANCE")</f>
        <v xml:space="preserve">          6113 - GROUP INSURANCE</v>
      </c>
      <c r="C54" s="11"/>
      <c r="D54" s="7">
        <v>31.11</v>
      </c>
      <c r="E54" s="2"/>
      <c r="F54" s="6">
        <f t="shared" si="14"/>
        <v>9.5538760606460739E-4</v>
      </c>
      <c r="G54" s="2"/>
      <c r="H54" s="7">
        <v>988.5</v>
      </c>
      <c r="I54" s="2"/>
      <c r="J54" s="6">
        <f t="shared" si="15"/>
        <v>2.4846772736328768E-2</v>
      </c>
      <c r="K54" s="2"/>
      <c r="L54" s="7">
        <f t="shared" si="16"/>
        <v>-957.39</v>
      </c>
      <c r="M54" s="2"/>
      <c r="N54" s="6">
        <f t="shared" si="17"/>
        <v>-0.96852807283763276</v>
      </c>
      <c r="O54" s="11"/>
      <c r="P54" s="7">
        <v>1496.28</v>
      </c>
      <c r="Q54" s="2"/>
      <c r="R54" s="6">
        <f t="shared" si="18"/>
        <v>9.7452967551889882E-3</v>
      </c>
      <c r="S54" s="2"/>
      <c r="T54" s="7">
        <v>2965.5</v>
      </c>
      <c r="U54" s="2"/>
      <c r="V54" s="6">
        <f t="shared" si="19"/>
        <v>2.003956214345325E-2</v>
      </c>
      <c r="W54" s="2"/>
      <c r="X54" s="7">
        <f t="shared" si="20"/>
        <v>-1469.22</v>
      </c>
      <c r="Y54" s="2"/>
      <c r="Z54" s="6">
        <f t="shared" si="21"/>
        <v>-0.49543753161355591</v>
      </c>
    </row>
    <row r="55" spans="1:26" s="24" customFormat="1" hidden="1" outlineLevel="2" x14ac:dyDescent="0.25">
      <c r="A55" s="25"/>
      <c r="B55" s="11" t="str">
        <f>CONCATENATE("          ", "6114", " - ", "STATE UNEMPLOYMENT INSURANCE")</f>
        <v xml:space="preserve">          6114 - STATE UNEMPLOYMENT INSURANCE</v>
      </c>
      <c r="C55" s="11"/>
      <c r="D55" s="7">
        <v>26.41</v>
      </c>
      <c r="E55" s="2"/>
      <c r="F55" s="6">
        <f t="shared" si="14"/>
        <v>8.1105068068679784E-4</v>
      </c>
      <c r="G55" s="2"/>
      <c r="H55" s="7">
        <v>21.060881999999999</v>
      </c>
      <c r="I55" s="2"/>
      <c r="J55" s="6">
        <f t="shared" si="15"/>
        <v>5.2938285147257182E-4</v>
      </c>
      <c r="K55" s="2"/>
      <c r="L55" s="7">
        <f t="shared" si="16"/>
        <v>5.3491180000000007</v>
      </c>
      <c r="M55" s="2"/>
      <c r="N55" s="6">
        <f t="shared" si="17"/>
        <v>0.25398357010879224</v>
      </c>
      <c r="O55" s="11"/>
      <c r="P55" s="7">
        <v>80.23</v>
      </c>
      <c r="Q55" s="2"/>
      <c r="R55" s="6">
        <f t="shared" si="18"/>
        <v>5.2253933666747702E-4</v>
      </c>
      <c r="S55" s="2"/>
      <c r="T55" s="7">
        <v>77.296966499999996</v>
      </c>
      <c r="U55" s="2"/>
      <c r="V55" s="6">
        <f t="shared" si="19"/>
        <v>5.2233935716647242E-4</v>
      </c>
      <c r="W55" s="2"/>
      <c r="X55" s="7">
        <f t="shared" si="20"/>
        <v>2.9330335000000076</v>
      </c>
      <c r="Y55" s="2"/>
      <c r="Z55" s="6">
        <f t="shared" si="21"/>
        <v>3.7945001373372235E-2</v>
      </c>
    </row>
    <row r="56" spans="1:26" s="24" customFormat="1" hidden="1" outlineLevel="2" x14ac:dyDescent="0.25">
      <c r="A56" s="25"/>
      <c r="B56" s="11" t="str">
        <f>CONCATENATE("          ", "6115", " - ", "P.E.R.S.")</f>
        <v xml:space="preserve">          6115 - P.E.R.S.</v>
      </c>
      <c r="C56" s="11"/>
      <c r="D56" s="7">
        <v>167.64</v>
      </c>
      <c r="E56" s="2"/>
      <c r="F56" s="6">
        <f t="shared" si="14"/>
        <v>5.1482217383693593E-3</v>
      </c>
      <c r="G56" s="2"/>
      <c r="H56" s="7">
        <v>172.53915384615402</v>
      </c>
      <c r="I56" s="2"/>
      <c r="J56" s="6">
        <f t="shared" si="15"/>
        <v>4.3369156739846782E-3</v>
      </c>
      <c r="K56" s="2"/>
      <c r="L56" s="7">
        <f t="shared" si="16"/>
        <v>-4.8991538461540358</v>
      </c>
      <c r="M56" s="2"/>
      <c r="N56" s="6">
        <f t="shared" si="17"/>
        <v>-2.8394446923753938E-2</v>
      </c>
      <c r="O56" s="11"/>
      <c r="P56" s="7">
        <v>530.9</v>
      </c>
      <c r="Q56" s="2"/>
      <c r="R56" s="6">
        <f t="shared" si="18"/>
        <v>3.4577606112023373E-3</v>
      </c>
      <c r="S56" s="2"/>
      <c r="T56" s="7">
        <v>560.75225</v>
      </c>
      <c r="U56" s="2"/>
      <c r="V56" s="6">
        <f t="shared" si="19"/>
        <v>3.7893203712548412E-3</v>
      </c>
      <c r="W56" s="2"/>
      <c r="X56" s="7">
        <f t="shared" si="20"/>
        <v>-29.852250000000026</v>
      </c>
      <c r="Y56" s="2"/>
      <c r="Z56" s="6">
        <f t="shared" si="21"/>
        <v>-5.3236077073252987E-2</v>
      </c>
    </row>
    <row r="57" spans="1:26" s="24" customFormat="1" hidden="1" outlineLevel="2" x14ac:dyDescent="0.25">
      <c r="A57" s="25"/>
      <c r="B57" s="11" t="str">
        <f>CONCATENATE("          ", "6116", " - ", "EDUCATIONAL BENEFITS")</f>
        <v xml:space="preserve">          6116 - EDUCATIONAL BENEFITS</v>
      </c>
      <c r="C57" s="11"/>
      <c r="D57" s="7"/>
      <c r="E57" s="2"/>
      <c r="F57" s="6">
        <f t="shared" si="14"/>
        <v>0</v>
      </c>
      <c r="G57" s="2"/>
      <c r="H57" s="7">
        <v>0</v>
      </c>
      <c r="I57" s="2"/>
      <c r="J57" s="6">
        <f t="shared" si="15"/>
        <v>0</v>
      </c>
      <c r="K57" s="2"/>
      <c r="L57" s="7">
        <f t="shared" si="16"/>
        <v>0</v>
      </c>
      <c r="M57" s="2"/>
      <c r="N57" s="6">
        <f t="shared" si="17"/>
        <v>0</v>
      </c>
      <c r="O57" s="11"/>
      <c r="P57" s="7"/>
      <c r="Q57" s="2"/>
      <c r="R57" s="6">
        <f t="shared" si="18"/>
        <v>0</v>
      </c>
      <c r="S57" s="2"/>
      <c r="T57" s="7">
        <v>0</v>
      </c>
      <c r="U57" s="2"/>
      <c r="V57" s="6">
        <f t="shared" si="19"/>
        <v>0</v>
      </c>
      <c r="W57" s="2"/>
      <c r="X57" s="7">
        <f t="shared" si="20"/>
        <v>0</v>
      </c>
      <c r="Y57" s="2"/>
      <c r="Z57" s="6">
        <f t="shared" si="21"/>
        <v>0</v>
      </c>
    </row>
    <row r="58" spans="1:26" s="24" customFormat="1" hidden="1" outlineLevel="2" x14ac:dyDescent="0.25">
      <c r="A58" s="25"/>
      <c r="B58" s="11" t="str">
        <f>CONCATENATE("          ", "6118", " - ", "VACATION")</f>
        <v xml:space="preserve">          6118 - VACATION</v>
      </c>
      <c r="C58" s="11"/>
      <c r="D58" s="7">
        <v>92.4</v>
      </c>
      <c r="E58" s="2"/>
      <c r="F58" s="6">
        <f t="shared" si="14"/>
        <v>2.8376025329594897E-3</v>
      </c>
      <c r="G58" s="2"/>
      <c r="H58" s="7">
        <v>60.188076923076899</v>
      </c>
      <c r="I58" s="2"/>
      <c r="J58" s="6">
        <f t="shared" si="15"/>
        <v>1.5128775606923276E-3</v>
      </c>
      <c r="K58" s="2"/>
      <c r="L58" s="7">
        <f t="shared" si="16"/>
        <v>32.211923076923107</v>
      </c>
      <c r="M58" s="2"/>
      <c r="N58" s="6">
        <f t="shared" si="17"/>
        <v>0.5351877767766432</v>
      </c>
      <c r="O58" s="11"/>
      <c r="P58" s="7">
        <v>480.15</v>
      </c>
      <c r="Q58" s="2"/>
      <c r="R58" s="6">
        <f t="shared" si="18"/>
        <v>3.1272250093592057E-3</v>
      </c>
      <c r="S58" s="2"/>
      <c r="T58" s="7">
        <v>195.61125000000001</v>
      </c>
      <c r="U58" s="2"/>
      <c r="V58" s="6">
        <f t="shared" si="19"/>
        <v>1.3218559434609912E-3</v>
      </c>
      <c r="W58" s="2"/>
      <c r="X58" s="7">
        <f t="shared" si="20"/>
        <v>284.53874999999994</v>
      </c>
      <c r="Y58" s="2"/>
      <c r="Z58" s="6">
        <f t="shared" si="21"/>
        <v>1.4546134233077082</v>
      </c>
    </row>
    <row r="59" spans="1:26" s="24" customFormat="1" hidden="1" outlineLevel="2" x14ac:dyDescent="0.25">
      <c r="A59" s="25"/>
      <c r="B59" s="11" t="str">
        <f>CONCATENATE("          ", "6119", " - ", "SICK LEAVE")</f>
        <v xml:space="preserve">          6119 - SICK LEAVE</v>
      </c>
      <c r="C59" s="11"/>
      <c r="D59" s="7">
        <v>110.7</v>
      </c>
      <c r="E59" s="2"/>
      <c r="F59" s="6">
        <f t="shared" si="14"/>
        <v>3.3995952424092589E-3</v>
      </c>
      <c r="G59" s="2"/>
      <c r="H59" s="7">
        <v>101.06608461538499</v>
      </c>
      <c r="I59" s="2"/>
      <c r="J59" s="6">
        <f t="shared" si="15"/>
        <v>2.5403804105099083E-3</v>
      </c>
      <c r="K59" s="2"/>
      <c r="L59" s="7">
        <f t="shared" si="16"/>
        <v>9.6339153846150083</v>
      </c>
      <c r="M59" s="2"/>
      <c r="N59" s="6">
        <f t="shared" si="17"/>
        <v>9.5322930746527257E-2</v>
      </c>
      <c r="O59" s="11"/>
      <c r="P59" s="7">
        <v>384.27</v>
      </c>
      <c r="Q59" s="2"/>
      <c r="R59" s="6">
        <f t="shared" si="18"/>
        <v>2.5027569600051276E-3</v>
      </c>
      <c r="S59" s="2"/>
      <c r="T59" s="7">
        <v>362.49977500000102</v>
      </c>
      <c r="U59" s="2"/>
      <c r="V59" s="6">
        <f t="shared" si="19"/>
        <v>2.4496161753836928E-3</v>
      </c>
      <c r="W59" s="2"/>
      <c r="X59" s="7">
        <f t="shared" si="20"/>
        <v>21.770224999998959</v>
      </c>
      <c r="Y59" s="2"/>
      <c r="Z59" s="6">
        <f t="shared" si="21"/>
        <v>6.0055830379477884E-2</v>
      </c>
    </row>
    <row r="60" spans="1:26" s="24" customFormat="1" hidden="1" outlineLevel="2" x14ac:dyDescent="0.25">
      <c r="A60" s="25"/>
      <c r="B60" s="11" t="str">
        <f>CONCATENATE("          ", "6156", " - ", "EMPLOYEE MEALS")</f>
        <v xml:space="preserve">          6156 - EMPLOYEE MEALS</v>
      </c>
      <c r="C60" s="11"/>
      <c r="D60" s="7"/>
      <c r="E60" s="2"/>
      <c r="F60" s="6">
        <f t="shared" si="14"/>
        <v>0</v>
      </c>
      <c r="G60" s="2"/>
      <c r="H60" s="7"/>
      <c r="I60" s="2"/>
      <c r="J60" s="6">
        <f t="shared" si="15"/>
        <v>0</v>
      </c>
      <c r="K60" s="2"/>
      <c r="L60" s="7">
        <f t="shared" si="16"/>
        <v>0</v>
      </c>
      <c r="M60" s="2"/>
      <c r="N60" s="6">
        <f t="shared" si="17"/>
        <v>0</v>
      </c>
      <c r="O60" s="11"/>
      <c r="P60" s="7">
        <v>149.34</v>
      </c>
      <c r="Q60" s="2"/>
      <c r="R60" s="6">
        <f t="shared" si="18"/>
        <v>9.7265392668479398E-4</v>
      </c>
      <c r="S60" s="2"/>
      <c r="T60" s="7"/>
      <c r="U60" s="2"/>
      <c r="V60" s="6">
        <f t="shared" si="19"/>
        <v>0</v>
      </c>
      <c r="W60" s="2"/>
      <c r="X60" s="7">
        <f t="shared" si="20"/>
        <v>149.34</v>
      </c>
      <c r="Y60" s="2"/>
      <c r="Z60" s="6">
        <f t="shared" si="21"/>
        <v>0</v>
      </c>
    </row>
    <row r="61" spans="1:26" s="26" customFormat="1" outlineLevel="1" collapsed="1" x14ac:dyDescent="0.25">
      <c r="A61" s="27"/>
      <c r="B61" s="13" t="str">
        <f>CONCATENATE("     ","*Payroll                                          ")</f>
        <v xml:space="preserve">     *Payroll                                          </v>
      </c>
      <c r="C61" s="13"/>
      <c r="D61" s="1">
        <f>SUM(OSRRefD22_1x_0)</f>
        <v>9812.15</v>
      </c>
      <c r="E61" s="1"/>
      <c r="F61" s="5">
        <f t="shared" ref="F61:F71" si="22">IF(D$12=0,0,D61/D$12)</f>
        <v>0.30133097071188808</v>
      </c>
      <c r="G61" s="1"/>
      <c r="H61" s="1">
        <f>SUM(OSRRefH22_1x_0)</f>
        <v>8000.0257692307696</v>
      </c>
      <c r="I61" s="1"/>
      <c r="J61" s="5">
        <f t="shared" ref="J61:J71" si="23">IF(H$12=0,0,H61/H$12)</f>
        <v>0.20108732642675839</v>
      </c>
      <c r="K61" s="1"/>
      <c r="L61" s="1">
        <f t="shared" ref="L61:L71" si="24">+D61-H61</f>
        <v>1812.1242307692301</v>
      </c>
      <c r="M61" s="1"/>
      <c r="N61" s="5">
        <f t="shared" ref="N61:N71" si="25">IF(H61=0,0,L61/H61)</f>
        <v>0.22651479920713707</v>
      </c>
      <c r="O61" s="13"/>
      <c r="P61" s="1">
        <f>SUM(OSRRefP22_1x_0)</f>
        <v>31166.019999999997</v>
      </c>
      <c r="Q61" s="1"/>
      <c r="R61" s="5">
        <f t="shared" ref="R61:R71" si="26">IF(P$12=0,0,P61/P$12)</f>
        <v>0.20298481138433652</v>
      </c>
      <c r="S61" s="1"/>
      <c r="T61" s="1">
        <f>SUM(OSRRefT22_1x_0)</f>
        <v>29403.583749999998</v>
      </c>
      <c r="U61" s="1"/>
      <c r="V61" s="5">
        <f t="shared" ref="V61:V71" si="27">IF(T$12=0,0,T61/T$12)</f>
        <v>0.19869665951723389</v>
      </c>
      <c r="W61" s="1"/>
      <c r="X61" s="1">
        <f t="shared" ref="X61:X71" si="28">+P61-T61</f>
        <v>1762.4362499999988</v>
      </c>
      <c r="Y61" s="1"/>
      <c r="Z61" s="5">
        <f t="shared" ref="Z61:Z71" si="29">IF(T61=0,0,X61/T61)</f>
        <v>5.9939504823115275E-2</v>
      </c>
    </row>
    <row r="62" spans="1:26" s="24" customFormat="1" hidden="1" outlineLevel="2" x14ac:dyDescent="0.25">
      <c r="A62" s="25"/>
      <c r="B62" s="11" t="str">
        <f>CONCATENATE("          ", "6001", " - ", "ADMINISTRATIVE SALARIES")</f>
        <v xml:space="preserve">          6001 - ADMINISTRATIVE SALARIES</v>
      </c>
      <c r="C62" s="11"/>
      <c r="D62" s="7"/>
      <c r="E62" s="2"/>
      <c r="F62" s="6">
        <f t="shared" si="22"/>
        <v>0</v>
      </c>
      <c r="G62" s="2"/>
      <c r="H62" s="7">
        <v>0</v>
      </c>
      <c r="I62" s="2"/>
      <c r="J62" s="6">
        <f t="shared" si="23"/>
        <v>0</v>
      </c>
      <c r="K62" s="2"/>
      <c r="L62" s="7">
        <f t="shared" si="24"/>
        <v>0</v>
      </c>
      <c r="M62" s="2"/>
      <c r="N62" s="6">
        <f t="shared" si="25"/>
        <v>0</v>
      </c>
      <c r="O62" s="11"/>
      <c r="P62" s="7"/>
      <c r="Q62" s="2"/>
      <c r="R62" s="6">
        <f t="shared" si="26"/>
        <v>0</v>
      </c>
      <c r="S62" s="2"/>
      <c r="T62" s="7">
        <v>0</v>
      </c>
      <c r="U62" s="2"/>
      <c r="V62" s="6">
        <f t="shared" si="27"/>
        <v>0</v>
      </c>
      <c r="W62" s="2"/>
      <c r="X62" s="7">
        <f t="shared" si="28"/>
        <v>0</v>
      </c>
      <c r="Y62" s="2"/>
      <c r="Z62" s="6">
        <f t="shared" si="29"/>
        <v>0</v>
      </c>
    </row>
    <row r="63" spans="1:26" s="24" customFormat="1" hidden="1" outlineLevel="2" x14ac:dyDescent="0.25">
      <c r="A63" s="25"/>
      <c r="B63" s="11" t="str">
        <f>CONCATENATE("          ", "6002", " - ", "STAFF SALARIES")</f>
        <v xml:space="preserve">          6002 - STAFF SALARIES</v>
      </c>
      <c r="C63" s="11"/>
      <c r="D63" s="7">
        <v>2026</v>
      </c>
      <c r="E63" s="2"/>
      <c r="F63" s="6">
        <f t="shared" si="22"/>
        <v>6.2218427833072798E-2</v>
      </c>
      <c r="G63" s="2"/>
      <c r="H63" s="7">
        <v>1905.9557692307701</v>
      </c>
      <c r="I63" s="2"/>
      <c r="J63" s="6">
        <f t="shared" si="23"/>
        <v>4.7907789421923745E-2</v>
      </c>
      <c r="K63" s="2"/>
      <c r="L63" s="7">
        <f t="shared" si="24"/>
        <v>120.0442307692299</v>
      </c>
      <c r="M63" s="2"/>
      <c r="N63" s="6">
        <f t="shared" si="25"/>
        <v>6.2983744275282361E-2</v>
      </c>
      <c r="O63" s="11"/>
      <c r="P63" s="7">
        <v>3861.9</v>
      </c>
      <c r="Q63" s="2"/>
      <c r="R63" s="6">
        <f t="shared" si="26"/>
        <v>2.5152619522324934E-2</v>
      </c>
      <c r="S63" s="2"/>
      <c r="T63" s="7">
        <v>6194.3562499999998</v>
      </c>
      <c r="U63" s="2"/>
      <c r="V63" s="6">
        <f t="shared" si="27"/>
        <v>4.1858771542931383E-2</v>
      </c>
      <c r="W63" s="2"/>
      <c r="X63" s="7">
        <f t="shared" si="28"/>
        <v>-2332.4562499999997</v>
      </c>
      <c r="Y63" s="2"/>
      <c r="Z63" s="6">
        <f t="shared" si="29"/>
        <v>-0.37654538354974332</v>
      </c>
    </row>
    <row r="64" spans="1:26" s="24" customFormat="1" hidden="1" outlineLevel="2" x14ac:dyDescent="0.25">
      <c r="A64" s="25"/>
      <c r="B64" s="11" t="str">
        <f>CONCATENATE("          ", "6003", " - ", "STAFF HOURLY-9 MONTH")</f>
        <v xml:space="preserve">          6003 - STAFF HOURLY-9 MONTH</v>
      </c>
      <c r="C64" s="11"/>
      <c r="D64" s="7"/>
      <c r="E64" s="2"/>
      <c r="F64" s="6">
        <f t="shared" si="22"/>
        <v>0</v>
      </c>
      <c r="G64" s="2"/>
      <c r="H64" s="7">
        <v>0</v>
      </c>
      <c r="I64" s="2"/>
      <c r="J64" s="6">
        <f t="shared" si="23"/>
        <v>0</v>
      </c>
      <c r="K64" s="2"/>
      <c r="L64" s="7">
        <f t="shared" si="24"/>
        <v>0</v>
      </c>
      <c r="M64" s="2"/>
      <c r="N64" s="6">
        <f t="shared" si="25"/>
        <v>0</v>
      </c>
      <c r="O64" s="11"/>
      <c r="P64" s="7"/>
      <c r="Q64" s="2"/>
      <c r="R64" s="6">
        <f t="shared" si="26"/>
        <v>0</v>
      </c>
      <c r="S64" s="2"/>
      <c r="T64" s="7">
        <v>0</v>
      </c>
      <c r="U64" s="2"/>
      <c r="V64" s="6">
        <f t="shared" si="27"/>
        <v>0</v>
      </c>
      <c r="W64" s="2"/>
      <c r="X64" s="7">
        <f t="shared" si="28"/>
        <v>0</v>
      </c>
      <c r="Y64" s="2"/>
      <c r="Z64" s="6">
        <f t="shared" si="29"/>
        <v>0</v>
      </c>
    </row>
    <row r="65" spans="1:26" s="24" customFormat="1" hidden="1" outlineLevel="2" x14ac:dyDescent="0.25">
      <c r="A65" s="25"/>
      <c r="B65" s="11" t="str">
        <f>CONCATENATE("          ", "6004", " - ", "STAFF HOURLY")</f>
        <v xml:space="preserve">          6004 - STAFF HOURLY</v>
      </c>
      <c r="C65" s="11"/>
      <c r="D65" s="7"/>
      <c r="E65" s="2"/>
      <c r="F65" s="6">
        <f t="shared" si="22"/>
        <v>0</v>
      </c>
      <c r="G65" s="2"/>
      <c r="H65" s="7">
        <v>1822.07</v>
      </c>
      <c r="I65" s="2"/>
      <c r="J65" s="6">
        <f t="shared" si="23"/>
        <v>4.5799250581368293E-2</v>
      </c>
      <c r="K65" s="2"/>
      <c r="L65" s="7">
        <f t="shared" si="24"/>
        <v>-1822.07</v>
      </c>
      <c r="M65" s="2"/>
      <c r="N65" s="6">
        <f t="shared" si="25"/>
        <v>-1</v>
      </c>
      <c r="O65" s="11"/>
      <c r="P65" s="7"/>
      <c r="Q65" s="2"/>
      <c r="R65" s="6">
        <f t="shared" si="26"/>
        <v>0</v>
      </c>
      <c r="S65" s="2"/>
      <c r="T65" s="7">
        <v>5921.7275</v>
      </c>
      <c r="U65" s="2"/>
      <c r="V65" s="6">
        <f t="shared" si="27"/>
        <v>4.0016464755638526E-2</v>
      </c>
      <c r="W65" s="2"/>
      <c r="X65" s="7">
        <f t="shared" si="28"/>
        <v>-5921.7275</v>
      </c>
      <c r="Y65" s="2"/>
      <c r="Z65" s="6">
        <f t="shared" si="29"/>
        <v>-1</v>
      </c>
    </row>
    <row r="66" spans="1:26" s="24" customFormat="1" hidden="1" outlineLevel="2" x14ac:dyDescent="0.25">
      <c r="A66" s="25"/>
      <c r="B66" s="11" t="str">
        <f>CONCATENATE("          ", "6005", " - ", "TEMPORARY WAGES-HOURLY")</f>
        <v xml:space="preserve">          6005 - TEMPORARY WAGES-HOURLY</v>
      </c>
      <c r="C66" s="11"/>
      <c r="D66" s="7"/>
      <c r="E66" s="2"/>
      <c r="F66" s="6">
        <f t="shared" si="22"/>
        <v>0</v>
      </c>
      <c r="G66" s="2"/>
      <c r="H66" s="7">
        <v>0</v>
      </c>
      <c r="I66" s="2"/>
      <c r="J66" s="6">
        <f t="shared" si="23"/>
        <v>0</v>
      </c>
      <c r="K66" s="2"/>
      <c r="L66" s="7">
        <f t="shared" si="24"/>
        <v>0</v>
      </c>
      <c r="M66" s="2"/>
      <c r="N66" s="6">
        <f t="shared" si="25"/>
        <v>0</v>
      </c>
      <c r="O66" s="11"/>
      <c r="P66" s="7">
        <v>332.35</v>
      </c>
      <c r="Q66" s="2"/>
      <c r="R66" s="6">
        <f t="shared" si="26"/>
        <v>2.1646011285234449E-3</v>
      </c>
      <c r="S66" s="2"/>
      <c r="T66" s="7">
        <v>0</v>
      </c>
      <c r="U66" s="2"/>
      <c r="V66" s="6">
        <f t="shared" si="27"/>
        <v>0</v>
      </c>
      <c r="W66" s="2"/>
      <c r="X66" s="7">
        <f t="shared" si="28"/>
        <v>332.35</v>
      </c>
      <c r="Y66" s="2"/>
      <c r="Z66" s="6">
        <f t="shared" si="29"/>
        <v>0</v>
      </c>
    </row>
    <row r="67" spans="1:26" s="24" customFormat="1" hidden="1" outlineLevel="2" x14ac:dyDescent="0.25">
      <c r="A67" s="25"/>
      <c r="B67" s="11" t="str">
        <f>CONCATENATE("          ", "6006", " - ", "TEMPORARY PART TIME")</f>
        <v xml:space="preserve">          6006 - TEMPORARY PART TIME</v>
      </c>
      <c r="C67" s="11"/>
      <c r="D67" s="7"/>
      <c r="E67" s="2"/>
      <c r="F67" s="6">
        <f t="shared" si="22"/>
        <v>0</v>
      </c>
      <c r="G67" s="2"/>
      <c r="H67" s="7">
        <v>0</v>
      </c>
      <c r="I67" s="2"/>
      <c r="J67" s="6">
        <f t="shared" si="23"/>
        <v>0</v>
      </c>
      <c r="K67" s="2"/>
      <c r="L67" s="7">
        <f t="shared" si="24"/>
        <v>0</v>
      </c>
      <c r="M67" s="2"/>
      <c r="N67" s="6">
        <f t="shared" si="25"/>
        <v>0</v>
      </c>
      <c r="O67" s="11"/>
      <c r="P67" s="7"/>
      <c r="Q67" s="2"/>
      <c r="R67" s="6">
        <f t="shared" si="26"/>
        <v>0</v>
      </c>
      <c r="S67" s="2"/>
      <c r="T67" s="7">
        <v>0</v>
      </c>
      <c r="U67" s="2"/>
      <c r="V67" s="6">
        <f t="shared" si="27"/>
        <v>0</v>
      </c>
      <c r="W67" s="2"/>
      <c r="X67" s="7">
        <f t="shared" si="28"/>
        <v>0</v>
      </c>
      <c r="Y67" s="2"/>
      <c r="Z67" s="6">
        <f t="shared" si="29"/>
        <v>0</v>
      </c>
    </row>
    <row r="68" spans="1:26" s="24" customFormat="1" hidden="1" outlineLevel="2" x14ac:dyDescent="0.25">
      <c r="A68" s="25"/>
      <c r="B68" s="11" t="str">
        <f>CONCATENATE("          ", "6007", " - ", "STUDENT HOURLY")</f>
        <v xml:space="preserve">          6007 - STUDENT HOURLY</v>
      </c>
      <c r="C68" s="11"/>
      <c r="D68" s="7">
        <v>7786.15</v>
      </c>
      <c r="E68" s="2"/>
      <c r="F68" s="6">
        <f t="shared" si="22"/>
        <v>0.23911254287881525</v>
      </c>
      <c r="G68" s="2"/>
      <c r="H68" s="7">
        <v>0</v>
      </c>
      <c r="I68" s="2"/>
      <c r="J68" s="6">
        <f t="shared" si="23"/>
        <v>0</v>
      </c>
      <c r="K68" s="2"/>
      <c r="L68" s="7">
        <f t="shared" si="24"/>
        <v>7786.15</v>
      </c>
      <c r="M68" s="2"/>
      <c r="N68" s="6">
        <f t="shared" si="25"/>
        <v>0</v>
      </c>
      <c r="O68" s="11"/>
      <c r="P68" s="7">
        <v>26971.769999999997</v>
      </c>
      <c r="Q68" s="2"/>
      <c r="R68" s="6">
        <f t="shared" si="26"/>
        <v>0.17566759073348814</v>
      </c>
      <c r="S68" s="2"/>
      <c r="T68" s="7">
        <v>13015.5</v>
      </c>
      <c r="U68" s="2"/>
      <c r="V68" s="6">
        <f t="shared" si="27"/>
        <v>8.7953101021114741E-2</v>
      </c>
      <c r="W68" s="2"/>
      <c r="X68" s="7">
        <f t="shared" si="28"/>
        <v>13956.269999999997</v>
      </c>
      <c r="Y68" s="2"/>
      <c r="Z68" s="6">
        <f t="shared" si="29"/>
        <v>1.0722807421920015</v>
      </c>
    </row>
    <row r="69" spans="1:26" s="24" customFormat="1" hidden="1" outlineLevel="2" x14ac:dyDescent="0.25">
      <c r="A69" s="25"/>
      <c r="B69" s="11" t="str">
        <f>CONCATENATE("          ", "6008", " - ", "STUDENT HOURLY-FICA EXEMPT")</f>
        <v xml:space="preserve">          6008 - STUDENT HOURLY-FICA EXEMPT</v>
      </c>
      <c r="C69" s="11"/>
      <c r="D69" s="7"/>
      <c r="E69" s="2"/>
      <c r="F69" s="6">
        <f t="shared" si="22"/>
        <v>0</v>
      </c>
      <c r="G69" s="2"/>
      <c r="H69" s="7">
        <v>4272</v>
      </c>
      <c r="I69" s="2"/>
      <c r="J69" s="6">
        <f t="shared" si="23"/>
        <v>0.10738028642346635</v>
      </c>
      <c r="K69" s="2"/>
      <c r="L69" s="7">
        <f t="shared" si="24"/>
        <v>-4272</v>
      </c>
      <c r="M69" s="2"/>
      <c r="N69" s="6">
        <f t="shared" si="25"/>
        <v>-1</v>
      </c>
      <c r="O69" s="11"/>
      <c r="P69" s="7"/>
      <c r="Q69" s="2"/>
      <c r="R69" s="6">
        <f t="shared" si="26"/>
        <v>0</v>
      </c>
      <c r="S69" s="2"/>
      <c r="T69" s="7">
        <v>4272</v>
      </c>
      <c r="U69" s="2"/>
      <c r="V69" s="6">
        <f t="shared" si="27"/>
        <v>2.8868322197549243E-2</v>
      </c>
      <c r="W69" s="2"/>
      <c r="X69" s="7">
        <f t="shared" si="28"/>
        <v>-4272</v>
      </c>
      <c r="Y69" s="2"/>
      <c r="Z69" s="6">
        <f t="shared" si="29"/>
        <v>-1</v>
      </c>
    </row>
    <row r="70" spans="1:26" s="24" customFormat="1" hidden="1" outlineLevel="2" x14ac:dyDescent="0.25">
      <c r="A70" s="25"/>
      <c r="B70" s="11" t="str">
        <f>CONCATENATE("          ", "6009", " - ", "TEMPORARY-SEASONAL")</f>
        <v xml:space="preserve">          6009 - TEMPORARY-SEASONAL</v>
      </c>
      <c r="C70" s="11"/>
      <c r="D70" s="7"/>
      <c r="E70" s="2"/>
      <c r="F70" s="6">
        <f t="shared" si="22"/>
        <v>0</v>
      </c>
      <c r="G70" s="2"/>
      <c r="H70" s="7">
        <v>0</v>
      </c>
      <c r="I70" s="2"/>
      <c r="J70" s="6">
        <f t="shared" si="23"/>
        <v>0</v>
      </c>
      <c r="K70" s="2"/>
      <c r="L70" s="7">
        <f t="shared" si="24"/>
        <v>0</v>
      </c>
      <c r="M70" s="2"/>
      <c r="N70" s="6">
        <f t="shared" si="25"/>
        <v>0</v>
      </c>
      <c r="O70" s="11"/>
      <c r="P70" s="7"/>
      <c r="Q70" s="2"/>
      <c r="R70" s="6">
        <f t="shared" si="26"/>
        <v>0</v>
      </c>
      <c r="S70" s="2"/>
      <c r="T70" s="7">
        <v>0</v>
      </c>
      <c r="U70" s="2"/>
      <c r="V70" s="6">
        <f t="shared" si="27"/>
        <v>0</v>
      </c>
      <c r="W70" s="2"/>
      <c r="X70" s="7">
        <f t="shared" si="28"/>
        <v>0</v>
      </c>
      <c r="Y70" s="2"/>
      <c r="Z70" s="6">
        <f t="shared" si="29"/>
        <v>0</v>
      </c>
    </row>
    <row r="71" spans="1:26" s="24" customFormat="1" hidden="1" outlineLevel="2" x14ac:dyDescent="0.25">
      <c r="A71" s="25"/>
      <c r="B71" s="11" t="str">
        <f>CONCATENATE("          ", "6010", " - ", "GRATUITY")</f>
        <v xml:space="preserve">          6010 - GRATUITY</v>
      </c>
      <c r="C71" s="11"/>
      <c r="D71" s="7"/>
      <c r="E71" s="2"/>
      <c r="F71" s="6">
        <f t="shared" si="22"/>
        <v>0</v>
      </c>
      <c r="G71" s="2"/>
      <c r="H71" s="7">
        <v>0</v>
      </c>
      <c r="I71" s="2"/>
      <c r="J71" s="6">
        <f t="shared" si="23"/>
        <v>0</v>
      </c>
      <c r="K71" s="2"/>
      <c r="L71" s="7">
        <f t="shared" si="24"/>
        <v>0</v>
      </c>
      <c r="M71" s="2"/>
      <c r="N71" s="6">
        <f t="shared" si="25"/>
        <v>0</v>
      </c>
      <c r="O71" s="11"/>
      <c r="P71" s="7"/>
      <c r="Q71" s="2"/>
      <c r="R71" s="6">
        <f t="shared" si="26"/>
        <v>0</v>
      </c>
      <c r="S71" s="2"/>
      <c r="T71" s="7">
        <v>0</v>
      </c>
      <c r="U71" s="2"/>
      <c r="V71" s="6">
        <f t="shared" si="27"/>
        <v>0</v>
      </c>
      <c r="W71" s="2"/>
      <c r="X71" s="7">
        <f t="shared" si="28"/>
        <v>0</v>
      </c>
      <c r="Y71" s="2"/>
      <c r="Z71" s="6">
        <f t="shared" si="29"/>
        <v>0</v>
      </c>
    </row>
    <row r="72" spans="1:26" s="26" customFormat="1" outlineLevel="1" collapsed="1" x14ac:dyDescent="0.25">
      <c r="A72" s="27"/>
      <c r="B72" s="13" t="str">
        <f>CONCATENATE("     ","Advertising/Promo                                 ")</f>
        <v xml:space="preserve">     Advertising/Promo                                 </v>
      </c>
      <c r="C72" s="13"/>
      <c r="D72" s="1">
        <f>SUM(OSRRefD22_2x_0)</f>
        <v>52.51</v>
      </c>
      <c r="E72" s="1"/>
      <c r="F72" s="5">
        <f t="shared" ref="F72:F76" si="30">IF(D$12=0,0,D72/D$12)</f>
        <v>1.6125812662954849E-3</v>
      </c>
      <c r="G72" s="1"/>
      <c r="H72" s="1">
        <f>SUM(OSRRefH22_2x_0)</f>
        <v>150</v>
      </c>
      <c r="I72" s="1"/>
      <c r="J72" s="5">
        <f t="shared" ref="J72:J76" si="31">IF(H$12=0,0,H72/H$12)</f>
        <v>3.7703752255430602E-3</v>
      </c>
      <c r="K72" s="1"/>
      <c r="L72" s="1">
        <f t="shared" ref="L72:L76" si="32">+D72-H72</f>
        <v>-97.490000000000009</v>
      </c>
      <c r="M72" s="1"/>
      <c r="N72" s="5">
        <f t="shared" ref="N72:N76" si="33">IF(H72=0,0,L72/H72)</f>
        <v>-0.64993333333333336</v>
      </c>
      <c r="O72" s="13"/>
      <c r="P72" s="1">
        <f>SUM(OSRRefP22_2x_0)</f>
        <v>921.39</v>
      </c>
      <c r="Q72" s="1"/>
      <c r="R72" s="5">
        <f t="shared" ref="R72:R76" si="34">IF(P$12=0,0,P72/P$12)</f>
        <v>6.0010285356107019E-3</v>
      </c>
      <c r="S72" s="1"/>
      <c r="T72" s="1">
        <f>SUM(OSRRefT22_2x_0)</f>
        <v>1150</v>
      </c>
      <c r="U72" s="1"/>
      <c r="V72" s="5">
        <f t="shared" ref="V72:V76" si="35">IF(T$12=0,0,T72/T$12)</f>
        <v>7.7712009661005683E-3</v>
      </c>
      <c r="W72" s="1"/>
      <c r="X72" s="1">
        <f t="shared" ref="X72:X76" si="36">+P72-T72</f>
        <v>-228.61</v>
      </c>
      <c r="Y72" s="1"/>
      <c r="Z72" s="5">
        <f t="shared" ref="Z72:Z76" si="37">IF(T72=0,0,X72/T72)</f>
        <v>-0.1987913043478261</v>
      </c>
    </row>
    <row r="73" spans="1:26" s="24" customFormat="1" hidden="1" outlineLevel="2" x14ac:dyDescent="0.25">
      <c r="A73" s="25"/>
      <c r="B73" s="11" t="str">
        <f>CONCATENATE("          ", "6362", " - ", "ADVERTISING EXPENSE")</f>
        <v xml:space="preserve">          6362 - ADVERTISING EXPENSE</v>
      </c>
      <c r="C73" s="11"/>
      <c r="D73" s="7">
        <v>52.51</v>
      </c>
      <c r="E73" s="2"/>
      <c r="F73" s="6">
        <f t="shared" si="30"/>
        <v>1.6125812662954849E-3</v>
      </c>
      <c r="G73" s="2"/>
      <c r="H73" s="7">
        <v>150</v>
      </c>
      <c r="I73" s="2"/>
      <c r="J73" s="6">
        <f t="shared" si="31"/>
        <v>3.7703752255430602E-3</v>
      </c>
      <c r="K73" s="2"/>
      <c r="L73" s="7">
        <f t="shared" si="32"/>
        <v>-97.490000000000009</v>
      </c>
      <c r="M73" s="2"/>
      <c r="N73" s="6">
        <f t="shared" si="33"/>
        <v>-0.64993333333333336</v>
      </c>
      <c r="O73" s="11"/>
      <c r="P73" s="7">
        <v>921.39</v>
      </c>
      <c r="Q73" s="2"/>
      <c r="R73" s="6">
        <f t="shared" si="34"/>
        <v>6.0010285356107019E-3</v>
      </c>
      <c r="S73" s="2"/>
      <c r="T73" s="7">
        <v>1150</v>
      </c>
      <c r="U73" s="2"/>
      <c r="V73" s="6">
        <f t="shared" si="35"/>
        <v>7.7712009661005683E-3</v>
      </c>
      <c r="W73" s="2"/>
      <c r="X73" s="7">
        <f t="shared" si="36"/>
        <v>-228.61</v>
      </c>
      <c r="Y73" s="2"/>
      <c r="Z73" s="6">
        <f t="shared" si="37"/>
        <v>-0.1987913043478261</v>
      </c>
    </row>
    <row r="74" spans="1:26" s="26" customFormat="1" outlineLevel="1" collapsed="1" x14ac:dyDescent="0.25">
      <c r="A74" s="27"/>
      <c r="B74" s="13" t="str">
        <f>CONCATENATE("     ","Bad Debts/Over/Short                              ")</f>
        <v xml:space="preserve">     Bad Debts/Over/Short                              </v>
      </c>
      <c r="C74" s="13"/>
      <c r="D74" s="1">
        <f>SUM(OSRRefD22_3x_0)</f>
        <v>-0.2</v>
      </c>
      <c r="E74" s="1"/>
      <c r="F74" s="5">
        <f t="shared" si="30"/>
        <v>-6.1419968245876403E-6</v>
      </c>
      <c r="G74" s="1"/>
      <c r="H74" s="1">
        <f>SUM(OSRRefH22_3x_0)</f>
        <v>10</v>
      </c>
      <c r="I74" s="1"/>
      <c r="J74" s="5">
        <f t="shared" si="31"/>
        <v>2.5135834836953735E-4</v>
      </c>
      <c r="K74" s="1"/>
      <c r="L74" s="1">
        <f t="shared" si="32"/>
        <v>-10.199999999999999</v>
      </c>
      <c r="M74" s="1"/>
      <c r="N74" s="5">
        <f t="shared" si="33"/>
        <v>-1.02</v>
      </c>
      <c r="O74" s="13"/>
      <c r="P74" s="1">
        <f>SUM(OSRRefP22_3x_0)</f>
        <v>29.71</v>
      </c>
      <c r="Q74" s="1"/>
      <c r="R74" s="5">
        <f t="shared" si="34"/>
        <v>1.9350172868491515E-4</v>
      </c>
      <c r="S74" s="1"/>
      <c r="T74" s="1">
        <f>SUM(OSRRefT22_3x_0)</f>
        <v>30</v>
      </c>
      <c r="U74" s="1"/>
      <c r="V74" s="5">
        <f t="shared" si="35"/>
        <v>2.0272698172436266E-4</v>
      </c>
      <c r="W74" s="1"/>
      <c r="X74" s="1">
        <f t="shared" si="36"/>
        <v>-0.28999999999999915</v>
      </c>
      <c r="Y74" s="1"/>
      <c r="Z74" s="5">
        <f t="shared" si="37"/>
        <v>-9.6666666666666377E-3</v>
      </c>
    </row>
    <row r="75" spans="1:26" s="24" customFormat="1" hidden="1" outlineLevel="2" x14ac:dyDescent="0.25">
      <c r="A75" s="25"/>
      <c r="B75" s="11" t="str">
        <f>CONCATENATE("          ", "6272", " - ", "CASH (OVER/SHORT)")</f>
        <v xml:space="preserve">          6272 - CASH (OVER/SHORT)</v>
      </c>
      <c r="C75" s="11"/>
      <c r="D75" s="7">
        <v>-0.2</v>
      </c>
      <c r="E75" s="2"/>
      <c r="F75" s="6">
        <f t="shared" si="30"/>
        <v>-6.1419968245876403E-6</v>
      </c>
      <c r="G75" s="2"/>
      <c r="H75" s="7"/>
      <c r="I75" s="2"/>
      <c r="J75" s="6">
        <f t="shared" si="31"/>
        <v>0</v>
      </c>
      <c r="K75" s="2"/>
      <c r="L75" s="7">
        <f t="shared" si="32"/>
        <v>-0.2</v>
      </c>
      <c r="M75" s="2"/>
      <c r="N75" s="6">
        <f t="shared" si="33"/>
        <v>0</v>
      </c>
      <c r="O75" s="11"/>
      <c r="P75" s="7">
        <v>29.71</v>
      </c>
      <c r="Q75" s="2"/>
      <c r="R75" s="6">
        <f t="shared" si="34"/>
        <v>1.9350172868491515E-4</v>
      </c>
      <c r="S75" s="2"/>
      <c r="T75" s="7"/>
      <c r="U75" s="2"/>
      <c r="V75" s="6">
        <f t="shared" si="35"/>
        <v>0</v>
      </c>
      <c r="W75" s="2"/>
      <c r="X75" s="7">
        <f t="shared" si="36"/>
        <v>29.71</v>
      </c>
      <c r="Y75" s="2"/>
      <c r="Z75" s="6">
        <f t="shared" si="37"/>
        <v>0</v>
      </c>
    </row>
    <row r="76" spans="1:26" s="24" customFormat="1" hidden="1" outlineLevel="2" x14ac:dyDescent="0.25">
      <c r="A76" s="25"/>
      <c r="B76" s="11" t="str">
        <f>CONCATENATE("          ", "6342", " - ", "BAD DEBT")</f>
        <v xml:space="preserve">          6342 - BAD DEBT</v>
      </c>
      <c r="C76" s="11"/>
      <c r="D76" s="7"/>
      <c r="E76" s="2"/>
      <c r="F76" s="6">
        <f t="shared" si="30"/>
        <v>0</v>
      </c>
      <c r="G76" s="2"/>
      <c r="H76" s="7">
        <v>10</v>
      </c>
      <c r="I76" s="2"/>
      <c r="J76" s="6">
        <f t="shared" si="31"/>
        <v>2.5135834836953735E-4</v>
      </c>
      <c r="K76" s="2"/>
      <c r="L76" s="7">
        <f t="shared" si="32"/>
        <v>-10</v>
      </c>
      <c r="M76" s="2"/>
      <c r="N76" s="6">
        <f t="shared" si="33"/>
        <v>-1</v>
      </c>
      <c r="O76" s="11"/>
      <c r="P76" s="7"/>
      <c r="Q76" s="2"/>
      <c r="R76" s="6">
        <f t="shared" si="34"/>
        <v>0</v>
      </c>
      <c r="S76" s="2"/>
      <c r="T76" s="7">
        <v>30</v>
      </c>
      <c r="U76" s="2"/>
      <c r="V76" s="6">
        <f t="shared" si="35"/>
        <v>2.0272698172436266E-4</v>
      </c>
      <c r="W76" s="2"/>
      <c r="X76" s="7">
        <f t="shared" si="36"/>
        <v>-30</v>
      </c>
      <c r="Y76" s="2"/>
      <c r="Z76" s="6">
        <f t="shared" si="37"/>
        <v>-1</v>
      </c>
    </row>
    <row r="77" spans="1:26" s="26" customFormat="1" outlineLevel="1" collapsed="1" x14ac:dyDescent="0.25">
      <c r="A77" s="27"/>
      <c r="B77" s="13" t="str">
        <f>CONCATENATE("     ","Bank/card Fees                                    ")</f>
        <v xml:space="preserve">     Bank/card Fees                                    </v>
      </c>
      <c r="C77" s="13"/>
      <c r="D77" s="1">
        <f>SUM(OSRRefD22_4x_0)</f>
        <v>541.12</v>
      </c>
      <c r="E77" s="1"/>
      <c r="F77" s="5">
        <f t="shared" ref="F77:F97" si="38">IF(D$12=0,0,D77/D$12)</f>
        <v>1.6617786608604319E-2</v>
      </c>
      <c r="G77" s="1"/>
      <c r="H77" s="1">
        <f>SUM(OSRRefH22_4x_0)</f>
        <v>470</v>
      </c>
      <c r="I77" s="1"/>
      <c r="J77" s="5">
        <f t="shared" ref="J77:J97" si="39">IF(H$12=0,0,H77/H$12)</f>
        <v>1.1813842373368256E-2</v>
      </c>
      <c r="K77" s="1"/>
      <c r="L77" s="1">
        <f t="shared" ref="L77:L97" si="40">+D77-H77</f>
        <v>71.12</v>
      </c>
      <c r="M77" s="1"/>
      <c r="N77" s="5">
        <f t="shared" ref="N77:N97" si="41">IF(H77=0,0,L77/H77)</f>
        <v>0.15131914893617021</v>
      </c>
      <c r="O77" s="13"/>
      <c r="P77" s="1">
        <f>SUM(OSRRefP22_4x_0)</f>
        <v>2022.78</v>
      </c>
      <c r="Q77" s="1"/>
      <c r="R77" s="5">
        <f t="shared" ref="R77:R97" si="42">IF(P$12=0,0,P77/P$12)</f>
        <v>1.3174400092536946E-2</v>
      </c>
      <c r="S77" s="1"/>
      <c r="T77" s="1">
        <f>SUM(OSRRefT22_4x_0)</f>
        <v>1695</v>
      </c>
      <c r="U77" s="1"/>
      <c r="V77" s="5">
        <f t="shared" ref="V77:V97" si="43">IF(T$12=0,0,T77/T$12)</f>
        <v>1.145407446742649E-2</v>
      </c>
      <c r="W77" s="1"/>
      <c r="X77" s="1">
        <f t="shared" ref="X77:X97" si="44">+P77-T77</f>
        <v>327.78</v>
      </c>
      <c r="Y77" s="1"/>
      <c r="Z77" s="5">
        <f t="shared" ref="Z77:Z97" si="45">IF(T77=0,0,X77/T77)</f>
        <v>0.19338053097345131</v>
      </c>
    </row>
    <row r="78" spans="1:26" s="24" customFormat="1" hidden="1" outlineLevel="2" x14ac:dyDescent="0.25">
      <c r="A78" s="25"/>
      <c r="B78" s="11" t="str">
        <f>CONCATENATE("          ", "6381", " - ", "BANK/CREDIT CARD FEES")</f>
        <v xml:space="preserve">          6381 - BANK/CREDIT CARD FEES</v>
      </c>
      <c r="C78" s="11"/>
      <c r="D78" s="7">
        <v>541.12</v>
      </c>
      <c r="E78" s="2"/>
      <c r="F78" s="6">
        <f t="shared" si="38"/>
        <v>1.6617786608604319E-2</v>
      </c>
      <c r="G78" s="2"/>
      <c r="H78" s="7">
        <v>470</v>
      </c>
      <c r="I78" s="2"/>
      <c r="J78" s="6">
        <f t="shared" si="39"/>
        <v>1.1813842373368256E-2</v>
      </c>
      <c r="K78" s="2"/>
      <c r="L78" s="7">
        <f t="shared" si="40"/>
        <v>71.12</v>
      </c>
      <c r="M78" s="2"/>
      <c r="N78" s="6">
        <f t="shared" si="41"/>
        <v>0.15131914893617021</v>
      </c>
      <c r="O78" s="11"/>
      <c r="P78" s="7">
        <v>2022.78</v>
      </c>
      <c r="Q78" s="2"/>
      <c r="R78" s="6">
        <f t="shared" si="42"/>
        <v>1.3174400092536946E-2</v>
      </c>
      <c r="S78" s="2"/>
      <c r="T78" s="7">
        <v>1695</v>
      </c>
      <c r="U78" s="2"/>
      <c r="V78" s="6">
        <f t="shared" si="43"/>
        <v>1.145407446742649E-2</v>
      </c>
      <c r="W78" s="2"/>
      <c r="X78" s="7">
        <f t="shared" si="44"/>
        <v>327.78</v>
      </c>
      <c r="Y78" s="2"/>
      <c r="Z78" s="6">
        <f t="shared" si="45"/>
        <v>0.19338053097345131</v>
      </c>
    </row>
    <row r="79" spans="1:26" s="26" customFormat="1" outlineLevel="1" collapsed="1" x14ac:dyDescent="0.25">
      <c r="A79" s="27"/>
      <c r="B79" s="13" t="str">
        <f>CONCATENATE("     ","Discounts and Markdowns                           ")</f>
        <v xml:space="preserve">     Discounts and Markdowns                           </v>
      </c>
      <c r="C79" s="13"/>
      <c r="D79" s="1">
        <f>SUM(OSRRefD22_5x_0)</f>
        <v>3506.67</v>
      </c>
      <c r="E79" s="1"/>
      <c r="F79" s="5">
        <f t="shared" si="38"/>
        <v>0.1076897800243837</v>
      </c>
      <c r="G79" s="1"/>
      <c r="H79" s="1">
        <f>SUM(OSRRefH22_5x_0)</f>
        <v>3000</v>
      </c>
      <c r="I79" s="1"/>
      <c r="J79" s="5">
        <f t="shared" si="39"/>
        <v>7.5407504510861201E-2</v>
      </c>
      <c r="K79" s="1"/>
      <c r="L79" s="1">
        <f t="shared" si="40"/>
        <v>506.67000000000007</v>
      </c>
      <c r="M79" s="1"/>
      <c r="N79" s="5">
        <f t="shared" si="41"/>
        <v>0.16889000000000001</v>
      </c>
      <c r="O79" s="13"/>
      <c r="P79" s="1">
        <f>SUM(OSRRefP22_5x_0)</f>
        <v>22656.36</v>
      </c>
      <c r="Q79" s="1"/>
      <c r="R79" s="5">
        <f t="shared" si="42"/>
        <v>0.14756125296895875</v>
      </c>
      <c r="S79" s="1"/>
      <c r="T79" s="1">
        <f>SUM(OSRRefT22_5x_0)</f>
        <v>11000</v>
      </c>
      <c r="U79" s="1"/>
      <c r="V79" s="5">
        <f t="shared" si="43"/>
        <v>7.4333226632266311E-2</v>
      </c>
      <c r="W79" s="1"/>
      <c r="X79" s="1">
        <f t="shared" si="44"/>
        <v>11656.36</v>
      </c>
      <c r="Y79" s="1"/>
      <c r="Z79" s="5">
        <f t="shared" si="45"/>
        <v>1.0596690909090909</v>
      </c>
    </row>
    <row r="80" spans="1:26" s="24" customFormat="1" hidden="1" outlineLevel="2" x14ac:dyDescent="0.25">
      <c r="A80" s="25"/>
      <c r="B80" s="11" t="str">
        <f>CONCATENATE("          ", "6382", " - ", "DISCOUNTS/MARK DOWNS")</f>
        <v xml:space="preserve">          6382 - DISCOUNTS/MARK DOWNS</v>
      </c>
      <c r="C80" s="11"/>
      <c r="D80" s="7">
        <v>3506.67</v>
      </c>
      <c r="E80" s="2"/>
      <c r="F80" s="6">
        <f t="shared" si="38"/>
        <v>0.1076897800243837</v>
      </c>
      <c r="G80" s="2"/>
      <c r="H80" s="7">
        <v>3000</v>
      </c>
      <c r="I80" s="2"/>
      <c r="J80" s="6">
        <f t="shared" si="39"/>
        <v>7.5407504510861201E-2</v>
      </c>
      <c r="K80" s="2"/>
      <c r="L80" s="7">
        <f t="shared" si="40"/>
        <v>506.67000000000007</v>
      </c>
      <c r="M80" s="2"/>
      <c r="N80" s="6">
        <f t="shared" si="41"/>
        <v>0.16889000000000001</v>
      </c>
      <c r="O80" s="11"/>
      <c r="P80" s="7">
        <v>22656.36</v>
      </c>
      <c r="Q80" s="2"/>
      <c r="R80" s="6">
        <f t="shared" si="42"/>
        <v>0.14756125296895875</v>
      </c>
      <c r="S80" s="2"/>
      <c r="T80" s="7">
        <v>11000</v>
      </c>
      <c r="U80" s="2"/>
      <c r="V80" s="6">
        <f t="shared" si="43"/>
        <v>7.4333226632266311E-2</v>
      </c>
      <c r="W80" s="2"/>
      <c r="X80" s="7">
        <f t="shared" si="44"/>
        <v>11656.36</v>
      </c>
      <c r="Y80" s="2"/>
      <c r="Z80" s="6">
        <f t="shared" si="45"/>
        <v>1.0596690909090909</v>
      </c>
    </row>
    <row r="81" spans="1:26" s="26" customFormat="1" outlineLevel="1" collapsed="1" x14ac:dyDescent="0.25">
      <c r="A81" s="27"/>
      <c r="B81" s="13" t="str">
        <f>CONCATENATE("     ","Donations                                         ")</f>
        <v xml:space="preserve">     Donations                                         </v>
      </c>
      <c r="C81" s="13"/>
      <c r="D81" s="1">
        <f>SUM(OSRRefD22_6x_0)</f>
        <v>0</v>
      </c>
      <c r="E81" s="1"/>
      <c r="F81" s="5">
        <f t="shared" si="38"/>
        <v>0</v>
      </c>
      <c r="G81" s="1"/>
      <c r="H81" s="1">
        <f>SUM(OSRRefH22_6x_0)</f>
        <v>25</v>
      </c>
      <c r="I81" s="1"/>
      <c r="J81" s="5">
        <f t="shared" si="39"/>
        <v>6.2839587092384337E-4</v>
      </c>
      <c r="K81" s="1"/>
      <c r="L81" s="1">
        <f t="shared" si="40"/>
        <v>-25</v>
      </c>
      <c r="M81" s="1"/>
      <c r="N81" s="5">
        <f t="shared" si="41"/>
        <v>-1</v>
      </c>
      <c r="O81" s="13"/>
      <c r="P81" s="1">
        <f>SUM(OSRRefP22_6x_0)</f>
        <v>0</v>
      </c>
      <c r="Q81" s="1"/>
      <c r="R81" s="5">
        <f t="shared" si="42"/>
        <v>0</v>
      </c>
      <c r="S81" s="1"/>
      <c r="T81" s="1">
        <f>SUM(OSRRefT22_6x_0)</f>
        <v>150</v>
      </c>
      <c r="U81" s="1"/>
      <c r="V81" s="5">
        <f t="shared" si="43"/>
        <v>1.0136349086218132E-3</v>
      </c>
      <c r="W81" s="1"/>
      <c r="X81" s="1">
        <f t="shared" si="44"/>
        <v>-150</v>
      </c>
      <c r="Y81" s="1"/>
      <c r="Z81" s="5">
        <f t="shared" si="45"/>
        <v>-1</v>
      </c>
    </row>
    <row r="82" spans="1:26" s="24" customFormat="1" hidden="1" outlineLevel="2" x14ac:dyDescent="0.25">
      <c r="A82" s="25"/>
      <c r="B82" s="11" t="str">
        <f>CONCATENATE("          ", "6395", " - ", "DONATION-OFF CAMPUS")</f>
        <v xml:space="preserve">          6395 - DONATION-OFF CAMPUS</v>
      </c>
      <c r="C82" s="11"/>
      <c r="D82" s="7"/>
      <c r="E82" s="2"/>
      <c r="F82" s="6">
        <f t="shared" si="38"/>
        <v>0</v>
      </c>
      <c r="G82" s="2"/>
      <c r="H82" s="7">
        <v>25</v>
      </c>
      <c r="I82" s="2"/>
      <c r="J82" s="6">
        <f t="shared" si="39"/>
        <v>6.2839587092384337E-4</v>
      </c>
      <c r="K82" s="2"/>
      <c r="L82" s="7">
        <f t="shared" si="40"/>
        <v>-25</v>
      </c>
      <c r="M82" s="2"/>
      <c r="N82" s="6">
        <f t="shared" si="41"/>
        <v>-1</v>
      </c>
      <c r="O82" s="11"/>
      <c r="P82" s="7"/>
      <c r="Q82" s="2"/>
      <c r="R82" s="6">
        <f t="shared" si="42"/>
        <v>0</v>
      </c>
      <c r="S82" s="2"/>
      <c r="T82" s="7">
        <v>150</v>
      </c>
      <c r="U82" s="2"/>
      <c r="V82" s="6">
        <f t="shared" si="43"/>
        <v>1.0136349086218132E-3</v>
      </c>
      <c r="W82" s="2"/>
      <c r="X82" s="7">
        <f t="shared" si="44"/>
        <v>-150</v>
      </c>
      <c r="Y82" s="2"/>
      <c r="Z82" s="6">
        <f t="shared" si="45"/>
        <v>-1</v>
      </c>
    </row>
    <row r="83" spans="1:26" s="26" customFormat="1" outlineLevel="1" collapsed="1" x14ac:dyDescent="0.25">
      <c r="A83" s="27"/>
      <c r="B83" s="13" t="str">
        <f>CONCATENATE("     ","Employees' Appreciation                           ")</f>
        <v xml:space="preserve">     Employees' Appreciation                           </v>
      </c>
      <c r="C83" s="13"/>
      <c r="D83" s="1">
        <f>SUM(OSRRefD22_7x_0)</f>
        <v>0</v>
      </c>
      <c r="E83" s="1"/>
      <c r="F83" s="5">
        <f t="shared" si="38"/>
        <v>0</v>
      </c>
      <c r="G83" s="1"/>
      <c r="H83" s="1">
        <f>SUM(OSRRefH22_7x_0)</f>
        <v>50</v>
      </c>
      <c r="I83" s="1"/>
      <c r="J83" s="5">
        <f t="shared" si="39"/>
        <v>1.2567917418476867E-3</v>
      </c>
      <c r="K83" s="1"/>
      <c r="L83" s="1">
        <f t="shared" si="40"/>
        <v>-50</v>
      </c>
      <c r="M83" s="1"/>
      <c r="N83" s="5">
        <f t="shared" si="41"/>
        <v>-1</v>
      </c>
      <c r="O83" s="13"/>
      <c r="P83" s="1">
        <f>SUM(OSRRefP22_7x_0)</f>
        <v>120.93</v>
      </c>
      <c r="Q83" s="1"/>
      <c r="R83" s="5">
        <f t="shared" si="42"/>
        <v>7.8761911982049102E-4</v>
      </c>
      <c r="S83" s="1"/>
      <c r="T83" s="1">
        <f>SUM(OSRRefT22_7x_0)</f>
        <v>150</v>
      </c>
      <c r="U83" s="1"/>
      <c r="V83" s="5">
        <f t="shared" si="43"/>
        <v>1.0136349086218132E-3</v>
      </c>
      <c r="W83" s="1"/>
      <c r="X83" s="1">
        <f t="shared" si="44"/>
        <v>-29.069999999999993</v>
      </c>
      <c r="Y83" s="1"/>
      <c r="Z83" s="5">
        <f t="shared" si="45"/>
        <v>-0.19379999999999994</v>
      </c>
    </row>
    <row r="84" spans="1:26" s="24" customFormat="1" hidden="1" outlineLevel="2" x14ac:dyDescent="0.25">
      <c r="A84" s="25"/>
      <c r="B84" s="11" t="str">
        <f>CONCATENATE("          ", "6277", " - ", "EMPLOYEE APPRECIATION")</f>
        <v xml:space="preserve">          6277 - EMPLOYEE APPRECIATION</v>
      </c>
      <c r="C84" s="11"/>
      <c r="D84" s="7"/>
      <c r="E84" s="2"/>
      <c r="F84" s="6">
        <f t="shared" si="38"/>
        <v>0</v>
      </c>
      <c r="G84" s="2"/>
      <c r="H84" s="7">
        <v>50</v>
      </c>
      <c r="I84" s="2"/>
      <c r="J84" s="6">
        <f t="shared" si="39"/>
        <v>1.2567917418476867E-3</v>
      </c>
      <c r="K84" s="2"/>
      <c r="L84" s="7">
        <f t="shared" si="40"/>
        <v>-50</v>
      </c>
      <c r="M84" s="2"/>
      <c r="N84" s="6">
        <f t="shared" si="41"/>
        <v>-1</v>
      </c>
      <c r="O84" s="11"/>
      <c r="P84" s="7">
        <v>120.93</v>
      </c>
      <c r="Q84" s="2"/>
      <c r="R84" s="6">
        <f t="shared" si="42"/>
        <v>7.8761911982049102E-4</v>
      </c>
      <c r="S84" s="2"/>
      <c r="T84" s="7">
        <v>150</v>
      </c>
      <c r="U84" s="2"/>
      <c r="V84" s="6">
        <f t="shared" si="43"/>
        <v>1.0136349086218132E-3</v>
      </c>
      <c r="W84" s="2"/>
      <c r="X84" s="7">
        <f t="shared" si="44"/>
        <v>-29.069999999999993</v>
      </c>
      <c r="Y84" s="2"/>
      <c r="Z84" s="6">
        <f t="shared" si="45"/>
        <v>-0.19379999999999994</v>
      </c>
    </row>
    <row r="85" spans="1:26" s="26" customFormat="1" outlineLevel="1" collapsed="1" x14ac:dyDescent="0.25">
      <c r="A85" s="27"/>
      <c r="B85" s="13" t="str">
        <f>CONCATENATE("     ","General                                           ")</f>
        <v xml:space="preserve">     General                                           </v>
      </c>
      <c r="C85" s="13"/>
      <c r="D85" s="1">
        <f>SUM(OSRRefD22_8x_0)</f>
        <v>0</v>
      </c>
      <c r="E85" s="1"/>
      <c r="F85" s="5">
        <f t="shared" si="38"/>
        <v>0</v>
      </c>
      <c r="G85" s="1"/>
      <c r="H85" s="1">
        <f>SUM(OSRRefH22_8x_0)</f>
        <v>120</v>
      </c>
      <c r="I85" s="1"/>
      <c r="J85" s="5">
        <f t="shared" si="39"/>
        <v>3.0163001804344482E-3</v>
      </c>
      <c r="K85" s="1"/>
      <c r="L85" s="1">
        <f t="shared" si="40"/>
        <v>-120</v>
      </c>
      <c r="M85" s="1"/>
      <c r="N85" s="5">
        <f t="shared" si="41"/>
        <v>-1</v>
      </c>
      <c r="O85" s="13"/>
      <c r="P85" s="1">
        <f>SUM(OSRRefP22_8x_0)</f>
        <v>0</v>
      </c>
      <c r="Q85" s="1"/>
      <c r="R85" s="5">
        <f t="shared" si="42"/>
        <v>0</v>
      </c>
      <c r="S85" s="1"/>
      <c r="T85" s="1">
        <f>SUM(OSRRefT22_8x_0)</f>
        <v>240</v>
      </c>
      <c r="U85" s="1"/>
      <c r="V85" s="5">
        <f t="shared" si="43"/>
        <v>1.6218158537949013E-3</v>
      </c>
      <c r="W85" s="1"/>
      <c r="X85" s="1">
        <f t="shared" si="44"/>
        <v>-240</v>
      </c>
      <c r="Y85" s="1"/>
      <c r="Z85" s="5">
        <f t="shared" si="45"/>
        <v>-1</v>
      </c>
    </row>
    <row r="86" spans="1:26" s="24" customFormat="1" hidden="1" outlineLevel="2" x14ac:dyDescent="0.25">
      <c r="A86" s="25"/>
      <c r="B86" s="11" t="str">
        <f>CONCATENATE("          ", "6279", " - ", "GENERAL EXPENSE")</f>
        <v xml:space="preserve">          6279 - GENERAL EXPENSE</v>
      </c>
      <c r="C86" s="11"/>
      <c r="D86" s="7"/>
      <c r="E86" s="2"/>
      <c r="F86" s="6">
        <f t="shared" si="38"/>
        <v>0</v>
      </c>
      <c r="G86" s="2"/>
      <c r="H86" s="7">
        <v>120</v>
      </c>
      <c r="I86" s="2"/>
      <c r="J86" s="6">
        <f t="shared" si="39"/>
        <v>3.0163001804344482E-3</v>
      </c>
      <c r="K86" s="2"/>
      <c r="L86" s="7">
        <f t="shared" si="40"/>
        <v>-120</v>
      </c>
      <c r="M86" s="2"/>
      <c r="N86" s="6">
        <f t="shared" si="41"/>
        <v>-1</v>
      </c>
      <c r="O86" s="11"/>
      <c r="P86" s="7"/>
      <c r="Q86" s="2"/>
      <c r="R86" s="6">
        <f t="shared" si="42"/>
        <v>0</v>
      </c>
      <c r="S86" s="2"/>
      <c r="T86" s="7">
        <v>240</v>
      </c>
      <c r="U86" s="2"/>
      <c r="V86" s="6">
        <f t="shared" si="43"/>
        <v>1.6218158537949013E-3</v>
      </c>
      <c r="W86" s="2"/>
      <c r="X86" s="7">
        <f t="shared" si="44"/>
        <v>-240</v>
      </c>
      <c r="Y86" s="2"/>
      <c r="Z86" s="6">
        <f t="shared" si="45"/>
        <v>-1</v>
      </c>
    </row>
    <row r="87" spans="1:26" s="26" customFormat="1" outlineLevel="1" collapsed="1" x14ac:dyDescent="0.25">
      <c r="A87" s="27"/>
      <c r="B87" s="13" t="str">
        <f>CONCATENATE("     ","Insurance                                         ")</f>
        <v xml:space="preserve">     Insurance                                         </v>
      </c>
      <c r="C87" s="13"/>
      <c r="D87" s="1">
        <f>SUM(OSRRefD22_9x_0)</f>
        <v>161.18</v>
      </c>
      <c r="E87" s="1"/>
      <c r="F87" s="5">
        <f t="shared" si="38"/>
        <v>4.9498352409351794E-3</v>
      </c>
      <c r="G87" s="1"/>
      <c r="H87" s="1">
        <f>SUM(OSRRefH22_9x_0)</f>
        <v>155</v>
      </c>
      <c r="I87" s="1"/>
      <c r="J87" s="5">
        <f t="shared" si="39"/>
        <v>3.8960543997278289E-3</v>
      </c>
      <c r="K87" s="1"/>
      <c r="L87" s="1">
        <f t="shared" si="40"/>
        <v>6.1800000000000068</v>
      </c>
      <c r="M87" s="1"/>
      <c r="N87" s="5">
        <f t="shared" si="41"/>
        <v>3.9870967741935527E-2</v>
      </c>
      <c r="O87" s="13"/>
      <c r="P87" s="1">
        <f>SUM(OSRRefP22_9x_0)</f>
        <v>483.54</v>
      </c>
      <c r="Q87" s="1"/>
      <c r="R87" s="5">
        <f t="shared" si="42"/>
        <v>3.1493041362606485E-3</v>
      </c>
      <c r="S87" s="1"/>
      <c r="T87" s="1">
        <f>SUM(OSRRefT22_9x_0)</f>
        <v>465</v>
      </c>
      <c r="U87" s="1"/>
      <c r="V87" s="5">
        <f t="shared" si="43"/>
        <v>3.1422682167276212E-3</v>
      </c>
      <c r="W87" s="1"/>
      <c r="X87" s="1">
        <f t="shared" si="44"/>
        <v>18.54000000000002</v>
      </c>
      <c r="Y87" s="1"/>
      <c r="Z87" s="5">
        <f t="shared" si="45"/>
        <v>3.9870967741935527E-2</v>
      </c>
    </row>
    <row r="88" spans="1:26" s="24" customFormat="1" hidden="1" outlineLevel="2" x14ac:dyDescent="0.25">
      <c r="A88" s="25"/>
      <c r="B88" s="11" t="str">
        <f>CONCATENATE("          ", "6314", " - ", "LIABILITY INSURANCE")</f>
        <v xml:space="preserve">          6314 - LIABILITY INSURANCE</v>
      </c>
      <c r="C88" s="11"/>
      <c r="D88" s="7">
        <v>161.18</v>
      </c>
      <c r="E88" s="2"/>
      <c r="F88" s="6">
        <f t="shared" si="38"/>
        <v>4.9498352409351794E-3</v>
      </c>
      <c r="G88" s="2"/>
      <c r="H88" s="7">
        <v>155</v>
      </c>
      <c r="I88" s="2"/>
      <c r="J88" s="6">
        <f t="shared" si="39"/>
        <v>3.8960543997278289E-3</v>
      </c>
      <c r="K88" s="2"/>
      <c r="L88" s="7">
        <f t="shared" si="40"/>
        <v>6.1800000000000068</v>
      </c>
      <c r="M88" s="2"/>
      <c r="N88" s="6">
        <f t="shared" si="41"/>
        <v>3.9870967741935527E-2</v>
      </c>
      <c r="O88" s="11"/>
      <c r="P88" s="7">
        <v>483.54</v>
      </c>
      <c r="Q88" s="2"/>
      <c r="R88" s="6">
        <f t="shared" si="42"/>
        <v>3.1493041362606485E-3</v>
      </c>
      <c r="S88" s="2"/>
      <c r="T88" s="7">
        <v>465</v>
      </c>
      <c r="U88" s="2"/>
      <c r="V88" s="6">
        <f t="shared" si="43"/>
        <v>3.1422682167276212E-3</v>
      </c>
      <c r="W88" s="2"/>
      <c r="X88" s="7">
        <f t="shared" si="44"/>
        <v>18.54000000000002</v>
      </c>
      <c r="Y88" s="2"/>
      <c r="Z88" s="6">
        <f t="shared" si="45"/>
        <v>3.9870967741935527E-2</v>
      </c>
    </row>
    <row r="89" spans="1:26" s="26" customFormat="1" outlineLevel="1" collapsed="1" x14ac:dyDescent="0.25">
      <c r="A89" s="27"/>
      <c r="B89" s="13" t="str">
        <f>CONCATENATE("     ","Inventory Adjustment                              ")</f>
        <v xml:space="preserve">     Inventory Adjustment                              </v>
      </c>
      <c r="C89" s="13"/>
      <c r="D89" s="1">
        <f>SUM(OSRRefD22_10x_0)</f>
        <v>300</v>
      </c>
      <c r="E89" s="1"/>
      <c r="F89" s="5">
        <f t="shared" si="38"/>
        <v>9.2129952368814605E-3</v>
      </c>
      <c r="G89" s="1"/>
      <c r="H89" s="1">
        <f>SUM(OSRRefH22_10x_0)</f>
        <v>300</v>
      </c>
      <c r="I89" s="1"/>
      <c r="J89" s="5">
        <f t="shared" si="39"/>
        <v>7.5407504510861204E-3</v>
      </c>
      <c r="K89" s="1"/>
      <c r="L89" s="1">
        <f t="shared" si="40"/>
        <v>0</v>
      </c>
      <c r="M89" s="1"/>
      <c r="N89" s="5">
        <f t="shared" si="41"/>
        <v>0</v>
      </c>
      <c r="O89" s="13"/>
      <c r="P89" s="1">
        <f>SUM(OSRRefP22_10x_0)</f>
        <v>900</v>
      </c>
      <c r="Q89" s="1"/>
      <c r="R89" s="5">
        <f t="shared" si="42"/>
        <v>5.8617151065777058E-3</v>
      </c>
      <c r="S89" s="1"/>
      <c r="T89" s="1">
        <f>SUM(OSRRefT22_10x_0)</f>
        <v>900</v>
      </c>
      <c r="U89" s="1"/>
      <c r="V89" s="5">
        <f t="shared" si="43"/>
        <v>6.0818094517308798E-3</v>
      </c>
      <c r="W89" s="1"/>
      <c r="X89" s="1">
        <f t="shared" si="44"/>
        <v>0</v>
      </c>
      <c r="Y89" s="1"/>
      <c r="Z89" s="5">
        <f t="shared" si="45"/>
        <v>0</v>
      </c>
    </row>
    <row r="90" spans="1:26" s="24" customFormat="1" hidden="1" outlineLevel="2" x14ac:dyDescent="0.25">
      <c r="A90" s="25"/>
      <c r="B90" s="11" t="str">
        <f>CONCATENATE("          ", "6408", " - ", "INVENTORY ADJUSTMENT")</f>
        <v xml:space="preserve">          6408 - INVENTORY ADJUSTMENT</v>
      </c>
      <c r="C90" s="11"/>
      <c r="D90" s="7">
        <v>300</v>
      </c>
      <c r="E90" s="2"/>
      <c r="F90" s="6">
        <f t="shared" si="38"/>
        <v>9.2129952368814605E-3</v>
      </c>
      <c r="G90" s="2"/>
      <c r="H90" s="7">
        <v>300</v>
      </c>
      <c r="I90" s="2"/>
      <c r="J90" s="6">
        <f t="shared" si="39"/>
        <v>7.5407504510861204E-3</v>
      </c>
      <c r="K90" s="2"/>
      <c r="L90" s="7">
        <f t="shared" si="40"/>
        <v>0</v>
      </c>
      <c r="M90" s="2"/>
      <c r="N90" s="6">
        <f t="shared" si="41"/>
        <v>0</v>
      </c>
      <c r="O90" s="11"/>
      <c r="P90" s="7">
        <v>900</v>
      </c>
      <c r="Q90" s="2"/>
      <c r="R90" s="6">
        <f t="shared" si="42"/>
        <v>5.8617151065777058E-3</v>
      </c>
      <c r="S90" s="2"/>
      <c r="T90" s="7">
        <v>900</v>
      </c>
      <c r="U90" s="2"/>
      <c r="V90" s="6">
        <f t="shared" si="43"/>
        <v>6.0818094517308798E-3</v>
      </c>
      <c r="W90" s="2"/>
      <c r="X90" s="7">
        <f t="shared" si="44"/>
        <v>0</v>
      </c>
      <c r="Y90" s="2"/>
      <c r="Z90" s="6">
        <f t="shared" si="45"/>
        <v>0</v>
      </c>
    </row>
    <row r="91" spans="1:26" s="26" customFormat="1" outlineLevel="1" collapsed="1" x14ac:dyDescent="0.25">
      <c r="A91" s="27"/>
      <c r="B91" s="13" t="str">
        <f>CONCATENATE("     ","Professional Services                             ")</f>
        <v xml:space="preserve">     Professional Services                             </v>
      </c>
      <c r="C91" s="13"/>
      <c r="D91" s="1">
        <f>SUM(OSRRefD22_11x_0)</f>
        <v>0</v>
      </c>
      <c r="E91" s="1"/>
      <c r="F91" s="5">
        <f t="shared" si="38"/>
        <v>0</v>
      </c>
      <c r="G91" s="1"/>
      <c r="H91" s="1">
        <f>SUM(OSRRefH22_11x_0)</f>
        <v>0</v>
      </c>
      <c r="I91" s="1"/>
      <c r="J91" s="5">
        <f t="shared" si="39"/>
        <v>0</v>
      </c>
      <c r="K91" s="1"/>
      <c r="L91" s="1">
        <f t="shared" si="40"/>
        <v>0</v>
      </c>
      <c r="M91" s="1"/>
      <c r="N91" s="5">
        <f t="shared" si="41"/>
        <v>0</v>
      </c>
      <c r="O91" s="13"/>
      <c r="P91" s="1">
        <f>SUM(OSRRefP22_11x_0)</f>
        <v>750</v>
      </c>
      <c r="Q91" s="1"/>
      <c r="R91" s="5">
        <f t="shared" si="42"/>
        <v>4.8847625888147547E-3</v>
      </c>
      <c r="S91" s="1"/>
      <c r="T91" s="1">
        <f>SUM(OSRRefT22_11x_0)</f>
        <v>900</v>
      </c>
      <c r="U91" s="1"/>
      <c r="V91" s="5">
        <f t="shared" si="43"/>
        <v>6.0818094517308798E-3</v>
      </c>
      <c r="W91" s="1"/>
      <c r="X91" s="1">
        <f t="shared" si="44"/>
        <v>-150</v>
      </c>
      <c r="Y91" s="1"/>
      <c r="Z91" s="5">
        <f t="shared" si="45"/>
        <v>-0.16666666666666666</v>
      </c>
    </row>
    <row r="92" spans="1:26" s="24" customFormat="1" hidden="1" outlineLevel="2" x14ac:dyDescent="0.25">
      <c r="A92" s="25"/>
      <c r="B92" s="11" t="str">
        <f>CONCATENATE("          ", "6336", " - ", "PROFESSIONAL SERVICES")</f>
        <v xml:space="preserve">          6336 - PROFESSIONAL SERVICES</v>
      </c>
      <c r="C92" s="11"/>
      <c r="D92" s="7"/>
      <c r="E92" s="2"/>
      <c r="F92" s="6">
        <f t="shared" si="38"/>
        <v>0</v>
      </c>
      <c r="G92" s="2"/>
      <c r="H92" s="7">
        <v>0</v>
      </c>
      <c r="I92" s="2"/>
      <c r="J92" s="6">
        <f t="shared" si="39"/>
        <v>0</v>
      </c>
      <c r="K92" s="2"/>
      <c r="L92" s="7">
        <f t="shared" si="40"/>
        <v>0</v>
      </c>
      <c r="M92" s="2"/>
      <c r="N92" s="6">
        <f t="shared" si="41"/>
        <v>0</v>
      </c>
      <c r="O92" s="11"/>
      <c r="P92" s="7">
        <v>750</v>
      </c>
      <c r="Q92" s="2"/>
      <c r="R92" s="6">
        <f t="shared" si="42"/>
        <v>4.8847625888147547E-3</v>
      </c>
      <c r="S92" s="2"/>
      <c r="T92" s="7">
        <v>900</v>
      </c>
      <c r="U92" s="2"/>
      <c r="V92" s="6">
        <f t="shared" si="43"/>
        <v>6.0818094517308798E-3</v>
      </c>
      <c r="W92" s="2"/>
      <c r="X92" s="7">
        <f t="shared" si="44"/>
        <v>-150</v>
      </c>
      <c r="Y92" s="2"/>
      <c r="Z92" s="6">
        <f t="shared" si="45"/>
        <v>-0.16666666666666666</v>
      </c>
    </row>
    <row r="93" spans="1:26" s="26" customFormat="1" outlineLevel="1" collapsed="1" x14ac:dyDescent="0.25">
      <c r="A93" s="27"/>
      <c r="B93" s="13" t="str">
        <f>CONCATENATE("     ","Rent                                              ")</f>
        <v xml:space="preserve">     Rent                                              </v>
      </c>
      <c r="C93" s="13"/>
      <c r="D93" s="1">
        <f>SUM(OSRRefD22_12x_0)</f>
        <v>6900</v>
      </c>
      <c r="E93" s="1"/>
      <c r="F93" s="5">
        <f t="shared" si="38"/>
        <v>0.21189889044827359</v>
      </c>
      <c r="G93" s="1"/>
      <c r="H93" s="1">
        <f>SUM(OSRRefH22_12x_0)</f>
        <v>7200</v>
      </c>
      <c r="I93" s="1"/>
      <c r="J93" s="5">
        <f t="shared" si="39"/>
        <v>0.1809780108260669</v>
      </c>
      <c r="K93" s="1"/>
      <c r="L93" s="1">
        <f t="shared" si="40"/>
        <v>-300</v>
      </c>
      <c r="M93" s="1"/>
      <c r="N93" s="5">
        <f t="shared" si="41"/>
        <v>-4.1666666666666664E-2</v>
      </c>
      <c r="O93" s="13"/>
      <c r="P93" s="1">
        <f>SUM(OSRRefP22_12x_0)</f>
        <v>20700</v>
      </c>
      <c r="Q93" s="1"/>
      <c r="R93" s="5">
        <f t="shared" si="42"/>
        <v>0.13481944745128724</v>
      </c>
      <c r="S93" s="1"/>
      <c r="T93" s="1">
        <f>SUM(OSRRefT22_12x_0)</f>
        <v>21600</v>
      </c>
      <c r="U93" s="1"/>
      <c r="V93" s="5">
        <f t="shared" si="43"/>
        <v>0.14596342684154112</v>
      </c>
      <c r="W93" s="1"/>
      <c r="X93" s="1">
        <f t="shared" si="44"/>
        <v>-900</v>
      </c>
      <c r="Y93" s="1"/>
      <c r="Z93" s="5">
        <f t="shared" si="45"/>
        <v>-4.1666666666666664E-2</v>
      </c>
    </row>
    <row r="94" spans="1:26" s="24" customFormat="1" hidden="1" outlineLevel="2" x14ac:dyDescent="0.25">
      <c r="A94" s="25"/>
      <c r="B94" s="11" t="str">
        <f>CONCATENATE("          ", "6273", " - ", "RENT")</f>
        <v xml:space="preserve">          6273 - RENT</v>
      </c>
      <c r="C94" s="11"/>
      <c r="D94" s="7">
        <v>6900</v>
      </c>
      <c r="E94" s="2"/>
      <c r="F94" s="6">
        <f t="shared" si="38"/>
        <v>0.21189889044827359</v>
      </c>
      <c r="G94" s="2"/>
      <c r="H94" s="7">
        <v>7200</v>
      </c>
      <c r="I94" s="2"/>
      <c r="J94" s="6">
        <f t="shared" si="39"/>
        <v>0.1809780108260669</v>
      </c>
      <c r="K94" s="2"/>
      <c r="L94" s="7">
        <f t="shared" si="40"/>
        <v>-300</v>
      </c>
      <c r="M94" s="2"/>
      <c r="N94" s="6">
        <f t="shared" si="41"/>
        <v>-4.1666666666666664E-2</v>
      </c>
      <c r="O94" s="11"/>
      <c r="P94" s="7">
        <v>20700</v>
      </c>
      <c r="Q94" s="2"/>
      <c r="R94" s="6">
        <f t="shared" si="42"/>
        <v>0.13481944745128724</v>
      </c>
      <c r="S94" s="2"/>
      <c r="T94" s="7">
        <v>21600</v>
      </c>
      <c r="U94" s="2"/>
      <c r="V94" s="6">
        <f t="shared" si="43"/>
        <v>0.14596342684154112</v>
      </c>
      <c r="W94" s="2"/>
      <c r="X94" s="7">
        <f t="shared" si="44"/>
        <v>-900</v>
      </c>
      <c r="Y94" s="2"/>
      <c r="Z94" s="6">
        <f t="shared" si="45"/>
        <v>-4.1666666666666664E-2</v>
      </c>
    </row>
    <row r="95" spans="1:26" s="26" customFormat="1" outlineLevel="1" collapsed="1" x14ac:dyDescent="0.25">
      <c r="A95" s="27"/>
      <c r="B95" s="13" t="str">
        <f>CONCATENATE("     ","Repair and Maintenance                            ")</f>
        <v xml:space="preserve">     Repair and Maintenance                            </v>
      </c>
      <c r="C95" s="13"/>
      <c r="D95" s="1">
        <f>SUM(OSRRefD22_13x_0)</f>
        <v>0</v>
      </c>
      <c r="E95" s="1"/>
      <c r="F95" s="5">
        <f t="shared" si="38"/>
        <v>0</v>
      </c>
      <c r="G95" s="1"/>
      <c r="H95" s="1">
        <f>SUM(OSRRefH22_13x_0)</f>
        <v>300</v>
      </c>
      <c r="I95" s="1"/>
      <c r="J95" s="5">
        <f t="shared" si="39"/>
        <v>7.5407504510861204E-3</v>
      </c>
      <c r="K95" s="1"/>
      <c r="L95" s="1">
        <f t="shared" si="40"/>
        <v>-300</v>
      </c>
      <c r="M95" s="1"/>
      <c r="N95" s="5">
        <f t="shared" si="41"/>
        <v>-1</v>
      </c>
      <c r="O95" s="13"/>
      <c r="P95" s="1">
        <f>SUM(OSRRefP22_13x_0)</f>
        <v>0</v>
      </c>
      <c r="Q95" s="1"/>
      <c r="R95" s="5">
        <f t="shared" si="42"/>
        <v>0</v>
      </c>
      <c r="S95" s="1"/>
      <c r="T95" s="1">
        <f>SUM(OSRRefT22_13x_0)</f>
        <v>650</v>
      </c>
      <c r="U95" s="1"/>
      <c r="V95" s="5">
        <f t="shared" si="43"/>
        <v>4.3924179373611913E-3</v>
      </c>
      <c r="W95" s="1"/>
      <c r="X95" s="1">
        <f t="shared" si="44"/>
        <v>-650</v>
      </c>
      <c r="Y95" s="1"/>
      <c r="Z95" s="5">
        <f t="shared" si="45"/>
        <v>-1</v>
      </c>
    </row>
    <row r="96" spans="1:26" s="24" customFormat="1" hidden="1" outlineLevel="2" x14ac:dyDescent="0.25">
      <c r="A96" s="25"/>
      <c r="B96" s="11" t="str">
        <f>CONCATENATE("          ", "6373", " - ", "MAINTENANCE CONTRACTS")</f>
        <v xml:space="preserve">          6373 - MAINTENANCE CONTRACTS</v>
      </c>
      <c r="C96" s="11"/>
      <c r="D96" s="7"/>
      <c r="E96" s="2"/>
      <c r="F96" s="6">
        <f t="shared" si="38"/>
        <v>0</v>
      </c>
      <c r="G96" s="2"/>
      <c r="H96" s="7">
        <v>0</v>
      </c>
      <c r="I96" s="2"/>
      <c r="J96" s="6">
        <f t="shared" si="39"/>
        <v>0</v>
      </c>
      <c r="K96" s="2"/>
      <c r="L96" s="7">
        <f t="shared" si="40"/>
        <v>0</v>
      </c>
      <c r="M96" s="2"/>
      <c r="N96" s="6">
        <f t="shared" si="41"/>
        <v>0</v>
      </c>
      <c r="O96" s="11"/>
      <c r="P96" s="7"/>
      <c r="Q96" s="2"/>
      <c r="R96" s="6">
        <f t="shared" si="42"/>
        <v>0</v>
      </c>
      <c r="S96" s="2"/>
      <c r="T96" s="7">
        <v>75</v>
      </c>
      <c r="U96" s="2"/>
      <c r="V96" s="6">
        <f t="shared" si="43"/>
        <v>5.0681745431090661E-4</v>
      </c>
      <c r="W96" s="2"/>
      <c r="X96" s="7">
        <f t="shared" si="44"/>
        <v>-75</v>
      </c>
      <c r="Y96" s="2"/>
      <c r="Z96" s="6">
        <f t="shared" si="45"/>
        <v>-1</v>
      </c>
    </row>
    <row r="97" spans="1:26" s="24" customFormat="1" hidden="1" outlineLevel="2" x14ac:dyDescent="0.25">
      <c r="A97" s="25"/>
      <c r="B97" s="11" t="str">
        <f>CONCATENATE("          ", "6375", " - ", "OUTSIDE REPAIRS &amp; MAINTENANCE")</f>
        <v xml:space="preserve">          6375 - OUTSIDE REPAIRS &amp; MAINTENANCE</v>
      </c>
      <c r="C97" s="11"/>
      <c r="D97" s="7"/>
      <c r="E97" s="2"/>
      <c r="F97" s="6">
        <f t="shared" si="38"/>
        <v>0</v>
      </c>
      <c r="G97" s="2"/>
      <c r="H97" s="7">
        <v>300</v>
      </c>
      <c r="I97" s="2"/>
      <c r="J97" s="6">
        <f t="shared" si="39"/>
        <v>7.5407504510861204E-3</v>
      </c>
      <c r="K97" s="2"/>
      <c r="L97" s="7">
        <f t="shared" si="40"/>
        <v>-300</v>
      </c>
      <c r="M97" s="2"/>
      <c r="N97" s="6">
        <f t="shared" si="41"/>
        <v>-1</v>
      </c>
      <c r="O97" s="11"/>
      <c r="P97" s="7"/>
      <c r="Q97" s="2"/>
      <c r="R97" s="6">
        <f t="shared" si="42"/>
        <v>0</v>
      </c>
      <c r="S97" s="2"/>
      <c r="T97" s="7">
        <v>575</v>
      </c>
      <c r="U97" s="2"/>
      <c r="V97" s="6">
        <f t="shared" si="43"/>
        <v>3.8856004830502841E-3</v>
      </c>
      <c r="W97" s="2"/>
      <c r="X97" s="7">
        <f t="shared" si="44"/>
        <v>-575</v>
      </c>
      <c r="Y97" s="2"/>
      <c r="Z97" s="6">
        <f t="shared" si="45"/>
        <v>-1</v>
      </c>
    </row>
    <row r="98" spans="1:26" s="26" customFormat="1" outlineLevel="1" collapsed="1" x14ac:dyDescent="0.25">
      <c r="A98" s="27"/>
      <c r="B98" s="13" t="str">
        <f>CONCATENATE("     ","Services                                          ")</f>
        <v xml:space="preserve">     Services                                          </v>
      </c>
      <c r="C98" s="13"/>
      <c r="D98" s="1">
        <f>SUM(OSRRefD22_14x_0)</f>
        <v>241.37</v>
      </c>
      <c r="E98" s="1"/>
      <c r="F98" s="5">
        <f t="shared" ref="F98:F101" si="46">IF(D$12=0,0,D98/D$12)</f>
        <v>7.412468867753594E-3</v>
      </c>
      <c r="G98" s="1"/>
      <c r="H98" s="1">
        <f>SUM(OSRRefH22_14x_0)</f>
        <v>232.5</v>
      </c>
      <c r="I98" s="1"/>
      <c r="J98" s="5">
        <f t="shared" ref="J98:J101" si="47">IF(H$12=0,0,H98/H$12)</f>
        <v>5.8440815995917435E-3</v>
      </c>
      <c r="K98" s="1"/>
      <c r="L98" s="1">
        <f t="shared" ref="L98:L101" si="48">+D98-H98</f>
        <v>8.8700000000000045</v>
      </c>
      <c r="M98" s="1"/>
      <c r="N98" s="5">
        <f t="shared" ref="N98:N101" si="49">IF(H98=0,0,L98/H98)</f>
        <v>3.8150537634408621E-2</v>
      </c>
      <c r="O98" s="13"/>
      <c r="P98" s="1">
        <f>SUM(OSRRefP22_14x_0)</f>
        <v>724.11</v>
      </c>
      <c r="Q98" s="1"/>
      <c r="R98" s="5">
        <f t="shared" ref="R98:R101" si="50">IF(P$12=0,0,P98/P$12)</f>
        <v>4.7161405842488695E-3</v>
      </c>
      <c r="S98" s="1"/>
      <c r="T98" s="1">
        <f>SUM(OSRRefT22_14x_0)</f>
        <v>697.5</v>
      </c>
      <c r="U98" s="1"/>
      <c r="V98" s="5">
        <f t="shared" ref="V98:V101" si="51">IF(T$12=0,0,T98/T$12)</f>
        <v>4.7134023250914314E-3</v>
      </c>
      <c r="W98" s="1"/>
      <c r="X98" s="1">
        <f t="shared" ref="X98:X101" si="52">+P98-T98</f>
        <v>26.610000000000014</v>
      </c>
      <c r="Y98" s="1"/>
      <c r="Z98" s="5">
        <f t="shared" ref="Z98:Z101" si="53">IF(T98=0,0,X98/T98)</f>
        <v>3.8150537634408621E-2</v>
      </c>
    </row>
    <row r="99" spans="1:26" s="24" customFormat="1" hidden="1" outlineLevel="2" x14ac:dyDescent="0.25">
      <c r="A99" s="25"/>
      <c r="B99" s="11" t="str">
        <f>CONCATENATE("          ", "6283", " - ", "PLANT SERVICE")</f>
        <v xml:space="preserve">          6283 - PLANT SERVICE</v>
      </c>
      <c r="C99" s="11"/>
      <c r="D99" s="7">
        <v>59.55</v>
      </c>
      <c r="E99" s="2"/>
      <c r="F99" s="6">
        <f t="shared" si="46"/>
        <v>1.8287795545209697E-3</v>
      </c>
      <c r="G99" s="2"/>
      <c r="H99" s="7">
        <v>60</v>
      </c>
      <c r="I99" s="2"/>
      <c r="J99" s="6">
        <f t="shared" si="47"/>
        <v>1.5081500902172241E-3</v>
      </c>
      <c r="K99" s="2"/>
      <c r="L99" s="7">
        <f t="shared" si="48"/>
        <v>-0.45000000000000284</v>
      </c>
      <c r="M99" s="2"/>
      <c r="N99" s="6">
        <f t="shared" si="49"/>
        <v>-7.5000000000000474E-3</v>
      </c>
      <c r="O99" s="11"/>
      <c r="P99" s="7">
        <v>178.65</v>
      </c>
      <c r="Q99" s="2"/>
      <c r="R99" s="6">
        <f t="shared" si="50"/>
        <v>1.1635504486556746E-3</v>
      </c>
      <c r="S99" s="2"/>
      <c r="T99" s="7">
        <v>180</v>
      </c>
      <c r="U99" s="2"/>
      <c r="V99" s="6">
        <f t="shared" si="51"/>
        <v>1.2163618903461759E-3</v>
      </c>
      <c r="W99" s="2"/>
      <c r="X99" s="7">
        <f t="shared" si="52"/>
        <v>-1.3499999999999943</v>
      </c>
      <c r="Y99" s="2"/>
      <c r="Z99" s="6">
        <f t="shared" si="53"/>
        <v>-7.4999999999999685E-3</v>
      </c>
    </row>
    <row r="100" spans="1:26" s="24" customFormat="1" hidden="1" outlineLevel="2" x14ac:dyDescent="0.25">
      <c r="A100" s="25"/>
      <c r="B100" s="11" t="str">
        <f>CONCATENATE("          ", "6284", " - ", "TRASH REMOVAL EXPENSE")</f>
        <v xml:space="preserve">          6284 - TRASH REMOVAL EXPENSE</v>
      </c>
      <c r="C100" s="11"/>
      <c r="D100" s="7">
        <v>134.82</v>
      </c>
      <c r="E100" s="2"/>
      <c r="F100" s="6">
        <f t="shared" si="46"/>
        <v>4.1403200594545284E-3</v>
      </c>
      <c r="G100" s="2"/>
      <c r="H100" s="7">
        <v>62.5</v>
      </c>
      <c r="I100" s="2"/>
      <c r="J100" s="6">
        <f t="shared" si="47"/>
        <v>1.5709896773096084E-3</v>
      </c>
      <c r="K100" s="2"/>
      <c r="L100" s="7">
        <f t="shared" si="48"/>
        <v>72.319999999999993</v>
      </c>
      <c r="M100" s="2"/>
      <c r="N100" s="6">
        <f t="shared" si="49"/>
        <v>1.1571199999999999</v>
      </c>
      <c r="O100" s="11"/>
      <c r="P100" s="7">
        <v>404.46</v>
      </c>
      <c r="Q100" s="2"/>
      <c r="R100" s="6">
        <f t="shared" si="50"/>
        <v>2.6342547688960206E-3</v>
      </c>
      <c r="S100" s="2"/>
      <c r="T100" s="7">
        <v>187.5</v>
      </c>
      <c r="U100" s="2"/>
      <c r="V100" s="6">
        <f t="shared" si="51"/>
        <v>1.2670436357772666E-3</v>
      </c>
      <c r="W100" s="2"/>
      <c r="X100" s="7">
        <f t="shared" si="52"/>
        <v>216.95999999999998</v>
      </c>
      <c r="Y100" s="2"/>
      <c r="Z100" s="6">
        <f t="shared" si="53"/>
        <v>1.1571199999999999</v>
      </c>
    </row>
    <row r="101" spans="1:26" s="24" customFormat="1" hidden="1" outlineLevel="2" x14ac:dyDescent="0.25">
      <c r="A101" s="25"/>
      <c r="B101" s="11" t="str">
        <f>CONCATENATE("          ", "6285", " - ", "JANITORIAL SERVICES")</f>
        <v xml:space="preserve">          6285 - JANITORIAL SERVICES</v>
      </c>
      <c r="C101" s="11"/>
      <c r="D101" s="7">
        <v>47</v>
      </c>
      <c r="E101" s="2"/>
      <c r="F101" s="6">
        <f t="shared" si="46"/>
        <v>1.4433692537780954E-3</v>
      </c>
      <c r="G101" s="2"/>
      <c r="H101" s="7">
        <v>110</v>
      </c>
      <c r="I101" s="2"/>
      <c r="J101" s="6">
        <f t="shared" si="47"/>
        <v>2.7649418320649108E-3</v>
      </c>
      <c r="K101" s="2"/>
      <c r="L101" s="7">
        <f t="shared" si="48"/>
        <v>-63</v>
      </c>
      <c r="M101" s="2"/>
      <c r="N101" s="6">
        <f t="shared" si="49"/>
        <v>-0.57272727272727275</v>
      </c>
      <c r="O101" s="11"/>
      <c r="P101" s="7">
        <v>141</v>
      </c>
      <c r="Q101" s="2"/>
      <c r="R101" s="6">
        <f t="shared" si="50"/>
        <v>9.1833536669717387E-4</v>
      </c>
      <c r="S101" s="2"/>
      <c r="T101" s="7">
        <v>330</v>
      </c>
      <c r="U101" s="2"/>
      <c r="V101" s="6">
        <f t="shared" si="51"/>
        <v>2.2299967989679891E-3</v>
      </c>
      <c r="W101" s="2"/>
      <c r="X101" s="7">
        <f t="shared" si="52"/>
        <v>-189</v>
      </c>
      <c r="Y101" s="2"/>
      <c r="Z101" s="6">
        <f t="shared" si="53"/>
        <v>-0.57272727272727275</v>
      </c>
    </row>
    <row r="102" spans="1:26" s="26" customFormat="1" outlineLevel="1" collapsed="1" x14ac:dyDescent="0.25">
      <c r="A102" s="27"/>
      <c r="B102" s="13" t="str">
        <f>CONCATENATE("     ","Subscriptions &amp; Dues                              ")</f>
        <v xml:space="preserve">     Subscriptions &amp; Dues                              </v>
      </c>
      <c r="C102" s="13"/>
      <c r="D102" s="1">
        <f>SUM(OSRRefD22_15x_0)</f>
        <v>0</v>
      </c>
      <c r="E102" s="1"/>
      <c r="F102" s="5">
        <f t="shared" ref="F102:F104" si="54">IF(D$12=0,0,D102/D$12)</f>
        <v>0</v>
      </c>
      <c r="G102" s="1"/>
      <c r="H102" s="1">
        <f>SUM(OSRRefH22_15x_0)</f>
        <v>215</v>
      </c>
      <c r="I102" s="1"/>
      <c r="J102" s="5">
        <f t="shared" ref="J102:J104" si="55">IF(H$12=0,0,H102/H$12)</f>
        <v>5.4042044899450534E-3</v>
      </c>
      <c r="K102" s="1"/>
      <c r="L102" s="1">
        <f t="shared" ref="L102:L104" si="56">+D102-H102</f>
        <v>-215</v>
      </c>
      <c r="M102" s="1"/>
      <c r="N102" s="5">
        <f t="shared" ref="N102:N104" si="57">IF(H102=0,0,L102/H102)</f>
        <v>-1</v>
      </c>
      <c r="O102" s="13"/>
      <c r="P102" s="1">
        <f>SUM(OSRRefP22_15x_0)</f>
        <v>13.42</v>
      </c>
      <c r="Q102" s="1"/>
      <c r="R102" s="5">
        <f t="shared" ref="R102:R104" si="58">IF(P$12=0,0,P102/P$12)</f>
        <v>8.7404685255858668E-5</v>
      </c>
      <c r="S102" s="1"/>
      <c r="T102" s="1">
        <f>SUM(OSRRefT22_15x_0)</f>
        <v>1115</v>
      </c>
      <c r="U102" s="1"/>
      <c r="V102" s="5">
        <f t="shared" ref="V102:V104" si="59">IF(T$12=0,0,T102/T$12)</f>
        <v>7.5346861540888117E-3</v>
      </c>
      <c r="W102" s="1"/>
      <c r="X102" s="1">
        <f t="shared" ref="X102:X104" si="60">+P102-T102</f>
        <v>-1101.58</v>
      </c>
      <c r="Y102" s="1"/>
      <c r="Z102" s="5">
        <f t="shared" ref="Z102:Z104" si="61">IF(T102=0,0,X102/T102)</f>
        <v>-0.98796412556053803</v>
      </c>
    </row>
    <row r="103" spans="1:26" s="24" customFormat="1" hidden="1" outlineLevel="2" x14ac:dyDescent="0.25">
      <c r="A103" s="25"/>
      <c r="B103" s="11" t="str">
        <f>CONCATENATE("          ", "6258", " - ", "MEMBERSHIP DUES")</f>
        <v xml:space="preserve">          6258 - MEMBERSHIP DUES</v>
      </c>
      <c r="C103" s="11"/>
      <c r="D103" s="7"/>
      <c r="E103" s="2"/>
      <c r="F103" s="6">
        <f t="shared" si="54"/>
        <v>0</v>
      </c>
      <c r="G103" s="2"/>
      <c r="H103" s="7">
        <v>0</v>
      </c>
      <c r="I103" s="2"/>
      <c r="J103" s="6">
        <f t="shared" si="55"/>
        <v>0</v>
      </c>
      <c r="K103" s="2"/>
      <c r="L103" s="7">
        <f t="shared" si="56"/>
        <v>0</v>
      </c>
      <c r="M103" s="2"/>
      <c r="N103" s="6">
        <f t="shared" si="57"/>
        <v>0</v>
      </c>
      <c r="O103" s="11"/>
      <c r="P103" s="7"/>
      <c r="Q103" s="2"/>
      <c r="R103" s="6">
        <f t="shared" si="58"/>
        <v>0</v>
      </c>
      <c r="S103" s="2"/>
      <c r="T103" s="7">
        <v>395</v>
      </c>
      <c r="U103" s="2"/>
      <c r="V103" s="6">
        <f t="shared" si="59"/>
        <v>2.6692385927041084E-3</v>
      </c>
      <c r="W103" s="2"/>
      <c r="X103" s="7">
        <f t="shared" si="60"/>
        <v>-395</v>
      </c>
      <c r="Y103" s="2"/>
      <c r="Z103" s="6">
        <f t="shared" si="61"/>
        <v>-1</v>
      </c>
    </row>
    <row r="104" spans="1:26" s="24" customFormat="1" hidden="1" outlineLevel="2" x14ac:dyDescent="0.25">
      <c r="A104" s="25"/>
      <c r="B104" s="11" t="str">
        <f>CONCATENATE("          ", "6275", " - ", "SUBSCRIPTIONS")</f>
        <v xml:space="preserve">          6275 - SUBSCRIPTIONS</v>
      </c>
      <c r="C104" s="11"/>
      <c r="D104" s="7"/>
      <c r="E104" s="2"/>
      <c r="F104" s="6">
        <f t="shared" si="54"/>
        <v>0</v>
      </c>
      <c r="G104" s="2"/>
      <c r="H104" s="7">
        <v>215</v>
      </c>
      <c r="I104" s="2"/>
      <c r="J104" s="6">
        <f t="shared" si="55"/>
        <v>5.4042044899450534E-3</v>
      </c>
      <c r="K104" s="2"/>
      <c r="L104" s="7">
        <f t="shared" si="56"/>
        <v>-215</v>
      </c>
      <c r="M104" s="2"/>
      <c r="N104" s="6">
        <f t="shared" si="57"/>
        <v>-1</v>
      </c>
      <c r="O104" s="11"/>
      <c r="P104" s="7">
        <v>13.42</v>
      </c>
      <c r="Q104" s="2"/>
      <c r="R104" s="6">
        <f t="shared" si="58"/>
        <v>8.7404685255858668E-5</v>
      </c>
      <c r="S104" s="2"/>
      <c r="T104" s="7">
        <v>720</v>
      </c>
      <c r="U104" s="2"/>
      <c r="V104" s="6">
        <f t="shared" si="59"/>
        <v>4.8654475613847037E-3</v>
      </c>
      <c r="W104" s="2"/>
      <c r="X104" s="7">
        <f t="shared" si="60"/>
        <v>-706.58</v>
      </c>
      <c r="Y104" s="2"/>
      <c r="Z104" s="6">
        <f t="shared" si="61"/>
        <v>-0.98136111111111113</v>
      </c>
    </row>
    <row r="105" spans="1:26" s="26" customFormat="1" outlineLevel="1" collapsed="1" x14ac:dyDescent="0.25">
      <c r="A105" s="27"/>
      <c r="B105" s="13" t="str">
        <f>CONCATENATE("     ","Supplies                                          ")</f>
        <v xml:space="preserve">     Supplies                                          </v>
      </c>
      <c r="C105" s="13"/>
      <c r="D105" s="1">
        <f>SUM(OSRRefD22_16x_0)</f>
        <v>576.04</v>
      </c>
      <c r="E105" s="1"/>
      <c r="F105" s="5">
        <f t="shared" ref="F105:F110" si="62">IF(D$12=0,0,D105/D$12)</f>
        <v>1.7690179254177318E-2</v>
      </c>
      <c r="G105" s="1"/>
      <c r="H105" s="1">
        <f>SUM(OSRRefH22_16x_0)</f>
        <v>825</v>
      </c>
      <c r="I105" s="1"/>
      <c r="J105" s="5">
        <f t="shared" ref="J105:J110" si="63">IF(H$12=0,0,H105/H$12)</f>
        <v>2.0737063740486832E-2</v>
      </c>
      <c r="K105" s="1"/>
      <c r="L105" s="1">
        <f t="shared" ref="L105:L110" si="64">+D105-H105</f>
        <v>-248.96000000000004</v>
      </c>
      <c r="M105" s="1"/>
      <c r="N105" s="5">
        <f t="shared" ref="N105:N110" si="65">IF(H105=0,0,L105/H105)</f>
        <v>-0.30176969696969702</v>
      </c>
      <c r="O105" s="13"/>
      <c r="P105" s="1">
        <f>SUM(OSRRefP22_16x_0)</f>
        <v>1287.8900000000001</v>
      </c>
      <c r="Q105" s="1"/>
      <c r="R105" s="5">
        <f t="shared" ref="R105:R110" si="66">IF(P$12=0,0,P105/P$12)</f>
        <v>8.3880491873448461E-3</v>
      </c>
      <c r="S105" s="1"/>
      <c r="T105" s="1">
        <f>SUM(OSRRefT22_16x_0)</f>
        <v>1295</v>
      </c>
      <c r="U105" s="1"/>
      <c r="V105" s="5">
        <f t="shared" ref="V105:V110" si="67">IF(T$12=0,0,T105/T$12)</f>
        <v>8.7510480444349878E-3</v>
      </c>
      <c r="W105" s="1"/>
      <c r="X105" s="1">
        <f t="shared" ref="X105:X110" si="68">+P105-T105</f>
        <v>-7.1099999999999</v>
      </c>
      <c r="Y105" s="1"/>
      <c r="Z105" s="5">
        <f t="shared" ref="Z105:Z110" si="69">IF(T105=0,0,X105/T105)</f>
        <v>-5.4903474903474133E-3</v>
      </c>
    </row>
    <row r="106" spans="1:26" s="24" customFormat="1" hidden="1" outlineLevel="2" x14ac:dyDescent="0.25">
      <c r="A106" s="25"/>
      <c r="B106" s="11" t="str">
        <f>CONCATENATE("          ", "6234", " - ", "EXPENDABLE SUPPLIES &amp; EQUIPMEN")</f>
        <v xml:space="preserve">          6234 - EXPENDABLE SUPPLIES &amp; EQUIPMEN</v>
      </c>
      <c r="C106" s="11"/>
      <c r="D106" s="7"/>
      <c r="E106" s="2"/>
      <c r="F106" s="6">
        <f t="shared" si="62"/>
        <v>0</v>
      </c>
      <c r="G106" s="2"/>
      <c r="H106" s="7">
        <v>250</v>
      </c>
      <c r="I106" s="2"/>
      <c r="J106" s="6">
        <f t="shared" si="63"/>
        <v>6.2839587092384337E-3</v>
      </c>
      <c r="K106" s="2"/>
      <c r="L106" s="7">
        <f t="shared" si="64"/>
        <v>-250</v>
      </c>
      <c r="M106" s="2"/>
      <c r="N106" s="6">
        <f t="shared" si="65"/>
        <v>-1</v>
      </c>
      <c r="O106" s="11"/>
      <c r="P106" s="7"/>
      <c r="Q106" s="2"/>
      <c r="R106" s="6">
        <f t="shared" si="66"/>
        <v>0</v>
      </c>
      <c r="S106" s="2"/>
      <c r="T106" s="7">
        <v>450</v>
      </c>
      <c r="U106" s="2"/>
      <c r="V106" s="6">
        <f t="shared" si="67"/>
        <v>3.0409047258654399E-3</v>
      </c>
      <c r="W106" s="2"/>
      <c r="X106" s="7">
        <f t="shared" si="68"/>
        <v>-450</v>
      </c>
      <c r="Y106" s="2"/>
      <c r="Z106" s="6">
        <f t="shared" si="69"/>
        <v>-1</v>
      </c>
    </row>
    <row r="107" spans="1:26" s="24" customFormat="1" hidden="1" outlineLevel="2" x14ac:dyDescent="0.25">
      <c r="A107" s="25"/>
      <c r="B107" s="11" t="str">
        <f>CONCATENATE("          ", "6237", " - ", "JANITORIAL SUPPLIES")</f>
        <v xml:space="preserve">          6237 - JANITORIAL SUPPLIES</v>
      </c>
      <c r="C107" s="11"/>
      <c r="D107" s="7">
        <v>204.66</v>
      </c>
      <c r="E107" s="2"/>
      <c r="F107" s="6">
        <f t="shared" si="62"/>
        <v>6.2851053506005321E-3</v>
      </c>
      <c r="G107" s="2"/>
      <c r="H107" s="7">
        <v>50</v>
      </c>
      <c r="I107" s="2"/>
      <c r="J107" s="6">
        <f t="shared" si="63"/>
        <v>1.2567917418476867E-3</v>
      </c>
      <c r="K107" s="2"/>
      <c r="L107" s="7">
        <f t="shared" si="64"/>
        <v>154.66</v>
      </c>
      <c r="M107" s="2"/>
      <c r="N107" s="6">
        <f t="shared" si="65"/>
        <v>3.0931999999999999</v>
      </c>
      <c r="O107" s="11"/>
      <c r="P107" s="7">
        <v>204.66</v>
      </c>
      <c r="Q107" s="2"/>
      <c r="R107" s="6">
        <f t="shared" si="66"/>
        <v>1.3329540152357702E-3</v>
      </c>
      <c r="S107" s="2"/>
      <c r="T107" s="7">
        <v>70</v>
      </c>
      <c r="U107" s="2"/>
      <c r="V107" s="6">
        <f t="shared" si="67"/>
        <v>4.7302962402351285E-4</v>
      </c>
      <c r="W107" s="2"/>
      <c r="X107" s="7">
        <f t="shared" si="68"/>
        <v>134.66</v>
      </c>
      <c r="Y107" s="2"/>
      <c r="Z107" s="6">
        <f t="shared" si="69"/>
        <v>1.9237142857142857</v>
      </c>
    </row>
    <row r="108" spans="1:26" s="24" customFormat="1" hidden="1" outlineLevel="2" x14ac:dyDescent="0.25">
      <c r="A108" s="25"/>
      <c r="B108" s="11" t="str">
        <f>CONCATENATE("          ", "6241", " - ", "OFFICE EXPENSE")</f>
        <v xml:space="preserve">          6241 - OFFICE EXPENSE</v>
      </c>
      <c r="C108" s="11"/>
      <c r="D108" s="7">
        <v>371.38</v>
      </c>
      <c r="E108" s="2"/>
      <c r="F108" s="6">
        <f t="shared" si="62"/>
        <v>1.140507390357679E-2</v>
      </c>
      <c r="G108" s="2"/>
      <c r="H108" s="7">
        <v>500</v>
      </c>
      <c r="I108" s="2"/>
      <c r="J108" s="6">
        <f t="shared" si="63"/>
        <v>1.2567917418476867E-2</v>
      </c>
      <c r="K108" s="2"/>
      <c r="L108" s="7">
        <f t="shared" si="64"/>
        <v>-128.62</v>
      </c>
      <c r="M108" s="2"/>
      <c r="N108" s="6">
        <f t="shared" si="65"/>
        <v>-0.25724000000000002</v>
      </c>
      <c r="O108" s="11"/>
      <c r="P108" s="7">
        <v>1083.23</v>
      </c>
      <c r="Q108" s="2"/>
      <c r="R108" s="6">
        <f t="shared" si="66"/>
        <v>7.0550951721090752E-3</v>
      </c>
      <c r="S108" s="2"/>
      <c r="T108" s="7">
        <v>700</v>
      </c>
      <c r="U108" s="2"/>
      <c r="V108" s="6">
        <f t="shared" si="67"/>
        <v>4.7302962402351288E-3</v>
      </c>
      <c r="W108" s="2"/>
      <c r="X108" s="7">
        <f t="shared" si="68"/>
        <v>383.23</v>
      </c>
      <c r="Y108" s="2"/>
      <c r="Z108" s="6">
        <f t="shared" si="69"/>
        <v>0.54747142857142861</v>
      </c>
    </row>
    <row r="109" spans="1:26" s="24" customFormat="1" hidden="1" outlineLevel="2" x14ac:dyDescent="0.25">
      <c r="A109" s="25"/>
      <c r="B109" s="11" t="str">
        <f>CONCATENATE("          ", "6247", " - ", "STORE SUPPLIES")</f>
        <v xml:space="preserve">          6247 - STORE SUPPLIES</v>
      </c>
      <c r="C109" s="11"/>
      <c r="D109" s="7"/>
      <c r="E109" s="2"/>
      <c r="F109" s="6">
        <f t="shared" si="62"/>
        <v>0</v>
      </c>
      <c r="G109" s="2"/>
      <c r="H109" s="7">
        <v>25</v>
      </c>
      <c r="I109" s="2"/>
      <c r="J109" s="6">
        <f t="shared" si="63"/>
        <v>6.2839587092384337E-4</v>
      </c>
      <c r="K109" s="2"/>
      <c r="L109" s="7">
        <f t="shared" si="64"/>
        <v>-25</v>
      </c>
      <c r="M109" s="2"/>
      <c r="N109" s="6">
        <f t="shared" si="65"/>
        <v>-1</v>
      </c>
      <c r="O109" s="11"/>
      <c r="P109" s="7"/>
      <c r="Q109" s="2"/>
      <c r="R109" s="6">
        <f t="shared" si="66"/>
        <v>0</v>
      </c>
      <c r="S109" s="2"/>
      <c r="T109" s="7">
        <v>75</v>
      </c>
      <c r="U109" s="2"/>
      <c r="V109" s="6">
        <f t="shared" si="67"/>
        <v>5.0681745431090661E-4</v>
      </c>
      <c r="W109" s="2"/>
      <c r="X109" s="7">
        <f t="shared" si="68"/>
        <v>-75</v>
      </c>
      <c r="Y109" s="2"/>
      <c r="Z109" s="6">
        <f t="shared" si="69"/>
        <v>-1</v>
      </c>
    </row>
    <row r="110" spans="1:26" s="24" customFormat="1" hidden="1" outlineLevel="2" x14ac:dyDescent="0.25">
      <c r="A110" s="25"/>
      <c r="B110" s="11" t="str">
        <f>CONCATENATE("          ", "6248", " - ", "UNIFORMS")</f>
        <v xml:space="preserve">          6248 - UNIFORMS</v>
      </c>
      <c r="C110" s="11"/>
      <c r="D110" s="7"/>
      <c r="E110" s="2"/>
      <c r="F110" s="6">
        <f t="shared" si="62"/>
        <v>0</v>
      </c>
      <c r="G110" s="2"/>
      <c r="H110" s="7">
        <v>0</v>
      </c>
      <c r="I110" s="2"/>
      <c r="J110" s="6">
        <f t="shared" si="63"/>
        <v>0</v>
      </c>
      <c r="K110" s="2"/>
      <c r="L110" s="7">
        <f t="shared" si="64"/>
        <v>0</v>
      </c>
      <c r="M110" s="2"/>
      <c r="N110" s="6">
        <f t="shared" si="65"/>
        <v>0</v>
      </c>
      <c r="O110" s="11"/>
      <c r="P110" s="7"/>
      <c r="Q110" s="2"/>
      <c r="R110" s="6">
        <f t="shared" si="66"/>
        <v>0</v>
      </c>
      <c r="S110" s="2"/>
      <c r="T110" s="7">
        <v>0</v>
      </c>
      <c r="U110" s="2"/>
      <c r="V110" s="6">
        <f t="shared" si="67"/>
        <v>0</v>
      </c>
      <c r="W110" s="2"/>
      <c r="X110" s="7">
        <f t="shared" si="68"/>
        <v>0</v>
      </c>
      <c r="Y110" s="2"/>
      <c r="Z110" s="6">
        <f t="shared" si="69"/>
        <v>0</v>
      </c>
    </row>
    <row r="111" spans="1:26" s="26" customFormat="1" outlineLevel="1" collapsed="1" x14ac:dyDescent="0.25">
      <c r="A111" s="27"/>
      <c r="B111" s="13" t="str">
        <f>CONCATENATE("     ","Telephone/Data Lines                              ")</f>
        <v xml:space="preserve">     Telephone/Data Lines                              </v>
      </c>
      <c r="C111" s="13"/>
      <c r="D111" s="1">
        <f>SUM(OSRRefD22_17x_0)</f>
        <v>1725.97</v>
      </c>
      <c r="E111" s="1"/>
      <c r="F111" s="5">
        <f t="shared" ref="F111:F113" si="70">IF(D$12=0,0,D111/D$12)</f>
        <v>5.3004511296667646E-2</v>
      </c>
      <c r="G111" s="1"/>
      <c r="H111" s="1">
        <f>SUM(OSRRefH22_17x_0)</f>
        <v>1500</v>
      </c>
      <c r="I111" s="1"/>
      <c r="J111" s="5">
        <f t="shared" ref="J111:J113" si="71">IF(H$12=0,0,H111/H$12)</f>
        <v>3.77037522554306E-2</v>
      </c>
      <c r="K111" s="1"/>
      <c r="L111" s="1">
        <f t="shared" ref="L111:L113" si="72">+D111-H111</f>
        <v>225.97000000000003</v>
      </c>
      <c r="M111" s="1"/>
      <c r="N111" s="5">
        <f t="shared" ref="N111:N113" si="73">IF(H111=0,0,L111/H111)</f>
        <v>0.15064666666666668</v>
      </c>
      <c r="O111" s="13"/>
      <c r="P111" s="1">
        <f>SUM(OSRRefP22_17x_0)</f>
        <v>1976.9</v>
      </c>
      <c r="Q111" s="1"/>
      <c r="R111" s="5">
        <f t="shared" ref="R111:R113" si="74">IF(P$12=0,0,P111/P$12)</f>
        <v>1.2875582882437184E-2</v>
      </c>
      <c r="S111" s="1"/>
      <c r="T111" s="1">
        <f>SUM(OSRRefT22_17x_0)</f>
        <v>2225</v>
      </c>
      <c r="U111" s="1"/>
      <c r="V111" s="5">
        <f t="shared" ref="V111:V113" si="75">IF(T$12=0,0,T111/T$12)</f>
        <v>1.503558447789023E-2</v>
      </c>
      <c r="W111" s="1"/>
      <c r="X111" s="1">
        <f t="shared" ref="X111:X113" si="76">+P111-T111</f>
        <v>-248.09999999999991</v>
      </c>
      <c r="Y111" s="1"/>
      <c r="Z111" s="5">
        <f t="shared" ref="Z111:Z113" si="77">IF(T111=0,0,X111/T111)</f>
        <v>-0.11150561797752805</v>
      </c>
    </row>
    <row r="112" spans="1:26" s="24" customFormat="1" hidden="1" outlineLevel="2" x14ac:dyDescent="0.25">
      <c r="A112" s="25"/>
      <c r="B112" s="11" t="str">
        <f>CONCATENATE("          ", "6303", " - ", "DATA PHONE LINES")</f>
        <v xml:space="preserve">          6303 - DATA PHONE LINES</v>
      </c>
      <c r="C112" s="11"/>
      <c r="D112" s="7"/>
      <c r="E112" s="2"/>
      <c r="F112" s="6">
        <f t="shared" si="70"/>
        <v>0</v>
      </c>
      <c r="G112" s="2"/>
      <c r="H112" s="7">
        <v>1500</v>
      </c>
      <c r="I112" s="2"/>
      <c r="J112" s="6">
        <f t="shared" si="71"/>
        <v>3.77037522554306E-2</v>
      </c>
      <c r="K112" s="2"/>
      <c r="L112" s="7">
        <f t="shared" si="72"/>
        <v>-1500</v>
      </c>
      <c r="M112" s="2"/>
      <c r="N112" s="6">
        <f t="shared" si="73"/>
        <v>-1</v>
      </c>
      <c r="O112" s="11"/>
      <c r="P112" s="7"/>
      <c r="Q112" s="2"/>
      <c r="R112" s="6">
        <f t="shared" si="74"/>
        <v>0</v>
      </c>
      <c r="S112" s="2"/>
      <c r="T112" s="7">
        <v>2225</v>
      </c>
      <c r="U112" s="2"/>
      <c r="V112" s="6">
        <f t="shared" si="75"/>
        <v>1.503558447789023E-2</v>
      </c>
      <c r="W112" s="2"/>
      <c r="X112" s="7">
        <f t="shared" si="76"/>
        <v>-2225</v>
      </c>
      <c r="Y112" s="2"/>
      <c r="Z112" s="6">
        <f t="shared" si="77"/>
        <v>-1</v>
      </c>
    </row>
    <row r="113" spans="1:26" s="24" customFormat="1" hidden="1" outlineLevel="2" x14ac:dyDescent="0.25">
      <c r="A113" s="25"/>
      <c r="B113" s="11" t="str">
        <f>CONCATENATE("          ", "6309", " - ", "TELEPHONE")</f>
        <v xml:space="preserve">          6309 - TELEPHONE</v>
      </c>
      <c r="C113" s="11"/>
      <c r="D113" s="7">
        <v>1725.97</v>
      </c>
      <c r="E113" s="2"/>
      <c r="F113" s="6">
        <f t="shared" si="70"/>
        <v>5.3004511296667646E-2</v>
      </c>
      <c r="G113" s="2"/>
      <c r="H113" s="7"/>
      <c r="I113" s="2"/>
      <c r="J113" s="6">
        <f t="shared" si="71"/>
        <v>0</v>
      </c>
      <c r="K113" s="2"/>
      <c r="L113" s="7">
        <f t="shared" si="72"/>
        <v>1725.97</v>
      </c>
      <c r="M113" s="2"/>
      <c r="N113" s="6">
        <f t="shared" si="73"/>
        <v>0</v>
      </c>
      <c r="O113" s="11"/>
      <c r="P113" s="7">
        <v>1976.9</v>
      </c>
      <c r="Q113" s="2"/>
      <c r="R113" s="6">
        <f t="shared" si="74"/>
        <v>1.2875582882437184E-2</v>
      </c>
      <c r="S113" s="2"/>
      <c r="T113" s="7"/>
      <c r="U113" s="2"/>
      <c r="V113" s="6">
        <f t="shared" si="75"/>
        <v>0</v>
      </c>
      <c r="W113" s="2"/>
      <c r="X113" s="7">
        <f t="shared" si="76"/>
        <v>1976.9</v>
      </c>
      <c r="Y113" s="2"/>
      <c r="Z113" s="6">
        <f t="shared" si="77"/>
        <v>0</v>
      </c>
    </row>
    <row r="114" spans="1:26" s="26" customFormat="1" outlineLevel="1" collapsed="1" x14ac:dyDescent="0.25">
      <c r="A114" s="27"/>
      <c r="B114" s="13" t="str">
        <f>CONCATENATE("     ","Training                                          ")</f>
        <v xml:space="preserve">     Training                                          </v>
      </c>
      <c r="C114" s="13"/>
      <c r="D114" s="1">
        <f>SUM(OSRRefD22_18x_0)</f>
        <v>0</v>
      </c>
      <c r="E114" s="1"/>
      <c r="F114" s="5">
        <f t="shared" ref="F114:F119" si="78">IF(D$12=0,0,D114/D$12)</f>
        <v>0</v>
      </c>
      <c r="G114" s="1"/>
      <c r="H114" s="1">
        <f>SUM(OSRRefH22_18x_0)</f>
        <v>0</v>
      </c>
      <c r="I114" s="1"/>
      <c r="J114" s="5">
        <f t="shared" ref="J114:J119" si="79">IF(H$12=0,0,H114/H$12)</f>
        <v>0</v>
      </c>
      <c r="K114" s="1"/>
      <c r="L114" s="1">
        <f t="shared" ref="L114:L119" si="80">+D114-H114</f>
        <v>0</v>
      </c>
      <c r="M114" s="1"/>
      <c r="N114" s="5">
        <f t="shared" ref="N114:N119" si="81">IF(H114=0,0,L114/H114)</f>
        <v>0</v>
      </c>
      <c r="O114" s="13"/>
      <c r="P114" s="1">
        <f>SUM(OSRRefP22_18x_0)</f>
        <v>0</v>
      </c>
      <c r="Q114" s="1"/>
      <c r="R114" s="5">
        <f t="shared" ref="R114:R119" si="82">IF(P$12=0,0,P114/P$12)</f>
        <v>0</v>
      </c>
      <c r="S114" s="1"/>
      <c r="T114" s="1">
        <f>SUM(OSRRefT22_18x_0)</f>
        <v>0</v>
      </c>
      <c r="U114" s="1"/>
      <c r="V114" s="5">
        <f t="shared" ref="V114:V119" si="83">IF(T$12=0,0,T114/T$12)</f>
        <v>0</v>
      </c>
      <c r="W114" s="1"/>
      <c r="X114" s="1">
        <f t="shared" ref="X114:X119" si="84">+P114-T114</f>
        <v>0</v>
      </c>
      <c r="Y114" s="1"/>
      <c r="Z114" s="5">
        <f t="shared" ref="Z114:Z119" si="85">IF(T114=0,0,X114/T114)</f>
        <v>0</v>
      </c>
    </row>
    <row r="115" spans="1:26" s="24" customFormat="1" hidden="1" outlineLevel="2" x14ac:dyDescent="0.25">
      <c r="A115" s="25"/>
      <c r="B115" s="11" t="str">
        <f>CONCATENATE("          ", "6376", " - ", "TRAINING")</f>
        <v xml:space="preserve">          6376 - TRAINING</v>
      </c>
      <c r="C115" s="11"/>
      <c r="D115" s="7"/>
      <c r="E115" s="2"/>
      <c r="F115" s="6">
        <f t="shared" si="78"/>
        <v>0</v>
      </c>
      <c r="G115" s="2"/>
      <c r="H115" s="7">
        <v>0</v>
      </c>
      <c r="I115" s="2"/>
      <c r="J115" s="6">
        <f t="shared" si="79"/>
        <v>0</v>
      </c>
      <c r="K115" s="2"/>
      <c r="L115" s="7">
        <f t="shared" si="80"/>
        <v>0</v>
      </c>
      <c r="M115" s="2"/>
      <c r="N115" s="6">
        <f t="shared" si="81"/>
        <v>0</v>
      </c>
      <c r="O115" s="11"/>
      <c r="P115" s="7"/>
      <c r="Q115" s="2"/>
      <c r="R115" s="6">
        <f t="shared" si="82"/>
        <v>0</v>
      </c>
      <c r="S115" s="2"/>
      <c r="T115" s="7">
        <v>0</v>
      </c>
      <c r="U115" s="2"/>
      <c r="V115" s="6">
        <f t="shared" si="83"/>
        <v>0</v>
      </c>
      <c r="W115" s="2"/>
      <c r="X115" s="7">
        <f t="shared" si="84"/>
        <v>0</v>
      </c>
      <c r="Y115" s="2"/>
      <c r="Z115" s="6">
        <f t="shared" si="85"/>
        <v>0</v>
      </c>
    </row>
    <row r="116" spans="1:26" s="26" customFormat="1" outlineLevel="1" collapsed="1" x14ac:dyDescent="0.25">
      <c r="A116" s="27"/>
      <c r="B116" s="13" t="str">
        <f>CONCATENATE("     ","Travel                                            ")</f>
        <v xml:space="preserve">     Travel                                            </v>
      </c>
      <c r="C116" s="13"/>
      <c r="D116" s="1">
        <f>SUM(OSRRefD22_19x_0)</f>
        <v>33.43</v>
      </c>
      <c r="E116" s="1"/>
      <c r="F116" s="5">
        <f t="shared" si="78"/>
        <v>1.0266347692298239E-3</v>
      </c>
      <c r="G116" s="1"/>
      <c r="H116" s="1">
        <f>SUM(OSRRefH22_19x_0)</f>
        <v>50</v>
      </c>
      <c r="I116" s="1"/>
      <c r="J116" s="5">
        <f t="shared" si="79"/>
        <v>1.2567917418476867E-3</v>
      </c>
      <c r="K116" s="1"/>
      <c r="L116" s="1">
        <f t="shared" si="80"/>
        <v>-16.57</v>
      </c>
      <c r="M116" s="1"/>
      <c r="N116" s="5">
        <f t="shared" si="81"/>
        <v>-0.33140000000000003</v>
      </c>
      <c r="O116" s="13"/>
      <c r="P116" s="1">
        <f>SUM(OSRRefP22_19x_0)</f>
        <v>102.1</v>
      </c>
      <c r="Q116" s="1"/>
      <c r="R116" s="5">
        <f t="shared" si="82"/>
        <v>6.6497901375731517E-4</v>
      </c>
      <c r="S116" s="1"/>
      <c r="T116" s="1">
        <f>SUM(OSRRefT22_19x_0)</f>
        <v>210</v>
      </c>
      <c r="U116" s="1"/>
      <c r="V116" s="5">
        <f t="shared" si="83"/>
        <v>1.4190888720705386E-3</v>
      </c>
      <c r="W116" s="1"/>
      <c r="X116" s="1">
        <f t="shared" si="84"/>
        <v>-107.9</v>
      </c>
      <c r="Y116" s="1"/>
      <c r="Z116" s="5">
        <f t="shared" si="85"/>
        <v>-0.51380952380952383</v>
      </c>
    </row>
    <row r="117" spans="1:26" s="24" customFormat="1" hidden="1" outlineLevel="2" x14ac:dyDescent="0.25">
      <c r="A117" s="25"/>
      <c r="B117" s="11" t="str">
        <f>CONCATENATE("          ", "6294", " - ", "TRAVEL OPERATIONAL")</f>
        <v xml:space="preserve">          6294 - TRAVEL OPERATIONAL</v>
      </c>
      <c r="C117" s="11"/>
      <c r="D117" s="7">
        <v>33.43</v>
      </c>
      <c r="E117" s="2"/>
      <c r="F117" s="6">
        <f t="shared" si="78"/>
        <v>1.0266347692298239E-3</v>
      </c>
      <c r="G117" s="2"/>
      <c r="H117" s="7">
        <v>50</v>
      </c>
      <c r="I117" s="2"/>
      <c r="J117" s="6">
        <f t="shared" si="79"/>
        <v>1.2567917418476867E-3</v>
      </c>
      <c r="K117" s="2"/>
      <c r="L117" s="7">
        <f t="shared" si="80"/>
        <v>-16.57</v>
      </c>
      <c r="M117" s="2"/>
      <c r="N117" s="6">
        <f t="shared" si="81"/>
        <v>-0.33140000000000003</v>
      </c>
      <c r="O117" s="11"/>
      <c r="P117" s="7">
        <v>102.1</v>
      </c>
      <c r="Q117" s="2"/>
      <c r="R117" s="6">
        <f t="shared" si="82"/>
        <v>6.6497901375731517E-4</v>
      </c>
      <c r="S117" s="2"/>
      <c r="T117" s="7">
        <v>210</v>
      </c>
      <c r="U117" s="2"/>
      <c r="V117" s="6">
        <f t="shared" si="83"/>
        <v>1.4190888720705386E-3</v>
      </c>
      <c r="W117" s="2"/>
      <c r="X117" s="7">
        <f t="shared" si="84"/>
        <v>-107.9</v>
      </c>
      <c r="Y117" s="2"/>
      <c r="Z117" s="6">
        <f t="shared" si="85"/>
        <v>-0.51380952380952383</v>
      </c>
    </row>
    <row r="118" spans="1:26" s="26" customFormat="1" outlineLevel="1" collapsed="1" x14ac:dyDescent="0.25">
      <c r="A118" s="27"/>
      <c r="B118" s="13" t="str">
        <f>CONCATENATE("     ","Utilities                                         ")</f>
        <v xml:space="preserve">     Utilities                                         </v>
      </c>
      <c r="C118" s="13"/>
      <c r="D118" s="1">
        <f>SUM(OSRRefD22_20x_0)</f>
        <v>55.02</v>
      </c>
      <c r="E118" s="1"/>
      <c r="F118" s="5">
        <f t="shared" si="78"/>
        <v>1.6896633264440598E-3</v>
      </c>
      <c r="G118" s="1"/>
      <c r="H118" s="1">
        <f>SUM(OSRRefH22_20x_0)</f>
        <v>75</v>
      </c>
      <c r="I118" s="1"/>
      <c r="J118" s="5">
        <f t="shared" si="79"/>
        <v>1.8851876127715301E-3</v>
      </c>
      <c r="K118" s="1"/>
      <c r="L118" s="1">
        <f t="shared" si="80"/>
        <v>-19.979999999999997</v>
      </c>
      <c r="M118" s="1"/>
      <c r="N118" s="5">
        <f t="shared" si="81"/>
        <v>-0.26639999999999997</v>
      </c>
      <c r="O118" s="13"/>
      <c r="P118" s="1">
        <f>SUM(OSRRefP22_20x_0)</f>
        <v>151.80000000000001</v>
      </c>
      <c r="Q118" s="1"/>
      <c r="R118" s="5">
        <f t="shared" si="82"/>
        <v>9.8867594797610631E-4</v>
      </c>
      <c r="S118" s="1"/>
      <c r="T118" s="1">
        <f>SUM(OSRRefT22_20x_0)</f>
        <v>250</v>
      </c>
      <c r="U118" s="1"/>
      <c r="V118" s="5">
        <f t="shared" si="83"/>
        <v>1.6893915143696887E-3</v>
      </c>
      <c r="W118" s="1"/>
      <c r="X118" s="1">
        <f t="shared" si="84"/>
        <v>-98.199999999999989</v>
      </c>
      <c r="Y118" s="1"/>
      <c r="Z118" s="5">
        <f t="shared" si="85"/>
        <v>-0.39279999999999993</v>
      </c>
    </row>
    <row r="119" spans="1:26" s="24" customFormat="1" hidden="1" outlineLevel="2" x14ac:dyDescent="0.25">
      <c r="A119" s="25"/>
      <c r="B119" s="11" t="str">
        <f>CONCATENATE("          ", "6274", " - ", "UTILITIES")</f>
        <v xml:space="preserve">          6274 - UTILITIES</v>
      </c>
      <c r="C119" s="11"/>
      <c r="D119" s="7">
        <v>55.02</v>
      </c>
      <c r="E119" s="2"/>
      <c r="F119" s="6">
        <f t="shared" si="78"/>
        <v>1.6896633264440598E-3</v>
      </c>
      <c r="G119" s="2"/>
      <c r="H119" s="7">
        <v>75</v>
      </c>
      <c r="I119" s="2"/>
      <c r="J119" s="6">
        <f t="shared" si="79"/>
        <v>1.8851876127715301E-3</v>
      </c>
      <c r="K119" s="2"/>
      <c r="L119" s="7">
        <f t="shared" si="80"/>
        <v>-19.979999999999997</v>
      </c>
      <c r="M119" s="2"/>
      <c r="N119" s="6">
        <f t="shared" si="81"/>
        <v>-0.26639999999999997</v>
      </c>
      <c r="O119" s="11"/>
      <c r="P119" s="7">
        <v>151.80000000000001</v>
      </c>
      <c r="Q119" s="2"/>
      <c r="R119" s="6">
        <f t="shared" si="82"/>
        <v>9.8867594797610631E-4</v>
      </c>
      <c r="S119" s="2"/>
      <c r="T119" s="7">
        <v>250</v>
      </c>
      <c r="U119" s="2"/>
      <c r="V119" s="6">
        <f t="shared" si="83"/>
        <v>1.6893915143696887E-3</v>
      </c>
      <c r="W119" s="2"/>
      <c r="X119" s="7">
        <f t="shared" si="84"/>
        <v>-98.199999999999989</v>
      </c>
      <c r="Y119" s="2"/>
      <c r="Z119" s="6">
        <f t="shared" si="85"/>
        <v>-0.39279999999999993</v>
      </c>
    </row>
    <row r="120" spans="1:26" s="63" customFormat="1" x14ac:dyDescent="0.25">
      <c r="A120" s="36"/>
      <c r="B120" s="36"/>
      <c r="C120" s="36"/>
      <c r="D120" s="1"/>
      <c r="E120" s="1"/>
      <c r="F120" s="5"/>
      <c r="G120" s="1"/>
      <c r="H120" s="1"/>
      <c r="I120" s="1"/>
      <c r="J120" s="5"/>
      <c r="K120" s="1"/>
      <c r="L120" s="1"/>
      <c r="M120" s="1"/>
      <c r="N120" s="5"/>
      <c r="O120" s="36"/>
      <c r="P120" s="1"/>
      <c r="Q120" s="1"/>
      <c r="R120" s="5"/>
      <c r="S120" s="1"/>
      <c r="T120" s="1"/>
      <c r="U120" s="1"/>
      <c r="V120" s="5"/>
      <c r="W120" s="1"/>
      <c r="X120" s="1"/>
      <c r="Y120" s="1"/>
      <c r="Z120" s="5"/>
    </row>
    <row r="121" spans="1:26" s="23" customFormat="1" x14ac:dyDescent="0.25">
      <c r="A121" s="10"/>
      <c r="B121" s="28" t="s">
        <v>0</v>
      </c>
      <c r="C121" s="10"/>
      <c r="D121" s="4">
        <f>SUM(0)</f>
        <v>0</v>
      </c>
      <c r="E121" s="4"/>
      <c r="F121" s="12">
        <f>IF(D$12=0,0,D121/D$12)</f>
        <v>0</v>
      </c>
      <c r="G121" s="4"/>
      <c r="H121" s="4">
        <f>SUM(0)</f>
        <v>0</v>
      </c>
      <c r="I121" s="4"/>
      <c r="J121" s="12">
        <f>IF(H$12=0,0,H121/H$12)</f>
        <v>0</v>
      </c>
      <c r="K121" s="4"/>
      <c r="L121" s="4">
        <f>+D121-H121</f>
        <v>0</v>
      </c>
      <c r="M121" s="4"/>
      <c r="N121" s="12">
        <f>IF(H121=0,0,L121/H121)</f>
        <v>0</v>
      </c>
      <c r="O121" s="10"/>
      <c r="P121" s="4">
        <f>SUM(0)</f>
        <v>0</v>
      </c>
      <c r="Q121" s="4"/>
      <c r="R121" s="12">
        <f>IF(P$12=0,0,P121/P$12)</f>
        <v>0</v>
      </c>
      <c r="S121" s="4"/>
      <c r="T121" s="4">
        <f>SUM(0)</f>
        <v>0</v>
      </c>
      <c r="U121" s="4"/>
      <c r="V121" s="12">
        <f>IF(T$12=0,0,T121/T$12)</f>
        <v>0</v>
      </c>
      <c r="W121" s="4"/>
      <c r="X121" s="4">
        <f>+P121-T121</f>
        <v>0</v>
      </c>
      <c r="Y121" s="4"/>
      <c r="Z121" s="12">
        <f>IF(T121=0,0,X121/T121)</f>
        <v>0</v>
      </c>
    </row>
    <row r="122" spans="1:26" x14ac:dyDescent="0.25">
      <c r="A122" s="9"/>
      <c r="B122" s="10"/>
      <c r="C122" s="10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O122" s="10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3" customFormat="1" x14ac:dyDescent="0.25">
      <c r="A123" s="10"/>
      <c r="B123" s="29" t="s">
        <v>3</v>
      </c>
      <c r="C123" s="29"/>
      <c r="D123" s="22">
        <f>+D48-D50+D121</f>
        <v>-6062.989999999998</v>
      </c>
      <c r="E123" s="14"/>
      <c r="F123" s="20">
        <f>IF(D$12=0,0,D123/D$12)</f>
        <v>-0.18619432663753302</v>
      </c>
      <c r="G123" s="14"/>
      <c r="H123" s="22">
        <f>+H48-H50+H121</f>
        <v>-1598.3966933307674</v>
      </c>
      <c r="I123" s="14"/>
      <c r="J123" s="20">
        <f>IF(H$12=0,0,H123/H$12)</f>
        <v>-4.0177035287495159E-2</v>
      </c>
      <c r="K123" s="15"/>
      <c r="L123" s="22">
        <f>+D123-H123</f>
        <v>-4464.5933066692305</v>
      </c>
      <c r="M123" s="15"/>
      <c r="N123" s="20">
        <f>IF(H123=0,0,L123/H123)</f>
        <v>2.7931697589825664</v>
      </c>
      <c r="O123" s="28"/>
      <c r="P123" s="22">
        <f>+P48-P50+P121</f>
        <v>-1015.9300000000221</v>
      </c>
      <c r="Q123" s="14"/>
      <c r="R123" s="20">
        <f>IF(P$12=0,0,P123/P$12)</f>
        <v>-6.6167691424729091E-3</v>
      </c>
      <c r="S123" s="14"/>
      <c r="T123" s="22">
        <f>+T48-T50+T121</f>
        <v>4095.7812516749691</v>
      </c>
      <c r="U123" s="14"/>
      <c r="V123" s="20">
        <f>IF(T$12=0,0,T123/T$12)</f>
        <v>2.7677512365176623E-2</v>
      </c>
      <c r="W123" s="15"/>
      <c r="X123" s="22">
        <f>+P123-T123</f>
        <v>-5111.7112516749912</v>
      </c>
      <c r="Y123" s="15"/>
      <c r="Z123" s="20">
        <f>IF(T123=0,0,X123/T123)</f>
        <v>-1.2480430319818856</v>
      </c>
    </row>
    <row r="124" spans="1:26" x14ac:dyDescent="0.25">
      <c r="A124" s="9"/>
      <c r="B124" s="10"/>
      <c r="C124" s="9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3" customFormat="1" x14ac:dyDescent="0.25">
      <c r="A125" s="52"/>
      <c r="B125" s="10" t="s">
        <v>14</v>
      </c>
      <c r="C125" s="10"/>
      <c r="D125" s="4">
        <v>1408.59</v>
      </c>
      <c r="E125" s="4"/>
      <c r="F125" s="12">
        <f>IF(D$12=0,0,D125/D$12)</f>
        <v>4.3257776535729521E-2</v>
      </c>
      <c r="G125" s="4"/>
      <c r="H125" s="4">
        <v>1146</v>
      </c>
      <c r="I125" s="4"/>
      <c r="J125" s="12">
        <f>IF(H$12=0,0,H125/H$12)</f>
        <v>2.8805666723148979E-2</v>
      </c>
      <c r="K125" s="4"/>
      <c r="L125" s="4">
        <f>+D125-H125</f>
        <v>262.58999999999992</v>
      </c>
      <c r="M125" s="4"/>
      <c r="N125" s="12">
        <f>IF(H125=0,0,L125/H125)</f>
        <v>0.22913612565445018</v>
      </c>
      <c r="O125" s="10"/>
      <c r="P125" s="4">
        <v>16492.09</v>
      </c>
      <c r="Q125" s="4"/>
      <c r="R125" s="12">
        <f>IF(P$12=0,0,P125/P$12)</f>
        <v>0.10741325899115457</v>
      </c>
      <c r="S125" s="4"/>
      <c r="T125" s="4">
        <v>18718</v>
      </c>
      <c r="U125" s="4"/>
      <c r="V125" s="12">
        <f>IF(T$12=0,0,T125/T$12)</f>
        <v>0.12648812146388733</v>
      </c>
      <c r="W125" s="4"/>
      <c r="X125" s="4">
        <f>+P125-T125</f>
        <v>-2225.91</v>
      </c>
      <c r="Y125" s="4"/>
      <c r="Z125" s="12">
        <f>IF(T125=0,0,X125/T125)</f>
        <v>-0.1189181536488941</v>
      </c>
    </row>
    <row r="126" spans="1:26" x14ac:dyDescent="0.25">
      <c r="A126" s="9"/>
      <c r="B126" s="10"/>
      <c r="C126" s="10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O126" s="10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ht="15.75" thickBot="1" x14ac:dyDescent="0.3">
      <c r="A127" s="10"/>
      <c r="B127" s="29" t="s">
        <v>4</v>
      </c>
      <c r="C127" s="29"/>
      <c r="D127" s="35">
        <f>+D123-D125</f>
        <v>-7471.5799999999981</v>
      </c>
      <c r="E127" s="14"/>
      <c r="F127" s="32">
        <f>IF(D$12=0,0,D127/D$12)</f>
        <v>-0.22945210317326253</v>
      </c>
      <c r="G127" s="14"/>
      <c r="H127" s="35">
        <f>+H123-H125</f>
        <v>-2744.3966933307674</v>
      </c>
      <c r="I127" s="14"/>
      <c r="J127" s="32">
        <f>IF(H$12=0,0,H127/H$12)</f>
        <v>-6.8982702010644145E-2</v>
      </c>
      <c r="K127" s="15"/>
      <c r="L127" s="35">
        <f>D127-H127</f>
        <v>-4727.1833066692307</v>
      </c>
      <c r="M127" s="15"/>
      <c r="N127" s="32">
        <f>IF(H127=0,0,L127/H127)</f>
        <v>1.7224854257246727</v>
      </c>
      <c r="O127" s="28"/>
      <c r="P127" s="35">
        <f>+P123-P125</f>
        <v>-17508.020000000022</v>
      </c>
      <c r="Q127" s="14"/>
      <c r="R127" s="32">
        <f>IF(P$12=0,0,P127/P$12)</f>
        <v>-0.11403002813362748</v>
      </c>
      <c r="S127" s="14"/>
      <c r="T127" s="35">
        <f>+T123-T125</f>
        <v>-14622.218748325031</v>
      </c>
      <c r="U127" s="14"/>
      <c r="V127" s="32">
        <f>IF(T$12=0,0,T127/T$12)</f>
        <v>-9.8810609098710714E-2</v>
      </c>
      <c r="W127" s="15"/>
      <c r="X127" s="35">
        <f>P127-T127</f>
        <v>-2885.8012516749914</v>
      </c>
      <c r="Y127" s="15"/>
      <c r="Z127" s="32">
        <f>IF(T127=0,0,X127/T127)</f>
        <v>0.19735727534547784</v>
      </c>
    </row>
    <row r="128" spans="1:26" ht="15.75" thickTop="1" x14ac:dyDescent="0.25">
      <c r="A128" s="9"/>
      <c r="B128" s="9"/>
      <c r="C128" s="9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x14ac:dyDescent="0.25">
      <c r="A129" s="9"/>
      <c r="B129" s="9"/>
      <c r="C129" s="9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s="23" customFormat="1" ht="15.75" thickBot="1" x14ac:dyDescent="0.3">
      <c r="A130" s="10"/>
      <c r="B130" s="29" t="s">
        <v>5</v>
      </c>
      <c r="C130" s="29"/>
      <c r="D130" s="30">
        <f>SUM(D127:D129)</f>
        <v>-7471.5799999999981</v>
      </c>
      <c r="E130" s="14"/>
      <c r="F130" s="31">
        <f>IF(D$12=0,0,D130/D$12)</f>
        <v>-0.22945210317326253</v>
      </c>
      <c r="G130" s="14"/>
      <c r="H130" s="30">
        <f>SUM(H127:H129)</f>
        <v>-2744.3966933307674</v>
      </c>
      <c r="I130" s="14"/>
      <c r="J130" s="31">
        <f>IF(H$12=0,0,H130/H$12)</f>
        <v>-6.8982702010644145E-2</v>
      </c>
      <c r="K130" s="15"/>
      <c r="L130" s="30">
        <f>+D130-H130</f>
        <v>-4727.1833066692307</v>
      </c>
      <c r="M130" s="15"/>
      <c r="N130" s="31">
        <f>IF(H130=0,0,L130/H130)</f>
        <v>1.7224854257246727</v>
      </c>
      <c r="O130" s="28"/>
      <c r="P130" s="30">
        <f>SUM(P127:P129)</f>
        <v>-17508.020000000022</v>
      </c>
      <c r="Q130" s="14"/>
      <c r="R130" s="31">
        <f>IF(P$12=0,0,P130/P$12)</f>
        <v>-0.11403002813362748</v>
      </c>
      <c r="S130" s="14"/>
      <c r="T130" s="30">
        <f>SUM(T127:T129)</f>
        <v>-14622.218748325031</v>
      </c>
      <c r="U130" s="14"/>
      <c r="V130" s="31">
        <f>IF(T$12=0,0,T130/T$12)</f>
        <v>-9.8810609098710714E-2</v>
      </c>
      <c r="W130" s="15"/>
      <c r="X130" s="30">
        <f>+P130-T130</f>
        <v>-2885.8012516749914</v>
      </c>
      <c r="Y130" s="15"/>
      <c r="Z130" s="31">
        <f>IF(T130=0,0,X130/T130)</f>
        <v>0.19735727534547784</v>
      </c>
    </row>
    <row r="131" spans="1:26" ht="15.75" thickTop="1" x14ac:dyDescent="0.25">
      <c r="A131" s="9"/>
      <c r="C131" s="9"/>
      <c r="D131" s="18"/>
      <c r="E131" s="18"/>
      <c r="G131" s="18"/>
      <c r="H131" s="18"/>
      <c r="I131" s="18"/>
      <c r="J131" s="43"/>
      <c r="K131" s="18"/>
      <c r="L131" s="18"/>
      <c r="M131" s="18"/>
      <c r="P131" s="18"/>
      <c r="Q131" s="18"/>
      <c r="R131" s="43"/>
      <c r="S131" s="18"/>
      <c r="T131" s="18"/>
      <c r="U131" s="18"/>
      <c r="V131" s="43"/>
      <c r="W131" s="18"/>
      <c r="X131" s="18"/>
    </row>
    <row r="132" spans="1:26" x14ac:dyDescent="0.25">
      <c r="A132" s="9"/>
      <c r="B132" s="53">
        <v>43756.452513078701</v>
      </c>
      <c r="D132" s="18"/>
      <c r="E132" s="18"/>
      <c r="G132" s="18"/>
      <c r="H132" s="18"/>
      <c r="I132" s="18"/>
      <c r="J132" s="43"/>
      <c r="K132" s="18"/>
      <c r="L132" s="18"/>
      <c r="M132" s="18"/>
      <c r="P132" s="18"/>
      <c r="Q132" s="18"/>
      <c r="R132" s="43"/>
      <c r="S132" s="18"/>
      <c r="T132" s="18"/>
      <c r="U132" s="18"/>
      <c r="V132" s="43"/>
      <c r="W132" s="18"/>
      <c r="X132" s="18"/>
    </row>
    <row r="133" spans="1:26" x14ac:dyDescent="0.25">
      <c r="A133" s="9"/>
      <c r="B133" s="55" t="s">
        <v>314</v>
      </c>
      <c r="D133" s="18"/>
      <c r="E133" s="18"/>
      <c r="G133" s="18"/>
      <c r="H133" s="18"/>
      <c r="I133" s="18"/>
      <c r="J133" s="43"/>
      <c r="K133" s="18"/>
      <c r="L133" s="18"/>
      <c r="M133" s="18"/>
      <c r="P133" s="18"/>
      <c r="Q133" s="18"/>
      <c r="R133" s="43"/>
      <c r="S133" s="18"/>
      <c r="T133" s="18"/>
      <c r="U133" s="18"/>
      <c r="V133" s="43"/>
      <c r="W133" s="18"/>
      <c r="X133" s="18"/>
    </row>
    <row r="134" spans="1:26" x14ac:dyDescent="0.25">
      <c r="A134" s="9"/>
      <c r="B134" s="56"/>
      <c r="D134" s="18"/>
      <c r="E134" s="18"/>
      <c r="G134" s="18"/>
      <c r="H134" s="18"/>
      <c r="I134" s="18"/>
      <c r="J134" s="43"/>
      <c r="K134" s="18"/>
      <c r="L134" s="18"/>
      <c r="M134" s="18"/>
      <c r="P134" s="18"/>
      <c r="Q134" s="18"/>
      <c r="R134" s="43"/>
      <c r="S134" s="18"/>
      <c r="T134" s="18"/>
      <c r="U134" s="18"/>
      <c r="V134" s="43"/>
      <c r="W134" s="18"/>
      <c r="X134" s="18"/>
    </row>
    <row r="135" spans="1:26" x14ac:dyDescent="0.25">
      <c r="D135" s="18"/>
      <c r="E135" s="18"/>
      <c r="G135" s="18"/>
      <c r="H135" s="18"/>
      <c r="I135" s="18"/>
      <c r="J135" s="43"/>
      <c r="K135" s="18"/>
      <c r="L135" s="18"/>
      <c r="M135" s="18"/>
      <c r="P135" s="18"/>
      <c r="Q135" s="18"/>
      <c r="R135" s="43"/>
      <c r="S135" s="18"/>
      <c r="T135" s="18"/>
      <c r="U135" s="18"/>
      <c r="V135" s="43"/>
      <c r="W135" s="18"/>
      <c r="X135" s="18"/>
    </row>
  </sheetData>
  <pageMargins left="0.25" right="0.25" top="0.75" bottom="0.75" header="0.3" footer="0.3"/>
  <pageSetup scale="55" fitToWidth="2" orientation="landscape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str">
        <f>CONCATENATE("Period ",RIGHT(202003,2),", ",2020)</f>
        <v>Period 03, 2020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43736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">
        <v>305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65688.590000000011</v>
      </c>
      <c r="E12" s="4"/>
      <c r="F12" s="12"/>
      <c r="G12" s="4"/>
      <c r="H12" s="4">
        <f>SUM(OSRRefH13x_0)</f>
        <v>85737.5</v>
      </c>
      <c r="I12" s="4"/>
      <c r="J12" s="12"/>
      <c r="K12" s="4"/>
      <c r="L12" s="4">
        <f t="shared" ref="L12:L28" si="0">+D12-H12</f>
        <v>-20048.909999999989</v>
      </c>
      <c r="M12" s="4"/>
      <c r="N12" s="12">
        <f t="shared" ref="N12:N28" si="1">IF(H12=0,0,L12/H12)</f>
        <v>-0.23384061816591328</v>
      </c>
      <c r="O12" s="10"/>
      <c r="P12" s="4">
        <f>SUM(OSRRefP13x_0)</f>
        <v>171964.24</v>
      </c>
      <c r="Q12" s="4"/>
      <c r="R12" s="12"/>
      <c r="S12" s="4"/>
      <c r="T12" s="4">
        <f>SUM(OSRRefT13x_0)</f>
        <v>205437.5</v>
      </c>
      <c r="U12" s="4"/>
      <c r="V12" s="12"/>
      <c r="W12" s="4"/>
      <c r="X12" s="4">
        <f t="shared" ref="X12:X28" si="2">+P12-T12</f>
        <v>-33473.260000000009</v>
      </c>
      <c r="Y12" s="4"/>
      <c r="Z12" s="12">
        <f t="shared" ref="Z12:Z28" si="3">IF(T12=0,0,X12/T12)</f>
        <v>-0.16293646486157595</v>
      </c>
    </row>
    <row r="13" spans="1:26" s="24" customFormat="1" hidden="1" outlineLevel="1" x14ac:dyDescent="0.25">
      <c r="A13" s="46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73387.5</v>
      </c>
      <c r="I13" s="2"/>
      <c r="J13" s="19"/>
      <c r="K13" s="2"/>
      <c r="L13" s="2">
        <f t="shared" si="0"/>
        <v>-73387.5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166012.5</v>
      </c>
      <c r="U13" s="2"/>
      <c r="V13" s="19"/>
      <c r="W13" s="2"/>
      <c r="X13" s="2">
        <f t="shared" si="2"/>
        <v>-166012.5</v>
      </c>
      <c r="Y13" s="2"/>
      <c r="Z13" s="19">
        <f t="shared" si="3"/>
        <v>-1</v>
      </c>
    </row>
    <row r="14" spans="1:26" s="24" customFormat="1" hidden="1" outlineLevel="1" x14ac:dyDescent="0.25">
      <c r="A14" s="46"/>
      <c r="B14" s="11" t="str">
        <f>CONCATENATE("          ", "4041", " - ", "TAXABLE SALES-LOGO GIFTS")</f>
        <v xml:space="preserve">          4041 - TAXABLE SALES-LOGO GIFTS</v>
      </c>
      <c r="C14" s="11"/>
      <c r="D14" s="2">
        <f>--20926.4</f>
        <v>20926.400000000001</v>
      </c>
      <c r="E14" s="2"/>
      <c r="F14" s="19"/>
      <c r="G14" s="2"/>
      <c r="H14" s="2"/>
      <c r="I14" s="2"/>
      <c r="J14" s="19"/>
      <c r="K14" s="2"/>
      <c r="L14" s="2">
        <f t="shared" si="0"/>
        <v>20926.400000000001</v>
      </c>
      <c r="M14" s="2"/>
      <c r="N14" s="19">
        <f t="shared" si="1"/>
        <v>0</v>
      </c>
      <c r="O14" s="11"/>
      <c r="P14" s="2">
        <f>--95294.2</f>
        <v>95294.2</v>
      </c>
      <c r="Q14" s="2"/>
      <c r="R14" s="19"/>
      <c r="S14" s="2"/>
      <c r="T14" s="2"/>
      <c r="U14" s="2"/>
      <c r="V14" s="19"/>
      <c r="W14" s="2"/>
      <c r="X14" s="2">
        <f t="shared" si="2"/>
        <v>95294.2</v>
      </c>
      <c r="Y14" s="2"/>
      <c r="Z14" s="19">
        <f t="shared" si="3"/>
        <v>0</v>
      </c>
    </row>
    <row r="15" spans="1:26" s="24" customFormat="1" hidden="1" outlineLevel="1" x14ac:dyDescent="0.25">
      <c r="A15" s="46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--7680.9</f>
        <v>7680.9</v>
      </c>
      <c r="E15" s="2"/>
      <c r="F15" s="19"/>
      <c r="G15" s="2"/>
      <c r="H15" s="2"/>
      <c r="I15" s="2"/>
      <c r="J15" s="19"/>
      <c r="K15" s="2"/>
      <c r="L15" s="2">
        <f t="shared" si="0"/>
        <v>7680.9</v>
      </c>
      <c r="M15" s="2"/>
      <c r="N15" s="19">
        <f t="shared" si="1"/>
        <v>0</v>
      </c>
      <c r="O15" s="11"/>
      <c r="P15" s="2">
        <f>--19757.89</f>
        <v>19757.89</v>
      </c>
      <c r="Q15" s="2"/>
      <c r="R15" s="19"/>
      <c r="S15" s="2"/>
      <c r="T15" s="2"/>
      <c r="U15" s="2"/>
      <c r="V15" s="19"/>
      <c r="W15" s="2"/>
      <c r="X15" s="2">
        <f t="shared" si="2"/>
        <v>19757.89</v>
      </c>
      <c r="Y15" s="2"/>
      <c r="Z15" s="19">
        <f t="shared" si="3"/>
        <v>0</v>
      </c>
    </row>
    <row r="16" spans="1:26" s="24" customFormat="1" hidden="1" outlineLevel="1" x14ac:dyDescent="0.25">
      <c r="A16" s="46"/>
      <c r="B16" s="11" t="str">
        <f>CONCATENATE("          ", "4043", " - ", "TAXABLE SALES-CARDS")</f>
        <v xml:space="preserve">          4043 - TAXABLE SALES-CARDS</v>
      </c>
      <c r="C16" s="11"/>
      <c r="D16" s="2">
        <f>--18.47</f>
        <v>18.47</v>
      </c>
      <c r="E16" s="2"/>
      <c r="F16" s="19"/>
      <c r="G16" s="2"/>
      <c r="H16" s="2"/>
      <c r="I16" s="2"/>
      <c r="J16" s="19"/>
      <c r="K16" s="2"/>
      <c r="L16" s="2">
        <f t="shared" si="0"/>
        <v>18.47</v>
      </c>
      <c r="M16" s="2"/>
      <c r="N16" s="19">
        <f t="shared" si="1"/>
        <v>0</v>
      </c>
      <c r="O16" s="11"/>
      <c r="P16" s="2">
        <f>--95.73</f>
        <v>95.73</v>
      </c>
      <c r="Q16" s="2"/>
      <c r="R16" s="19"/>
      <c r="S16" s="2"/>
      <c r="T16" s="2"/>
      <c r="U16" s="2"/>
      <c r="V16" s="19"/>
      <c r="W16" s="2"/>
      <c r="X16" s="2">
        <f t="shared" si="2"/>
        <v>95.73</v>
      </c>
      <c r="Y16" s="2"/>
      <c r="Z16" s="19">
        <f t="shared" si="3"/>
        <v>0</v>
      </c>
    </row>
    <row r="17" spans="1:26" s="24" customFormat="1" hidden="1" outlineLevel="1" x14ac:dyDescent="0.25">
      <c r="A17" s="46"/>
      <c r="B17" s="11" t="str">
        <f>CONCATENATE("          ", "4047", " - ", "TAXABLE SALES-MISC")</f>
        <v xml:space="preserve">          4047 - TAXABLE SALES-MISC</v>
      </c>
      <c r="C17" s="11"/>
      <c r="D17" s="2">
        <f>--488.97</f>
        <v>488.97</v>
      </c>
      <c r="E17" s="2"/>
      <c r="F17" s="19"/>
      <c r="G17" s="2"/>
      <c r="H17" s="2"/>
      <c r="I17" s="2"/>
      <c r="J17" s="19"/>
      <c r="K17" s="2"/>
      <c r="L17" s="2">
        <f t="shared" si="0"/>
        <v>488.97</v>
      </c>
      <c r="M17" s="2"/>
      <c r="N17" s="19">
        <f t="shared" si="1"/>
        <v>0</v>
      </c>
      <c r="O17" s="11"/>
      <c r="P17" s="2">
        <f>--971.35</f>
        <v>971.35</v>
      </c>
      <c r="Q17" s="2"/>
      <c r="R17" s="19"/>
      <c r="S17" s="2"/>
      <c r="T17" s="2"/>
      <c r="U17" s="2"/>
      <c r="V17" s="19"/>
      <c r="W17" s="2"/>
      <c r="X17" s="2">
        <f t="shared" si="2"/>
        <v>971.35</v>
      </c>
      <c r="Y17" s="2"/>
      <c r="Z17" s="19">
        <f t="shared" si="3"/>
        <v>0</v>
      </c>
    </row>
    <row r="18" spans="1:26" s="24" customFormat="1" hidden="1" outlineLevel="1" x14ac:dyDescent="0.25">
      <c r="A18" s="46"/>
      <c r="B18" s="11" t="str">
        <f>CONCATENATE("          ", "4092", " - ", "TAXABLE SALES-GRAD MERCH")</f>
        <v xml:space="preserve">          4092 - TAXABLE SALES-GRAD MERCH</v>
      </c>
      <c r="C18" s="11"/>
      <c r="D18" s="2">
        <f>--49.9</f>
        <v>49.9</v>
      </c>
      <c r="E18" s="2"/>
      <c r="F18" s="19"/>
      <c r="G18" s="2"/>
      <c r="H18" s="2"/>
      <c r="I18" s="2"/>
      <c r="J18" s="19"/>
      <c r="K18" s="2"/>
      <c r="L18" s="2">
        <f t="shared" si="0"/>
        <v>49.9</v>
      </c>
      <c r="M18" s="2"/>
      <c r="N18" s="19">
        <f t="shared" si="1"/>
        <v>0</v>
      </c>
      <c r="O18" s="11"/>
      <c r="P18" s="2">
        <f>--3912.58</f>
        <v>3912.58</v>
      </c>
      <c r="Q18" s="2"/>
      <c r="R18" s="19"/>
      <c r="S18" s="2"/>
      <c r="T18" s="2"/>
      <c r="U18" s="2"/>
      <c r="V18" s="19"/>
      <c r="W18" s="2"/>
      <c r="X18" s="2">
        <f t="shared" si="2"/>
        <v>3912.58</v>
      </c>
      <c r="Y18" s="2"/>
      <c r="Z18" s="19">
        <f t="shared" si="3"/>
        <v>0</v>
      </c>
    </row>
    <row r="19" spans="1:26" s="24" customFormat="1" hidden="1" outlineLevel="1" x14ac:dyDescent="0.25">
      <c r="A19" s="46"/>
      <c r="B19" s="11" t="str">
        <f>CONCATENATE("          ", "4095", " - ", "TAXABLE SALES-CUSTOMER SERVICE")</f>
        <v xml:space="preserve">          4095 - TAXABLE SALES-CUSTOMER SERVICE</v>
      </c>
      <c r="C19" s="11"/>
      <c r="D19" s="2">
        <f>--19.9</f>
        <v>19.899999999999999</v>
      </c>
      <c r="E19" s="2"/>
      <c r="F19" s="19"/>
      <c r="G19" s="2"/>
      <c r="H19" s="2"/>
      <c r="I19" s="2"/>
      <c r="J19" s="19"/>
      <c r="K19" s="2"/>
      <c r="L19" s="2">
        <f t="shared" si="0"/>
        <v>19.899999999999999</v>
      </c>
      <c r="M19" s="2"/>
      <c r="N19" s="19">
        <f t="shared" si="1"/>
        <v>0</v>
      </c>
      <c r="O19" s="11"/>
      <c r="P19" s="2">
        <f>--177.09</f>
        <v>177.09</v>
      </c>
      <c r="Q19" s="2"/>
      <c r="R19" s="19"/>
      <c r="S19" s="2"/>
      <c r="T19" s="2"/>
      <c r="U19" s="2"/>
      <c r="V19" s="19"/>
      <c r="W19" s="2"/>
      <c r="X19" s="2">
        <f t="shared" si="2"/>
        <v>177.09</v>
      </c>
      <c r="Y19" s="2"/>
      <c r="Z19" s="19">
        <f t="shared" si="3"/>
        <v>0</v>
      </c>
    </row>
    <row r="20" spans="1:26" s="24" customFormat="1" hidden="1" outlineLevel="1" x14ac:dyDescent="0.25">
      <c r="A20" s="46"/>
      <c r="B20" s="11" t="str">
        <f>CONCATENATE("          ", "4100", " - ", "NON-TAXABLE SALES")</f>
        <v xml:space="preserve">          4100 - NON-TAXABLE SALES</v>
      </c>
      <c r="C20" s="11"/>
      <c r="D20" s="2">
        <f>0</f>
        <v>0</v>
      </c>
      <c r="E20" s="2"/>
      <c r="F20" s="19"/>
      <c r="G20" s="2"/>
      <c r="H20" s="2">
        <v>12350</v>
      </c>
      <c r="I20" s="2"/>
      <c r="J20" s="19"/>
      <c r="K20" s="2"/>
      <c r="L20" s="2">
        <f t="shared" si="0"/>
        <v>-12350</v>
      </c>
      <c r="M20" s="2"/>
      <c r="N20" s="19">
        <f t="shared" si="1"/>
        <v>-1</v>
      </c>
      <c r="O20" s="11"/>
      <c r="P20" s="2">
        <f>0</f>
        <v>0</v>
      </c>
      <c r="Q20" s="2"/>
      <c r="R20" s="19"/>
      <c r="S20" s="2"/>
      <c r="T20" s="2">
        <v>39425</v>
      </c>
      <c r="U20" s="2"/>
      <c r="V20" s="19"/>
      <c r="W20" s="2"/>
      <c r="X20" s="2">
        <f t="shared" si="2"/>
        <v>-39425</v>
      </c>
      <c r="Y20" s="2"/>
      <c r="Z20" s="19">
        <f t="shared" si="3"/>
        <v>-1</v>
      </c>
    </row>
    <row r="21" spans="1:26" s="24" customFormat="1" hidden="1" outlineLevel="1" x14ac:dyDescent="0.25">
      <c r="A21" s="46"/>
      <c r="B21" s="11" t="str">
        <f>CONCATENATE("          ", "4141", " - ", "NON-TAXABLE SALES-LOGO GIFTS")</f>
        <v xml:space="preserve">          4141 - NON-TAXABLE SALES-LOGO GIFTS</v>
      </c>
      <c r="C21" s="11"/>
      <c r="D21" s="2">
        <f>-24.65</f>
        <v>-24.65</v>
      </c>
      <c r="E21" s="2"/>
      <c r="F21" s="19"/>
      <c r="G21" s="2"/>
      <c r="H21" s="2"/>
      <c r="I21" s="2"/>
      <c r="J21" s="19"/>
      <c r="K21" s="2"/>
      <c r="L21" s="2">
        <f t="shared" si="0"/>
        <v>-24.65</v>
      </c>
      <c r="M21" s="2"/>
      <c r="N21" s="19">
        <f t="shared" si="1"/>
        <v>0</v>
      </c>
      <c r="O21" s="11"/>
      <c r="P21" s="2">
        <f>--152.75</f>
        <v>152.75</v>
      </c>
      <c r="Q21" s="2"/>
      <c r="R21" s="19"/>
      <c r="S21" s="2"/>
      <c r="T21" s="2"/>
      <c r="U21" s="2"/>
      <c r="V21" s="19"/>
      <c r="W21" s="2"/>
      <c r="X21" s="2">
        <f t="shared" si="2"/>
        <v>152.75</v>
      </c>
      <c r="Y21" s="2"/>
      <c r="Z21" s="19">
        <f t="shared" si="3"/>
        <v>0</v>
      </c>
    </row>
    <row r="22" spans="1:26" s="24" customFormat="1" hidden="1" outlineLevel="1" x14ac:dyDescent="0.25">
      <c r="A22" s="46"/>
      <c r="B22" s="11" t="str">
        <f>CONCATENATE("          ", "4142", " - ", "NON-TAXABLE SALES-EVERYDAY GIF")</f>
        <v xml:space="preserve">          4142 - NON-TAXABLE SALES-EVERYDAY GIF</v>
      </c>
      <c r="C22" s="11"/>
      <c r="D22" s="2">
        <f>--1589.5</f>
        <v>1589.5</v>
      </c>
      <c r="E22" s="2"/>
      <c r="F22" s="19"/>
      <c r="G22" s="2"/>
      <c r="H22" s="2"/>
      <c r="I22" s="2"/>
      <c r="J22" s="19"/>
      <c r="K22" s="2"/>
      <c r="L22" s="2">
        <f t="shared" si="0"/>
        <v>1589.5</v>
      </c>
      <c r="M22" s="2"/>
      <c r="N22" s="19">
        <f t="shared" si="1"/>
        <v>0</v>
      </c>
      <c r="O22" s="11"/>
      <c r="P22" s="2">
        <f>--2101.5</f>
        <v>2101.5</v>
      </c>
      <c r="Q22" s="2"/>
      <c r="R22" s="19"/>
      <c r="S22" s="2"/>
      <c r="T22" s="2"/>
      <c r="U22" s="2"/>
      <c r="V22" s="19"/>
      <c r="W22" s="2"/>
      <c r="X22" s="2">
        <f t="shared" si="2"/>
        <v>2101.5</v>
      </c>
      <c r="Y22" s="2"/>
      <c r="Z22" s="19">
        <f t="shared" si="3"/>
        <v>0</v>
      </c>
    </row>
    <row r="23" spans="1:26" s="24" customFormat="1" hidden="1" outlineLevel="1" x14ac:dyDescent="0.25">
      <c r="A23" s="46"/>
      <c r="B23" s="11" t="str">
        <f>CONCATENATE("          ", "4146", " - ", "NON-TAXABLE SALES-COIN OP MACH")</f>
        <v xml:space="preserve">          4146 - NON-TAXABLE SALES-COIN OP MACH</v>
      </c>
      <c r="C23" s="11"/>
      <c r="D23" s="2">
        <f>--34744.75</f>
        <v>34744.75</v>
      </c>
      <c r="E23" s="2"/>
      <c r="F23" s="19"/>
      <c r="G23" s="2"/>
      <c r="H23" s="2"/>
      <c r="I23" s="2"/>
      <c r="J23" s="19"/>
      <c r="K23" s="2"/>
      <c r="L23" s="2">
        <f t="shared" si="0"/>
        <v>34744.75</v>
      </c>
      <c r="M23" s="2"/>
      <c r="N23" s="19">
        <f t="shared" si="1"/>
        <v>0</v>
      </c>
      <c r="O23" s="11"/>
      <c r="P23" s="2">
        <f>--50093.5</f>
        <v>50093.5</v>
      </c>
      <c r="Q23" s="2"/>
      <c r="R23" s="19"/>
      <c r="S23" s="2"/>
      <c r="T23" s="2"/>
      <c r="U23" s="2"/>
      <c r="V23" s="19"/>
      <c r="W23" s="2"/>
      <c r="X23" s="2">
        <f t="shared" si="2"/>
        <v>50093.5</v>
      </c>
      <c r="Y23" s="2"/>
      <c r="Z23" s="19">
        <f t="shared" si="3"/>
        <v>0</v>
      </c>
    </row>
    <row r="24" spans="1:26" s="24" customFormat="1" hidden="1" outlineLevel="1" x14ac:dyDescent="0.25">
      <c r="A24" s="46"/>
      <c r="B24" s="11" t="str">
        <f>CONCATENATE("          ", "4147", " - ", "NON-TAXABLE SALES-MISC")</f>
        <v xml:space="preserve">          4147 - NON-TAXABLE SALES-MISC</v>
      </c>
      <c r="C24" s="11"/>
      <c r="D24" s="2">
        <f>--344.5</f>
        <v>344.5</v>
      </c>
      <c r="E24" s="2"/>
      <c r="F24" s="19"/>
      <c r="G24" s="2"/>
      <c r="H24" s="2"/>
      <c r="I24" s="2"/>
      <c r="J24" s="19"/>
      <c r="K24" s="2"/>
      <c r="L24" s="2">
        <f t="shared" si="0"/>
        <v>344.5</v>
      </c>
      <c r="M24" s="2"/>
      <c r="N24" s="19">
        <f t="shared" si="1"/>
        <v>0</v>
      </c>
      <c r="O24" s="11"/>
      <c r="P24" s="2">
        <f>--414.9</f>
        <v>414.9</v>
      </c>
      <c r="Q24" s="2"/>
      <c r="R24" s="19"/>
      <c r="S24" s="2"/>
      <c r="T24" s="2"/>
      <c r="U24" s="2"/>
      <c r="V24" s="19"/>
      <c r="W24" s="2"/>
      <c r="X24" s="2">
        <f t="shared" si="2"/>
        <v>414.9</v>
      </c>
      <c r="Y24" s="2"/>
      <c r="Z24" s="19">
        <f t="shared" si="3"/>
        <v>0</v>
      </c>
    </row>
    <row r="25" spans="1:26" s="24" customFormat="1" hidden="1" outlineLevel="1" x14ac:dyDescent="0.25">
      <c r="A25" s="46"/>
      <c r="B25" s="11" t="str">
        <f>CONCATENATE("          ", "4241", " - ", "SALES RETURN TAXABLE-LOGO GIFT")</f>
        <v xml:space="preserve">          4241 - SALES RETURN TAXABLE-LOGO GIFT</v>
      </c>
      <c r="C25" s="11"/>
      <c r="D25" s="2">
        <f>-150.05</f>
        <v>-150.05000000000001</v>
      </c>
      <c r="E25" s="2"/>
      <c r="F25" s="19"/>
      <c r="G25" s="2"/>
      <c r="H25" s="2"/>
      <c r="I25" s="2"/>
      <c r="J25" s="19"/>
      <c r="K25" s="2"/>
      <c r="L25" s="2">
        <f t="shared" si="0"/>
        <v>-150.05000000000001</v>
      </c>
      <c r="M25" s="2"/>
      <c r="N25" s="19">
        <f t="shared" si="1"/>
        <v>0</v>
      </c>
      <c r="O25" s="11"/>
      <c r="P25" s="2">
        <f>-613.75</f>
        <v>-613.75</v>
      </c>
      <c r="Q25" s="2"/>
      <c r="R25" s="19"/>
      <c r="S25" s="2"/>
      <c r="T25" s="2"/>
      <c r="U25" s="2"/>
      <c r="V25" s="19"/>
      <c r="W25" s="2"/>
      <c r="X25" s="2">
        <f t="shared" si="2"/>
        <v>-613.75</v>
      </c>
      <c r="Y25" s="2"/>
      <c r="Z25" s="19">
        <f t="shared" si="3"/>
        <v>0</v>
      </c>
    </row>
    <row r="26" spans="1:26" s="24" customFormat="1" hidden="1" outlineLevel="1" x14ac:dyDescent="0.25">
      <c r="A26" s="46"/>
      <c r="B26" s="11" t="str">
        <f>CONCATENATE("          ", "4242", " - ", "SALES RETURN TAXABLE-EVERYDAY")</f>
        <v xml:space="preserve">          4242 - SALES RETURN TAXABLE-EVERYDAY</v>
      </c>
      <c r="C26" s="11"/>
      <c r="D26" s="2">
        <f t="shared" ref="D26:D28" si="4">0</f>
        <v>0</v>
      </c>
      <c r="E26" s="2"/>
      <c r="F26" s="19"/>
      <c r="G26" s="2"/>
      <c r="H26" s="2"/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-16.2</f>
        <v>-16.2</v>
      </c>
      <c r="Q26" s="2"/>
      <c r="R26" s="19"/>
      <c r="S26" s="2"/>
      <c r="T26" s="2"/>
      <c r="U26" s="2"/>
      <c r="V26" s="19"/>
      <c r="W26" s="2"/>
      <c r="X26" s="2">
        <f t="shared" si="2"/>
        <v>-16.2</v>
      </c>
      <c r="Y26" s="2"/>
      <c r="Z26" s="19">
        <f t="shared" si="3"/>
        <v>0</v>
      </c>
    </row>
    <row r="27" spans="1:26" s="24" customFormat="1" hidden="1" outlineLevel="1" x14ac:dyDescent="0.25">
      <c r="A27" s="46"/>
      <c r="B27" s="11" t="str">
        <f>CONCATENATE("          ", "4292", " - ", "SALES RETURN TAXABLE-GRAD MERC")</f>
        <v xml:space="preserve">          4292 - SALES RETURN TAXABLE-GRAD MERC</v>
      </c>
      <c r="C27" s="11"/>
      <c r="D27" s="2">
        <f t="shared" si="4"/>
        <v>0</v>
      </c>
      <c r="E27" s="2"/>
      <c r="F27" s="19"/>
      <c r="G27" s="2"/>
      <c r="H27" s="2"/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-369.15</f>
        <v>-369.15</v>
      </c>
      <c r="Q27" s="2"/>
      <c r="R27" s="19"/>
      <c r="S27" s="2"/>
      <c r="T27" s="2"/>
      <c r="U27" s="2"/>
      <c r="V27" s="19"/>
      <c r="W27" s="2"/>
      <c r="X27" s="2">
        <f t="shared" si="2"/>
        <v>-369.15</v>
      </c>
      <c r="Y27" s="2"/>
      <c r="Z27" s="19">
        <f t="shared" si="3"/>
        <v>0</v>
      </c>
    </row>
    <row r="28" spans="1:26" s="24" customFormat="1" hidden="1" outlineLevel="1" x14ac:dyDescent="0.25">
      <c r="A28" s="46"/>
      <c r="B28" s="11" t="str">
        <f>CONCATENATE("          ", "4346", " - ", "SALES RETURN NON TAXABLE-COIN-")</f>
        <v xml:space="preserve">          4346 - SALES RETURN NON TAXABLE-COIN-</v>
      </c>
      <c r="C28" s="11"/>
      <c r="D28" s="2">
        <f t="shared" si="4"/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-8.15</f>
        <v>-8.15</v>
      </c>
      <c r="Q28" s="2"/>
      <c r="R28" s="19"/>
      <c r="S28" s="2"/>
      <c r="T28" s="2"/>
      <c r="U28" s="2"/>
      <c r="V28" s="19"/>
      <c r="W28" s="2"/>
      <c r="X28" s="2">
        <f t="shared" si="2"/>
        <v>-8.15</v>
      </c>
      <c r="Y28" s="2"/>
      <c r="Z28" s="19">
        <f t="shared" si="3"/>
        <v>0</v>
      </c>
    </row>
    <row r="29" spans="1:26" x14ac:dyDescent="0.25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collapsed="1" x14ac:dyDescent="0.25">
      <c r="A30" s="10"/>
      <c r="B30" s="28" t="s">
        <v>8</v>
      </c>
      <c r="C30" s="10"/>
      <c r="D30" s="4">
        <f>SUM(OSRRefD16x_0)</f>
        <v>26.160000000000046</v>
      </c>
      <c r="E30" s="4"/>
      <c r="F30" s="12">
        <f t="shared" ref="F30:F35" si="5">IF(D$12=0,0,D30/D$12)</f>
        <v>3.9824267806631321E-4</v>
      </c>
      <c r="G30" s="4"/>
      <c r="H30" s="4">
        <f>SUM(OSRRefH16x_0)</f>
        <v>0</v>
      </c>
      <c r="I30" s="4"/>
      <c r="J30" s="12">
        <f t="shared" ref="J30:J35" si="6">IF(H$12=0,0,H30/H$12)</f>
        <v>0</v>
      </c>
      <c r="K30" s="4"/>
      <c r="L30" s="4">
        <f t="shared" ref="L30:L35" si="7">+D30-H30</f>
        <v>26.160000000000046</v>
      </c>
      <c r="M30" s="4"/>
      <c r="N30" s="12">
        <f t="shared" ref="N30:N35" si="8">IF(H30=0,0,L30/H30)</f>
        <v>0</v>
      </c>
      <c r="O30" s="10"/>
      <c r="P30" s="4">
        <f>SUM(OSRRefP16x_0)</f>
        <v>1891.58</v>
      </c>
      <c r="Q30" s="4"/>
      <c r="R30" s="12">
        <f t="shared" ref="R30:R35" si="9">IF(P$12=0,0,P30/P$12)</f>
        <v>1.0999845084070968E-2</v>
      </c>
      <c r="S30" s="4"/>
      <c r="T30" s="4">
        <f>SUM(OSRRefT16x_0)</f>
        <v>0</v>
      </c>
      <c r="U30" s="4"/>
      <c r="V30" s="12">
        <f t="shared" ref="V30:V35" si="10">IF(T$12=0,0,T30/T$12)</f>
        <v>0</v>
      </c>
      <c r="W30" s="4"/>
      <c r="X30" s="4">
        <f t="shared" ref="X30:X35" si="11">+P30-T30</f>
        <v>1891.58</v>
      </c>
      <c r="Y30" s="4"/>
      <c r="Z30" s="12">
        <f t="shared" ref="Z30:Z35" si="12">IF(T30=0,0,X30/T30)</f>
        <v>0</v>
      </c>
    </row>
    <row r="31" spans="1:26" s="24" customFormat="1" hidden="1" outlineLevel="1" x14ac:dyDescent="0.25">
      <c r="A31" s="46"/>
      <c r="B31" s="11" t="str">
        <f>CONCATENATE("          ", "5092", " - ", "PURCHASES @ COST-GRAD MERCH")</f>
        <v xml:space="preserve">          5092 - PURCHASES @ COST-GRAD MERCH</v>
      </c>
      <c r="C31" s="11"/>
      <c r="D31" s="2">
        <v>-615.04999999999995</v>
      </c>
      <c r="E31" s="2"/>
      <c r="F31" s="19">
        <f t="shared" si="5"/>
        <v>-9.3631177043075487E-3</v>
      </c>
      <c r="G31" s="2"/>
      <c r="H31" s="2"/>
      <c r="I31" s="2"/>
      <c r="J31" s="19">
        <f t="shared" si="6"/>
        <v>0</v>
      </c>
      <c r="K31" s="2"/>
      <c r="L31" s="2">
        <f t="shared" si="7"/>
        <v>-615.04999999999995</v>
      </c>
      <c r="M31" s="2"/>
      <c r="N31" s="19">
        <f t="shared" si="8"/>
        <v>0</v>
      </c>
      <c r="O31" s="11"/>
      <c r="P31" s="2">
        <v>12.95</v>
      </c>
      <c r="Q31" s="2"/>
      <c r="R31" s="19">
        <f t="shared" si="9"/>
        <v>7.5306354390889641E-5</v>
      </c>
      <c r="S31" s="2"/>
      <c r="T31" s="2"/>
      <c r="U31" s="2"/>
      <c r="V31" s="19">
        <f t="shared" si="10"/>
        <v>0</v>
      </c>
      <c r="W31" s="2"/>
      <c r="X31" s="2">
        <f t="shared" si="11"/>
        <v>12.95</v>
      </c>
      <c r="Y31" s="2"/>
      <c r="Z31" s="19">
        <f t="shared" si="12"/>
        <v>0</v>
      </c>
    </row>
    <row r="32" spans="1:26" s="24" customFormat="1" hidden="1" outlineLevel="1" x14ac:dyDescent="0.25">
      <c r="A32" s="46"/>
      <c r="B32" s="11" t="str">
        <f>CONCATENATE("          ", "5095", " - ", "PURCHASES @ COST-CUSTOMER SERV")</f>
        <v xml:space="preserve">          5095 - PURCHASES @ COST-CUSTOMER SERV</v>
      </c>
      <c r="C32" s="11"/>
      <c r="D32" s="2"/>
      <c r="E32" s="2"/>
      <c r="F32" s="19">
        <f t="shared" si="5"/>
        <v>0</v>
      </c>
      <c r="G32" s="2"/>
      <c r="H32" s="2"/>
      <c r="I32" s="2"/>
      <c r="J32" s="19">
        <f t="shared" si="6"/>
        <v>0</v>
      </c>
      <c r="K32" s="2"/>
      <c r="L32" s="2">
        <f t="shared" si="7"/>
        <v>0</v>
      </c>
      <c r="M32" s="2"/>
      <c r="N32" s="19">
        <f t="shared" si="8"/>
        <v>0</v>
      </c>
      <c r="O32" s="11"/>
      <c r="P32" s="2">
        <v>11.85</v>
      </c>
      <c r="Q32" s="2"/>
      <c r="R32" s="19">
        <f t="shared" si="9"/>
        <v>6.8909675639539948E-5</v>
      </c>
      <c r="S32" s="2"/>
      <c r="T32" s="2"/>
      <c r="U32" s="2"/>
      <c r="V32" s="19">
        <f t="shared" si="10"/>
        <v>0</v>
      </c>
      <c r="W32" s="2"/>
      <c r="X32" s="2">
        <f t="shared" si="11"/>
        <v>11.85</v>
      </c>
      <c r="Y32" s="2"/>
      <c r="Z32" s="19">
        <f t="shared" si="12"/>
        <v>0</v>
      </c>
    </row>
    <row r="33" spans="1:26" s="24" customFormat="1" hidden="1" outlineLevel="1" x14ac:dyDescent="0.25">
      <c r="A33" s="46"/>
      <c r="B33" s="11" t="str">
        <f>CONCATENATE("          ", "5200", " - ", "PURCHASES OFFSET")</f>
        <v xml:space="preserve">          5200 - PURCHASES OFFSET</v>
      </c>
      <c r="C33" s="11"/>
      <c r="D33" s="2">
        <v>604</v>
      </c>
      <c r="E33" s="2"/>
      <c r="F33" s="19">
        <f t="shared" si="5"/>
        <v>9.194899753518837E-3</v>
      </c>
      <c r="G33" s="2"/>
      <c r="H33" s="2"/>
      <c r="I33" s="2"/>
      <c r="J33" s="19">
        <f t="shared" si="6"/>
        <v>0</v>
      </c>
      <c r="K33" s="2"/>
      <c r="L33" s="2">
        <f t="shared" si="7"/>
        <v>604</v>
      </c>
      <c r="M33" s="2"/>
      <c r="N33" s="19">
        <f t="shared" si="8"/>
        <v>0</v>
      </c>
      <c r="O33" s="11"/>
      <c r="P33" s="2">
        <v>-96</v>
      </c>
      <c r="Q33" s="2"/>
      <c r="R33" s="19">
        <f t="shared" si="9"/>
        <v>-5.5825560011779195E-4</v>
      </c>
      <c r="S33" s="2"/>
      <c r="T33" s="2"/>
      <c r="U33" s="2"/>
      <c r="V33" s="19">
        <f t="shared" si="10"/>
        <v>0</v>
      </c>
      <c r="W33" s="2"/>
      <c r="X33" s="2">
        <f t="shared" si="11"/>
        <v>-96</v>
      </c>
      <c r="Y33" s="2"/>
      <c r="Z33" s="19">
        <f t="shared" si="12"/>
        <v>0</v>
      </c>
    </row>
    <row r="34" spans="1:26" s="24" customFormat="1" hidden="1" outlineLevel="1" x14ac:dyDescent="0.25">
      <c r="A34" s="46"/>
      <c r="B34" s="11" t="str">
        <f>CONCATENATE("          ", "5300", " - ", "COG$ OFFSET")</f>
        <v xml:space="preserve">          5300 - COG$ OFFSET</v>
      </c>
      <c r="C34" s="11"/>
      <c r="D34" s="2">
        <v>26</v>
      </c>
      <c r="E34" s="2"/>
      <c r="F34" s="19">
        <f t="shared" si="5"/>
        <v>3.9580694303226779E-4</v>
      </c>
      <c r="G34" s="2"/>
      <c r="H34" s="2"/>
      <c r="I34" s="2"/>
      <c r="J34" s="19">
        <f t="shared" si="6"/>
        <v>0</v>
      </c>
      <c r="K34" s="2"/>
      <c r="L34" s="2">
        <f t="shared" si="7"/>
        <v>26</v>
      </c>
      <c r="M34" s="2"/>
      <c r="N34" s="19">
        <f t="shared" si="8"/>
        <v>0</v>
      </c>
      <c r="O34" s="11"/>
      <c r="P34" s="2">
        <v>1892</v>
      </c>
      <c r="Q34" s="2"/>
      <c r="R34" s="19">
        <f t="shared" si="9"/>
        <v>1.1002287452321484E-2</v>
      </c>
      <c r="S34" s="2"/>
      <c r="T34" s="2"/>
      <c r="U34" s="2"/>
      <c r="V34" s="19">
        <f t="shared" si="10"/>
        <v>0</v>
      </c>
      <c r="W34" s="2"/>
      <c r="X34" s="2">
        <f t="shared" si="11"/>
        <v>1892</v>
      </c>
      <c r="Y34" s="2"/>
      <c r="Z34" s="19">
        <f t="shared" si="12"/>
        <v>0</v>
      </c>
    </row>
    <row r="35" spans="1:26" s="24" customFormat="1" hidden="1" outlineLevel="1" x14ac:dyDescent="0.25">
      <c r="A35" s="46"/>
      <c r="B35" s="11" t="str">
        <f>CONCATENATE("          ", "5592", " - ", "FREIGHT-IN-GRAD MERCH")</f>
        <v xml:space="preserve">          5592 - FREIGHT-IN-GRAD MERCH</v>
      </c>
      <c r="C35" s="11"/>
      <c r="D35" s="2">
        <v>11.21</v>
      </c>
      <c r="E35" s="2"/>
      <c r="F35" s="19">
        <f t="shared" si="5"/>
        <v>1.7065368582275855E-4</v>
      </c>
      <c r="G35" s="2"/>
      <c r="H35" s="2"/>
      <c r="I35" s="2"/>
      <c r="J35" s="19">
        <f t="shared" si="6"/>
        <v>0</v>
      </c>
      <c r="K35" s="2"/>
      <c r="L35" s="2">
        <f t="shared" si="7"/>
        <v>11.21</v>
      </c>
      <c r="M35" s="2"/>
      <c r="N35" s="19">
        <f t="shared" si="8"/>
        <v>0</v>
      </c>
      <c r="O35" s="11"/>
      <c r="P35" s="2">
        <v>70.78</v>
      </c>
      <c r="Q35" s="2"/>
      <c r="R35" s="19">
        <f t="shared" si="9"/>
        <v>4.1159720183684702E-4</v>
      </c>
      <c r="S35" s="2"/>
      <c r="T35" s="2"/>
      <c r="U35" s="2"/>
      <c r="V35" s="19">
        <f t="shared" si="10"/>
        <v>0</v>
      </c>
      <c r="W35" s="2"/>
      <c r="X35" s="2">
        <f t="shared" si="11"/>
        <v>70.78</v>
      </c>
      <c r="Y35" s="2"/>
      <c r="Z35" s="19">
        <f t="shared" si="12"/>
        <v>0</v>
      </c>
    </row>
    <row r="36" spans="1:26" x14ac:dyDescent="0.25">
      <c r="A36" s="9"/>
      <c r="B36" s="10"/>
      <c r="C36" s="10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O36" s="10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x14ac:dyDescent="0.25">
      <c r="A37" s="10"/>
      <c r="B37" s="29" t="s">
        <v>6</v>
      </c>
      <c r="C37" s="29"/>
      <c r="D37" s="22">
        <f>D12-D30</f>
        <v>65662.430000000008</v>
      </c>
      <c r="E37" s="14"/>
      <c r="F37" s="20">
        <f>IF(D$12=0,0,D37/D$12)</f>
        <v>0.99960175732193368</v>
      </c>
      <c r="G37" s="14"/>
      <c r="H37" s="22">
        <f>H12-H30</f>
        <v>85737.5</v>
      </c>
      <c r="I37" s="14"/>
      <c r="J37" s="20">
        <f>IF(H$12=0,0,H37/H$12)</f>
        <v>1</v>
      </c>
      <c r="K37" s="15"/>
      <c r="L37" s="22">
        <f>+D37-H37</f>
        <v>-20075.069999999992</v>
      </c>
      <c r="M37" s="15"/>
      <c r="N37" s="20">
        <f>IF(H37=0,0,L37/H37)</f>
        <v>-0.23414573552996054</v>
      </c>
      <c r="O37" s="28"/>
      <c r="P37" s="22">
        <f>P12-P30</f>
        <v>170072.66</v>
      </c>
      <c r="Q37" s="14"/>
      <c r="R37" s="20">
        <f>IF(P$12=0,0,P37/P$12)</f>
        <v>0.98900015491592908</v>
      </c>
      <c r="S37" s="14"/>
      <c r="T37" s="22">
        <f>T12-T30</f>
        <v>205437.5</v>
      </c>
      <c r="U37" s="14"/>
      <c r="V37" s="20">
        <f>IF(T$12=0,0,T37/T$12)</f>
        <v>1</v>
      </c>
      <c r="W37" s="15"/>
      <c r="X37" s="22">
        <f>+P37-T37</f>
        <v>-35364.839999999997</v>
      </c>
      <c r="Y37" s="15"/>
      <c r="Z37" s="20">
        <f>IF(T37=0,0,X37/T37)</f>
        <v>-0.17214403407362336</v>
      </c>
    </row>
    <row r="38" spans="1:26" x14ac:dyDescent="0.25">
      <c r="A38" s="9"/>
      <c r="B38" s="10"/>
      <c r="C38" s="9"/>
      <c r="D38" s="1"/>
      <c r="E38" s="1"/>
      <c r="F38" s="5"/>
      <c r="G38" s="1"/>
      <c r="H38" s="1"/>
      <c r="I38" s="1"/>
      <c r="J38" s="5"/>
      <c r="K38" s="1"/>
      <c r="L38" s="1"/>
      <c r="M38" s="1"/>
      <c r="N38" s="5"/>
      <c r="O38" s="36"/>
      <c r="P38" s="1"/>
      <c r="Q38" s="1"/>
      <c r="R38" s="5"/>
      <c r="S38" s="1"/>
      <c r="T38" s="1"/>
      <c r="U38" s="1"/>
      <c r="V38" s="5"/>
      <c r="W38" s="1"/>
      <c r="X38" s="1"/>
      <c r="Y38" s="1"/>
      <c r="Z38" s="5"/>
    </row>
    <row r="39" spans="1:26" s="23" customFormat="1" x14ac:dyDescent="0.25">
      <c r="A39" s="10"/>
      <c r="B39" s="28" t="s">
        <v>9</v>
      </c>
      <c r="C39" s="10"/>
      <c r="D39" s="21">
        <f>SUM(OSRRefD22x_0)</f>
        <v>58502.80000000001</v>
      </c>
      <c r="E39" s="21"/>
      <c r="F39" s="33">
        <f t="shared" ref="F39:F49" si="13">IF(D$12=0,0,D39/D$12)</f>
        <v>0.89060824718569842</v>
      </c>
      <c r="G39" s="21"/>
      <c r="H39" s="21">
        <f>SUM(OSRRefH22x_0)</f>
        <v>36276.399003760351</v>
      </c>
      <c r="I39" s="21"/>
      <c r="J39" s="33">
        <f t="shared" ref="J39:J49" si="14">IF(H$12=0,0,H39/H$12)</f>
        <v>0.42311006273521329</v>
      </c>
      <c r="K39" s="4"/>
      <c r="L39" s="21">
        <f t="shared" ref="L39:L49" si="15">+D39-H39</f>
        <v>22226.400996239659</v>
      </c>
      <c r="M39" s="4"/>
      <c r="N39" s="33">
        <f t="shared" ref="N39:N49" si="16">IF(H39=0,0,L39/H39)</f>
        <v>0.61269590165042864</v>
      </c>
      <c r="O39" s="10"/>
      <c r="P39" s="21">
        <f>SUM(OSRRefP22x_0)</f>
        <v>120315.00000000001</v>
      </c>
      <c r="Q39" s="21"/>
      <c r="R39" s="33">
        <f t="shared" ref="R39:R49" si="17">IF(P$12=0,0,P39/P$12)</f>
        <v>0.69965127633512658</v>
      </c>
      <c r="S39" s="21"/>
      <c r="T39" s="21">
        <f>SUM(OSRRefT22x_0)</f>
        <v>141326.45064548426</v>
      </c>
      <c r="U39" s="21"/>
      <c r="V39" s="33">
        <f t="shared" ref="V39:V49" si="18">IF(T$12=0,0,T39/T$12)</f>
        <v>0.68792917868200432</v>
      </c>
      <c r="W39" s="4"/>
      <c r="X39" s="21">
        <f t="shared" ref="X39:X49" si="19">+P39-T39</f>
        <v>-21011.450645484249</v>
      </c>
      <c r="Y39" s="4"/>
      <c r="Z39" s="33">
        <f t="shared" ref="Z39:Z49" si="20">IF(T39=0,0,X39/T39)</f>
        <v>-0.14867316450330464</v>
      </c>
    </row>
    <row r="40" spans="1:26" s="26" customFormat="1" outlineLevel="1" collapsed="1" x14ac:dyDescent="0.25">
      <c r="A40" s="27"/>
      <c r="B40" s="13" t="str">
        <f>CONCATENATE("     ","*Benefits                                         ")</f>
        <v xml:space="preserve">     *Benefits                                         </v>
      </c>
      <c r="C40" s="13"/>
      <c r="D40" s="1">
        <f>SUM(OSRRefD22_0x_0)</f>
        <v>7974.0300000000007</v>
      </c>
      <c r="E40" s="1"/>
      <c r="F40" s="5">
        <f t="shared" si="13"/>
        <v>0.12139140145952287</v>
      </c>
      <c r="G40" s="1"/>
      <c r="H40" s="1">
        <f>SUM(OSRRefH22_0x_0)</f>
        <v>6636.5742999480399</v>
      </c>
      <c r="I40" s="1"/>
      <c r="J40" s="5">
        <f t="shared" si="14"/>
        <v>7.7405736112529988E-2</v>
      </c>
      <c r="K40" s="1"/>
      <c r="L40" s="1">
        <f t="shared" si="15"/>
        <v>1337.4557000519608</v>
      </c>
      <c r="M40" s="1"/>
      <c r="N40" s="5">
        <f t="shared" si="16"/>
        <v>0.20152802328490954</v>
      </c>
      <c r="O40" s="13"/>
      <c r="P40" s="1">
        <f>SUM(OSRRefP22_0x_0)</f>
        <v>23116.100000000002</v>
      </c>
      <c r="Q40" s="1"/>
      <c r="R40" s="5">
        <f t="shared" si="17"/>
        <v>0.13442387789461346</v>
      </c>
      <c r="S40" s="1"/>
      <c r="T40" s="1">
        <f>SUM(OSRRefT22_0x_0)</f>
        <v>21041.510490044242</v>
      </c>
      <c r="U40" s="1"/>
      <c r="V40" s="5">
        <f t="shared" si="18"/>
        <v>0.102422929066233</v>
      </c>
      <c r="W40" s="1"/>
      <c r="X40" s="1">
        <f t="shared" si="19"/>
        <v>2074.5895099557601</v>
      </c>
      <c r="Y40" s="1"/>
      <c r="Z40" s="5">
        <f t="shared" si="20"/>
        <v>9.8595084746285158E-2</v>
      </c>
    </row>
    <row r="41" spans="1:26" s="24" customFormat="1" hidden="1" outlineLevel="2" x14ac:dyDescent="0.25">
      <c r="A41" s="25"/>
      <c r="B41" s="11" t="str">
        <f>CONCATENATE("          ", "6111", " - ", "F.I.C.A.")</f>
        <v xml:space="preserve">          6111 - F.I.C.A.</v>
      </c>
      <c r="C41" s="11"/>
      <c r="D41" s="7">
        <v>1053.6400000000001</v>
      </c>
      <c r="E41" s="2"/>
      <c r="F41" s="6">
        <f t="shared" si="13"/>
        <v>1.6039924132943025E-2</v>
      </c>
      <c r="G41" s="2"/>
      <c r="H41" s="7">
        <v>1190.5841565692351</v>
      </c>
      <c r="I41" s="2"/>
      <c r="J41" s="6">
        <f t="shared" si="14"/>
        <v>1.388638759666698E-2</v>
      </c>
      <c r="K41" s="2"/>
      <c r="L41" s="7">
        <f t="shared" si="15"/>
        <v>-136.94415656923502</v>
      </c>
      <c r="M41" s="2"/>
      <c r="N41" s="6">
        <f t="shared" si="16"/>
        <v>-0.11502265993850508</v>
      </c>
      <c r="O41" s="11"/>
      <c r="P41" s="7">
        <v>3542.57</v>
      </c>
      <c r="Q41" s="2"/>
      <c r="R41" s="6">
        <f t="shared" si="17"/>
        <v>2.0600620221971733E-2</v>
      </c>
      <c r="S41" s="2"/>
      <c r="T41" s="7">
        <v>4115.3380997257009</v>
      </c>
      <c r="U41" s="2"/>
      <c r="V41" s="6">
        <f t="shared" si="18"/>
        <v>2.0032068632677584E-2</v>
      </c>
      <c r="W41" s="2"/>
      <c r="X41" s="7">
        <f t="shared" si="19"/>
        <v>-572.76809972570072</v>
      </c>
      <c r="Y41" s="2"/>
      <c r="Z41" s="6">
        <f t="shared" si="20"/>
        <v>-0.13917886838116103</v>
      </c>
    </row>
    <row r="42" spans="1:26" s="24" customFormat="1" hidden="1" outlineLevel="2" x14ac:dyDescent="0.25">
      <c r="A42" s="25"/>
      <c r="B42" s="11" t="str">
        <f>CONCATENATE("          ", "6112", " - ", "COMPENSATION INSURANCE")</f>
        <v xml:space="preserve">          6112 - COMPENSATION INSURANCE</v>
      </c>
      <c r="C42" s="11"/>
      <c r="D42" s="7">
        <v>238.77</v>
      </c>
      <c r="E42" s="2"/>
      <c r="F42" s="6">
        <f t="shared" si="13"/>
        <v>3.6348778379928686E-3</v>
      </c>
      <c r="G42" s="2"/>
      <c r="H42" s="7">
        <v>238.39472461538469</v>
      </c>
      <c r="I42" s="2"/>
      <c r="J42" s="6">
        <f t="shared" si="14"/>
        <v>2.7805187300234402E-3</v>
      </c>
      <c r="K42" s="2"/>
      <c r="L42" s="7">
        <f t="shared" si="15"/>
        <v>0.37527538461532117</v>
      </c>
      <c r="M42" s="2"/>
      <c r="N42" s="6">
        <f t="shared" si="16"/>
        <v>1.5741765478274471E-3</v>
      </c>
      <c r="O42" s="11"/>
      <c r="P42" s="7">
        <v>641.23</v>
      </c>
      <c r="Q42" s="2"/>
      <c r="R42" s="6">
        <f t="shared" si="17"/>
        <v>3.7288566506617892E-3</v>
      </c>
      <c r="S42" s="2"/>
      <c r="T42" s="7">
        <v>774.78285500000004</v>
      </c>
      <c r="U42" s="2"/>
      <c r="V42" s="6">
        <f t="shared" si="18"/>
        <v>3.7713798843930636E-3</v>
      </c>
      <c r="W42" s="2"/>
      <c r="X42" s="7">
        <f t="shared" si="19"/>
        <v>-133.55285500000002</v>
      </c>
      <c r="Y42" s="2"/>
      <c r="Z42" s="6">
        <f t="shared" si="20"/>
        <v>-0.17237456164411383</v>
      </c>
    </row>
    <row r="43" spans="1:26" s="24" customFormat="1" hidden="1" outlineLevel="2" x14ac:dyDescent="0.25">
      <c r="A43" s="25"/>
      <c r="B43" s="11" t="str">
        <f>CONCATENATE("          ", "6113", " - ", "GROUP INSURANCE")</f>
        <v xml:space="preserve">          6113 - GROUP INSURANCE</v>
      </c>
      <c r="C43" s="11"/>
      <c r="D43" s="7">
        <v>3051.28</v>
      </c>
      <c r="E43" s="2"/>
      <c r="F43" s="6">
        <f t="shared" si="13"/>
        <v>4.6450684966749929E-2</v>
      </c>
      <c r="G43" s="2"/>
      <c r="H43" s="7">
        <v>2704</v>
      </c>
      <c r="I43" s="2"/>
      <c r="J43" s="6">
        <f t="shared" si="14"/>
        <v>3.1538125091121152E-2</v>
      </c>
      <c r="K43" s="2"/>
      <c r="L43" s="7">
        <f t="shared" si="15"/>
        <v>347.2800000000002</v>
      </c>
      <c r="M43" s="2"/>
      <c r="N43" s="6">
        <f t="shared" si="16"/>
        <v>0.12843195266272198</v>
      </c>
      <c r="O43" s="11"/>
      <c r="P43" s="7">
        <v>8534.86</v>
      </c>
      <c r="Q43" s="2"/>
      <c r="R43" s="6">
        <f t="shared" si="17"/>
        <v>4.9631597825222272E-2</v>
      </c>
      <c r="S43" s="2"/>
      <c r="T43" s="7">
        <v>8112</v>
      </c>
      <c r="U43" s="2"/>
      <c r="V43" s="6">
        <f t="shared" si="18"/>
        <v>3.9486461819288103E-2</v>
      </c>
      <c r="W43" s="2"/>
      <c r="X43" s="7">
        <f t="shared" si="19"/>
        <v>422.86000000000058</v>
      </c>
      <c r="Y43" s="2"/>
      <c r="Z43" s="6">
        <f t="shared" si="20"/>
        <v>5.2127712031558256E-2</v>
      </c>
    </row>
    <row r="44" spans="1:26" s="24" customFormat="1" hidden="1" outlineLevel="2" x14ac:dyDescent="0.25">
      <c r="A44" s="25"/>
      <c r="B44" s="11" t="str">
        <f>CONCATENATE("          ", "6114", " - ", "STATE UNEMPLOYMENT INSURANCE")</f>
        <v xml:space="preserve">          6114 - STATE UNEMPLOYMENT INSURANCE</v>
      </c>
      <c r="C44" s="11"/>
      <c r="D44" s="7">
        <v>47.03</v>
      </c>
      <c r="E44" s="2"/>
      <c r="F44" s="6">
        <f t="shared" si="13"/>
        <v>7.1595386656952129E-4</v>
      </c>
      <c r="G44" s="2"/>
      <c r="H44" s="7">
        <v>50.813339109912</v>
      </c>
      <c r="I44" s="2"/>
      <c r="J44" s="6">
        <f t="shared" si="14"/>
        <v>5.9266177705102202E-4</v>
      </c>
      <c r="K44" s="2"/>
      <c r="L44" s="7">
        <f t="shared" si="15"/>
        <v>-3.7833391099119993</v>
      </c>
      <c r="M44" s="2"/>
      <c r="N44" s="6">
        <f t="shared" si="16"/>
        <v>-7.445562870270013E-2</v>
      </c>
      <c r="O44" s="11"/>
      <c r="P44" s="7">
        <v>130.82</v>
      </c>
      <c r="Q44" s="2"/>
      <c r="R44" s="6">
        <f t="shared" si="17"/>
        <v>7.6073955841051604E-4</v>
      </c>
      <c r="S44" s="2"/>
      <c r="T44" s="7">
        <v>160.542677764144</v>
      </c>
      <c r="U44" s="2"/>
      <c r="V44" s="6">
        <f t="shared" si="18"/>
        <v>7.8146724801530392E-4</v>
      </c>
      <c r="W44" s="2"/>
      <c r="X44" s="7">
        <f t="shared" si="19"/>
        <v>-29.722677764144009</v>
      </c>
      <c r="Y44" s="2"/>
      <c r="Z44" s="6">
        <f t="shared" si="20"/>
        <v>-0.18513879410813183</v>
      </c>
    </row>
    <row r="45" spans="1:26" s="24" customFormat="1" hidden="1" outlineLevel="2" x14ac:dyDescent="0.25">
      <c r="A45" s="25"/>
      <c r="B45" s="11" t="str">
        <f>CONCATENATE("          ", "6115", " - ", "P.E.R.S.")</f>
        <v xml:space="preserve">          6115 - P.E.R.S.</v>
      </c>
      <c r="C45" s="11"/>
      <c r="D45" s="7">
        <v>1187.75</v>
      </c>
      <c r="E45" s="2"/>
      <c r="F45" s="6">
        <f t="shared" si="13"/>
        <v>1.8081526791791386E-2</v>
      </c>
      <c r="G45" s="2"/>
      <c r="H45" s="7">
        <v>1079.049806153846</v>
      </c>
      <c r="I45" s="2"/>
      <c r="J45" s="6">
        <f t="shared" si="14"/>
        <v>1.2585505830632407E-2</v>
      </c>
      <c r="K45" s="2"/>
      <c r="L45" s="7">
        <f t="shared" si="15"/>
        <v>108.70019384615398</v>
      </c>
      <c r="M45" s="2"/>
      <c r="N45" s="6">
        <f t="shared" si="16"/>
        <v>0.10073695692843301</v>
      </c>
      <c r="O45" s="11"/>
      <c r="P45" s="7">
        <v>3501.13</v>
      </c>
      <c r="Q45" s="2"/>
      <c r="R45" s="6">
        <f t="shared" si="17"/>
        <v>2.0359639887920885E-2</v>
      </c>
      <c r="S45" s="2"/>
      <c r="T45" s="7">
        <v>3506.9118699999976</v>
      </c>
      <c r="U45" s="2"/>
      <c r="V45" s="6">
        <f t="shared" si="18"/>
        <v>1.707045631883175E-2</v>
      </c>
      <c r="W45" s="2"/>
      <c r="X45" s="7">
        <f t="shared" si="19"/>
        <v>-5.7818699999975252</v>
      </c>
      <c r="Y45" s="2"/>
      <c r="Z45" s="6">
        <f t="shared" si="20"/>
        <v>-1.6487069576680091E-3</v>
      </c>
    </row>
    <row r="46" spans="1:26" s="24" customFormat="1" hidden="1" outlineLevel="2" x14ac:dyDescent="0.25">
      <c r="A46" s="25"/>
      <c r="B46" s="11" t="str">
        <f>CONCATENATE("          ", "6116", " - ", "EDUCATIONAL BENEFITS")</f>
        <v xml:space="preserve">          6116 - EDUCATIONAL BENEFITS</v>
      </c>
      <c r="C46" s="11"/>
      <c r="D46" s="7"/>
      <c r="E46" s="2"/>
      <c r="F46" s="6">
        <f t="shared" si="13"/>
        <v>0</v>
      </c>
      <c r="G46" s="2"/>
      <c r="H46" s="7">
        <v>0</v>
      </c>
      <c r="I46" s="2"/>
      <c r="J46" s="6">
        <f t="shared" si="14"/>
        <v>0</v>
      </c>
      <c r="K46" s="2"/>
      <c r="L46" s="7">
        <f t="shared" si="15"/>
        <v>0</v>
      </c>
      <c r="M46" s="2"/>
      <c r="N46" s="6">
        <f t="shared" si="16"/>
        <v>0</v>
      </c>
      <c r="O46" s="11"/>
      <c r="P46" s="7"/>
      <c r="Q46" s="2"/>
      <c r="R46" s="6">
        <f t="shared" si="17"/>
        <v>0</v>
      </c>
      <c r="S46" s="2"/>
      <c r="T46" s="7">
        <v>0</v>
      </c>
      <c r="U46" s="2"/>
      <c r="V46" s="6">
        <f t="shared" si="18"/>
        <v>0</v>
      </c>
      <c r="W46" s="2"/>
      <c r="X46" s="7">
        <f t="shared" si="19"/>
        <v>0</v>
      </c>
      <c r="Y46" s="2"/>
      <c r="Z46" s="6">
        <f t="shared" si="20"/>
        <v>0</v>
      </c>
    </row>
    <row r="47" spans="1:26" s="24" customFormat="1" hidden="1" outlineLevel="2" x14ac:dyDescent="0.25">
      <c r="A47" s="25"/>
      <c r="B47" s="11" t="str">
        <f>CONCATENATE("          ", "6118", " - ", "VACATION")</f>
        <v xml:space="preserve">          6118 - VACATION</v>
      </c>
      <c r="C47" s="11"/>
      <c r="D47" s="7">
        <v>1236.01</v>
      </c>
      <c r="E47" s="2"/>
      <c r="F47" s="6">
        <f t="shared" si="13"/>
        <v>1.8816205371435128E-2</v>
      </c>
      <c r="G47" s="2"/>
      <c r="H47" s="7">
        <v>627.35453846153882</v>
      </c>
      <c r="I47" s="2"/>
      <c r="J47" s="6">
        <f t="shared" si="14"/>
        <v>7.3171545526932655E-3</v>
      </c>
      <c r="K47" s="2"/>
      <c r="L47" s="7">
        <f t="shared" si="15"/>
        <v>608.65546153846117</v>
      </c>
      <c r="M47" s="2"/>
      <c r="N47" s="6">
        <f t="shared" si="16"/>
        <v>0.97019376480652653</v>
      </c>
      <c r="O47" s="11"/>
      <c r="P47" s="7">
        <v>3793.07</v>
      </c>
      <c r="Q47" s="2"/>
      <c r="R47" s="6">
        <f t="shared" si="17"/>
        <v>2.2057318428529097E-2</v>
      </c>
      <c r="S47" s="2"/>
      <c r="T47" s="7">
        <v>2038.9022500000005</v>
      </c>
      <c r="U47" s="2"/>
      <c r="V47" s="6">
        <f t="shared" si="18"/>
        <v>9.9246839062975389E-3</v>
      </c>
      <c r="W47" s="2"/>
      <c r="X47" s="7">
        <f t="shared" si="19"/>
        <v>1754.1677499999996</v>
      </c>
      <c r="Y47" s="2"/>
      <c r="Z47" s="6">
        <f t="shared" si="20"/>
        <v>0.8603491167857602</v>
      </c>
    </row>
    <row r="48" spans="1:26" s="24" customFormat="1" hidden="1" outlineLevel="2" x14ac:dyDescent="0.25">
      <c r="A48" s="25"/>
      <c r="B48" s="11" t="str">
        <f>CONCATENATE("          ", "6119", " - ", "SICK LEAVE")</f>
        <v xml:space="preserve">          6119 - SICK LEAVE</v>
      </c>
      <c r="C48" s="11"/>
      <c r="D48" s="7">
        <v>809.89</v>
      </c>
      <c r="E48" s="2"/>
      <c r="F48" s="6">
        <f t="shared" si="13"/>
        <v>1.2329234042015514E-2</v>
      </c>
      <c r="G48" s="2"/>
      <c r="H48" s="7">
        <v>446.37773503812355</v>
      </c>
      <c r="I48" s="2"/>
      <c r="J48" s="6">
        <f t="shared" si="14"/>
        <v>5.2063301943504718E-3</v>
      </c>
      <c r="K48" s="2"/>
      <c r="L48" s="7">
        <f t="shared" si="15"/>
        <v>363.51226496187644</v>
      </c>
      <c r="M48" s="2"/>
      <c r="N48" s="6">
        <f t="shared" si="16"/>
        <v>0.81436020757359262</v>
      </c>
      <c r="O48" s="11"/>
      <c r="P48" s="7">
        <v>2236.9699999999998</v>
      </c>
      <c r="Q48" s="2"/>
      <c r="R48" s="6">
        <f t="shared" si="17"/>
        <v>1.3008344060369759E-2</v>
      </c>
      <c r="S48" s="2"/>
      <c r="T48" s="7">
        <v>1433.0327375544011</v>
      </c>
      <c r="U48" s="2"/>
      <c r="V48" s="6">
        <f t="shared" si="18"/>
        <v>6.9755168241163422E-3</v>
      </c>
      <c r="W48" s="2"/>
      <c r="X48" s="7">
        <f t="shared" si="19"/>
        <v>803.93726244559866</v>
      </c>
      <c r="Y48" s="2"/>
      <c r="Z48" s="6">
        <f t="shared" si="20"/>
        <v>0.56100411482405466</v>
      </c>
    </row>
    <row r="49" spans="1:26" s="24" customFormat="1" hidden="1" outlineLevel="2" x14ac:dyDescent="0.25">
      <c r="A49" s="25"/>
      <c r="B49" s="11" t="str">
        <f>CONCATENATE("          ", "6156", " - ", "EMPLOYEE MEALS")</f>
        <v xml:space="preserve">          6156 - EMPLOYEE MEALS</v>
      </c>
      <c r="C49" s="11"/>
      <c r="D49" s="7">
        <v>349.66</v>
      </c>
      <c r="E49" s="2"/>
      <c r="F49" s="6">
        <f t="shared" si="13"/>
        <v>5.322994450025491E-3</v>
      </c>
      <c r="G49" s="2"/>
      <c r="H49" s="7">
        <v>300</v>
      </c>
      <c r="I49" s="2"/>
      <c r="J49" s="6">
        <f t="shared" si="14"/>
        <v>3.4990523399912525E-3</v>
      </c>
      <c r="K49" s="2"/>
      <c r="L49" s="7">
        <f t="shared" si="15"/>
        <v>49.660000000000025</v>
      </c>
      <c r="M49" s="2"/>
      <c r="N49" s="6">
        <f t="shared" si="16"/>
        <v>0.16553333333333342</v>
      </c>
      <c r="O49" s="11"/>
      <c r="P49" s="7">
        <v>735.45</v>
      </c>
      <c r="Q49" s="2"/>
      <c r="R49" s="6">
        <f t="shared" si="17"/>
        <v>4.2767612615273974E-3</v>
      </c>
      <c r="S49" s="2"/>
      <c r="T49" s="7">
        <v>900</v>
      </c>
      <c r="U49" s="2"/>
      <c r="V49" s="6">
        <f t="shared" si="18"/>
        <v>4.3808944326133251E-3</v>
      </c>
      <c r="W49" s="2"/>
      <c r="X49" s="7">
        <f t="shared" si="19"/>
        <v>-164.54999999999995</v>
      </c>
      <c r="Y49" s="2"/>
      <c r="Z49" s="6">
        <f t="shared" si="20"/>
        <v>-0.18283333333333329</v>
      </c>
    </row>
    <row r="50" spans="1:26" s="26" customFormat="1" outlineLevel="1" collapsed="1" x14ac:dyDescent="0.25">
      <c r="A50" s="27"/>
      <c r="B50" s="13" t="str">
        <f>CONCATENATE("     ","*Payroll                                          ")</f>
        <v xml:space="preserve">     *Payroll                                          </v>
      </c>
      <c r="C50" s="13"/>
      <c r="D50" s="1">
        <f>SUM(OSRRefD22_1x_0)</f>
        <v>18204.34</v>
      </c>
      <c r="E50" s="1"/>
      <c r="F50" s="5">
        <f t="shared" ref="F50:F60" si="21">IF(D$12=0,0,D50/D$12)</f>
        <v>0.27713092943538592</v>
      </c>
      <c r="G50" s="1"/>
      <c r="H50" s="1">
        <f>SUM(OSRRefH22_1x_0)</f>
        <v>18539.824703812312</v>
      </c>
      <c r="I50" s="1"/>
      <c r="J50" s="5">
        <f t="shared" ref="J50:J60" si="22">IF(H$12=0,0,H50/H$12)</f>
        <v>0.21623939004300699</v>
      </c>
      <c r="K50" s="1"/>
      <c r="L50" s="1">
        <f t="shared" ref="L50:L60" si="23">+D50-H50</f>
        <v>-335.48470381231164</v>
      </c>
      <c r="M50" s="1"/>
      <c r="N50" s="5">
        <f t="shared" ref="N50:N60" si="24">IF(H50=0,0,L50/H50)</f>
        <v>-1.8095354684951607E-2</v>
      </c>
      <c r="O50" s="13"/>
      <c r="P50" s="1">
        <f>SUM(OSRRefP22_1x_0)</f>
        <v>54248.100000000006</v>
      </c>
      <c r="Q50" s="1"/>
      <c r="R50" s="5">
        <f t="shared" ref="R50:R60" si="25">IF(P$12=0,0,P50/P$12)</f>
        <v>0.31546151688281243</v>
      </c>
      <c r="S50" s="1"/>
      <c r="T50" s="1">
        <f>SUM(OSRRefT22_1x_0)</f>
        <v>58484.94015544001</v>
      </c>
      <c r="U50" s="1"/>
      <c r="V50" s="5">
        <f t="shared" ref="V50:V60" si="26">IF(T$12=0,0,T50/T$12)</f>
        <v>0.28468483190965627</v>
      </c>
      <c r="W50" s="1"/>
      <c r="X50" s="1">
        <f t="shared" ref="X50:X60" si="27">+P50-T50</f>
        <v>-4236.8401554400043</v>
      </c>
      <c r="Y50" s="1"/>
      <c r="Z50" s="5">
        <f t="shared" ref="Z50:Z60" si="28">IF(T50=0,0,X50/T50)</f>
        <v>-7.2443267346763499E-2</v>
      </c>
    </row>
    <row r="51" spans="1:26" s="24" customFormat="1" hidden="1" outlineLevel="2" x14ac:dyDescent="0.25">
      <c r="A51" s="25"/>
      <c r="B51" s="11" t="str">
        <f>CONCATENATE("          ", "6001", " - ", "ADMINISTRATIVE SALARIES")</f>
        <v xml:space="preserve">          6001 - ADMINISTRATIVE SALARIES</v>
      </c>
      <c r="C51" s="11"/>
      <c r="D51" s="7"/>
      <c r="E51" s="2"/>
      <c r="F51" s="6">
        <f t="shared" si="21"/>
        <v>0</v>
      </c>
      <c r="G51" s="2"/>
      <c r="H51" s="7">
        <v>5990.5432000000001</v>
      </c>
      <c r="I51" s="2"/>
      <c r="J51" s="6">
        <f t="shared" si="22"/>
        <v>6.9870747339262282E-2</v>
      </c>
      <c r="K51" s="2"/>
      <c r="L51" s="7">
        <f t="shared" si="23"/>
        <v>-5990.5432000000001</v>
      </c>
      <c r="M51" s="2"/>
      <c r="N51" s="6">
        <f t="shared" si="24"/>
        <v>-1</v>
      </c>
      <c r="O51" s="11"/>
      <c r="P51" s="7"/>
      <c r="Q51" s="2"/>
      <c r="R51" s="6">
        <f t="shared" si="25"/>
        <v>0</v>
      </c>
      <c r="S51" s="2"/>
      <c r="T51" s="7">
        <v>19469.2654</v>
      </c>
      <c r="U51" s="2"/>
      <c r="V51" s="6">
        <f t="shared" si="26"/>
        <v>9.4769773775479155E-2</v>
      </c>
      <c r="W51" s="2"/>
      <c r="X51" s="7">
        <f t="shared" si="27"/>
        <v>-19469.2654</v>
      </c>
      <c r="Y51" s="2"/>
      <c r="Z51" s="6">
        <f t="shared" si="28"/>
        <v>-1</v>
      </c>
    </row>
    <row r="52" spans="1:26" s="24" customFormat="1" hidden="1" outlineLevel="2" x14ac:dyDescent="0.25">
      <c r="A52" s="25"/>
      <c r="B52" s="11" t="str">
        <f>CONCATENATE("          ", "6002", " - ", "STAFF SALARIES")</f>
        <v xml:space="preserve">          6002 - STAFF SALARIES</v>
      </c>
      <c r="C52" s="11"/>
      <c r="D52" s="7">
        <v>11858.2</v>
      </c>
      <c r="E52" s="2"/>
      <c r="F52" s="6">
        <f t="shared" si="21"/>
        <v>0.18052145737943223</v>
      </c>
      <c r="G52" s="2"/>
      <c r="H52" s="7">
        <v>5552.7803076923101</v>
      </c>
      <c r="I52" s="2"/>
      <c r="J52" s="6">
        <f t="shared" si="22"/>
        <v>6.4764896430293747E-2</v>
      </c>
      <c r="K52" s="2"/>
      <c r="L52" s="7">
        <f t="shared" si="23"/>
        <v>6305.4196923076906</v>
      </c>
      <c r="M52" s="2"/>
      <c r="N52" s="6">
        <f t="shared" si="24"/>
        <v>1.1355427989061162</v>
      </c>
      <c r="O52" s="11"/>
      <c r="P52" s="7">
        <v>36786.97</v>
      </c>
      <c r="Q52" s="2"/>
      <c r="R52" s="6">
        <f t="shared" si="25"/>
        <v>0.21392220847776261</v>
      </c>
      <c r="S52" s="2"/>
      <c r="T52" s="7">
        <v>18046.536000000011</v>
      </c>
      <c r="U52" s="2"/>
      <c r="V52" s="6">
        <f t="shared" si="26"/>
        <v>8.7844410100395551E-2</v>
      </c>
      <c r="W52" s="2"/>
      <c r="X52" s="7">
        <f t="shared" si="27"/>
        <v>18740.43399999999</v>
      </c>
      <c r="Y52" s="2"/>
      <c r="Z52" s="6">
        <f t="shared" si="28"/>
        <v>1.0384504815771836</v>
      </c>
    </row>
    <row r="53" spans="1:26" s="24" customFormat="1" hidden="1" outlineLevel="2" x14ac:dyDescent="0.25">
      <c r="A53" s="25"/>
      <c r="B53" s="11" t="str">
        <f>CONCATENATE("          ", "6003", " - ", "STAFF HOURLY-9 MONTH")</f>
        <v xml:space="preserve">          6003 - STAFF HOURLY-9 MONTH</v>
      </c>
      <c r="C53" s="11"/>
      <c r="D53" s="7"/>
      <c r="E53" s="2"/>
      <c r="F53" s="6">
        <f t="shared" si="21"/>
        <v>0</v>
      </c>
      <c r="G53" s="2"/>
      <c r="H53" s="7">
        <v>0</v>
      </c>
      <c r="I53" s="2"/>
      <c r="J53" s="6">
        <f t="shared" si="22"/>
        <v>0</v>
      </c>
      <c r="K53" s="2"/>
      <c r="L53" s="7">
        <f t="shared" si="23"/>
        <v>0</v>
      </c>
      <c r="M53" s="2"/>
      <c r="N53" s="6">
        <f t="shared" si="24"/>
        <v>0</v>
      </c>
      <c r="O53" s="11"/>
      <c r="P53" s="7"/>
      <c r="Q53" s="2"/>
      <c r="R53" s="6">
        <f t="shared" si="25"/>
        <v>0</v>
      </c>
      <c r="S53" s="2"/>
      <c r="T53" s="7">
        <v>0</v>
      </c>
      <c r="U53" s="2"/>
      <c r="V53" s="6">
        <f t="shared" si="26"/>
        <v>0</v>
      </c>
      <c r="W53" s="2"/>
      <c r="X53" s="7">
        <f t="shared" si="27"/>
        <v>0</v>
      </c>
      <c r="Y53" s="2"/>
      <c r="Z53" s="6">
        <f t="shared" si="28"/>
        <v>0</v>
      </c>
    </row>
    <row r="54" spans="1:26" s="24" customFormat="1" hidden="1" outlineLevel="2" x14ac:dyDescent="0.25">
      <c r="A54" s="25"/>
      <c r="B54" s="11" t="str">
        <f>CONCATENATE("          ", "6004", " - ", "STAFF HOURLY")</f>
        <v xml:space="preserve">          6004 - STAFF HOURLY</v>
      </c>
      <c r="C54" s="11"/>
      <c r="D54" s="7"/>
      <c r="E54" s="2"/>
      <c r="F54" s="6">
        <f t="shared" si="21"/>
        <v>0</v>
      </c>
      <c r="G54" s="2"/>
      <c r="H54" s="7">
        <v>3010</v>
      </c>
      <c r="I54" s="2"/>
      <c r="J54" s="6">
        <f t="shared" si="22"/>
        <v>3.510715847791223E-2</v>
      </c>
      <c r="K54" s="2"/>
      <c r="L54" s="7">
        <f t="shared" si="23"/>
        <v>-3010</v>
      </c>
      <c r="M54" s="2"/>
      <c r="N54" s="6">
        <f t="shared" si="24"/>
        <v>-1</v>
      </c>
      <c r="O54" s="11"/>
      <c r="P54" s="7"/>
      <c r="Q54" s="2"/>
      <c r="R54" s="6">
        <f t="shared" si="25"/>
        <v>0</v>
      </c>
      <c r="S54" s="2"/>
      <c r="T54" s="7">
        <v>9240</v>
      </c>
      <c r="U54" s="2"/>
      <c r="V54" s="6">
        <f t="shared" si="26"/>
        <v>4.4977182841496807E-2</v>
      </c>
      <c r="W54" s="2"/>
      <c r="X54" s="7">
        <f t="shared" si="27"/>
        <v>-9240</v>
      </c>
      <c r="Y54" s="2"/>
      <c r="Z54" s="6">
        <f t="shared" si="28"/>
        <v>-1</v>
      </c>
    </row>
    <row r="55" spans="1:26" s="24" customFormat="1" hidden="1" outlineLevel="2" x14ac:dyDescent="0.25">
      <c r="A55" s="25"/>
      <c r="B55" s="11" t="str">
        <f>CONCATENATE("          ", "6005", " - ", "TEMPORARY WAGES-HOURLY")</f>
        <v xml:space="preserve">          6005 - TEMPORARY WAGES-HOURLY</v>
      </c>
      <c r="C55" s="11"/>
      <c r="D55" s="7">
        <v>1690.5</v>
      </c>
      <c r="E55" s="2"/>
      <c r="F55" s="6">
        <f t="shared" si="21"/>
        <v>2.5735062969078796E-2</v>
      </c>
      <c r="G55" s="2"/>
      <c r="H55" s="7">
        <v>0</v>
      </c>
      <c r="I55" s="2"/>
      <c r="J55" s="6">
        <f t="shared" si="22"/>
        <v>0</v>
      </c>
      <c r="K55" s="2"/>
      <c r="L55" s="7">
        <f t="shared" si="23"/>
        <v>1690.5</v>
      </c>
      <c r="M55" s="2"/>
      <c r="N55" s="6">
        <f t="shared" si="24"/>
        <v>0</v>
      </c>
      <c r="O55" s="11"/>
      <c r="P55" s="7">
        <v>4182.5</v>
      </c>
      <c r="Q55" s="2"/>
      <c r="R55" s="6">
        <f t="shared" si="25"/>
        <v>2.4321917161381927E-2</v>
      </c>
      <c r="S55" s="2"/>
      <c r="T55" s="7">
        <v>0</v>
      </c>
      <c r="U55" s="2"/>
      <c r="V55" s="6">
        <f t="shared" si="26"/>
        <v>0</v>
      </c>
      <c r="W55" s="2"/>
      <c r="X55" s="7">
        <f t="shared" si="27"/>
        <v>4182.5</v>
      </c>
      <c r="Y55" s="2"/>
      <c r="Z55" s="6">
        <f t="shared" si="28"/>
        <v>0</v>
      </c>
    </row>
    <row r="56" spans="1:26" s="24" customFormat="1" hidden="1" outlineLevel="2" x14ac:dyDescent="0.25">
      <c r="A56" s="25"/>
      <c r="B56" s="11" t="str">
        <f>CONCATENATE("          ", "6006", " - ", "TEMPORARY PART TIME")</f>
        <v xml:space="preserve">          6006 - TEMPORARY PART TIME</v>
      </c>
      <c r="C56" s="11"/>
      <c r="D56" s="7"/>
      <c r="E56" s="2"/>
      <c r="F56" s="6">
        <f t="shared" si="21"/>
        <v>0</v>
      </c>
      <c r="G56" s="2"/>
      <c r="H56" s="7">
        <v>0</v>
      </c>
      <c r="I56" s="2"/>
      <c r="J56" s="6">
        <f t="shared" si="22"/>
        <v>0</v>
      </c>
      <c r="K56" s="2"/>
      <c r="L56" s="7">
        <f t="shared" si="23"/>
        <v>0</v>
      </c>
      <c r="M56" s="2"/>
      <c r="N56" s="6">
        <f t="shared" si="24"/>
        <v>0</v>
      </c>
      <c r="O56" s="11"/>
      <c r="P56" s="7">
        <v>57.37</v>
      </c>
      <c r="Q56" s="2"/>
      <c r="R56" s="6">
        <f t="shared" si="25"/>
        <v>3.3361587269539294E-4</v>
      </c>
      <c r="S56" s="2"/>
      <c r="T56" s="7">
        <v>0</v>
      </c>
      <c r="U56" s="2"/>
      <c r="V56" s="6">
        <f t="shared" si="26"/>
        <v>0</v>
      </c>
      <c r="W56" s="2"/>
      <c r="X56" s="7">
        <f t="shared" si="27"/>
        <v>57.37</v>
      </c>
      <c r="Y56" s="2"/>
      <c r="Z56" s="6">
        <f t="shared" si="28"/>
        <v>0</v>
      </c>
    </row>
    <row r="57" spans="1:26" s="24" customFormat="1" hidden="1" outlineLevel="2" x14ac:dyDescent="0.25">
      <c r="A57" s="25"/>
      <c r="B57" s="11" t="str">
        <f>CONCATENATE("          ", "6007", " - ", "STUDENT HOURLY")</f>
        <v xml:space="preserve">          6007 - STUDENT HOURLY</v>
      </c>
      <c r="C57" s="11"/>
      <c r="D57" s="7">
        <v>4655.6400000000003</v>
      </c>
      <c r="E57" s="2"/>
      <c r="F57" s="6">
        <f t="shared" si="21"/>
        <v>7.0874409086874895E-2</v>
      </c>
      <c r="G57" s="2"/>
      <c r="H57" s="7">
        <v>0</v>
      </c>
      <c r="I57" s="2"/>
      <c r="J57" s="6">
        <f t="shared" si="22"/>
        <v>0</v>
      </c>
      <c r="K57" s="2"/>
      <c r="L57" s="7">
        <f t="shared" si="23"/>
        <v>4655.6400000000003</v>
      </c>
      <c r="M57" s="2"/>
      <c r="N57" s="6">
        <f t="shared" si="24"/>
        <v>0</v>
      </c>
      <c r="O57" s="11"/>
      <c r="P57" s="7">
        <v>13221.26</v>
      </c>
      <c r="Q57" s="2"/>
      <c r="R57" s="6">
        <f t="shared" si="25"/>
        <v>7.6883775370972476E-2</v>
      </c>
      <c r="S57" s="2"/>
      <c r="T57" s="7">
        <v>3756.1363631999998</v>
      </c>
      <c r="U57" s="2"/>
      <c r="V57" s="6">
        <f t="shared" si="26"/>
        <v>1.828359653519927E-2</v>
      </c>
      <c r="W57" s="2"/>
      <c r="X57" s="7">
        <f t="shared" si="27"/>
        <v>9465.1236368000009</v>
      </c>
      <c r="Y57" s="2"/>
      <c r="Z57" s="6">
        <f t="shared" si="28"/>
        <v>2.5199094818635102</v>
      </c>
    </row>
    <row r="58" spans="1:26" s="24" customFormat="1" hidden="1" outlineLevel="2" x14ac:dyDescent="0.25">
      <c r="A58" s="25"/>
      <c r="B58" s="11" t="str">
        <f>CONCATENATE("          ", "6008", " - ", "STUDENT HOURLY-FICA EXEMPT")</f>
        <v xml:space="preserve">          6008 - STUDENT HOURLY-FICA EXEMPT</v>
      </c>
      <c r="C58" s="11"/>
      <c r="D58" s="7"/>
      <c r="E58" s="2"/>
      <c r="F58" s="6">
        <f t="shared" si="21"/>
        <v>0</v>
      </c>
      <c r="G58" s="2"/>
      <c r="H58" s="7">
        <v>3986.5011961200003</v>
      </c>
      <c r="I58" s="2"/>
      <c r="J58" s="6">
        <f t="shared" si="22"/>
        <v>4.649658779553871E-2</v>
      </c>
      <c r="K58" s="2"/>
      <c r="L58" s="7">
        <f t="shared" si="23"/>
        <v>-3986.5011961200003</v>
      </c>
      <c r="M58" s="2"/>
      <c r="N58" s="6">
        <f t="shared" si="24"/>
        <v>-1</v>
      </c>
      <c r="O58" s="11"/>
      <c r="P58" s="7"/>
      <c r="Q58" s="2"/>
      <c r="R58" s="6">
        <f t="shared" si="25"/>
        <v>0</v>
      </c>
      <c r="S58" s="2"/>
      <c r="T58" s="7">
        <v>7973.0023922400005</v>
      </c>
      <c r="U58" s="2"/>
      <c r="V58" s="6">
        <f t="shared" si="26"/>
        <v>3.8809868657085488E-2</v>
      </c>
      <c r="W58" s="2"/>
      <c r="X58" s="7">
        <f t="shared" si="27"/>
        <v>-7973.0023922400005</v>
      </c>
      <c r="Y58" s="2"/>
      <c r="Z58" s="6">
        <f t="shared" si="28"/>
        <v>-1</v>
      </c>
    </row>
    <row r="59" spans="1:26" s="24" customFormat="1" hidden="1" outlineLevel="2" x14ac:dyDescent="0.25">
      <c r="A59" s="25"/>
      <c r="B59" s="11" t="str">
        <f>CONCATENATE("          ", "6009", " - ", "TEMPORARY-SEASONAL")</f>
        <v xml:space="preserve">          6009 - TEMPORARY-SEASONAL</v>
      </c>
      <c r="C59" s="11"/>
      <c r="D59" s="7"/>
      <c r="E59" s="2"/>
      <c r="F59" s="6">
        <f t="shared" si="21"/>
        <v>0</v>
      </c>
      <c r="G59" s="2"/>
      <c r="H59" s="7">
        <v>0</v>
      </c>
      <c r="I59" s="2"/>
      <c r="J59" s="6">
        <f t="shared" si="22"/>
        <v>0</v>
      </c>
      <c r="K59" s="2"/>
      <c r="L59" s="7">
        <f t="shared" si="23"/>
        <v>0</v>
      </c>
      <c r="M59" s="2"/>
      <c r="N59" s="6">
        <f t="shared" si="24"/>
        <v>0</v>
      </c>
      <c r="O59" s="11"/>
      <c r="P59" s="7"/>
      <c r="Q59" s="2"/>
      <c r="R59" s="6">
        <f t="shared" si="25"/>
        <v>0</v>
      </c>
      <c r="S59" s="2"/>
      <c r="T59" s="7">
        <v>0</v>
      </c>
      <c r="U59" s="2"/>
      <c r="V59" s="6">
        <f t="shared" si="26"/>
        <v>0</v>
      </c>
      <c r="W59" s="2"/>
      <c r="X59" s="7">
        <f t="shared" si="27"/>
        <v>0</v>
      </c>
      <c r="Y59" s="2"/>
      <c r="Z59" s="6">
        <f t="shared" si="28"/>
        <v>0</v>
      </c>
    </row>
    <row r="60" spans="1:26" s="24" customFormat="1" hidden="1" outlineLevel="2" x14ac:dyDescent="0.25">
      <c r="A60" s="25"/>
      <c r="B60" s="11" t="str">
        <f>CONCATENATE("          ", "6010", " - ", "GRATUITY")</f>
        <v xml:space="preserve">          6010 - GRATUITY</v>
      </c>
      <c r="C60" s="11"/>
      <c r="D60" s="7"/>
      <c r="E60" s="2"/>
      <c r="F60" s="6">
        <f t="shared" si="21"/>
        <v>0</v>
      </c>
      <c r="G60" s="2"/>
      <c r="H60" s="7">
        <v>0</v>
      </c>
      <c r="I60" s="2"/>
      <c r="J60" s="6">
        <f t="shared" si="22"/>
        <v>0</v>
      </c>
      <c r="K60" s="2"/>
      <c r="L60" s="7">
        <f t="shared" si="23"/>
        <v>0</v>
      </c>
      <c r="M60" s="2"/>
      <c r="N60" s="6">
        <f t="shared" si="24"/>
        <v>0</v>
      </c>
      <c r="O60" s="11"/>
      <c r="P60" s="7"/>
      <c r="Q60" s="2"/>
      <c r="R60" s="6">
        <f t="shared" si="25"/>
        <v>0</v>
      </c>
      <c r="S60" s="2"/>
      <c r="T60" s="7">
        <v>0</v>
      </c>
      <c r="U60" s="2"/>
      <c r="V60" s="6">
        <f t="shared" si="26"/>
        <v>0</v>
      </c>
      <c r="W60" s="2"/>
      <c r="X60" s="7">
        <f t="shared" si="27"/>
        <v>0</v>
      </c>
      <c r="Y60" s="2"/>
      <c r="Z60" s="6">
        <f t="shared" si="28"/>
        <v>0</v>
      </c>
    </row>
    <row r="61" spans="1:26" s="26" customFormat="1" outlineLevel="1" collapsed="1" x14ac:dyDescent="0.25">
      <c r="A61" s="27"/>
      <c r="B61" s="13" t="str">
        <f>CONCATENATE("     ","Advertising/Promo                                 ")</f>
        <v xml:space="preserve">     Advertising/Promo                                 </v>
      </c>
      <c r="C61" s="13"/>
      <c r="D61" s="1">
        <f>SUM(OSRRefD22_2x_0)</f>
        <v>-857.46</v>
      </c>
      <c r="E61" s="1"/>
      <c r="F61" s="5">
        <f t="shared" ref="F61:F73" si="29">IF(D$12=0,0,D61/D$12)</f>
        <v>-1.3053408514324938E-2</v>
      </c>
      <c r="G61" s="1"/>
      <c r="H61" s="1">
        <f>SUM(OSRRefH22_2x_0)</f>
        <v>100</v>
      </c>
      <c r="I61" s="1"/>
      <c r="J61" s="5">
        <f t="shared" ref="J61:J73" si="30">IF(H$12=0,0,H61/H$12)</f>
        <v>1.1663507799970841E-3</v>
      </c>
      <c r="K61" s="1"/>
      <c r="L61" s="1">
        <f t="shared" ref="L61:L73" si="31">+D61-H61</f>
        <v>-957.46</v>
      </c>
      <c r="M61" s="1"/>
      <c r="N61" s="5">
        <f t="shared" ref="N61:N73" si="32">IF(H61=0,0,L61/H61)</f>
        <v>-9.5746000000000002</v>
      </c>
      <c r="O61" s="13"/>
      <c r="P61" s="1">
        <f>SUM(OSRRefP22_2x_0)</f>
        <v>-857.46</v>
      </c>
      <c r="Q61" s="1"/>
      <c r="R61" s="5">
        <f t="shared" ref="R61:R73" si="33">IF(P$12=0,0,P61/P$12)</f>
        <v>-4.9862692383021035E-3</v>
      </c>
      <c r="S61" s="1"/>
      <c r="T61" s="1">
        <f>SUM(OSRRefT22_2x_0)</f>
        <v>300</v>
      </c>
      <c r="U61" s="1"/>
      <c r="V61" s="5">
        <f t="shared" ref="V61:V73" si="34">IF(T$12=0,0,T61/T$12)</f>
        <v>1.4602981442044416E-3</v>
      </c>
      <c r="W61" s="1"/>
      <c r="X61" s="1">
        <f t="shared" ref="X61:X73" si="35">+P61-T61</f>
        <v>-1157.46</v>
      </c>
      <c r="Y61" s="1"/>
      <c r="Z61" s="5">
        <f t="shared" ref="Z61:Z73" si="36">IF(T61=0,0,X61/T61)</f>
        <v>-3.8582000000000001</v>
      </c>
    </row>
    <row r="62" spans="1:26" s="24" customFormat="1" hidden="1" outlineLevel="2" x14ac:dyDescent="0.25">
      <c r="A62" s="25"/>
      <c r="B62" s="11" t="str">
        <f>CONCATENATE("          ", "6362", " - ", "ADVERTISING EXPENSE")</f>
        <v xml:space="preserve">          6362 - ADVERTISING EXPENSE</v>
      </c>
      <c r="C62" s="11"/>
      <c r="D62" s="7">
        <v>-857.46</v>
      </c>
      <c r="E62" s="2"/>
      <c r="F62" s="6">
        <f t="shared" si="29"/>
        <v>-1.3053408514324938E-2</v>
      </c>
      <c r="G62" s="2"/>
      <c r="H62" s="7">
        <v>100</v>
      </c>
      <c r="I62" s="2"/>
      <c r="J62" s="6">
        <f t="shared" si="30"/>
        <v>1.1663507799970841E-3</v>
      </c>
      <c r="K62" s="2"/>
      <c r="L62" s="7">
        <f t="shared" si="31"/>
        <v>-957.46</v>
      </c>
      <c r="M62" s="2"/>
      <c r="N62" s="6">
        <f t="shared" si="32"/>
        <v>-9.5746000000000002</v>
      </c>
      <c r="O62" s="11"/>
      <c r="P62" s="7">
        <v>-857.46</v>
      </c>
      <c r="Q62" s="2"/>
      <c r="R62" s="6">
        <f t="shared" si="33"/>
        <v>-4.9862692383021035E-3</v>
      </c>
      <c r="S62" s="2"/>
      <c r="T62" s="7">
        <v>300</v>
      </c>
      <c r="U62" s="2"/>
      <c r="V62" s="6">
        <f t="shared" si="34"/>
        <v>1.4602981442044416E-3</v>
      </c>
      <c r="W62" s="2"/>
      <c r="X62" s="7">
        <f t="shared" si="35"/>
        <v>-1157.46</v>
      </c>
      <c r="Y62" s="2"/>
      <c r="Z62" s="6">
        <f t="shared" si="36"/>
        <v>-3.8582000000000001</v>
      </c>
    </row>
    <row r="63" spans="1:26" s="26" customFormat="1" outlineLevel="1" collapsed="1" x14ac:dyDescent="0.25">
      <c r="A63" s="27"/>
      <c r="B63" s="13" t="str">
        <f>CONCATENATE("     ","Depreciation                                      ")</f>
        <v xml:space="preserve">     Depreciation                                      </v>
      </c>
      <c r="C63" s="13"/>
      <c r="D63" s="1">
        <f>SUM(OSRRefD22_3x_0)</f>
        <v>0</v>
      </c>
      <c r="E63" s="1"/>
      <c r="F63" s="5">
        <f t="shared" si="29"/>
        <v>0</v>
      </c>
      <c r="G63" s="1"/>
      <c r="H63" s="1">
        <f>SUM(OSRRefH22_3x_0)</f>
        <v>0</v>
      </c>
      <c r="I63" s="1"/>
      <c r="J63" s="5">
        <f t="shared" si="30"/>
        <v>0</v>
      </c>
      <c r="K63" s="1"/>
      <c r="L63" s="1">
        <f t="shared" si="31"/>
        <v>0</v>
      </c>
      <c r="M63" s="1"/>
      <c r="N63" s="5">
        <f t="shared" si="32"/>
        <v>0</v>
      </c>
      <c r="O63" s="13"/>
      <c r="P63" s="1">
        <f>SUM(OSRRefP22_3x_0)</f>
        <v>0</v>
      </c>
      <c r="Q63" s="1"/>
      <c r="R63" s="5">
        <f t="shared" si="33"/>
        <v>0</v>
      </c>
      <c r="S63" s="1"/>
      <c r="T63" s="1">
        <f>SUM(OSRRefT22_3x_0)</f>
        <v>0</v>
      </c>
      <c r="U63" s="1"/>
      <c r="V63" s="5">
        <f t="shared" si="34"/>
        <v>0</v>
      </c>
      <c r="W63" s="1"/>
      <c r="X63" s="1">
        <f t="shared" si="35"/>
        <v>0</v>
      </c>
      <c r="Y63" s="1"/>
      <c r="Z63" s="5">
        <f t="shared" si="36"/>
        <v>0</v>
      </c>
    </row>
    <row r="64" spans="1:26" s="24" customFormat="1" hidden="1" outlineLevel="2" x14ac:dyDescent="0.25">
      <c r="A64" s="25"/>
      <c r="B64" s="11" t="str">
        <f>CONCATENATE("          ", "6322", " - ", "EQUIPMENT DEPRECIATION EXPENSE")</f>
        <v xml:space="preserve">          6322 - EQUIPMENT DEPRECIATION EXPENSE</v>
      </c>
      <c r="C64" s="11"/>
      <c r="D64" s="7"/>
      <c r="E64" s="2"/>
      <c r="F64" s="6">
        <f t="shared" si="29"/>
        <v>0</v>
      </c>
      <c r="G64" s="2"/>
      <c r="H64" s="7">
        <v>0</v>
      </c>
      <c r="I64" s="2"/>
      <c r="J64" s="6">
        <f t="shared" si="30"/>
        <v>0</v>
      </c>
      <c r="K64" s="2"/>
      <c r="L64" s="7">
        <f t="shared" si="31"/>
        <v>0</v>
      </c>
      <c r="M64" s="2"/>
      <c r="N64" s="6">
        <f t="shared" si="32"/>
        <v>0</v>
      </c>
      <c r="O64" s="11"/>
      <c r="P64" s="7"/>
      <c r="Q64" s="2"/>
      <c r="R64" s="6">
        <f t="shared" si="33"/>
        <v>0</v>
      </c>
      <c r="S64" s="2"/>
      <c r="T64" s="7">
        <v>0</v>
      </c>
      <c r="U64" s="2"/>
      <c r="V64" s="6">
        <f t="shared" si="34"/>
        <v>0</v>
      </c>
      <c r="W64" s="2"/>
      <c r="X64" s="7">
        <f t="shared" si="35"/>
        <v>0</v>
      </c>
      <c r="Y64" s="2"/>
      <c r="Z64" s="6">
        <f t="shared" si="36"/>
        <v>0</v>
      </c>
    </row>
    <row r="65" spans="1:26" s="26" customFormat="1" outlineLevel="1" collapsed="1" x14ac:dyDescent="0.25">
      <c r="A65" s="27"/>
      <c r="B65" s="13" t="str">
        <f>CONCATENATE("     ","Discounts and Markdowns                           ")</f>
        <v xml:space="preserve">     Discounts and Markdowns                           </v>
      </c>
      <c r="C65" s="13"/>
      <c r="D65" s="1">
        <f>SUM(OSRRefD22_4x_0)</f>
        <v>140.38999999999999</v>
      </c>
      <c r="E65" s="1"/>
      <c r="F65" s="5">
        <f t="shared" si="29"/>
        <v>2.1372052589346182E-3</v>
      </c>
      <c r="G65" s="1"/>
      <c r="H65" s="1">
        <f>SUM(OSRRefH22_4x_0)</f>
        <v>1100</v>
      </c>
      <c r="I65" s="1"/>
      <c r="J65" s="5">
        <f t="shared" si="30"/>
        <v>1.2829858579967926E-2</v>
      </c>
      <c r="K65" s="1"/>
      <c r="L65" s="1">
        <f t="shared" si="31"/>
        <v>-959.61</v>
      </c>
      <c r="M65" s="1"/>
      <c r="N65" s="5">
        <f t="shared" si="32"/>
        <v>-0.8723727272727273</v>
      </c>
      <c r="O65" s="13"/>
      <c r="P65" s="1">
        <f>SUM(OSRRefP22_4x_0)</f>
        <v>305.81</v>
      </c>
      <c r="Q65" s="1"/>
      <c r="R65" s="5">
        <f t="shared" si="33"/>
        <v>1.7783348445002288E-3</v>
      </c>
      <c r="S65" s="1"/>
      <c r="T65" s="1">
        <f>SUM(OSRRefT22_4x_0)</f>
        <v>2500</v>
      </c>
      <c r="U65" s="1"/>
      <c r="V65" s="5">
        <f t="shared" si="34"/>
        <v>1.2169151201703681E-2</v>
      </c>
      <c r="W65" s="1"/>
      <c r="X65" s="1">
        <f t="shared" si="35"/>
        <v>-2194.19</v>
      </c>
      <c r="Y65" s="1"/>
      <c r="Z65" s="5">
        <f t="shared" si="36"/>
        <v>-0.87767600000000001</v>
      </c>
    </row>
    <row r="66" spans="1:26" s="24" customFormat="1" hidden="1" outlineLevel="2" x14ac:dyDescent="0.25">
      <c r="A66" s="25"/>
      <c r="B66" s="11" t="str">
        <f>CONCATENATE("          ", "6382", " - ", "DISCOUNTS/MARK DOWNS")</f>
        <v xml:space="preserve">          6382 - DISCOUNTS/MARK DOWNS</v>
      </c>
      <c r="C66" s="11"/>
      <c r="D66" s="7">
        <v>140.38999999999999</v>
      </c>
      <c r="E66" s="2"/>
      <c r="F66" s="6">
        <f t="shared" si="29"/>
        <v>2.1372052589346182E-3</v>
      </c>
      <c r="G66" s="2"/>
      <c r="H66" s="7">
        <v>1100</v>
      </c>
      <c r="I66" s="2"/>
      <c r="J66" s="6">
        <f t="shared" si="30"/>
        <v>1.2829858579967926E-2</v>
      </c>
      <c r="K66" s="2"/>
      <c r="L66" s="7">
        <f t="shared" si="31"/>
        <v>-959.61</v>
      </c>
      <c r="M66" s="2"/>
      <c r="N66" s="6">
        <f t="shared" si="32"/>
        <v>-0.8723727272727273</v>
      </c>
      <c r="O66" s="11"/>
      <c r="P66" s="7">
        <v>305.81</v>
      </c>
      <c r="Q66" s="2"/>
      <c r="R66" s="6">
        <f t="shared" si="33"/>
        <v>1.7783348445002288E-3</v>
      </c>
      <c r="S66" s="2"/>
      <c r="T66" s="7">
        <v>2500</v>
      </c>
      <c r="U66" s="2"/>
      <c r="V66" s="6">
        <f t="shared" si="34"/>
        <v>1.2169151201703681E-2</v>
      </c>
      <c r="W66" s="2"/>
      <c r="X66" s="7">
        <f t="shared" si="35"/>
        <v>-2194.19</v>
      </c>
      <c r="Y66" s="2"/>
      <c r="Z66" s="6">
        <f t="shared" si="36"/>
        <v>-0.87767600000000001</v>
      </c>
    </row>
    <row r="67" spans="1:26" s="26" customFormat="1" outlineLevel="1" collapsed="1" x14ac:dyDescent="0.25">
      <c r="A67" s="27"/>
      <c r="B67" s="13" t="str">
        <f>CONCATENATE("     ","Employees' Appreciation                           ")</f>
        <v xml:space="preserve">     Employees' Appreciation                           </v>
      </c>
      <c r="C67" s="13"/>
      <c r="D67" s="1">
        <f>SUM(OSRRefD22_5x_0)</f>
        <v>0</v>
      </c>
      <c r="E67" s="1"/>
      <c r="F67" s="5">
        <f t="shared" si="29"/>
        <v>0</v>
      </c>
      <c r="G67" s="1"/>
      <c r="H67" s="1">
        <f>SUM(OSRRefH22_5x_0)</f>
        <v>100</v>
      </c>
      <c r="I67" s="1"/>
      <c r="J67" s="5">
        <f t="shared" si="30"/>
        <v>1.1663507799970841E-3</v>
      </c>
      <c r="K67" s="1"/>
      <c r="L67" s="1">
        <f t="shared" si="31"/>
        <v>-100</v>
      </c>
      <c r="M67" s="1"/>
      <c r="N67" s="5">
        <f t="shared" si="32"/>
        <v>-1</v>
      </c>
      <c r="O67" s="13"/>
      <c r="P67" s="1">
        <f>SUM(OSRRefP22_5x_0)</f>
        <v>0</v>
      </c>
      <c r="Q67" s="1"/>
      <c r="R67" s="5">
        <f t="shared" si="33"/>
        <v>0</v>
      </c>
      <c r="S67" s="1"/>
      <c r="T67" s="1">
        <f>SUM(OSRRefT22_5x_0)</f>
        <v>300</v>
      </c>
      <c r="U67" s="1"/>
      <c r="V67" s="5">
        <f t="shared" si="34"/>
        <v>1.4602981442044416E-3</v>
      </c>
      <c r="W67" s="1"/>
      <c r="X67" s="1">
        <f t="shared" si="35"/>
        <v>-300</v>
      </c>
      <c r="Y67" s="1"/>
      <c r="Z67" s="5">
        <f t="shared" si="36"/>
        <v>-1</v>
      </c>
    </row>
    <row r="68" spans="1:26" s="24" customFormat="1" hidden="1" outlineLevel="2" x14ac:dyDescent="0.25">
      <c r="A68" s="25"/>
      <c r="B68" s="11" t="str">
        <f>CONCATENATE("          ", "6277", " - ", "EMPLOYEE APPRECIATION")</f>
        <v xml:space="preserve">          6277 - EMPLOYEE APPRECIATION</v>
      </c>
      <c r="C68" s="11"/>
      <c r="D68" s="7"/>
      <c r="E68" s="2"/>
      <c r="F68" s="6">
        <f t="shared" si="29"/>
        <v>0</v>
      </c>
      <c r="G68" s="2"/>
      <c r="H68" s="7">
        <v>100</v>
      </c>
      <c r="I68" s="2"/>
      <c r="J68" s="6">
        <f t="shared" si="30"/>
        <v>1.1663507799970841E-3</v>
      </c>
      <c r="K68" s="2"/>
      <c r="L68" s="7">
        <f t="shared" si="31"/>
        <v>-100</v>
      </c>
      <c r="M68" s="2"/>
      <c r="N68" s="6">
        <f t="shared" si="32"/>
        <v>-1</v>
      </c>
      <c r="O68" s="11"/>
      <c r="P68" s="7"/>
      <c r="Q68" s="2"/>
      <c r="R68" s="6">
        <f t="shared" si="33"/>
        <v>0</v>
      </c>
      <c r="S68" s="2"/>
      <c r="T68" s="7">
        <v>300</v>
      </c>
      <c r="U68" s="2"/>
      <c r="V68" s="6">
        <f t="shared" si="34"/>
        <v>1.4602981442044416E-3</v>
      </c>
      <c r="W68" s="2"/>
      <c r="X68" s="7">
        <f t="shared" si="35"/>
        <v>-300</v>
      </c>
      <c r="Y68" s="2"/>
      <c r="Z68" s="6">
        <f t="shared" si="36"/>
        <v>-1</v>
      </c>
    </row>
    <row r="69" spans="1:26" s="26" customFormat="1" outlineLevel="1" collapsed="1" x14ac:dyDescent="0.25">
      <c r="A69" s="27"/>
      <c r="B69" s="13" t="str">
        <f>CONCATENATE("     ","Equipment Rental                                  ")</f>
        <v xml:space="preserve">     Equipment Rental                                  </v>
      </c>
      <c r="C69" s="13"/>
      <c r="D69" s="1">
        <f>SUM(OSRRefD22_6x_0)</f>
        <v>1205.6400000000001</v>
      </c>
      <c r="E69" s="1"/>
      <c r="F69" s="5">
        <f t="shared" si="29"/>
        <v>1.8353872415285515E-2</v>
      </c>
      <c r="G69" s="1"/>
      <c r="H69" s="1">
        <f>SUM(OSRRefH22_6x_0)</f>
        <v>3000</v>
      </c>
      <c r="I69" s="1"/>
      <c r="J69" s="5">
        <f t="shared" si="30"/>
        <v>3.4990523399912522E-2</v>
      </c>
      <c r="K69" s="1"/>
      <c r="L69" s="1">
        <f t="shared" si="31"/>
        <v>-1794.36</v>
      </c>
      <c r="M69" s="1"/>
      <c r="N69" s="5">
        <f t="shared" si="32"/>
        <v>-0.59811999999999999</v>
      </c>
      <c r="O69" s="13"/>
      <c r="P69" s="1">
        <f>SUM(OSRRefP22_6x_0)</f>
        <v>3616.92</v>
      </c>
      <c r="Q69" s="1"/>
      <c r="R69" s="5">
        <f t="shared" si="33"/>
        <v>2.1032977553937959E-2</v>
      </c>
      <c r="S69" s="1"/>
      <c r="T69" s="1">
        <f>SUM(OSRRefT22_6x_0)</f>
        <v>9000</v>
      </c>
      <c r="U69" s="1"/>
      <c r="V69" s="5">
        <f t="shared" si="34"/>
        <v>4.3808944326133255E-2</v>
      </c>
      <c r="W69" s="1"/>
      <c r="X69" s="1">
        <f t="shared" si="35"/>
        <v>-5383.08</v>
      </c>
      <c r="Y69" s="1"/>
      <c r="Z69" s="5">
        <f t="shared" si="36"/>
        <v>-0.59811999999999999</v>
      </c>
    </row>
    <row r="70" spans="1:26" s="24" customFormat="1" hidden="1" outlineLevel="2" x14ac:dyDescent="0.25">
      <c r="A70" s="25"/>
      <c r="B70" s="11" t="str">
        <f>CONCATENATE("          ", "6351", " - ", "EQUIPMENT RENTAL")</f>
        <v xml:space="preserve">          6351 - EQUIPMENT RENTAL</v>
      </c>
      <c r="C70" s="11"/>
      <c r="D70" s="7">
        <v>1205.6400000000001</v>
      </c>
      <c r="E70" s="2"/>
      <c r="F70" s="6">
        <f t="shared" si="29"/>
        <v>1.8353872415285515E-2</v>
      </c>
      <c r="G70" s="2"/>
      <c r="H70" s="7">
        <v>3000</v>
      </c>
      <c r="I70" s="2"/>
      <c r="J70" s="6">
        <f t="shared" si="30"/>
        <v>3.4990523399912522E-2</v>
      </c>
      <c r="K70" s="2"/>
      <c r="L70" s="7">
        <f t="shared" si="31"/>
        <v>-1794.36</v>
      </c>
      <c r="M70" s="2"/>
      <c r="N70" s="6">
        <f t="shared" si="32"/>
        <v>-0.59811999999999999</v>
      </c>
      <c r="O70" s="11"/>
      <c r="P70" s="7">
        <v>3616.92</v>
      </c>
      <c r="Q70" s="2"/>
      <c r="R70" s="6">
        <f t="shared" si="33"/>
        <v>2.1032977553937959E-2</v>
      </c>
      <c r="S70" s="2"/>
      <c r="T70" s="7">
        <v>9000</v>
      </c>
      <c r="U70" s="2"/>
      <c r="V70" s="6">
        <f t="shared" si="34"/>
        <v>4.3808944326133255E-2</v>
      </c>
      <c r="W70" s="2"/>
      <c r="X70" s="7">
        <f t="shared" si="35"/>
        <v>-5383.08</v>
      </c>
      <c r="Y70" s="2"/>
      <c r="Z70" s="6">
        <f t="shared" si="36"/>
        <v>-0.59811999999999999</v>
      </c>
    </row>
    <row r="71" spans="1:26" s="26" customFormat="1" outlineLevel="1" collapsed="1" x14ac:dyDescent="0.25">
      <c r="A71" s="27"/>
      <c r="B71" s="13" t="str">
        <f>CONCATENATE("     ","Freight out/Postage                               ")</f>
        <v xml:space="preserve">     Freight out/Postage                               </v>
      </c>
      <c r="C71" s="13"/>
      <c r="D71" s="1">
        <f>SUM(OSRRefD22_7x_0)</f>
        <v>7286.9499999999989</v>
      </c>
      <c r="E71" s="1"/>
      <c r="F71" s="5">
        <f t="shared" si="29"/>
        <v>0.11093174628957628</v>
      </c>
      <c r="G71" s="1"/>
      <c r="H71" s="1">
        <f>SUM(OSRRefH22_7x_0)</f>
        <v>-25300</v>
      </c>
      <c r="I71" s="1"/>
      <c r="J71" s="5">
        <f t="shared" si="30"/>
        <v>-0.29508674733926227</v>
      </c>
      <c r="K71" s="1"/>
      <c r="L71" s="1">
        <f t="shared" si="31"/>
        <v>32586.949999999997</v>
      </c>
      <c r="M71" s="1"/>
      <c r="N71" s="5">
        <f t="shared" si="32"/>
        <v>-1.2880217391304347</v>
      </c>
      <c r="O71" s="13"/>
      <c r="P71" s="1">
        <f>SUM(OSRRefP22_7x_0)</f>
        <v>-8513.2200000000012</v>
      </c>
      <c r="Q71" s="1"/>
      <c r="R71" s="5">
        <f t="shared" si="33"/>
        <v>-4.9505757708695725E-2</v>
      </c>
      <c r="S71" s="1"/>
      <c r="T71" s="1">
        <f>SUM(OSRRefT22_7x_0)</f>
        <v>-29900</v>
      </c>
      <c r="U71" s="1"/>
      <c r="V71" s="5">
        <f t="shared" si="34"/>
        <v>-0.14554304837237603</v>
      </c>
      <c r="W71" s="1"/>
      <c r="X71" s="1">
        <f t="shared" si="35"/>
        <v>21386.78</v>
      </c>
      <c r="Y71" s="1"/>
      <c r="Z71" s="5">
        <f t="shared" si="36"/>
        <v>-0.71527692307692303</v>
      </c>
    </row>
    <row r="72" spans="1:26" s="24" customFormat="1" hidden="1" outlineLevel="2" x14ac:dyDescent="0.25">
      <c r="A72" s="25"/>
      <c r="B72" s="11" t="str">
        <f>CONCATENATE("          ", "6305", " - ", "FREIGHT OUT")</f>
        <v xml:space="preserve">          6305 - FREIGHT OUT</v>
      </c>
      <c r="C72" s="11"/>
      <c r="D72" s="7">
        <v>8515.89</v>
      </c>
      <c r="E72" s="2"/>
      <c r="F72" s="6">
        <f t="shared" si="29"/>
        <v>0.12964032261919456</v>
      </c>
      <c r="G72" s="2"/>
      <c r="H72" s="7">
        <v>-25300</v>
      </c>
      <c r="I72" s="2"/>
      <c r="J72" s="6">
        <f t="shared" si="30"/>
        <v>-0.29508674733926227</v>
      </c>
      <c r="K72" s="2"/>
      <c r="L72" s="7">
        <f t="shared" si="31"/>
        <v>33815.89</v>
      </c>
      <c r="M72" s="2"/>
      <c r="N72" s="6">
        <f t="shared" si="32"/>
        <v>-1.336596442687747</v>
      </c>
      <c r="O72" s="11"/>
      <c r="P72" s="7">
        <v>12129.32</v>
      </c>
      <c r="Q72" s="2"/>
      <c r="R72" s="6">
        <f t="shared" si="33"/>
        <v>7.0533966829382663E-2</v>
      </c>
      <c r="S72" s="2"/>
      <c r="T72" s="7">
        <v>-29900</v>
      </c>
      <c r="U72" s="2"/>
      <c r="V72" s="6">
        <f t="shared" si="34"/>
        <v>-0.14554304837237603</v>
      </c>
      <c r="W72" s="2"/>
      <c r="X72" s="7">
        <f t="shared" si="35"/>
        <v>42029.32</v>
      </c>
      <c r="Y72" s="2"/>
      <c r="Z72" s="6">
        <f t="shared" si="36"/>
        <v>-1.4056628762541805</v>
      </c>
    </row>
    <row r="73" spans="1:26" s="24" customFormat="1" hidden="1" outlineLevel="2" x14ac:dyDescent="0.25">
      <c r="A73" s="25"/>
      <c r="B73" s="11" t="str">
        <f>CONCATENATE("          ", "6307", " - ", "POSTAGE")</f>
        <v xml:space="preserve">          6307 - POSTAGE</v>
      </c>
      <c r="C73" s="11"/>
      <c r="D73" s="7">
        <v>-1228.94</v>
      </c>
      <c r="E73" s="2"/>
      <c r="F73" s="6">
        <f t="shared" si="29"/>
        <v>-1.8708576329618278E-2</v>
      </c>
      <c r="G73" s="2"/>
      <c r="H73" s="7"/>
      <c r="I73" s="2"/>
      <c r="J73" s="6">
        <f t="shared" si="30"/>
        <v>0</v>
      </c>
      <c r="K73" s="2"/>
      <c r="L73" s="7">
        <f t="shared" si="31"/>
        <v>-1228.94</v>
      </c>
      <c r="M73" s="2"/>
      <c r="N73" s="6">
        <f t="shared" si="32"/>
        <v>0</v>
      </c>
      <c r="O73" s="11"/>
      <c r="P73" s="7">
        <v>-20642.54</v>
      </c>
      <c r="Q73" s="2"/>
      <c r="R73" s="6">
        <f t="shared" si="33"/>
        <v>-0.12003972453807839</v>
      </c>
      <c r="S73" s="2"/>
      <c r="T73" s="7"/>
      <c r="U73" s="2"/>
      <c r="V73" s="6">
        <f t="shared" si="34"/>
        <v>0</v>
      </c>
      <c r="W73" s="2"/>
      <c r="X73" s="7">
        <f t="shared" si="35"/>
        <v>-20642.54</v>
      </c>
      <c r="Y73" s="2"/>
      <c r="Z73" s="6">
        <f t="shared" si="36"/>
        <v>0</v>
      </c>
    </row>
    <row r="74" spans="1:26" s="26" customFormat="1" outlineLevel="1" collapsed="1" x14ac:dyDescent="0.25">
      <c r="A74" s="27"/>
      <c r="B74" s="13" t="str">
        <f>CONCATENATE("     ","General                                           ")</f>
        <v xml:space="preserve">     General                                           </v>
      </c>
      <c r="C74" s="13"/>
      <c r="D74" s="1">
        <f>SUM(OSRRefD22_8x_0)</f>
        <v>80.17</v>
      </c>
      <c r="E74" s="1"/>
      <c r="F74" s="5">
        <f t="shared" ref="F74:F82" si="37">IF(D$12=0,0,D74/D$12)</f>
        <v>1.2204554854960349E-3</v>
      </c>
      <c r="G74" s="1"/>
      <c r="H74" s="1">
        <f>SUM(OSRRefH22_8x_0)</f>
        <v>300</v>
      </c>
      <c r="I74" s="1"/>
      <c r="J74" s="5">
        <f t="shared" ref="J74:J82" si="38">IF(H$12=0,0,H74/H$12)</f>
        <v>3.4990523399912525E-3</v>
      </c>
      <c r="K74" s="1"/>
      <c r="L74" s="1">
        <f t="shared" ref="L74:L82" si="39">+D74-H74</f>
        <v>-219.82999999999998</v>
      </c>
      <c r="M74" s="1"/>
      <c r="N74" s="5">
        <f t="shared" ref="N74:N82" si="40">IF(H74=0,0,L74/H74)</f>
        <v>-0.73276666666666657</v>
      </c>
      <c r="O74" s="13"/>
      <c r="P74" s="1">
        <f>SUM(OSRRefP22_8x_0)</f>
        <v>80.17</v>
      </c>
      <c r="Q74" s="1"/>
      <c r="R74" s="5">
        <f t="shared" ref="R74:R82" si="41">IF(P$12=0,0,P74/P$12)</f>
        <v>4.6620157772336857E-4</v>
      </c>
      <c r="S74" s="1"/>
      <c r="T74" s="1">
        <f>SUM(OSRRefT22_8x_0)</f>
        <v>800</v>
      </c>
      <c r="U74" s="1"/>
      <c r="V74" s="5">
        <f t="shared" ref="V74:V82" si="42">IF(T$12=0,0,T74/T$12)</f>
        <v>3.894128384545178E-3</v>
      </c>
      <c r="W74" s="1"/>
      <c r="X74" s="1">
        <f t="shared" ref="X74:X82" si="43">+P74-T74</f>
        <v>-719.83</v>
      </c>
      <c r="Y74" s="1"/>
      <c r="Z74" s="5">
        <f t="shared" ref="Z74:Z82" si="44">IF(T74=0,0,X74/T74)</f>
        <v>-0.89978750000000007</v>
      </c>
    </row>
    <row r="75" spans="1:26" s="24" customFormat="1" hidden="1" outlineLevel="2" x14ac:dyDescent="0.25">
      <c r="A75" s="25"/>
      <c r="B75" s="11" t="str">
        <f>CONCATENATE("          ", "6279", " - ", "GENERAL EXPENSE")</f>
        <v xml:space="preserve">          6279 - GENERAL EXPENSE</v>
      </c>
      <c r="C75" s="11"/>
      <c r="D75" s="7">
        <v>80.17</v>
      </c>
      <c r="E75" s="2"/>
      <c r="F75" s="6">
        <f t="shared" si="37"/>
        <v>1.2204554854960349E-3</v>
      </c>
      <c r="G75" s="2"/>
      <c r="H75" s="7">
        <v>300</v>
      </c>
      <c r="I75" s="2"/>
      <c r="J75" s="6">
        <f t="shared" si="38"/>
        <v>3.4990523399912525E-3</v>
      </c>
      <c r="K75" s="2"/>
      <c r="L75" s="7">
        <f t="shared" si="39"/>
        <v>-219.82999999999998</v>
      </c>
      <c r="M75" s="2"/>
      <c r="N75" s="6">
        <f t="shared" si="40"/>
        <v>-0.73276666666666657</v>
      </c>
      <c r="O75" s="11"/>
      <c r="P75" s="7">
        <v>80.17</v>
      </c>
      <c r="Q75" s="2"/>
      <c r="R75" s="6">
        <f t="shared" si="41"/>
        <v>4.6620157772336857E-4</v>
      </c>
      <c r="S75" s="2"/>
      <c r="T75" s="7">
        <v>800</v>
      </c>
      <c r="U75" s="2"/>
      <c r="V75" s="6">
        <f t="shared" si="42"/>
        <v>3.894128384545178E-3</v>
      </c>
      <c r="W75" s="2"/>
      <c r="X75" s="7">
        <f t="shared" si="43"/>
        <v>-719.83</v>
      </c>
      <c r="Y75" s="2"/>
      <c r="Z75" s="6">
        <f t="shared" si="44"/>
        <v>-0.89978750000000007</v>
      </c>
    </row>
    <row r="76" spans="1:26" s="26" customFormat="1" outlineLevel="1" collapsed="1" x14ac:dyDescent="0.25">
      <c r="A76" s="27"/>
      <c r="B76" s="13" t="str">
        <f>CONCATENATE("     ","Inventory Adjustment                              ")</f>
        <v xml:space="preserve">     Inventory Adjustment                              </v>
      </c>
      <c r="C76" s="13"/>
      <c r="D76" s="1">
        <f>SUM(OSRRefD22_9x_0)</f>
        <v>100</v>
      </c>
      <c r="E76" s="1"/>
      <c r="F76" s="5">
        <f t="shared" si="37"/>
        <v>1.5223343962779531E-3</v>
      </c>
      <c r="G76" s="1"/>
      <c r="H76" s="1">
        <f>SUM(OSRRefH22_9x_0)</f>
        <v>100</v>
      </c>
      <c r="I76" s="1"/>
      <c r="J76" s="5">
        <f t="shared" si="38"/>
        <v>1.1663507799970841E-3</v>
      </c>
      <c r="K76" s="1"/>
      <c r="L76" s="1">
        <f t="shared" si="39"/>
        <v>0</v>
      </c>
      <c r="M76" s="1"/>
      <c r="N76" s="5">
        <f t="shared" si="40"/>
        <v>0</v>
      </c>
      <c r="O76" s="13"/>
      <c r="P76" s="1">
        <f>SUM(OSRRefP22_9x_0)</f>
        <v>200</v>
      </c>
      <c r="Q76" s="1"/>
      <c r="R76" s="5">
        <f t="shared" si="41"/>
        <v>1.1630325002453998E-3</v>
      </c>
      <c r="S76" s="1"/>
      <c r="T76" s="1">
        <f>SUM(OSRRefT22_9x_0)</f>
        <v>200</v>
      </c>
      <c r="U76" s="1"/>
      <c r="V76" s="5">
        <f t="shared" si="42"/>
        <v>9.735320961362945E-4</v>
      </c>
      <c r="W76" s="1"/>
      <c r="X76" s="1">
        <f t="shared" si="43"/>
        <v>0</v>
      </c>
      <c r="Y76" s="1"/>
      <c r="Z76" s="5">
        <f t="shared" si="44"/>
        <v>0</v>
      </c>
    </row>
    <row r="77" spans="1:26" s="24" customFormat="1" hidden="1" outlineLevel="2" x14ac:dyDescent="0.25">
      <c r="A77" s="25"/>
      <c r="B77" s="11" t="str">
        <f>CONCATENATE("          ", "6408", " - ", "INVENTORY ADJUSTMENT")</f>
        <v xml:space="preserve">          6408 - INVENTORY ADJUSTMENT</v>
      </c>
      <c r="C77" s="11"/>
      <c r="D77" s="7">
        <v>100</v>
      </c>
      <c r="E77" s="2"/>
      <c r="F77" s="6">
        <f t="shared" si="37"/>
        <v>1.5223343962779531E-3</v>
      </c>
      <c r="G77" s="2"/>
      <c r="H77" s="7">
        <v>100</v>
      </c>
      <c r="I77" s="2"/>
      <c r="J77" s="6">
        <f t="shared" si="38"/>
        <v>1.1663507799970841E-3</v>
      </c>
      <c r="K77" s="2"/>
      <c r="L77" s="7">
        <f t="shared" si="39"/>
        <v>0</v>
      </c>
      <c r="M77" s="2"/>
      <c r="N77" s="6">
        <f t="shared" si="40"/>
        <v>0</v>
      </c>
      <c r="O77" s="11"/>
      <c r="P77" s="7">
        <v>200</v>
      </c>
      <c r="Q77" s="2"/>
      <c r="R77" s="6">
        <f t="shared" si="41"/>
        <v>1.1630325002453998E-3</v>
      </c>
      <c r="S77" s="2"/>
      <c r="T77" s="7">
        <v>200</v>
      </c>
      <c r="U77" s="2"/>
      <c r="V77" s="6">
        <f t="shared" si="42"/>
        <v>9.735320961362945E-4</v>
      </c>
      <c r="W77" s="2"/>
      <c r="X77" s="7">
        <f t="shared" si="43"/>
        <v>0</v>
      </c>
      <c r="Y77" s="2"/>
      <c r="Z77" s="6">
        <f t="shared" si="44"/>
        <v>0</v>
      </c>
    </row>
    <row r="78" spans="1:26" s="26" customFormat="1" outlineLevel="1" collapsed="1" x14ac:dyDescent="0.25">
      <c r="A78" s="27"/>
      <c r="B78" s="13" t="str">
        <f>CONCATENATE("     ","Repair and Maintenance                            ")</f>
        <v xml:space="preserve">     Repair and Maintenance                            </v>
      </c>
      <c r="C78" s="13"/>
      <c r="D78" s="1">
        <f>SUM(OSRRefD22_10x_0)</f>
        <v>6637.41</v>
      </c>
      <c r="E78" s="1"/>
      <c r="F78" s="5">
        <f t="shared" si="37"/>
        <v>0.10104357545199248</v>
      </c>
      <c r="G78" s="1"/>
      <c r="H78" s="1">
        <f>SUM(OSRRefH22_10x_0)</f>
        <v>7000</v>
      </c>
      <c r="I78" s="1"/>
      <c r="J78" s="5">
        <f t="shared" si="38"/>
        <v>8.1644554599795888E-2</v>
      </c>
      <c r="K78" s="1"/>
      <c r="L78" s="1">
        <f t="shared" si="39"/>
        <v>-362.59000000000015</v>
      </c>
      <c r="M78" s="1"/>
      <c r="N78" s="5">
        <f t="shared" si="40"/>
        <v>-5.1798571428571451E-2</v>
      </c>
      <c r="O78" s="13"/>
      <c r="P78" s="1">
        <f>SUM(OSRRefP22_10x_0)</f>
        <v>18447.43</v>
      </c>
      <c r="Q78" s="1"/>
      <c r="R78" s="5">
        <f t="shared" si="41"/>
        <v>0.10727480318000999</v>
      </c>
      <c r="S78" s="1"/>
      <c r="T78" s="1">
        <f>SUM(OSRRefT22_10x_0)</f>
        <v>21000</v>
      </c>
      <c r="U78" s="1"/>
      <c r="V78" s="5">
        <f t="shared" si="42"/>
        <v>0.10222087009431093</v>
      </c>
      <c r="W78" s="1"/>
      <c r="X78" s="1">
        <f t="shared" si="43"/>
        <v>-2552.5699999999997</v>
      </c>
      <c r="Y78" s="1"/>
      <c r="Z78" s="5">
        <f t="shared" si="44"/>
        <v>-0.12155095238095237</v>
      </c>
    </row>
    <row r="79" spans="1:26" s="24" customFormat="1" hidden="1" outlineLevel="2" x14ac:dyDescent="0.25">
      <c r="A79" s="25"/>
      <c r="B79" s="11" t="str">
        <f>CONCATENATE("          ", "6373", " - ", "MAINTENANCE CONTRACTS")</f>
        <v xml:space="preserve">          6373 - MAINTENANCE CONTRACTS</v>
      </c>
      <c r="C79" s="11"/>
      <c r="D79" s="7">
        <v>6637.41</v>
      </c>
      <c r="E79" s="2"/>
      <c r="F79" s="6">
        <f t="shared" si="37"/>
        <v>0.10104357545199248</v>
      </c>
      <c r="G79" s="2"/>
      <c r="H79" s="7">
        <v>7000</v>
      </c>
      <c r="I79" s="2"/>
      <c r="J79" s="6">
        <f t="shared" si="38"/>
        <v>8.1644554599795888E-2</v>
      </c>
      <c r="K79" s="2"/>
      <c r="L79" s="7">
        <f t="shared" si="39"/>
        <v>-362.59000000000015</v>
      </c>
      <c r="M79" s="2"/>
      <c r="N79" s="6">
        <f t="shared" si="40"/>
        <v>-5.1798571428571451E-2</v>
      </c>
      <c r="O79" s="11"/>
      <c r="P79" s="7">
        <v>18447.43</v>
      </c>
      <c r="Q79" s="2"/>
      <c r="R79" s="6">
        <f t="shared" si="41"/>
        <v>0.10727480318000999</v>
      </c>
      <c r="S79" s="2"/>
      <c r="T79" s="7">
        <v>21000</v>
      </c>
      <c r="U79" s="2"/>
      <c r="V79" s="6">
        <f t="shared" si="42"/>
        <v>0.10222087009431093</v>
      </c>
      <c r="W79" s="2"/>
      <c r="X79" s="7">
        <f t="shared" si="43"/>
        <v>-2552.5699999999997</v>
      </c>
      <c r="Y79" s="2"/>
      <c r="Z79" s="6">
        <f t="shared" si="44"/>
        <v>-0.12155095238095237</v>
      </c>
    </row>
    <row r="80" spans="1:26" s="26" customFormat="1" outlineLevel="1" collapsed="1" x14ac:dyDescent="0.25">
      <c r="A80" s="27"/>
      <c r="B80" s="13" t="str">
        <f>CONCATENATE("     ","Royalty &amp; Commissions                             ")</f>
        <v xml:space="preserve">     Royalty &amp; Commissions                             </v>
      </c>
      <c r="C80" s="13"/>
      <c r="D80" s="1">
        <f>SUM(OSRRefD22_11x_0)</f>
        <v>10215.44</v>
      </c>
      <c r="E80" s="1"/>
      <c r="F80" s="5">
        <f t="shared" si="37"/>
        <v>0.15551315685113654</v>
      </c>
      <c r="G80" s="1"/>
      <c r="H80" s="1">
        <f>SUM(OSRRefH22_11x_0)</f>
        <v>11000</v>
      </c>
      <c r="I80" s="1"/>
      <c r="J80" s="5">
        <f t="shared" si="38"/>
        <v>0.12829858579967926</v>
      </c>
      <c r="K80" s="1"/>
      <c r="L80" s="1">
        <f t="shared" si="39"/>
        <v>-784.55999999999949</v>
      </c>
      <c r="M80" s="1"/>
      <c r="N80" s="5">
        <f t="shared" si="40"/>
        <v>-7.1323636363636311E-2</v>
      </c>
      <c r="O80" s="13"/>
      <c r="P80" s="1">
        <f>SUM(OSRRefP22_11x_0)</f>
        <v>14469.62</v>
      </c>
      <c r="Q80" s="1"/>
      <c r="R80" s="5">
        <f t="shared" si="41"/>
        <v>8.4143191631004227E-2</v>
      </c>
      <c r="S80" s="1"/>
      <c r="T80" s="1">
        <f>SUM(OSRRefT22_11x_0)</f>
        <v>33000</v>
      </c>
      <c r="U80" s="1"/>
      <c r="V80" s="5">
        <f t="shared" si="42"/>
        <v>0.1606327958624886</v>
      </c>
      <c r="W80" s="1"/>
      <c r="X80" s="1">
        <f t="shared" si="43"/>
        <v>-18530.379999999997</v>
      </c>
      <c r="Y80" s="1"/>
      <c r="Z80" s="5">
        <f t="shared" si="44"/>
        <v>-0.56152666666666662</v>
      </c>
    </row>
    <row r="81" spans="1:26" s="24" customFormat="1" hidden="1" outlineLevel="2" x14ac:dyDescent="0.25">
      <c r="A81" s="25"/>
      <c r="B81" s="11" t="str">
        <f>CONCATENATE("          ", "6254", " - ", "ROYALTY &amp; COMMISSIONS")</f>
        <v xml:space="preserve">          6254 - ROYALTY &amp; COMMISSIONS</v>
      </c>
      <c r="C81" s="11"/>
      <c r="D81" s="7"/>
      <c r="E81" s="2"/>
      <c r="F81" s="6">
        <f t="shared" si="37"/>
        <v>0</v>
      </c>
      <c r="G81" s="2"/>
      <c r="H81" s="7">
        <v>11000</v>
      </c>
      <c r="I81" s="2"/>
      <c r="J81" s="6">
        <f t="shared" si="38"/>
        <v>0.12829858579967926</v>
      </c>
      <c r="K81" s="2"/>
      <c r="L81" s="7">
        <f t="shared" si="39"/>
        <v>-11000</v>
      </c>
      <c r="M81" s="2"/>
      <c r="N81" s="6">
        <f t="shared" si="40"/>
        <v>-1</v>
      </c>
      <c r="O81" s="11"/>
      <c r="P81" s="7"/>
      <c r="Q81" s="2"/>
      <c r="R81" s="6">
        <f t="shared" si="41"/>
        <v>0</v>
      </c>
      <c r="S81" s="2"/>
      <c r="T81" s="7">
        <v>33000</v>
      </c>
      <c r="U81" s="2"/>
      <c r="V81" s="6">
        <f t="shared" si="42"/>
        <v>0.1606327958624886</v>
      </c>
      <c r="W81" s="2"/>
      <c r="X81" s="7">
        <f t="shared" si="43"/>
        <v>-33000</v>
      </c>
      <c r="Y81" s="2"/>
      <c r="Z81" s="6">
        <f t="shared" si="44"/>
        <v>-1</v>
      </c>
    </row>
    <row r="82" spans="1:26" s="24" customFormat="1" hidden="1" outlineLevel="2" x14ac:dyDescent="0.25">
      <c r="A82" s="25"/>
      <c r="B82" s="11" t="str">
        <f>CONCATENATE("          ", "6259", " - ", "ROYALTY &amp; COMMISSIONS")</f>
        <v xml:space="preserve">          6259 - ROYALTY &amp; COMMISSIONS</v>
      </c>
      <c r="C82" s="11"/>
      <c r="D82" s="7">
        <v>10215.44</v>
      </c>
      <c r="E82" s="2"/>
      <c r="F82" s="6">
        <f t="shared" si="37"/>
        <v>0.15551315685113654</v>
      </c>
      <c r="G82" s="2"/>
      <c r="H82" s="7"/>
      <c r="I82" s="2"/>
      <c r="J82" s="6">
        <f t="shared" si="38"/>
        <v>0</v>
      </c>
      <c r="K82" s="2"/>
      <c r="L82" s="7">
        <f t="shared" si="39"/>
        <v>10215.44</v>
      </c>
      <c r="M82" s="2"/>
      <c r="N82" s="6">
        <f t="shared" si="40"/>
        <v>0</v>
      </c>
      <c r="O82" s="11"/>
      <c r="P82" s="7">
        <v>14469.62</v>
      </c>
      <c r="Q82" s="2"/>
      <c r="R82" s="6">
        <f t="shared" si="41"/>
        <v>8.4143191631004227E-2</v>
      </c>
      <c r="S82" s="2"/>
      <c r="T82" s="7"/>
      <c r="U82" s="2"/>
      <c r="V82" s="6">
        <f t="shared" si="42"/>
        <v>0</v>
      </c>
      <c r="W82" s="2"/>
      <c r="X82" s="7">
        <f t="shared" si="43"/>
        <v>14469.62</v>
      </c>
      <c r="Y82" s="2"/>
      <c r="Z82" s="6">
        <f t="shared" si="44"/>
        <v>0</v>
      </c>
    </row>
    <row r="83" spans="1:26" s="26" customFormat="1" outlineLevel="1" collapsed="1" x14ac:dyDescent="0.25">
      <c r="A83" s="27"/>
      <c r="B83" s="13" t="str">
        <f>CONCATENATE("     ","Supplies                                          ")</f>
        <v xml:space="preserve">     Supplies                                          </v>
      </c>
      <c r="C83" s="13"/>
      <c r="D83" s="1">
        <f>SUM(OSRRefD22_12x_0)</f>
        <v>7168.18</v>
      </c>
      <c r="E83" s="1"/>
      <c r="F83" s="5">
        <f t="shared" ref="F83:F88" si="45">IF(D$12=0,0,D83/D$12)</f>
        <v>0.10912366972711698</v>
      </c>
      <c r="G83" s="1"/>
      <c r="H83" s="1">
        <f>SUM(OSRRefH22_12x_0)</f>
        <v>13500</v>
      </c>
      <c r="I83" s="1"/>
      <c r="J83" s="5">
        <f t="shared" ref="J83:J88" si="46">IF(H$12=0,0,H83/H$12)</f>
        <v>0.15745735529960636</v>
      </c>
      <c r="K83" s="1"/>
      <c r="L83" s="1">
        <f t="shared" ref="L83:L88" si="47">+D83-H83</f>
        <v>-6331.82</v>
      </c>
      <c r="M83" s="1"/>
      <c r="N83" s="5">
        <f t="shared" ref="N83:N88" si="48">IF(H83=0,0,L83/H83)</f>
        <v>-0.46902370370370366</v>
      </c>
      <c r="O83" s="13"/>
      <c r="P83" s="1">
        <f>SUM(OSRRefP22_12x_0)</f>
        <v>14461.77</v>
      </c>
      <c r="Q83" s="1"/>
      <c r="R83" s="5">
        <f t="shared" ref="R83:R88" si="49">IF(P$12=0,0,P83/P$12)</f>
        <v>8.4097542605369585E-2</v>
      </c>
      <c r="S83" s="1"/>
      <c r="T83" s="1">
        <f>SUM(OSRRefT22_12x_0)</f>
        <v>24000</v>
      </c>
      <c r="U83" s="1"/>
      <c r="V83" s="5">
        <f t="shared" ref="V83:V88" si="50">IF(T$12=0,0,T83/T$12)</f>
        <v>0.11682385153635534</v>
      </c>
      <c r="W83" s="1"/>
      <c r="X83" s="1">
        <f t="shared" ref="X83:X88" si="51">+P83-T83</f>
        <v>-9538.23</v>
      </c>
      <c r="Y83" s="1"/>
      <c r="Z83" s="5">
        <f t="shared" ref="Z83:Z88" si="52">IF(T83=0,0,X83/T83)</f>
        <v>-0.39742624999999998</v>
      </c>
    </row>
    <row r="84" spans="1:26" s="24" customFormat="1" hidden="1" outlineLevel="2" x14ac:dyDescent="0.25">
      <c r="A84" s="25"/>
      <c r="B84" s="11" t="str">
        <f>CONCATENATE("          ", "6234", " - ", "EXPENDABLE SUPPLIES &amp; EQUIPMEN")</f>
        <v xml:space="preserve">          6234 - EXPENDABLE SUPPLIES &amp; EQUIPMEN</v>
      </c>
      <c r="C84" s="11"/>
      <c r="D84" s="7"/>
      <c r="E84" s="2"/>
      <c r="F84" s="6">
        <f t="shared" si="45"/>
        <v>0</v>
      </c>
      <c r="G84" s="2"/>
      <c r="H84" s="7"/>
      <c r="I84" s="2"/>
      <c r="J84" s="6">
        <f t="shared" si="46"/>
        <v>0</v>
      </c>
      <c r="K84" s="2"/>
      <c r="L84" s="7">
        <f t="shared" si="47"/>
        <v>0</v>
      </c>
      <c r="M84" s="2"/>
      <c r="N84" s="6">
        <f t="shared" si="48"/>
        <v>0</v>
      </c>
      <c r="O84" s="11"/>
      <c r="P84" s="7">
        <v>1017.27</v>
      </c>
      <c r="Q84" s="2"/>
      <c r="R84" s="6">
        <f t="shared" si="49"/>
        <v>5.9155903576231898E-3</v>
      </c>
      <c r="S84" s="2"/>
      <c r="T84" s="7"/>
      <c r="U84" s="2"/>
      <c r="V84" s="6">
        <f t="shared" si="50"/>
        <v>0</v>
      </c>
      <c r="W84" s="2"/>
      <c r="X84" s="7">
        <f t="shared" si="51"/>
        <v>1017.27</v>
      </c>
      <c r="Y84" s="2"/>
      <c r="Z84" s="6">
        <f t="shared" si="52"/>
        <v>0</v>
      </c>
    </row>
    <row r="85" spans="1:26" s="24" customFormat="1" hidden="1" outlineLevel="2" x14ac:dyDescent="0.25">
      <c r="A85" s="25"/>
      <c r="B85" s="11" t="str">
        <f>CONCATENATE("          ", "6241", " - ", "OFFICE EXPENSE")</f>
        <v xml:space="preserve">          6241 - OFFICE EXPENSE</v>
      </c>
      <c r="C85" s="11"/>
      <c r="D85" s="7">
        <v>87.41</v>
      </c>
      <c r="E85" s="2"/>
      <c r="F85" s="6">
        <f t="shared" si="45"/>
        <v>1.3306724957865587E-3</v>
      </c>
      <c r="G85" s="2"/>
      <c r="H85" s="7"/>
      <c r="I85" s="2"/>
      <c r="J85" s="6">
        <f t="shared" si="46"/>
        <v>0</v>
      </c>
      <c r="K85" s="2"/>
      <c r="L85" s="7">
        <f t="shared" si="47"/>
        <v>87.41</v>
      </c>
      <c r="M85" s="2"/>
      <c r="N85" s="6">
        <f t="shared" si="48"/>
        <v>0</v>
      </c>
      <c r="O85" s="11"/>
      <c r="P85" s="7">
        <v>115.02</v>
      </c>
      <c r="Q85" s="2"/>
      <c r="R85" s="6">
        <f t="shared" si="49"/>
        <v>6.6885999089112951E-4</v>
      </c>
      <c r="S85" s="2"/>
      <c r="T85" s="7"/>
      <c r="U85" s="2"/>
      <c r="V85" s="6">
        <f t="shared" si="50"/>
        <v>0</v>
      </c>
      <c r="W85" s="2"/>
      <c r="X85" s="7">
        <f t="shared" si="51"/>
        <v>115.02</v>
      </c>
      <c r="Y85" s="2"/>
      <c r="Z85" s="6">
        <f t="shared" si="52"/>
        <v>0</v>
      </c>
    </row>
    <row r="86" spans="1:26" s="24" customFormat="1" hidden="1" outlineLevel="2" x14ac:dyDescent="0.25">
      <c r="A86" s="25"/>
      <c r="B86" s="11" t="str">
        <f>CONCATENATE("          ", "6243", " - ", "PAPER SUPPLIES")</f>
        <v xml:space="preserve">          6243 - PAPER SUPPLIES</v>
      </c>
      <c r="C86" s="11"/>
      <c r="D86" s="7">
        <v>318.66000000000003</v>
      </c>
      <c r="E86" s="2"/>
      <c r="F86" s="6">
        <f t="shared" si="45"/>
        <v>4.8510707871793259E-3</v>
      </c>
      <c r="G86" s="2"/>
      <c r="H86" s="7">
        <v>250</v>
      </c>
      <c r="I86" s="2"/>
      <c r="J86" s="6">
        <f t="shared" si="46"/>
        <v>2.9158769499927103E-3</v>
      </c>
      <c r="K86" s="2"/>
      <c r="L86" s="7">
        <f t="shared" si="47"/>
        <v>68.660000000000025</v>
      </c>
      <c r="M86" s="2"/>
      <c r="N86" s="6">
        <f t="shared" si="48"/>
        <v>0.27464000000000011</v>
      </c>
      <c r="O86" s="11"/>
      <c r="P86" s="7">
        <v>2976.95</v>
      </c>
      <c r="Q86" s="2"/>
      <c r="R86" s="6">
        <f t="shared" si="49"/>
        <v>1.7311448008027714E-2</v>
      </c>
      <c r="S86" s="2"/>
      <c r="T86" s="7">
        <v>750</v>
      </c>
      <c r="U86" s="2"/>
      <c r="V86" s="6">
        <f t="shared" si="50"/>
        <v>3.6507453605111044E-3</v>
      </c>
      <c r="W86" s="2"/>
      <c r="X86" s="7">
        <f t="shared" si="51"/>
        <v>2226.9499999999998</v>
      </c>
      <c r="Y86" s="2"/>
      <c r="Z86" s="6">
        <f t="shared" si="52"/>
        <v>2.9692666666666665</v>
      </c>
    </row>
    <row r="87" spans="1:26" s="24" customFormat="1" hidden="1" outlineLevel="2" x14ac:dyDescent="0.25">
      <c r="A87" s="25"/>
      <c r="B87" s="11" t="str">
        <f>CONCATENATE("          ", "6245", " - ", "PRINTING")</f>
        <v xml:space="preserve">          6245 - PRINTING</v>
      </c>
      <c r="C87" s="11"/>
      <c r="D87" s="7">
        <v>254.9</v>
      </c>
      <c r="E87" s="2"/>
      <c r="F87" s="6">
        <f t="shared" si="45"/>
        <v>3.8804303761125025E-3</v>
      </c>
      <c r="G87" s="2"/>
      <c r="H87" s="7"/>
      <c r="I87" s="2"/>
      <c r="J87" s="6">
        <f t="shared" si="46"/>
        <v>0</v>
      </c>
      <c r="K87" s="2"/>
      <c r="L87" s="7">
        <f t="shared" si="47"/>
        <v>254.9</v>
      </c>
      <c r="M87" s="2"/>
      <c r="N87" s="6">
        <f t="shared" si="48"/>
        <v>0</v>
      </c>
      <c r="O87" s="11"/>
      <c r="P87" s="7">
        <v>242.2</v>
      </c>
      <c r="Q87" s="2"/>
      <c r="R87" s="6">
        <f t="shared" si="49"/>
        <v>1.4084323577971793E-3</v>
      </c>
      <c r="S87" s="2"/>
      <c r="T87" s="7"/>
      <c r="U87" s="2"/>
      <c r="V87" s="6">
        <f t="shared" si="50"/>
        <v>0</v>
      </c>
      <c r="W87" s="2"/>
      <c r="X87" s="7">
        <f t="shared" si="51"/>
        <v>242.2</v>
      </c>
      <c r="Y87" s="2"/>
      <c r="Z87" s="6">
        <f t="shared" si="52"/>
        <v>0</v>
      </c>
    </row>
    <row r="88" spans="1:26" s="24" customFormat="1" hidden="1" outlineLevel="2" x14ac:dyDescent="0.25">
      <c r="A88" s="25"/>
      <c r="B88" s="11" t="str">
        <f>CONCATENATE("          ", "6247", " - ", "STORE SUPPLIES")</f>
        <v xml:space="preserve">          6247 - STORE SUPPLIES</v>
      </c>
      <c r="C88" s="11"/>
      <c r="D88" s="7">
        <v>6507.21</v>
      </c>
      <c r="E88" s="2"/>
      <c r="F88" s="6">
        <f t="shared" si="45"/>
        <v>9.9061496068038588E-2</v>
      </c>
      <c r="G88" s="2"/>
      <c r="H88" s="7">
        <v>13250</v>
      </c>
      <c r="I88" s="2"/>
      <c r="J88" s="6">
        <f t="shared" si="46"/>
        <v>0.15454147834961365</v>
      </c>
      <c r="K88" s="2"/>
      <c r="L88" s="7">
        <f t="shared" si="47"/>
        <v>-6742.79</v>
      </c>
      <c r="M88" s="2"/>
      <c r="N88" s="6">
        <f t="shared" si="48"/>
        <v>-0.50888981132075473</v>
      </c>
      <c r="O88" s="11"/>
      <c r="P88" s="7">
        <v>10110.33</v>
      </c>
      <c r="Q88" s="2"/>
      <c r="R88" s="6">
        <f t="shared" si="49"/>
        <v>5.8793211891030372E-2</v>
      </c>
      <c r="S88" s="2"/>
      <c r="T88" s="7">
        <v>23250</v>
      </c>
      <c r="U88" s="2"/>
      <c r="V88" s="6">
        <f t="shared" si="50"/>
        <v>0.11317310617584424</v>
      </c>
      <c r="W88" s="2"/>
      <c r="X88" s="7">
        <f t="shared" si="51"/>
        <v>-13139.67</v>
      </c>
      <c r="Y88" s="2"/>
      <c r="Z88" s="6">
        <f t="shared" si="52"/>
        <v>-0.5651470967741935</v>
      </c>
    </row>
    <row r="89" spans="1:26" s="26" customFormat="1" outlineLevel="1" collapsed="1" x14ac:dyDescent="0.25">
      <c r="A89" s="27"/>
      <c r="B89" s="13" t="str">
        <f>CONCATENATE("     ","Telephone/Data Lines                              ")</f>
        <v xml:space="preserve">     Telephone/Data Lines                              </v>
      </c>
      <c r="C89" s="13"/>
      <c r="D89" s="1">
        <f>SUM(OSRRefD22_13x_0)</f>
        <v>250</v>
      </c>
      <c r="E89" s="1"/>
      <c r="F89" s="5">
        <f t="shared" ref="F89:F91" si="53">IF(D$12=0,0,D89/D$12)</f>
        <v>3.8058359906948825E-3</v>
      </c>
      <c r="G89" s="1"/>
      <c r="H89" s="1">
        <f>SUM(OSRRefH22_13x_0)</f>
        <v>200</v>
      </c>
      <c r="I89" s="1"/>
      <c r="J89" s="5">
        <f t="shared" ref="J89:J91" si="54">IF(H$12=0,0,H89/H$12)</f>
        <v>2.3327015599941682E-3</v>
      </c>
      <c r="K89" s="1"/>
      <c r="L89" s="1">
        <f t="shared" ref="L89:L91" si="55">+D89-H89</f>
        <v>50</v>
      </c>
      <c r="M89" s="1"/>
      <c r="N89" s="5">
        <f t="shared" ref="N89:N91" si="56">IF(H89=0,0,L89/H89)</f>
        <v>0.25</v>
      </c>
      <c r="O89" s="13"/>
      <c r="P89" s="1">
        <f>SUM(OSRRefP22_13x_0)</f>
        <v>642.04999999999995</v>
      </c>
      <c r="Q89" s="1"/>
      <c r="R89" s="5">
        <f t="shared" ref="R89:R91" si="57">IF(P$12=0,0,P89/P$12)</f>
        <v>3.7336250839127946E-3</v>
      </c>
      <c r="S89" s="1"/>
      <c r="T89" s="1">
        <f>SUM(OSRRefT22_13x_0)</f>
        <v>600</v>
      </c>
      <c r="U89" s="1"/>
      <c r="V89" s="5">
        <f t="shared" ref="V89:V91" si="58">IF(T$12=0,0,T89/T$12)</f>
        <v>2.9205962884088833E-3</v>
      </c>
      <c r="W89" s="1"/>
      <c r="X89" s="1">
        <f t="shared" ref="X89:X91" si="59">+P89-T89</f>
        <v>42.049999999999955</v>
      </c>
      <c r="Y89" s="1"/>
      <c r="Z89" s="5">
        <f t="shared" ref="Z89:Z91" si="60">IF(T89=0,0,X89/T89)</f>
        <v>7.0083333333333261E-2</v>
      </c>
    </row>
    <row r="90" spans="1:26" s="24" customFormat="1" hidden="1" outlineLevel="2" x14ac:dyDescent="0.25">
      <c r="A90" s="25"/>
      <c r="B90" s="11" t="str">
        <f>CONCATENATE("          ", "6303", " - ", "DATA PHONE LINES")</f>
        <v xml:space="preserve">          6303 - DATA PHONE LINES</v>
      </c>
      <c r="C90" s="11"/>
      <c r="D90" s="7"/>
      <c r="E90" s="2"/>
      <c r="F90" s="6">
        <f t="shared" si="53"/>
        <v>0</v>
      </c>
      <c r="G90" s="2"/>
      <c r="H90" s="7">
        <v>200</v>
      </c>
      <c r="I90" s="2"/>
      <c r="J90" s="6">
        <f t="shared" si="54"/>
        <v>2.3327015599941682E-3</v>
      </c>
      <c r="K90" s="2"/>
      <c r="L90" s="7">
        <f t="shared" si="55"/>
        <v>-200</v>
      </c>
      <c r="M90" s="2"/>
      <c r="N90" s="6">
        <f t="shared" si="56"/>
        <v>-1</v>
      </c>
      <c r="O90" s="11"/>
      <c r="P90" s="7"/>
      <c r="Q90" s="2"/>
      <c r="R90" s="6">
        <f t="shared" si="57"/>
        <v>0</v>
      </c>
      <c r="S90" s="2"/>
      <c r="T90" s="7">
        <v>600</v>
      </c>
      <c r="U90" s="2"/>
      <c r="V90" s="6">
        <f t="shared" si="58"/>
        <v>2.9205962884088833E-3</v>
      </c>
      <c r="W90" s="2"/>
      <c r="X90" s="7">
        <f t="shared" si="59"/>
        <v>-600</v>
      </c>
      <c r="Y90" s="2"/>
      <c r="Z90" s="6">
        <f t="shared" si="60"/>
        <v>-1</v>
      </c>
    </row>
    <row r="91" spans="1:26" s="24" customFormat="1" hidden="1" outlineLevel="2" x14ac:dyDescent="0.25">
      <c r="A91" s="25"/>
      <c r="B91" s="11" t="str">
        <f>CONCATENATE("          ", "6309", " - ", "TELEPHONE")</f>
        <v xml:space="preserve">          6309 - TELEPHONE</v>
      </c>
      <c r="C91" s="11"/>
      <c r="D91" s="7">
        <v>250</v>
      </c>
      <c r="E91" s="2"/>
      <c r="F91" s="6">
        <f t="shared" si="53"/>
        <v>3.8058359906948825E-3</v>
      </c>
      <c r="G91" s="2"/>
      <c r="H91" s="7"/>
      <c r="I91" s="2"/>
      <c r="J91" s="6">
        <f t="shared" si="54"/>
        <v>0</v>
      </c>
      <c r="K91" s="2"/>
      <c r="L91" s="7">
        <f t="shared" si="55"/>
        <v>250</v>
      </c>
      <c r="M91" s="2"/>
      <c r="N91" s="6">
        <f t="shared" si="56"/>
        <v>0</v>
      </c>
      <c r="O91" s="11"/>
      <c r="P91" s="7">
        <v>642.04999999999995</v>
      </c>
      <c r="Q91" s="2"/>
      <c r="R91" s="6">
        <f t="shared" si="57"/>
        <v>3.7336250839127946E-3</v>
      </c>
      <c r="S91" s="2"/>
      <c r="T91" s="7"/>
      <c r="U91" s="2"/>
      <c r="V91" s="6">
        <f t="shared" si="58"/>
        <v>0</v>
      </c>
      <c r="W91" s="2"/>
      <c r="X91" s="7">
        <f t="shared" si="59"/>
        <v>642.04999999999995</v>
      </c>
      <c r="Y91" s="2"/>
      <c r="Z91" s="6">
        <f t="shared" si="60"/>
        <v>0</v>
      </c>
    </row>
    <row r="92" spans="1:26" s="26" customFormat="1" outlineLevel="1" collapsed="1" x14ac:dyDescent="0.25">
      <c r="A92" s="27"/>
      <c r="B92" s="13" t="str">
        <f>CONCATENATE("     ","Training                                          ")</f>
        <v xml:space="preserve">     Training                                          </v>
      </c>
      <c r="C92" s="13"/>
      <c r="D92" s="1">
        <f>SUM(OSRRefD22_14x_0)</f>
        <v>97.71</v>
      </c>
      <c r="E92" s="1"/>
      <c r="F92" s="5">
        <f t="shared" ref="F92:F93" si="61">IF(D$12=0,0,D92/D$12)</f>
        <v>1.4874729386031879E-3</v>
      </c>
      <c r="G92" s="1"/>
      <c r="H92" s="1">
        <f>SUM(OSRRefH22_14x_0)</f>
        <v>0</v>
      </c>
      <c r="I92" s="1"/>
      <c r="J92" s="5">
        <f t="shared" ref="J92:J93" si="62">IF(H$12=0,0,H92/H$12)</f>
        <v>0</v>
      </c>
      <c r="K92" s="1"/>
      <c r="L92" s="1">
        <f t="shared" ref="L92:L93" si="63">+D92-H92</f>
        <v>97.71</v>
      </c>
      <c r="M92" s="1"/>
      <c r="N92" s="5">
        <f t="shared" ref="N92:N93" si="64">IF(H92=0,0,L92/H92)</f>
        <v>0</v>
      </c>
      <c r="O92" s="13"/>
      <c r="P92" s="1">
        <f>SUM(OSRRefP22_14x_0)</f>
        <v>97.71</v>
      </c>
      <c r="Q92" s="1"/>
      <c r="R92" s="5">
        <f t="shared" ref="R92:R93" si="65">IF(P$12=0,0,P92/P$12)</f>
        <v>5.6819952799489013E-4</v>
      </c>
      <c r="S92" s="1"/>
      <c r="T92" s="1">
        <f>SUM(OSRRefT22_14x_0)</f>
        <v>0</v>
      </c>
      <c r="U92" s="1"/>
      <c r="V92" s="5">
        <f t="shared" ref="V92:V93" si="66">IF(T$12=0,0,T92/T$12)</f>
        <v>0</v>
      </c>
      <c r="W92" s="1"/>
      <c r="X92" s="1">
        <f t="shared" ref="X92:X93" si="67">+P92-T92</f>
        <v>97.71</v>
      </c>
      <c r="Y92" s="1"/>
      <c r="Z92" s="5">
        <f t="shared" ref="Z92:Z93" si="68">IF(T92=0,0,X92/T92)</f>
        <v>0</v>
      </c>
    </row>
    <row r="93" spans="1:26" s="24" customFormat="1" hidden="1" outlineLevel="2" x14ac:dyDescent="0.25">
      <c r="A93" s="25"/>
      <c r="B93" s="11" t="str">
        <f>CONCATENATE("          ", "6376", " - ", "TRAINING")</f>
        <v xml:space="preserve">          6376 - TRAINING</v>
      </c>
      <c r="C93" s="11"/>
      <c r="D93" s="7">
        <v>97.71</v>
      </c>
      <c r="E93" s="2"/>
      <c r="F93" s="6">
        <f t="shared" si="61"/>
        <v>1.4874729386031879E-3</v>
      </c>
      <c r="G93" s="2"/>
      <c r="H93" s="7"/>
      <c r="I93" s="2"/>
      <c r="J93" s="6">
        <f t="shared" si="62"/>
        <v>0</v>
      </c>
      <c r="K93" s="2"/>
      <c r="L93" s="7">
        <f t="shared" si="63"/>
        <v>97.71</v>
      </c>
      <c r="M93" s="2"/>
      <c r="N93" s="6">
        <f t="shared" si="64"/>
        <v>0</v>
      </c>
      <c r="O93" s="11"/>
      <c r="P93" s="7">
        <v>97.71</v>
      </c>
      <c r="Q93" s="2"/>
      <c r="R93" s="6">
        <f t="shared" si="65"/>
        <v>5.6819952799489013E-4</v>
      </c>
      <c r="S93" s="2"/>
      <c r="T93" s="7"/>
      <c r="U93" s="2"/>
      <c r="V93" s="6">
        <f t="shared" si="66"/>
        <v>0</v>
      </c>
      <c r="W93" s="2"/>
      <c r="X93" s="7">
        <f t="shared" si="67"/>
        <v>97.71</v>
      </c>
      <c r="Y93" s="2"/>
      <c r="Z93" s="6">
        <f t="shared" si="68"/>
        <v>0</v>
      </c>
    </row>
    <row r="94" spans="1:26" s="63" customFormat="1" x14ac:dyDescent="0.25">
      <c r="A94" s="36"/>
      <c r="B94" s="36"/>
      <c r="C94" s="36"/>
      <c r="D94" s="1"/>
      <c r="E94" s="1"/>
      <c r="F94" s="5"/>
      <c r="G94" s="1"/>
      <c r="H94" s="1"/>
      <c r="I94" s="1"/>
      <c r="J94" s="5"/>
      <c r="K94" s="1"/>
      <c r="L94" s="1"/>
      <c r="M94" s="1"/>
      <c r="N94" s="5"/>
      <c r="O94" s="36"/>
      <c r="P94" s="1"/>
      <c r="Q94" s="1"/>
      <c r="R94" s="5"/>
      <c r="S94" s="1"/>
      <c r="T94" s="1"/>
      <c r="U94" s="1"/>
      <c r="V94" s="5"/>
      <c r="W94" s="1"/>
      <c r="X94" s="1"/>
      <c r="Y94" s="1"/>
      <c r="Z94" s="5"/>
    </row>
    <row r="95" spans="1:26" s="23" customFormat="1" collapsed="1" x14ac:dyDescent="0.25">
      <c r="A95" s="10"/>
      <c r="B95" s="28" t="s">
        <v>0</v>
      </c>
      <c r="C95" s="10"/>
      <c r="D95" s="4">
        <f>SUM(OSRRefD25x_0)</f>
        <v>13299</v>
      </c>
      <c r="E95" s="4"/>
      <c r="F95" s="12">
        <f t="shared" ref="F95:F101" si="69">IF(D$12=0,0,D95/D$12)</f>
        <v>0.20245525136100498</v>
      </c>
      <c r="G95" s="4"/>
      <c r="H95" s="4">
        <f>SUM(OSRRefH25x_0)</f>
        <v>25750</v>
      </c>
      <c r="I95" s="4"/>
      <c r="J95" s="12">
        <f t="shared" ref="J95:J101" si="70">IF(H$12=0,0,H95/H$12)</f>
        <v>0.30033532584924916</v>
      </c>
      <c r="K95" s="4"/>
      <c r="L95" s="4">
        <f t="shared" ref="L95:L101" si="71">+D95-H95</f>
        <v>-12451</v>
      </c>
      <c r="M95" s="4"/>
      <c r="N95" s="12">
        <f t="shared" ref="N95:N101" si="72">IF(H95=0,0,L95/H95)</f>
        <v>-0.48353398058252428</v>
      </c>
      <c r="O95" s="10"/>
      <c r="P95" s="4">
        <f>SUM(OSRRefP25x_0)</f>
        <v>63128.85</v>
      </c>
      <c r="Q95" s="4"/>
      <c r="R95" s="12">
        <f t="shared" ref="R95:R101" si="73">IF(P$12=0,0,P95/P$12)</f>
        <v>0.36710452126558407</v>
      </c>
      <c r="S95" s="4"/>
      <c r="T95" s="4">
        <f>SUM(OSRRefT25x_0)</f>
        <v>77750</v>
      </c>
      <c r="U95" s="4"/>
      <c r="V95" s="12">
        <f t="shared" ref="V95:V101" si="74">IF(T$12=0,0,T95/T$12)</f>
        <v>0.37846060237298451</v>
      </c>
      <c r="W95" s="4"/>
      <c r="X95" s="4">
        <f t="shared" ref="X95:X101" si="75">+P95-T95</f>
        <v>-14621.150000000001</v>
      </c>
      <c r="Y95" s="4"/>
      <c r="Z95" s="12">
        <f t="shared" ref="Z95:Z101" si="76">IF(T95=0,0,X95/T95)</f>
        <v>-0.1880533762057878</v>
      </c>
    </row>
    <row r="96" spans="1:26" s="24" customFormat="1" hidden="1" outlineLevel="1" x14ac:dyDescent="0.25">
      <c r="A96" s="46"/>
      <c r="B96" s="11" t="str">
        <f>CONCATENATE("          ", "4098", " - ", "TAXABLE SALES-GRAD RENTALS")</f>
        <v xml:space="preserve">          4098 - TAXABLE SALES-GRAD RENTALS</v>
      </c>
      <c r="C96" s="11"/>
      <c r="D96" s="2">
        <f t="shared" ref="D96:D97" si="77">0</f>
        <v>0</v>
      </c>
      <c r="E96" s="2"/>
      <c r="F96" s="19">
        <f t="shared" si="69"/>
        <v>0</v>
      </c>
      <c r="G96" s="2"/>
      <c r="H96" s="2"/>
      <c r="I96" s="2"/>
      <c r="J96" s="19">
        <f t="shared" si="70"/>
        <v>0</v>
      </c>
      <c r="K96" s="2"/>
      <c r="L96" s="2">
        <f t="shared" si="71"/>
        <v>0</v>
      </c>
      <c r="M96" s="2"/>
      <c r="N96" s="19">
        <f t="shared" si="72"/>
        <v>0</v>
      </c>
      <c r="O96" s="11"/>
      <c r="P96" s="2">
        <f>--1626.85</f>
        <v>1626.85</v>
      </c>
      <c r="Q96" s="2"/>
      <c r="R96" s="19">
        <f t="shared" si="73"/>
        <v>9.4603971151211441E-3</v>
      </c>
      <c r="S96" s="2"/>
      <c r="T96" s="2"/>
      <c r="U96" s="2"/>
      <c r="V96" s="19">
        <f t="shared" si="74"/>
        <v>0</v>
      </c>
      <c r="W96" s="2"/>
      <c r="X96" s="2">
        <f t="shared" si="75"/>
        <v>1626.85</v>
      </c>
      <c r="Y96" s="2"/>
      <c r="Z96" s="19">
        <f t="shared" si="76"/>
        <v>0</v>
      </c>
    </row>
    <row r="97" spans="1:26" s="24" customFormat="1" hidden="1" outlineLevel="1" x14ac:dyDescent="0.25">
      <c r="A97" s="46"/>
      <c r="B97" s="11" t="str">
        <f>CONCATENATE("          ", "4197", " - ", "NON-TAXABLE SALES-RETURNED CHE")</f>
        <v xml:space="preserve">          4197 - NON-TAXABLE SALES-RETURNED CHE</v>
      </c>
      <c r="C97" s="11"/>
      <c r="D97" s="2">
        <f t="shared" si="77"/>
        <v>0</v>
      </c>
      <c r="E97" s="2"/>
      <c r="F97" s="19">
        <f t="shared" si="69"/>
        <v>0</v>
      </c>
      <c r="G97" s="2"/>
      <c r="H97" s="2"/>
      <c r="I97" s="2"/>
      <c r="J97" s="19">
        <f t="shared" si="70"/>
        <v>0</v>
      </c>
      <c r="K97" s="2"/>
      <c r="L97" s="2">
        <f t="shared" si="71"/>
        <v>0</v>
      </c>
      <c r="M97" s="2"/>
      <c r="N97" s="19">
        <f t="shared" si="72"/>
        <v>0</v>
      </c>
      <c r="O97" s="11"/>
      <c r="P97" s="2">
        <f>--30</f>
        <v>30</v>
      </c>
      <c r="Q97" s="2"/>
      <c r="R97" s="19">
        <f t="shared" si="73"/>
        <v>1.7445487503680999E-4</v>
      </c>
      <c r="S97" s="2"/>
      <c r="T97" s="2"/>
      <c r="U97" s="2"/>
      <c r="V97" s="19">
        <f t="shared" si="74"/>
        <v>0</v>
      </c>
      <c r="W97" s="2"/>
      <c r="X97" s="2">
        <f t="shared" si="75"/>
        <v>30</v>
      </c>
      <c r="Y97" s="2"/>
      <c r="Z97" s="19">
        <f t="shared" si="76"/>
        <v>0</v>
      </c>
    </row>
    <row r="98" spans="1:26" s="24" customFormat="1" hidden="1" outlineLevel="1" x14ac:dyDescent="0.25">
      <c r="A98" s="46"/>
      <c r="B98" s="11" t="str">
        <f>CONCATENATE("          ", "4198", " - ", "NON-TAXABLE SALES-GRAD RENTALS")</f>
        <v xml:space="preserve">          4198 - NON-TAXABLE SALES-GRAD RENTALS</v>
      </c>
      <c r="C98" s="11"/>
      <c r="D98" s="2">
        <f>--30</f>
        <v>30</v>
      </c>
      <c r="E98" s="2"/>
      <c r="F98" s="19">
        <f t="shared" si="69"/>
        <v>4.5670031888338588E-4</v>
      </c>
      <c r="G98" s="2"/>
      <c r="H98" s="2"/>
      <c r="I98" s="2"/>
      <c r="J98" s="19">
        <f t="shared" si="70"/>
        <v>0</v>
      </c>
      <c r="K98" s="2"/>
      <c r="L98" s="2">
        <f t="shared" si="71"/>
        <v>30</v>
      </c>
      <c r="M98" s="2"/>
      <c r="N98" s="19">
        <f t="shared" si="72"/>
        <v>0</v>
      </c>
      <c r="O98" s="11"/>
      <c r="P98" s="2">
        <f>--495</f>
        <v>495</v>
      </c>
      <c r="Q98" s="2"/>
      <c r="R98" s="19">
        <f t="shared" si="73"/>
        <v>2.878505438107365E-3</v>
      </c>
      <c r="S98" s="2"/>
      <c r="T98" s="2"/>
      <c r="U98" s="2"/>
      <c r="V98" s="19">
        <f t="shared" si="74"/>
        <v>0</v>
      </c>
      <c r="W98" s="2"/>
      <c r="X98" s="2">
        <f t="shared" si="75"/>
        <v>495</v>
      </c>
      <c r="Y98" s="2"/>
      <c r="Z98" s="19">
        <f t="shared" si="76"/>
        <v>0</v>
      </c>
    </row>
    <row r="99" spans="1:26" s="24" customFormat="1" hidden="1" outlineLevel="1" x14ac:dyDescent="0.25">
      <c r="A99" s="46"/>
      <c r="B99" s="11" t="str">
        <f>CONCATENATE("          ", "9150", " - ", "MISC. INCOME")</f>
        <v xml:space="preserve">          9150 - MISC. INCOME</v>
      </c>
      <c r="C99" s="11"/>
      <c r="D99" s="2">
        <f>--13269</f>
        <v>13269</v>
      </c>
      <c r="E99" s="2"/>
      <c r="F99" s="19">
        <f t="shared" si="69"/>
        <v>0.20199855104212158</v>
      </c>
      <c r="G99" s="2"/>
      <c r="H99" s="2"/>
      <c r="I99" s="2"/>
      <c r="J99" s="19">
        <f t="shared" si="70"/>
        <v>0</v>
      </c>
      <c r="K99" s="2"/>
      <c r="L99" s="2">
        <f t="shared" si="71"/>
        <v>13269</v>
      </c>
      <c r="M99" s="2"/>
      <c r="N99" s="19">
        <f t="shared" si="72"/>
        <v>0</v>
      </c>
      <c r="O99" s="11"/>
      <c r="P99" s="2">
        <f>--39807</f>
        <v>39807</v>
      </c>
      <c r="Q99" s="2"/>
      <c r="R99" s="19">
        <f t="shared" si="73"/>
        <v>0.23148417368634316</v>
      </c>
      <c r="S99" s="2"/>
      <c r="T99" s="2">
        <v>12250</v>
      </c>
      <c r="U99" s="2"/>
      <c r="V99" s="19">
        <f t="shared" si="74"/>
        <v>5.9628840888348036E-2</v>
      </c>
      <c r="W99" s="2"/>
      <c r="X99" s="2">
        <f t="shared" si="75"/>
        <v>27557</v>
      </c>
      <c r="Y99" s="2"/>
      <c r="Z99" s="19">
        <f t="shared" si="76"/>
        <v>2.2495510204081635</v>
      </c>
    </row>
    <row r="100" spans="1:26" s="24" customFormat="1" hidden="1" outlineLevel="1" x14ac:dyDescent="0.25">
      <c r="A100" s="46"/>
      <c r="B100" s="11" t="str">
        <f>CONCATENATE("          ", "9151", " - ", "MISC. INCOME")</f>
        <v xml:space="preserve">          9151 - MISC. INCOME</v>
      </c>
      <c r="C100" s="11"/>
      <c r="D100" s="2">
        <f t="shared" ref="D100:D101" si="78">0</f>
        <v>0</v>
      </c>
      <c r="E100" s="2"/>
      <c r="F100" s="19">
        <f t="shared" si="69"/>
        <v>0</v>
      </c>
      <c r="G100" s="2"/>
      <c r="H100" s="2">
        <v>12250</v>
      </c>
      <c r="I100" s="2"/>
      <c r="J100" s="19">
        <f t="shared" si="70"/>
        <v>0.1428779705496428</v>
      </c>
      <c r="K100" s="2"/>
      <c r="L100" s="2">
        <f t="shared" si="71"/>
        <v>-12250</v>
      </c>
      <c r="M100" s="2"/>
      <c r="N100" s="19">
        <f t="shared" si="72"/>
        <v>-1</v>
      </c>
      <c r="O100" s="11"/>
      <c r="P100" s="2">
        <f>0</f>
        <v>0</v>
      </c>
      <c r="Q100" s="2"/>
      <c r="R100" s="19">
        <f t="shared" si="73"/>
        <v>0</v>
      </c>
      <c r="S100" s="2"/>
      <c r="T100" s="2">
        <v>24500</v>
      </c>
      <c r="U100" s="2"/>
      <c r="V100" s="19">
        <f t="shared" si="74"/>
        <v>0.11925768177669607</v>
      </c>
      <c r="W100" s="2"/>
      <c r="X100" s="2">
        <f t="shared" si="75"/>
        <v>-24500</v>
      </c>
      <c r="Y100" s="2"/>
      <c r="Z100" s="19">
        <f t="shared" si="76"/>
        <v>-1</v>
      </c>
    </row>
    <row r="101" spans="1:26" s="24" customFormat="1" hidden="1" outlineLevel="1" x14ac:dyDescent="0.25">
      <c r="A101" s="46"/>
      <c r="B101" s="11" t="str">
        <f>CONCATENATE("          ", "9160", " - ", "MISC. INCOME")</f>
        <v xml:space="preserve">          9160 - MISC. INCOME</v>
      </c>
      <c r="C101" s="11"/>
      <c r="D101" s="2">
        <f t="shared" si="78"/>
        <v>0</v>
      </c>
      <c r="E101" s="2"/>
      <c r="F101" s="19">
        <f t="shared" si="69"/>
        <v>0</v>
      </c>
      <c r="G101" s="2"/>
      <c r="H101" s="2">
        <v>13500</v>
      </c>
      <c r="I101" s="2"/>
      <c r="J101" s="19">
        <f t="shared" si="70"/>
        <v>0.15745735529960636</v>
      </c>
      <c r="K101" s="2"/>
      <c r="L101" s="2">
        <f t="shared" si="71"/>
        <v>-13500</v>
      </c>
      <c r="M101" s="2"/>
      <c r="N101" s="19">
        <f t="shared" si="72"/>
        <v>-1</v>
      </c>
      <c r="O101" s="11"/>
      <c r="P101" s="2">
        <f>--21170</f>
        <v>21170</v>
      </c>
      <c r="Q101" s="2"/>
      <c r="R101" s="19">
        <f t="shared" si="73"/>
        <v>0.12310699015097558</v>
      </c>
      <c r="S101" s="2"/>
      <c r="T101" s="2">
        <v>41000</v>
      </c>
      <c r="U101" s="2"/>
      <c r="V101" s="19">
        <f t="shared" si="74"/>
        <v>0.19957407970794036</v>
      </c>
      <c r="W101" s="2"/>
      <c r="X101" s="2">
        <f t="shared" si="75"/>
        <v>-19830</v>
      </c>
      <c r="Y101" s="2"/>
      <c r="Z101" s="19">
        <f t="shared" si="76"/>
        <v>-0.48365853658536584</v>
      </c>
    </row>
    <row r="102" spans="1:26" x14ac:dyDescent="0.25">
      <c r="A102" s="9"/>
      <c r="B102" s="10"/>
      <c r="C102" s="10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O102" s="10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x14ac:dyDescent="0.25">
      <c r="A103" s="10"/>
      <c r="B103" s="29" t="s">
        <v>3</v>
      </c>
      <c r="C103" s="29"/>
      <c r="D103" s="22">
        <f>+D37-D39+D95</f>
        <v>20458.629999999997</v>
      </c>
      <c r="E103" s="14"/>
      <c r="F103" s="20">
        <f>IF(D$12=0,0,D103/D$12)</f>
        <v>0.31144876149724016</v>
      </c>
      <c r="G103" s="14"/>
      <c r="H103" s="22">
        <f>+H37-H39+H95</f>
        <v>75211.100996239649</v>
      </c>
      <c r="I103" s="14"/>
      <c r="J103" s="20">
        <f>IF(H$12=0,0,H103/H$12)</f>
        <v>0.87722526311403581</v>
      </c>
      <c r="K103" s="15"/>
      <c r="L103" s="22">
        <f>+D103-H103</f>
        <v>-54752.470996239652</v>
      </c>
      <c r="M103" s="15"/>
      <c r="N103" s="20">
        <f>IF(H103=0,0,L103/H103)</f>
        <v>-0.72798390491554066</v>
      </c>
      <c r="O103" s="28"/>
      <c r="P103" s="22">
        <f>+P37-P39+P95</f>
        <v>112886.50999999998</v>
      </c>
      <c r="Q103" s="14"/>
      <c r="R103" s="20">
        <f>IF(P$12=0,0,P103/P$12)</f>
        <v>0.65645339984638662</v>
      </c>
      <c r="S103" s="14"/>
      <c r="T103" s="22">
        <f>+T37-T39+T95</f>
        <v>141861.04935451574</v>
      </c>
      <c r="U103" s="14"/>
      <c r="V103" s="20">
        <f>IF(T$12=0,0,T103/T$12)</f>
        <v>0.6905314236909802</v>
      </c>
      <c r="W103" s="15"/>
      <c r="X103" s="22">
        <f>+P103-T103</f>
        <v>-28974.539354515757</v>
      </c>
      <c r="Y103" s="15"/>
      <c r="Z103" s="20">
        <f>IF(T103=0,0,X103/T103)</f>
        <v>-0.20424591166041192</v>
      </c>
    </row>
    <row r="104" spans="1:26" x14ac:dyDescent="0.25">
      <c r="A104" s="9"/>
      <c r="B104" s="10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x14ac:dyDescent="0.25">
      <c r="A105" s="52"/>
      <c r="B105" s="10" t="s">
        <v>14</v>
      </c>
      <c r="C105" s="10"/>
      <c r="D105" s="4">
        <v>5220.59</v>
      </c>
      <c r="E105" s="4"/>
      <c r="F105" s="12">
        <f>IF(D$12=0,0,D105/D$12)</f>
        <v>7.9474837258647194E-2</v>
      </c>
      <c r="G105" s="4"/>
      <c r="H105" s="4">
        <v>6545</v>
      </c>
      <c r="I105" s="4"/>
      <c r="J105" s="12">
        <f>IF(H$12=0,0,H105/H$12)</f>
        <v>7.6337658550809151E-2</v>
      </c>
      <c r="K105" s="4"/>
      <c r="L105" s="4">
        <f>+D105-H105</f>
        <v>-1324.4099999999999</v>
      </c>
      <c r="M105" s="4"/>
      <c r="N105" s="12">
        <f>IF(H105=0,0,L105/H105)</f>
        <v>-0.2023544690603514</v>
      </c>
      <c r="O105" s="10"/>
      <c r="P105" s="4">
        <v>18471.230000000003</v>
      </c>
      <c r="Q105" s="4"/>
      <c r="R105" s="12">
        <f>IF(P$12=0,0,P105/P$12)</f>
        <v>0.10741320404753921</v>
      </c>
      <c r="S105" s="4"/>
      <c r="T105" s="4">
        <v>25984</v>
      </c>
      <c r="U105" s="4"/>
      <c r="V105" s="12">
        <f>IF(T$12=0,0,T105/T$12)</f>
        <v>0.12648128993002739</v>
      </c>
      <c r="W105" s="4"/>
      <c r="X105" s="4">
        <f>+P105-T105</f>
        <v>-7512.7699999999968</v>
      </c>
      <c r="Y105" s="4"/>
      <c r="Z105" s="12">
        <f>IF(T105=0,0,X105/T105)</f>
        <v>-0.28913061884236441</v>
      </c>
    </row>
    <row r="106" spans="1:26" x14ac:dyDescent="0.25">
      <c r="A106" s="9"/>
      <c r="B106" s="10"/>
      <c r="C106" s="10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O106" s="10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ht="15.75" thickBot="1" x14ac:dyDescent="0.3">
      <c r="A107" s="10"/>
      <c r="B107" s="29" t="s">
        <v>4</v>
      </c>
      <c r="C107" s="29"/>
      <c r="D107" s="35">
        <f>+D103-D105</f>
        <v>15238.039999999997</v>
      </c>
      <c r="E107" s="14"/>
      <c r="F107" s="32">
        <f>IF(D$12=0,0,D107/D$12)</f>
        <v>0.23197392423859295</v>
      </c>
      <c r="G107" s="14"/>
      <c r="H107" s="35">
        <f>+H103-H105</f>
        <v>68666.100996239649</v>
      </c>
      <c r="I107" s="14"/>
      <c r="J107" s="32">
        <f>IF(H$12=0,0,H107/H$12)</f>
        <v>0.80088760456322672</v>
      </c>
      <c r="K107" s="15"/>
      <c r="L107" s="35">
        <f>D107-H107</f>
        <v>-53428.060996239656</v>
      </c>
      <c r="M107" s="15"/>
      <c r="N107" s="32">
        <f>IF(H107=0,0,L107/H107)</f>
        <v>-0.77808496799848192</v>
      </c>
      <c r="O107" s="28"/>
      <c r="P107" s="35">
        <f>+P103-P105</f>
        <v>94415.27999999997</v>
      </c>
      <c r="Q107" s="14"/>
      <c r="R107" s="32">
        <f>IF(P$12=0,0,P107/P$12)</f>
        <v>0.54904019579884733</v>
      </c>
      <c r="S107" s="14"/>
      <c r="T107" s="35">
        <f>+T103-T105</f>
        <v>115877.04935451574</v>
      </c>
      <c r="U107" s="14"/>
      <c r="V107" s="32">
        <f>IF(T$12=0,0,T107/T$12)</f>
        <v>0.56405013376095281</v>
      </c>
      <c r="W107" s="15"/>
      <c r="X107" s="35">
        <f>P107-T107</f>
        <v>-21461.769354515767</v>
      </c>
      <c r="Y107" s="15"/>
      <c r="Z107" s="32">
        <f>IF(T107=0,0,X107/T107)</f>
        <v>-0.18521156237638872</v>
      </c>
    </row>
    <row r="108" spans="1:26" ht="15.75" thickTop="1" x14ac:dyDescent="0.25">
      <c r="A108" s="9"/>
      <c r="B108" s="9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x14ac:dyDescent="0.25">
      <c r="A109" s="9"/>
      <c r="B109" s="9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ht="15.75" thickBot="1" x14ac:dyDescent="0.3">
      <c r="A110" s="10"/>
      <c r="B110" s="29" t="s">
        <v>5</v>
      </c>
      <c r="C110" s="29"/>
      <c r="D110" s="30">
        <f>SUM(D107:D109)</f>
        <v>15238.039999999997</v>
      </c>
      <c r="E110" s="14"/>
      <c r="F110" s="31">
        <f>IF(D$12=0,0,D110/D$12)</f>
        <v>0.23197392423859295</v>
      </c>
      <c r="G110" s="14"/>
      <c r="H110" s="30">
        <f>SUM(H107:H109)</f>
        <v>68666.100996239649</v>
      </c>
      <c r="I110" s="14"/>
      <c r="J110" s="31">
        <f>IF(H$12=0,0,H110/H$12)</f>
        <v>0.80088760456322672</v>
      </c>
      <c r="K110" s="15"/>
      <c r="L110" s="30">
        <f>+D110-H110</f>
        <v>-53428.060996239656</v>
      </c>
      <c r="M110" s="15"/>
      <c r="N110" s="31">
        <f>IF(H110=0,0,L110/H110)</f>
        <v>-0.77808496799848192</v>
      </c>
      <c r="O110" s="28"/>
      <c r="P110" s="30">
        <f>SUM(P107:P109)</f>
        <v>94415.27999999997</v>
      </c>
      <c r="Q110" s="14"/>
      <c r="R110" s="31">
        <f>IF(P$12=0,0,P110/P$12)</f>
        <v>0.54904019579884733</v>
      </c>
      <c r="S110" s="14"/>
      <c r="T110" s="30">
        <f>SUM(T107:T109)</f>
        <v>115877.04935451574</v>
      </c>
      <c r="U110" s="14"/>
      <c r="V110" s="31">
        <f>IF(T$12=0,0,T110/T$12)</f>
        <v>0.56405013376095281</v>
      </c>
      <c r="W110" s="15"/>
      <c r="X110" s="30">
        <f>+P110-T110</f>
        <v>-21461.769354515767</v>
      </c>
      <c r="Y110" s="15"/>
      <c r="Z110" s="31">
        <f>IF(T110=0,0,X110/T110)</f>
        <v>-0.18521156237638872</v>
      </c>
    </row>
    <row r="111" spans="1:26" ht="15.75" thickTop="1" x14ac:dyDescent="0.25">
      <c r="A111" s="9"/>
      <c r="C111" s="9"/>
      <c r="D111" s="18"/>
      <c r="E111" s="18"/>
      <c r="G111" s="18"/>
      <c r="H111" s="18"/>
      <c r="I111" s="18"/>
      <c r="J111" s="43"/>
      <c r="K111" s="18"/>
      <c r="L111" s="18"/>
      <c r="M111" s="18"/>
      <c r="P111" s="18"/>
      <c r="Q111" s="18"/>
      <c r="R111" s="43"/>
      <c r="S111" s="18"/>
      <c r="T111" s="18"/>
      <c r="U111" s="18"/>
      <c r="V111" s="43"/>
      <c r="W111" s="18"/>
      <c r="X111" s="18"/>
    </row>
    <row r="112" spans="1:26" x14ac:dyDescent="0.25">
      <c r="A112" s="9"/>
      <c r="B112" s="53">
        <v>43756.451893981481</v>
      </c>
      <c r="D112" s="18"/>
      <c r="E112" s="18"/>
      <c r="G112" s="18"/>
      <c r="H112" s="18"/>
      <c r="I112" s="18"/>
      <c r="J112" s="43"/>
      <c r="K112" s="18"/>
      <c r="L112" s="18"/>
      <c r="M112" s="18"/>
      <c r="P112" s="18"/>
      <c r="Q112" s="18"/>
      <c r="R112" s="43"/>
      <c r="S112" s="18"/>
      <c r="T112" s="18"/>
      <c r="U112" s="18"/>
      <c r="V112" s="43"/>
      <c r="W112" s="18"/>
      <c r="X112" s="18"/>
    </row>
    <row r="113" spans="1:24" x14ac:dyDescent="0.25">
      <c r="A113" s="9"/>
      <c r="B113" s="55" t="s">
        <v>314</v>
      </c>
      <c r="D113" s="18"/>
      <c r="E113" s="18"/>
      <c r="G113" s="18"/>
      <c r="H113" s="18"/>
      <c r="I113" s="18"/>
      <c r="J113" s="43"/>
      <c r="K113" s="18"/>
      <c r="L113" s="18"/>
      <c r="M113" s="18"/>
      <c r="P113" s="18"/>
      <c r="Q113" s="18"/>
      <c r="R113" s="43"/>
      <c r="S113" s="18"/>
      <c r="T113" s="18"/>
      <c r="U113" s="18"/>
      <c r="V113" s="43"/>
      <c r="W113" s="18"/>
      <c r="X113" s="18"/>
    </row>
    <row r="114" spans="1:24" x14ac:dyDescent="0.25">
      <c r="A114" s="9"/>
      <c r="B114" s="56"/>
      <c r="D114" s="18"/>
      <c r="E114" s="18"/>
      <c r="G114" s="18"/>
      <c r="H114" s="18"/>
      <c r="I114" s="18"/>
      <c r="J114" s="43"/>
      <c r="K114" s="18"/>
      <c r="L114" s="18"/>
      <c r="M114" s="18"/>
      <c r="P114" s="18"/>
      <c r="Q114" s="18"/>
      <c r="R114" s="43"/>
      <c r="S114" s="18"/>
      <c r="T114" s="18"/>
      <c r="U114" s="18"/>
      <c r="V114" s="43"/>
      <c r="W114" s="18"/>
      <c r="X114" s="18"/>
    </row>
    <row r="115" spans="1:24" x14ac:dyDescent="0.25">
      <c r="D115" s="18"/>
      <c r="E115" s="18"/>
      <c r="G115" s="18"/>
      <c r="H115" s="18"/>
      <c r="I115" s="18"/>
      <c r="J115" s="43"/>
      <c r="K115" s="18"/>
      <c r="L115" s="18"/>
      <c r="M115" s="18"/>
      <c r="P115" s="18"/>
      <c r="Q115" s="18"/>
      <c r="R115" s="43"/>
      <c r="S115" s="18"/>
      <c r="T115" s="18"/>
      <c r="U115" s="18"/>
      <c r="V115" s="43"/>
      <c r="W115" s="18"/>
      <c r="X115" s="18"/>
    </row>
  </sheetData>
  <pageMargins left="0.25" right="0.25" top="0.75" bottom="0.75" header="0.3" footer="0.3"/>
  <pageSetup scale="55" fitToWidth="2" orientation="landscape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str">
        <f>CONCATENATE("Period ",RIGHT(202003,2),", ",2020)</f>
        <v>Period 03, 2020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43736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tr">
        <f>CONCATENATE("Department ","316", " - ", "Campus Copy Center")</f>
        <v>Department 316 - Campus Copy Center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65618.789999999994</v>
      </c>
      <c r="E12" s="4"/>
      <c r="F12" s="12"/>
      <c r="G12" s="4"/>
      <c r="H12" s="4">
        <f>SUM(OSRRefH13x_0)</f>
        <v>85737.5</v>
      </c>
      <c r="I12" s="4"/>
      <c r="J12" s="12"/>
      <c r="K12" s="4"/>
      <c r="L12" s="4">
        <f t="shared" ref="L12:L25" si="0">+D12-H12</f>
        <v>-20118.710000000006</v>
      </c>
      <c r="M12" s="4"/>
      <c r="N12" s="12">
        <f t="shared" ref="N12:N25" si="1">IF(H12=0,0,L12/H12)</f>
        <v>-0.23465473101035145</v>
      </c>
      <c r="O12" s="10"/>
      <c r="P12" s="4">
        <f>SUM(OSRRefP13x_0)</f>
        <v>168243.71999999997</v>
      </c>
      <c r="Q12" s="4"/>
      <c r="R12" s="12"/>
      <c r="S12" s="4"/>
      <c r="T12" s="4">
        <f>SUM(OSRRefT13x_0)</f>
        <v>205437.5</v>
      </c>
      <c r="U12" s="4"/>
      <c r="V12" s="12"/>
      <c r="W12" s="4"/>
      <c r="X12" s="4">
        <f t="shared" ref="X12:X25" si="2">+P12-T12</f>
        <v>-37193.780000000028</v>
      </c>
      <c r="Y12" s="4"/>
      <c r="Z12" s="12">
        <f t="shared" ref="Z12:Z25" si="3">IF(T12=0,0,X12/T12)</f>
        <v>-0.18104669303316107</v>
      </c>
    </row>
    <row r="13" spans="1:26" s="24" customFormat="1" hidden="1" outlineLevel="1" x14ac:dyDescent="0.25">
      <c r="A13" s="46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73387.5</v>
      </c>
      <c r="I13" s="2"/>
      <c r="J13" s="19"/>
      <c r="K13" s="2"/>
      <c r="L13" s="2">
        <f t="shared" si="0"/>
        <v>-73387.5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166012.5</v>
      </c>
      <c r="U13" s="2"/>
      <c r="V13" s="19"/>
      <c r="W13" s="2"/>
      <c r="X13" s="2">
        <f t="shared" si="2"/>
        <v>-166012.5</v>
      </c>
      <c r="Y13" s="2"/>
      <c r="Z13" s="19">
        <f t="shared" si="3"/>
        <v>-1</v>
      </c>
    </row>
    <row r="14" spans="1:26" s="24" customFormat="1" hidden="1" outlineLevel="1" x14ac:dyDescent="0.25">
      <c r="A14" s="46"/>
      <c r="B14" s="11" t="str">
        <f>CONCATENATE("          ", "4041", " - ", "TAXABLE SALES-LOGO GIFTS")</f>
        <v xml:space="preserve">          4041 - TAXABLE SALES-LOGO GIFTS</v>
      </c>
      <c r="C14" s="11"/>
      <c r="D14" s="2">
        <f>--20926.4</f>
        <v>20926.400000000001</v>
      </c>
      <c r="E14" s="2"/>
      <c r="F14" s="19"/>
      <c r="G14" s="2"/>
      <c r="H14" s="2"/>
      <c r="I14" s="2"/>
      <c r="J14" s="19"/>
      <c r="K14" s="2"/>
      <c r="L14" s="2">
        <f t="shared" si="0"/>
        <v>20926.400000000001</v>
      </c>
      <c r="M14" s="2"/>
      <c r="N14" s="19">
        <f t="shared" si="1"/>
        <v>0</v>
      </c>
      <c r="O14" s="11"/>
      <c r="P14" s="2">
        <f>--95294.2</f>
        <v>95294.2</v>
      </c>
      <c r="Q14" s="2"/>
      <c r="R14" s="19"/>
      <c r="S14" s="2"/>
      <c r="T14" s="2"/>
      <c r="U14" s="2"/>
      <c r="V14" s="19"/>
      <c r="W14" s="2"/>
      <c r="X14" s="2">
        <f t="shared" si="2"/>
        <v>95294.2</v>
      </c>
      <c r="Y14" s="2"/>
      <c r="Z14" s="19">
        <f t="shared" si="3"/>
        <v>0</v>
      </c>
    </row>
    <row r="15" spans="1:26" s="24" customFormat="1" hidden="1" outlineLevel="1" x14ac:dyDescent="0.25">
      <c r="A15" s="46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--7680.9</f>
        <v>7680.9</v>
      </c>
      <c r="E15" s="2"/>
      <c r="F15" s="19"/>
      <c r="G15" s="2"/>
      <c r="H15" s="2"/>
      <c r="I15" s="2"/>
      <c r="J15" s="19"/>
      <c r="K15" s="2"/>
      <c r="L15" s="2">
        <f t="shared" si="0"/>
        <v>7680.9</v>
      </c>
      <c r="M15" s="2"/>
      <c r="N15" s="19">
        <f t="shared" si="1"/>
        <v>0</v>
      </c>
      <c r="O15" s="11"/>
      <c r="P15" s="2">
        <f>--19757.89</f>
        <v>19757.89</v>
      </c>
      <c r="Q15" s="2"/>
      <c r="R15" s="19"/>
      <c r="S15" s="2"/>
      <c r="T15" s="2"/>
      <c r="U15" s="2"/>
      <c r="V15" s="19"/>
      <c r="W15" s="2"/>
      <c r="X15" s="2">
        <f t="shared" si="2"/>
        <v>19757.89</v>
      </c>
      <c r="Y15" s="2"/>
      <c r="Z15" s="19">
        <f t="shared" si="3"/>
        <v>0</v>
      </c>
    </row>
    <row r="16" spans="1:26" s="24" customFormat="1" hidden="1" outlineLevel="1" x14ac:dyDescent="0.25">
      <c r="A16" s="46"/>
      <c r="B16" s="11" t="str">
        <f>CONCATENATE("          ", "4043", " - ", "TAXABLE SALES-CARDS")</f>
        <v xml:space="preserve">          4043 - TAXABLE SALES-CARDS</v>
      </c>
      <c r="C16" s="11"/>
      <c r="D16" s="2">
        <f>--18.47</f>
        <v>18.47</v>
      </c>
      <c r="E16" s="2"/>
      <c r="F16" s="19"/>
      <c r="G16" s="2"/>
      <c r="H16" s="2"/>
      <c r="I16" s="2"/>
      <c r="J16" s="19"/>
      <c r="K16" s="2"/>
      <c r="L16" s="2">
        <f t="shared" si="0"/>
        <v>18.47</v>
      </c>
      <c r="M16" s="2"/>
      <c r="N16" s="19">
        <f t="shared" si="1"/>
        <v>0</v>
      </c>
      <c r="O16" s="11"/>
      <c r="P16" s="2">
        <f>--95.73</f>
        <v>95.73</v>
      </c>
      <c r="Q16" s="2"/>
      <c r="R16" s="19"/>
      <c r="S16" s="2"/>
      <c r="T16" s="2"/>
      <c r="U16" s="2"/>
      <c r="V16" s="19"/>
      <c r="W16" s="2"/>
      <c r="X16" s="2">
        <f t="shared" si="2"/>
        <v>95.73</v>
      </c>
      <c r="Y16" s="2"/>
      <c r="Z16" s="19">
        <f t="shared" si="3"/>
        <v>0</v>
      </c>
    </row>
    <row r="17" spans="1:26" s="24" customFormat="1" hidden="1" outlineLevel="1" x14ac:dyDescent="0.25">
      <c r="A17" s="46"/>
      <c r="B17" s="11" t="str">
        <f>CONCATENATE("          ", "4047", " - ", "TAXABLE SALES-MISC")</f>
        <v xml:space="preserve">          4047 - TAXABLE SALES-MISC</v>
      </c>
      <c r="C17" s="11"/>
      <c r="D17" s="2">
        <f>--488.97</f>
        <v>488.97</v>
      </c>
      <c r="E17" s="2"/>
      <c r="F17" s="19"/>
      <c r="G17" s="2"/>
      <c r="H17" s="2"/>
      <c r="I17" s="2"/>
      <c r="J17" s="19"/>
      <c r="K17" s="2"/>
      <c r="L17" s="2">
        <f t="shared" si="0"/>
        <v>488.97</v>
      </c>
      <c r="M17" s="2"/>
      <c r="N17" s="19">
        <f t="shared" si="1"/>
        <v>0</v>
      </c>
      <c r="O17" s="11"/>
      <c r="P17" s="2">
        <f>--971.35</f>
        <v>971.35</v>
      </c>
      <c r="Q17" s="2"/>
      <c r="R17" s="19"/>
      <c r="S17" s="2"/>
      <c r="T17" s="2"/>
      <c r="U17" s="2"/>
      <c r="V17" s="19"/>
      <c r="W17" s="2"/>
      <c r="X17" s="2">
        <f t="shared" si="2"/>
        <v>971.35</v>
      </c>
      <c r="Y17" s="2"/>
      <c r="Z17" s="19">
        <f t="shared" si="3"/>
        <v>0</v>
      </c>
    </row>
    <row r="18" spans="1:26" s="24" customFormat="1" hidden="1" outlineLevel="1" x14ac:dyDescent="0.25">
      <c r="A18" s="46"/>
      <c r="B18" s="11" t="str">
        <f>CONCATENATE("          ", "4100", " - ", "NON-TAXABLE SALES")</f>
        <v xml:space="preserve">          4100 - NON-TAXABLE SALES</v>
      </c>
      <c r="C18" s="11"/>
      <c r="D18" s="2">
        <f>0</f>
        <v>0</v>
      </c>
      <c r="E18" s="2"/>
      <c r="F18" s="19"/>
      <c r="G18" s="2"/>
      <c r="H18" s="2">
        <v>12350</v>
      </c>
      <c r="I18" s="2"/>
      <c r="J18" s="19"/>
      <c r="K18" s="2"/>
      <c r="L18" s="2">
        <f t="shared" si="0"/>
        <v>-12350</v>
      </c>
      <c r="M18" s="2"/>
      <c r="N18" s="19">
        <f t="shared" si="1"/>
        <v>-1</v>
      </c>
      <c r="O18" s="11"/>
      <c r="P18" s="2">
        <f>0</f>
        <v>0</v>
      </c>
      <c r="Q18" s="2"/>
      <c r="R18" s="19"/>
      <c r="S18" s="2"/>
      <c r="T18" s="2">
        <v>39425</v>
      </c>
      <c r="U18" s="2"/>
      <c r="V18" s="19"/>
      <c r="W18" s="2"/>
      <c r="X18" s="2">
        <f t="shared" si="2"/>
        <v>-39425</v>
      </c>
      <c r="Y18" s="2"/>
      <c r="Z18" s="19">
        <f t="shared" si="3"/>
        <v>-1</v>
      </c>
    </row>
    <row r="19" spans="1:26" s="24" customFormat="1" hidden="1" outlineLevel="1" x14ac:dyDescent="0.25">
      <c r="A19" s="46"/>
      <c r="B19" s="11" t="str">
        <f>CONCATENATE("          ", "4141", " - ", "NON-TAXABLE SALES-LOGO GIFTS")</f>
        <v xml:space="preserve">          4141 - NON-TAXABLE SALES-LOGO GIFTS</v>
      </c>
      <c r="C19" s="11"/>
      <c r="D19" s="2">
        <f>-24.65</f>
        <v>-24.65</v>
      </c>
      <c r="E19" s="2"/>
      <c r="F19" s="19"/>
      <c r="G19" s="2"/>
      <c r="H19" s="2"/>
      <c r="I19" s="2"/>
      <c r="J19" s="19"/>
      <c r="K19" s="2"/>
      <c r="L19" s="2">
        <f t="shared" si="0"/>
        <v>-24.65</v>
      </c>
      <c r="M19" s="2"/>
      <c r="N19" s="19">
        <f t="shared" si="1"/>
        <v>0</v>
      </c>
      <c r="O19" s="11"/>
      <c r="P19" s="2">
        <f>--152.75</f>
        <v>152.75</v>
      </c>
      <c r="Q19" s="2"/>
      <c r="R19" s="19"/>
      <c r="S19" s="2"/>
      <c r="T19" s="2"/>
      <c r="U19" s="2"/>
      <c r="V19" s="19"/>
      <c r="W19" s="2"/>
      <c r="X19" s="2">
        <f t="shared" si="2"/>
        <v>152.75</v>
      </c>
      <c r="Y19" s="2"/>
      <c r="Z19" s="19">
        <f t="shared" si="3"/>
        <v>0</v>
      </c>
    </row>
    <row r="20" spans="1:26" s="24" customFormat="1" hidden="1" outlineLevel="1" x14ac:dyDescent="0.25">
      <c r="A20" s="46"/>
      <c r="B20" s="11" t="str">
        <f>CONCATENATE("          ", "4142", " - ", "NON-TAXABLE SALES-EVERYDAY GIF")</f>
        <v xml:space="preserve">          4142 - NON-TAXABLE SALES-EVERYDAY GIF</v>
      </c>
      <c r="C20" s="11"/>
      <c r="D20" s="2">
        <f>--1589.5</f>
        <v>1589.5</v>
      </c>
      <c r="E20" s="2"/>
      <c r="F20" s="19"/>
      <c r="G20" s="2"/>
      <c r="H20" s="2"/>
      <c r="I20" s="2"/>
      <c r="J20" s="19"/>
      <c r="K20" s="2"/>
      <c r="L20" s="2">
        <f t="shared" si="0"/>
        <v>1589.5</v>
      </c>
      <c r="M20" s="2"/>
      <c r="N20" s="19">
        <f t="shared" si="1"/>
        <v>0</v>
      </c>
      <c r="O20" s="11"/>
      <c r="P20" s="2">
        <f>--2101.5</f>
        <v>2101.5</v>
      </c>
      <c r="Q20" s="2"/>
      <c r="R20" s="19"/>
      <c r="S20" s="2"/>
      <c r="T20" s="2"/>
      <c r="U20" s="2"/>
      <c r="V20" s="19"/>
      <c r="W20" s="2"/>
      <c r="X20" s="2">
        <f t="shared" si="2"/>
        <v>2101.5</v>
      </c>
      <c r="Y20" s="2"/>
      <c r="Z20" s="19">
        <f t="shared" si="3"/>
        <v>0</v>
      </c>
    </row>
    <row r="21" spans="1:26" s="24" customFormat="1" hidden="1" outlineLevel="1" x14ac:dyDescent="0.25">
      <c r="A21" s="46"/>
      <c r="B21" s="11" t="str">
        <f>CONCATENATE("          ", "4146", " - ", "NON-TAXABLE SALES-COIN OP MACH")</f>
        <v xml:space="preserve">          4146 - NON-TAXABLE SALES-COIN OP MACH</v>
      </c>
      <c r="C21" s="11"/>
      <c r="D21" s="2">
        <f>--34744.75</f>
        <v>34744.75</v>
      </c>
      <c r="E21" s="2"/>
      <c r="F21" s="19"/>
      <c r="G21" s="2"/>
      <c r="H21" s="2"/>
      <c r="I21" s="2"/>
      <c r="J21" s="19"/>
      <c r="K21" s="2"/>
      <c r="L21" s="2">
        <f t="shared" si="0"/>
        <v>34744.75</v>
      </c>
      <c r="M21" s="2"/>
      <c r="N21" s="19">
        <f t="shared" si="1"/>
        <v>0</v>
      </c>
      <c r="O21" s="11"/>
      <c r="P21" s="2">
        <f>--50093.5</f>
        <v>50093.5</v>
      </c>
      <c r="Q21" s="2"/>
      <c r="R21" s="19"/>
      <c r="S21" s="2"/>
      <c r="T21" s="2"/>
      <c r="U21" s="2"/>
      <c r="V21" s="19"/>
      <c r="W21" s="2"/>
      <c r="X21" s="2">
        <f t="shared" si="2"/>
        <v>50093.5</v>
      </c>
      <c r="Y21" s="2"/>
      <c r="Z21" s="19">
        <f t="shared" si="3"/>
        <v>0</v>
      </c>
    </row>
    <row r="22" spans="1:26" s="24" customFormat="1" hidden="1" outlineLevel="1" x14ac:dyDescent="0.25">
      <c r="A22" s="46"/>
      <c r="B22" s="11" t="str">
        <f>CONCATENATE("          ", "4147", " - ", "NON-TAXABLE SALES-MISC")</f>
        <v xml:space="preserve">          4147 - NON-TAXABLE SALES-MISC</v>
      </c>
      <c r="C22" s="11"/>
      <c r="D22" s="2">
        <f>--344.5</f>
        <v>344.5</v>
      </c>
      <c r="E22" s="2"/>
      <c r="F22" s="19"/>
      <c r="G22" s="2"/>
      <c r="H22" s="2"/>
      <c r="I22" s="2"/>
      <c r="J22" s="19"/>
      <c r="K22" s="2"/>
      <c r="L22" s="2">
        <f t="shared" si="0"/>
        <v>344.5</v>
      </c>
      <c r="M22" s="2"/>
      <c r="N22" s="19">
        <f t="shared" si="1"/>
        <v>0</v>
      </c>
      <c r="O22" s="11"/>
      <c r="P22" s="2">
        <f>--414.9</f>
        <v>414.9</v>
      </c>
      <c r="Q22" s="2"/>
      <c r="R22" s="19"/>
      <c r="S22" s="2"/>
      <c r="T22" s="2"/>
      <c r="U22" s="2"/>
      <c r="V22" s="19"/>
      <c r="W22" s="2"/>
      <c r="X22" s="2">
        <f t="shared" si="2"/>
        <v>414.9</v>
      </c>
      <c r="Y22" s="2"/>
      <c r="Z22" s="19">
        <f t="shared" si="3"/>
        <v>0</v>
      </c>
    </row>
    <row r="23" spans="1:26" s="24" customFormat="1" hidden="1" outlineLevel="1" x14ac:dyDescent="0.25">
      <c r="A23" s="46"/>
      <c r="B23" s="11" t="str">
        <f>CONCATENATE("          ", "4241", " - ", "SALES RETURN TAXABLE-LOGO GIFT")</f>
        <v xml:space="preserve">          4241 - SALES RETURN TAXABLE-LOGO GIFT</v>
      </c>
      <c r="C23" s="11"/>
      <c r="D23" s="2">
        <f>-150.05</f>
        <v>-150.05000000000001</v>
      </c>
      <c r="E23" s="2"/>
      <c r="F23" s="19"/>
      <c r="G23" s="2"/>
      <c r="H23" s="2"/>
      <c r="I23" s="2"/>
      <c r="J23" s="19"/>
      <c r="K23" s="2"/>
      <c r="L23" s="2">
        <f t="shared" si="0"/>
        <v>-150.05000000000001</v>
      </c>
      <c r="M23" s="2"/>
      <c r="N23" s="19">
        <f t="shared" si="1"/>
        <v>0</v>
      </c>
      <c r="O23" s="11"/>
      <c r="P23" s="2">
        <f>-613.75</f>
        <v>-613.75</v>
      </c>
      <c r="Q23" s="2"/>
      <c r="R23" s="19"/>
      <c r="S23" s="2"/>
      <c r="T23" s="2"/>
      <c r="U23" s="2"/>
      <c r="V23" s="19"/>
      <c r="W23" s="2"/>
      <c r="X23" s="2">
        <f t="shared" si="2"/>
        <v>-613.75</v>
      </c>
      <c r="Y23" s="2"/>
      <c r="Z23" s="19">
        <f t="shared" si="3"/>
        <v>0</v>
      </c>
    </row>
    <row r="24" spans="1:26" s="24" customFormat="1" hidden="1" outlineLevel="1" x14ac:dyDescent="0.25">
      <c r="A24" s="46"/>
      <c r="B24" s="11" t="str">
        <f>CONCATENATE("          ", "4242", " - ", "SALES RETURN TAXABLE-EVERYDAY")</f>
        <v xml:space="preserve">          4242 - SALES RETURN TAXABLE-EVERYDAY</v>
      </c>
      <c r="C24" s="11"/>
      <c r="D24" s="2">
        <f t="shared" ref="D24:D25" si="4">0</f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-16.2</f>
        <v>-16.2</v>
      </c>
      <c r="Q24" s="2"/>
      <c r="R24" s="19"/>
      <c r="S24" s="2"/>
      <c r="T24" s="2"/>
      <c r="U24" s="2"/>
      <c r="V24" s="19"/>
      <c r="W24" s="2"/>
      <c r="X24" s="2">
        <f t="shared" si="2"/>
        <v>-16.2</v>
      </c>
      <c r="Y24" s="2"/>
      <c r="Z24" s="19">
        <f t="shared" si="3"/>
        <v>0</v>
      </c>
    </row>
    <row r="25" spans="1:26" s="24" customFormat="1" hidden="1" outlineLevel="1" x14ac:dyDescent="0.25">
      <c r="A25" s="46"/>
      <c r="B25" s="11" t="str">
        <f>CONCATENATE("          ", "4346", " - ", "SALES RETURN NON TAXABLE-COIN-")</f>
        <v xml:space="preserve">          4346 - SALES RETURN NON TAXABLE-COIN-</v>
      </c>
      <c r="C25" s="11"/>
      <c r="D25" s="2">
        <f t="shared" si="4"/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-8.15</f>
        <v>-8.15</v>
      </c>
      <c r="Q25" s="2"/>
      <c r="R25" s="19"/>
      <c r="S25" s="2"/>
      <c r="T25" s="2"/>
      <c r="U25" s="2"/>
      <c r="V25" s="19"/>
      <c r="W25" s="2"/>
      <c r="X25" s="2">
        <f t="shared" si="2"/>
        <v>-8.15</v>
      </c>
      <c r="Y25" s="2"/>
      <c r="Z25" s="19">
        <f t="shared" si="3"/>
        <v>0</v>
      </c>
    </row>
    <row r="26" spans="1:26" x14ac:dyDescent="0.25">
      <c r="A26" s="9"/>
      <c r="B26" s="10"/>
      <c r="C26" s="9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8</v>
      </c>
      <c r="C27" s="10"/>
      <c r="D27" s="4">
        <f>SUM(0)</f>
        <v>0</v>
      </c>
      <c r="E27" s="4"/>
      <c r="F27" s="12">
        <f>IF(D$12=0,0,D27/D$12)</f>
        <v>0</v>
      </c>
      <c r="G27" s="4"/>
      <c r="H27" s="4">
        <f>SUM(0)</f>
        <v>0</v>
      </c>
      <c r="I27" s="4"/>
      <c r="J27" s="12">
        <f>IF(H$12=0,0,H27/H$12)</f>
        <v>0</v>
      </c>
      <c r="K27" s="4"/>
      <c r="L27" s="4">
        <f>+D27-H27</f>
        <v>0</v>
      </c>
      <c r="M27" s="4"/>
      <c r="N27" s="12">
        <f>IF(H27=0,0,L27/H27)</f>
        <v>0</v>
      </c>
      <c r="O27" s="10"/>
      <c r="P27" s="4">
        <f>SUM(0)</f>
        <v>0</v>
      </c>
      <c r="Q27" s="4"/>
      <c r="R27" s="12">
        <f>IF(P$12=0,0,P27/P$12)</f>
        <v>0</v>
      </c>
      <c r="S27" s="4"/>
      <c r="T27" s="4">
        <f>SUM(0)</f>
        <v>0</v>
      </c>
      <c r="U27" s="4"/>
      <c r="V27" s="12">
        <f>IF(T$12=0,0,T27/T$12)</f>
        <v>0</v>
      </c>
      <c r="W27" s="4"/>
      <c r="X27" s="4">
        <f>+P27-T27</f>
        <v>0</v>
      </c>
      <c r="Y27" s="4"/>
      <c r="Z27" s="12">
        <f>IF(T27=0,0,X27/T27)</f>
        <v>0</v>
      </c>
    </row>
    <row r="28" spans="1:26" x14ac:dyDescent="0.25">
      <c r="A28" s="9"/>
      <c r="B28" s="10"/>
      <c r="C28" s="10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O28" s="10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10"/>
      <c r="B29" s="29" t="s">
        <v>6</v>
      </c>
      <c r="C29" s="29"/>
      <c r="D29" s="22">
        <f>D12-D27</f>
        <v>65618.789999999994</v>
      </c>
      <c r="E29" s="14"/>
      <c r="F29" s="20">
        <f>IF(D$12=0,0,D29/D$12)</f>
        <v>1</v>
      </c>
      <c r="G29" s="14"/>
      <c r="H29" s="22">
        <f>H12-H27</f>
        <v>85737.5</v>
      </c>
      <c r="I29" s="14"/>
      <c r="J29" s="20">
        <f>IF(H$12=0,0,H29/H$12)</f>
        <v>1</v>
      </c>
      <c r="K29" s="15"/>
      <c r="L29" s="22">
        <f>+D29-H29</f>
        <v>-20118.710000000006</v>
      </c>
      <c r="M29" s="15"/>
      <c r="N29" s="20">
        <f>IF(H29=0,0,L29/H29)</f>
        <v>-0.23465473101035145</v>
      </c>
      <c r="O29" s="28"/>
      <c r="P29" s="22">
        <f>P12-P27</f>
        <v>168243.71999999997</v>
      </c>
      <c r="Q29" s="14"/>
      <c r="R29" s="20">
        <f>IF(P$12=0,0,P29/P$12)</f>
        <v>1</v>
      </c>
      <c r="S29" s="14"/>
      <c r="T29" s="22">
        <f>T12-T27</f>
        <v>205437.5</v>
      </c>
      <c r="U29" s="14"/>
      <c r="V29" s="20">
        <f>IF(T$12=0,0,T29/T$12)</f>
        <v>1</v>
      </c>
      <c r="W29" s="15"/>
      <c r="X29" s="22">
        <f>+P29-T29</f>
        <v>-37193.780000000028</v>
      </c>
      <c r="Y29" s="15"/>
      <c r="Z29" s="20">
        <f>IF(T29=0,0,X29/T29)</f>
        <v>-0.18104669303316107</v>
      </c>
    </row>
    <row r="30" spans="1:26" x14ac:dyDescent="0.25">
      <c r="A30" s="9"/>
      <c r="B30" s="10"/>
      <c r="C30" s="9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6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x14ac:dyDescent="0.25">
      <c r="A31" s="10"/>
      <c r="B31" s="28" t="s">
        <v>9</v>
      </c>
      <c r="C31" s="10"/>
      <c r="D31" s="21">
        <f>SUM(OSRRefD22x_0)</f>
        <v>49342.62</v>
      </c>
      <c r="E31" s="21"/>
      <c r="F31" s="33">
        <f t="shared" ref="F31:F41" si="5">IF(D$12=0,0,D31/D$12)</f>
        <v>0.75195869963466266</v>
      </c>
      <c r="G31" s="21"/>
      <c r="H31" s="21">
        <f>SUM(OSRRefH22x_0)</f>
        <v>57241.792411644958</v>
      </c>
      <c r="I31" s="21"/>
      <c r="J31" s="33">
        <f t="shared" ref="J31:J41" si="6">IF(H$12=0,0,H31/H$12)</f>
        <v>0.66764009227753263</v>
      </c>
      <c r="K31" s="4"/>
      <c r="L31" s="21">
        <f t="shared" ref="L31:L41" si="7">+D31-H31</f>
        <v>-7899.172411644955</v>
      </c>
      <c r="M31" s="4"/>
      <c r="N31" s="33">
        <f t="shared" ref="N31:N41" si="8">IF(H31=0,0,L31/H31)</f>
        <v>-0.13799659442596335</v>
      </c>
      <c r="O31" s="10"/>
      <c r="P31" s="21">
        <f>SUM(OSRRefP22x_0)</f>
        <v>121657.73</v>
      </c>
      <c r="Q31" s="21"/>
      <c r="R31" s="33">
        <f t="shared" ref="R31:R41" si="9">IF(P$12=0,0,P31/P$12)</f>
        <v>0.72310413725992273</v>
      </c>
      <c r="S31" s="21"/>
      <c r="T31" s="21">
        <f>SUM(OSRRefT22x_0)</f>
        <v>157841.47922110924</v>
      </c>
      <c r="U31" s="21"/>
      <c r="V31" s="33">
        <f t="shared" ref="V31:V41" si="10">IF(T$12=0,0,T31/T$12)</f>
        <v>0.76831873061689926</v>
      </c>
      <c r="W31" s="4"/>
      <c r="X31" s="21">
        <f t="shared" ref="X31:X41" si="11">+P31-T31</f>
        <v>-36183.749221109247</v>
      </c>
      <c r="Y31" s="4"/>
      <c r="Z31" s="33">
        <f t="shared" ref="Z31:Z41" si="12">IF(T31=0,0,X31/T31)</f>
        <v>-0.22924106768172089</v>
      </c>
    </row>
    <row r="32" spans="1:26" s="26" customFormat="1" outlineLevel="1" collapsed="1" x14ac:dyDescent="0.25">
      <c r="A32" s="27"/>
      <c r="B32" s="13" t="str">
        <f>CONCATENATE("     ","*Benefits                                         ")</f>
        <v xml:space="preserve">     *Benefits                                         </v>
      </c>
      <c r="C32" s="13"/>
      <c r="D32" s="1">
        <f>SUM(OSRRefD22_0x_0)</f>
        <v>7974.0300000000007</v>
      </c>
      <c r="E32" s="1"/>
      <c r="F32" s="5">
        <f t="shared" si="5"/>
        <v>0.12152052788538163</v>
      </c>
      <c r="G32" s="1"/>
      <c r="H32" s="1">
        <f>SUM(OSRRefH22_0x_0)</f>
        <v>5458.0515539865009</v>
      </c>
      <c r="I32" s="1"/>
      <c r="J32" s="5">
        <f t="shared" si="6"/>
        <v>6.3660026872564529E-2</v>
      </c>
      <c r="K32" s="1"/>
      <c r="L32" s="1">
        <f t="shared" si="7"/>
        <v>2515.9784460134997</v>
      </c>
      <c r="M32" s="1"/>
      <c r="N32" s="5">
        <f t="shared" si="8"/>
        <v>0.46096641285402601</v>
      </c>
      <c r="O32" s="13"/>
      <c r="P32" s="1">
        <f>SUM(OSRRefP22_0x_0)</f>
        <v>22280.38</v>
      </c>
      <c r="Q32" s="1"/>
      <c r="R32" s="5">
        <f t="shared" si="9"/>
        <v>0.13242919260225586</v>
      </c>
      <c r="S32" s="1"/>
      <c r="T32" s="1">
        <f>SUM(OSRRefT22_0x_0)</f>
        <v>17376.311565669243</v>
      </c>
      <c r="U32" s="1"/>
      <c r="V32" s="5">
        <f t="shared" si="10"/>
        <v>8.4581985108216573E-2</v>
      </c>
      <c r="W32" s="1"/>
      <c r="X32" s="1">
        <f t="shared" si="11"/>
        <v>4904.0684343307585</v>
      </c>
      <c r="Y32" s="1"/>
      <c r="Z32" s="5">
        <f t="shared" si="12"/>
        <v>0.28222723883587775</v>
      </c>
    </row>
    <row r="33" spans="1:26" s="24" customFormat="1" hidden="1" outlineLevel="2" x14ac:dyDescent="0.25">
      <c r="A33" s="25"/>
      <c r="B33" s="11" t="str">
        <f>CONCATENATE("          ", "6111", " - ", "F.I.C.A.")</f>
        <v xml:space="preserve">          6111 - F.I.C.A.</v>
      </c>
      <c r="C33" s="11"/>
      <c r="D33" s="7">
        <v>1053.6400000000001</v>
      </c>
      <c r="E33" s="2"/>
      <c r="F33" s="6">
        <f t="shared" si="5"/>
        <v>1.6056986116324307E-2</v>
      </c>
      <c r="G33" s="2"/>
      <c r="H33" s="7">
        <v>1040.3454644538499</v>
      </c>
      <c r="I33" s="2"/>
      <c r="J33" s="6">
        <f t="shared" si="6"/>
        <v>1.2134077439321767E-2</v>
      </c>
      <c r="K33" s="2"/>
      <c r="L33" s="7">
        <f t="shared" si="7"/>
        <v>13.2945355461502</v>
      </c>
      <c r="M33" s="2"/>
      <c r="N33" s="6">
        <f t="shared" si="8"/>
        <v>1.27789623739355E-2</v>
      </c>
      <c r="O33" s="11"/>
      <c r="P33" s="7">
        <v>3386.91</v>
      </c>
      <c r="Q33" s="2"/>
      <c r="R33" s="6">
        <f t="shared" si="9"/>
        <v>2.013097427945602E-2</v>
      </c>
      <c r="S33" s="2"/>
      <c r="T33" s="7">
        <v>3627.0623503506999</v>
      </c>
      <c r="U33" s="2"/>
      <c r="V33" s="6">
        <f t="shared" si="10"/>
        <v>1.7655308063769758E-2</v>
      </c>
      <c r="W33" s="2"/>
      <c r="X33" s="7">
        <f t="shared" si="11"/>
        <v>-240.15235035070009</v>
      </c>
      <c r="Y33" s="2"/>
      <c r="Z33" s="6">
        <f t="shared" si="12"/>
        <v>-6.6211255047071302E-2</v>
      </c>
    </row>
    <row r="34" spans="1:26" s="24" customFormat="1" hidden="1" outlineLevel="2" x14ac:dyDescent="0.25">
      <c r="A34" s="25"/>
      <c r="B34" s="11" t="str">
        <f>CONCATENATE("          ", "6112", " - ", "COMPENSATION INSURANCE")</f>
        <v xml:space="preserve">          6112 - COMPENSATION INSURANCE</v>
      </c>
      <c r="C34" s="11"/>
      <c r="D34" s="7">
        <v>238.77</v>
      </c>
      <c r="E34" s="2"/>
      <c r="F34" s="6">
        <f t="shared" si="5"/>
        <v>3.6387443291776645E-3</v>
      </c>
      <c r="G34" s="2"/>
      <c r="H34" s="7">
        <v>201.09516692307699</v>
      </c>
      <c r="I34" s="2"/>
      <c r="J34" s="6">
        <f t="shared" si="6"/>
        <v>2.3454750479437467E-3</v>
      </c>
      <c r="K34" s="2"/>
      <c r="L34" s="7">
        <f t="shared" si="7"/>
        <v>37.674833076923022</v>
      </c>
      <c r="M34" s="2"/>
      <c r="N34" s="6">
        <f t="shared" si="8"/>
        <v>0.18734827720317324</v>
      </c>
      <c r="O34" s="11"/>
      <c r="P34" s="7">
        <v>604.75</v>
      </c>
      <c r="Q34" s="2"/>
      <c r="R34" s="6">
        <f t="shared" si="9"/>
        <v>3.5944878061421851E-3</v>
      </c>
      <c r="S34" s="2"/>
      <c r="T34" s="7">
        <v>653.55929249999997</v>
      </c>
      <c r="U34" s="2"/>
      <c r="V34" s="6">
        <f t="shared" si="10"/>
        <v>3.1813047398843927E-3</v>
      </c>
      <c r="W34" s="2"/>
      <c r="X34" s="7">
        <f t="shared" si="11"/>
        <v>-48.80929249999997</v>
      </c>
      <c r="Y34" s="2"/>
      <c r="Z34" s="6">
        <f t="shared" si="12"/>
        <v>-7.4682271463533623E-2</v>
      </c>
    </row>
    <row r="35" spans="1:26" s="24" customFormat="1" hidden="1" outlineLevel="2" x14ac:dyDescent="0.25">
      <c r="A35" s="25"/>
      <c r="B35" s="11" t="str">
        <f>CONCATENATE("          ", "6113", " - ", "GROUP INSURANCE")</f>
        <v xml:space="preserve">          6113 - GROUP INSURANCE</v>
      </c>
      <c r="C35" s="11"/>
      <c r="D35" s="7">
        <v>3051.28</v>
      </c>
      <c r="E35" s="2"/>
      <c r="F35" s="6">
        <f t="shared" si="5"/>
        <v>4.65000954757014E-2</v>
      </c>
      <c r="G35" s="2"/>
      <c r="H35" s="7">
        <v>2044</v>
      </c>
      <c r="I35" s="2"/>
      <c r="J35" s="6">
        <f t="shared" si="6"/>
        <v>2.38402099431404E-2</v>
      </c>
      <c r="K35" s="2"/>
      <c r="L35" s="7">
        <f t="shared" si="7"/>
        <v>1007.2800000000002</v>
      </c>
      <c r="M35" s="2"/>
      <c r="N35" s="6">
        <f t="shared" si="8"/>
        <v>0.49279843444227017</v>
      </c>
      <c r="O35" s="11"/>
      <c r="P35" s="7">
        <v>8229.6</v>
      </c>
      <c r="Q35" s="2"/>
      <c r="R35" s="6">
        <f t="shared" si="9"/>
        <v>4.8914752954820555E-2</v>
      </c>
      <c r="S35" s="2"/>
      <c r="T35" s="7">
        <v>6132</v>
      </c>
      <c r="U35" s="2"/>
      <c r="V35" s="6">
        <f t="shared" si="10"/>
        <v>2.984849406753879E-2</v>
      </c>
      <c r="W35" s="2"/>
      <c r="X35" s="7">
        <f t="shared" si="11"/>
        <v>2097.6000000000004</v>
      </c>
      <c r="Y35" s="2"/>
      <c r="Z35" s="6">
        <f t="shared" si="12"/>
        <v>0.34207436399217228</v>
      </c>
    </row>
    <row r="36" spans="1:26" s="24" customFormat="1" hidden="1" outlineLevel="2" x14ac:dyDescent="0.25">
      <c r="A36" s="25"/>
      <c r="B36" s="11" t="str">
        <f>CONCATENATE("          ", "6114", " - ", "STATE UNEMPLOYMENT INSURANCE")</f>
        <v xml:space="preserve">          6114 - STATE UNEMPLOYMENT INSURANCE</v>
      </c>
      <c r="C36" s="11"/>
      <c r="D36" s="7">
        <v>47.03</v>
      </c>
      <c r="E36" s="2"/>
      <c r="F36" s="6">
        <f t="shared" si="5"/>
        <v>7.1671544080590343E-4</v>
      </c>
      <c r="G36" s="2"/>
      <c r="H36" s="7">
        <v>45.709189109912003</v>
      </c>
      <c r="I36" s="2"/>
      <c r="J36" s="6">
        <f t="shared" si="6"/>
        <v>5.3312948371380092E-4</v>
      </c>
      <c r="K36" s="2"/>
      <c r="L36" s="7">
        <f t="shared" si="7"/>
        <v>1.3208108900879978</v>
      </c>
      <c r="M36" s="2"/>
      <c r="N36" s="6">
        <f t="shared" si="8"/>
        <v>2.8895959779815499E-2</v>
      </c>
      <c r="O36" s="11"/>
      <c r="P36" s="7">
        <v>125.82</v>
      </c>
      <c r="Q36" s="2"/>
      <c r="R36" s="6">
        <f t="shared" si="9"/>
        <v>7.4784366394181026E-4</v>
      </c>
      <c r="S36" s="2"/>
      <c r="T36" s="7">
        <v>143.95419026414399</v>
      </c>
      <c r="U36" s="2"/>
      <c r="V36" s="6">
        <f t="shared" si="10"/>
        <v>7.0072012297727523E-4</v>
      </c>
      <c r="W36" s="2"/>
      <c r="X36" s="7">
        <f t="shared" si="11"/>
        <v>-18.134190264143996</v>
      </c>
      <c r="Y36" s="2"/>
      <c r="Z36" s="6">
        <f t="shared" si="12"/>
        <v>-0.12597195143030754</v>
      </c>
    </row>
    <row r="37" spans="1:26" s="24" customFormat="1" hidden="1" outlineLevel="2" x14ac:dyDescent="0.25">
      <c r="A37" s="25"/>
      <c r="B37" s="11" t="str">
        <f>CONCATENATE("          ", "6115", " - ", "P.E.R.S.")</f>
        <v xml:space="preserve">          6115 - P.E.R.S.</v>
      </c>
      <c r="C37" s="11"/>
      <c r="D37" s="7">
        <v>1187.75</v>
      </c>
      <c r="E37" s="2"/>
      <c r="F37" s="6">
        <f t="shared" si="5"/>
        <v>1.8100760468152493E-2</v>
      </c>
      <c r="G37" s="2"/>
      <c r="H37" s="7">
        <v>910.22022923076906</v>
      </c>
      <c r="I37" s="2"/>
      <c r="J37" s="6">
        <f t="shared" si="6"/>
        <v>1.0616360743324322E-2</v>
      </c>
      <c r="K37" s="2"/>
      <c r="L37" s="7">
        <f t="shared" si="7"/>
        <v>277.52977076923094</v>
      </c>
      <c r="M37" s="2"/>
      <c r="N37" s="6">
        <f t="shared" si="8"/>
        <v>0.30490398022000953</v>
      </c>
      <c r="O37" s="11"/>
      <c r="P37" s="7">
        <v>3367.01</v>
      </c>
      <c r="Q37" s="2"/>
      <c r="R37" s="6">
        <f t="shared" si="9"/>
        <v>2.0012693490134435E-2</v>
      </c>
      <c r="S37" s="2"/>
      <c r="T37" s="7">
        <v>2958.2157449999977</v>
      </c>
      <c r="U37" s="2"/>
      <c r="V37" s="6">
        <f t="shared" si="10"/>
        <v>1.4399589875266188E-2</v>
      </c>
      <c r="W37" s="2"/>
      <c r="X37" s="7">
        <f t="shared" si="11"/>
        <v>408.79425500000252</v>
      </c>
      <c r="Y37" s="2"/>
      <c r="Z37" s="6">
        <f t="shared" si="12"/>
        <v>0.13818946629939016</v>
      </c>
    </row>
    <row r="38" spans="1:26" s="24" customFormat="1" hidden="1" outlineLevel="2" x14ac:dyDescent="0.25">
      <c r="A38" s="25"/>
      <c r="B38" s="11" t="str">
        <f>CONCATENATE("          ", "6116", " - ", "EDUCATIONAL BENEFITS")</f>
        <v xml:space="preserve">          6116 - EDUCATIONAL BENEFITS</v>
      </c>
      <c r="C38" s="11"/>
      <c r="D38" s="7"/>
      <c r="E38" s="2"/>
      <c r="F38" s="6">
        <f t="shared" si="5"/>
        <v>0</v>
      </c>
      <c r="G38" s="2"/>
      <c r="H38" s="7">
        <v>0</v>
      </c>
      <c r="I38" s="2"/>
      <c r="J38" s="6">
        <f t="shared" si="6"/>
        <v>0</v>
      </c>
      <c r="K38" s="2"/>
      <c r="L38" s="7">
        <f t="shared" si="7"/>
        <v>0</v>
      </c>
      <c r="M38" s="2"/>
      <c r="N38" s="6">
        <f t="shared" si="8"/>
        <v>0</v>
      </c>
      <c r="O38" s="11"/>
      <c r="P38" s="7"/>
      <c r="Q38" s="2"/>
      <c r="R38" s="6">
        <f t="shared" si="9"/>
        <v>0</v>
      </c>
      <c r="S38" s="2"/>
      <c r="T38" s="7">
        <v>0</v>
      </c>
      <c r="U38" s="2"/>
      <c r="V38" s="6">
        <f t="shared" si="10"/>
        <v>0</v>
      </c>
      <c r="W38" s="2"/>
      <c r="X38" s="7">
        <f t="shared" si="11"/>
        <v>0</v>
      </c>
      <c r="Y38" s="2"/>
      <c r="Z38" s="6">
        <f t="shared" si="12"/>
        <v>0</v>
      </c>
    </row>
    <row r="39" spans="1:26" s="24" customFormat="1" hidden="1" outlineLevel="2" x14ac:dyDescent="0.25">
      <c r="A39" s="25"/>
      <c r="B39" s="11" t="str">
        <f>CONCATENATE("          ", "6118", " - ", "VACATION")</f>
        <v xml:space="preserve">          6118 - VACATION</v>
      </c>
      <c r="C39" s="11"/>
      <c r="D39" s="7">
        <v>1236.01</v>
      </c>
      <c r="E39" s="2"/>
      <c r="F39" s="6">
        <f t="shared" si="5"/>
        <v>1.8836220539878899E-2</v>
      </c>
      <c r="G39" s="2"/>
      <c r="H39" s="7">
        <v>529.19780769230795</v>
      </c>
      <c r="I39" s="2"/>
      <c r="J39" s="6">
        <f t="shared" si="6"/>
        <v>6.1723027577467032E-3</v>
      </c>
      <c r="K39" s="2"/>
      <c r="L39" s="7">
        <f t="shared" si="7"/>
        <v>706.81219230769204</v>
      </c>
      <c r="M39" s="2"/>
      <c r="N39" s="6">
        <f t="shared" si="8"/>
        <v>1.3356294792488155</v>
      </c>
      <c r="O39" s="11"/>
      <c r="P39" s="7">
        <v>3682.43</v>
      </c>
      <c r="Q39" s="2"/>
      <c r="R39" s="6">
        <f t="shared" si="9"/>
        <v>2.1887473719672867E-2</v>
      </c>
      <c r="S39" s="2"/>
      <c r="T39" s="7">
        <v>1719.8928750000009</v>
      </c>
      <c r="U39" s="2"/>
      <c r="V39" s="6">
        <f t="shared" si="10"/>
        <v>8.3718545786431436E-3</v>
      </c>
      <c r="W39" s="2"/>
      <c r="X39" s="7">
        <f t="shared" si="11"/>
        <v>1962.5371249999989</v>
      </c>
      <c r="Y39" s="2"/>
      <c r="Z39" s="6">
        <f t="shared" si="12"/>
        <v>1.141081025177221</v>
      </c>
    </row>
    <row r="40" spans="1:26" s="24" customFormat="1" hidden="1" outlineLevel="2" x14ac:dyDescent="0.25">
      <c r="A40" s="25"/>
      <c r="B40" s="11" t="str">
        <f>CONCATENATE("          ", "6119", " - ", "SICK LEAVE")</f>
        <v xml:space="preserve">          6119 - SICK LEAVE</v>
      </c>
      <c r="C40" s="11"/>
      <c r="D40" s="7">
        <v>809.89</v>
      </c>
      <c r="E40" s="2"/>
      <c r="F40" s="6">
        <f t="shared" si="5"/>
        <v>1.2342348891224602E-2</v>
      </c>
      <c r="G40" s="2"/>
      <c r="H40" s="7">
        <v>387.48369657658503</v>
      </c>
      <c r="I40" s="2"/>
      <c r="J40" s="6">
        <f t="shared" si="6"/>
        <v>4.5194191173825345E-3</v>
      </c>
      <c r="K40" s="2"/>
      <c r="L40" s="7">
        <f t="shared" si="7"/>
        <v>422.40630342341495</v>
      </c>
      <c r="M40" s="2"/>
      <c r="N40" s="6">
        <f t="shared" si="8"/>
        <v>1.090126648309002</v>
      </c>
      <c r="O40" s="11"/>
      <c r="P40" s="7">
        <v>2148.41</v>
      </c>
      <c r="Q40" s="2"/>
      <c r="R40" s="6">
        <f t="shared" si="9"/>
        <v>1.2769629677708031E-2</v>
      </c>
      <c r="S40" s="2"/>
      <c r="T40" s="7">
        <v>1241.627112554401</v>
      </c>
      <c r="U40" s="2"/>
      <c r="V40" s="6">
        <f t="shared" si="10"/>
        <v>6.0438192275237045E-3</v>
      </c>
      <c r="W40" s="2"/>
      <c r="X40" s="7">
        <f t="shared" si="11"/>
        <v>906.78288744559882</v>
      </c>
      <c r="Y40" s="2"/>
      <c r="Z40" s="6">
        <f t="shared" si="12"/>
        <v>0.73031820767836908</v>
      </c>
    </row>
    <row r="41" spans="1:26" s="24" customFormat="1" hidden="1" outlineLevel="2" x14ac:dyDescent="0.25">
      <c r="A41" s="25"/>
      <c r="B41" s="11" t="str">
        <f>CONCATENATE("          ", "6156", " - ", "EMPLOYEE MEALS")</f>
        <v xml:space="preserve">          6156 - EMPLOYEE MEALS</v>
      </c>
      <c r="C41" s="11"/>
      <c r="D41" s="7">
        <v>349.66</v>
      </c>
      <c r="E41" s="2"/>
      <c r="F41" s="6">
        <f t="shared" si="5"/>
        <v>5.3286566241163551E-3</v>
      </c>
      <c r="G41" s="2"/>
      <c r="H41" s="7">
        <v>300</v>
      </c>
      <c r="I41" s="2"/>
      <c r="J41" s="6">
        <f t="shared" si="6"/>
        <v>3.4990523399912525E-3</v>
      </c>
      <c r="K41" s="2"/>
      <c r="L41" s="7">
        <f t="shared" si="7"/>
        <v>49.660000000000025</v>
      </c>
      <c r="M41" s="2"/>
      <c r="N41" s="6">
        <f t="shared" si="8"/>
        <v>0.16553333333333342</v>
      </c>
      <c r="O41" s="11"/>
      <c r="P41" s="7">
        <v>735.45</v>
      </c>
      <c r="Q41" s="2"/>
      <c r="R41" s="6">
        <f t="shared" si="9"/>
        <v>4.3713370103799429E-3</v>
      </c>
      <c r="S41" s="2"/>
      <c r="T41" s="7">
        <v>900</v>
      </c>
      <c r="U41" s="2"/>
      <c r="V41" s="6">
        <f t="shared" si="10"/>
        <v>4.3808944326133251E-3</v>
      </c>
      <c r="W41" s="2"/>
      <c r="X41" s="7">
        <f t="shared" si="11"/>
        <v>-164.54999999999995</v>
      </c>
      <c r="Y41" s="2"/>
      <c r="Z41" s="6">
        <f t="shared" si="12"/>
        <v>-0.18283333333333329</v>
      </c>
    </row>
    <row r="42" spans="1:26" s="26" customFormat="1" outlineLevel="1" collapsed="1" x14ac:dyDescent="0.25">
      <c r="A42" s="27"/>
      <c r="B42" s="13" t="str">
        <f>CONCATENATE("     ","*Payroll                                          ")</f>
        <v xml:space="preserve">     *Payroll                                          </v>
      </c>
      <c r="C42" s="13"/>
      <c r="D42" s="1">
        <f>SUM(OSRRefD22_1x_0)</f>
        <v>18444.34</v>
      </c>
      <c r="E42" s="1"/>
      <c r="F42" s="5">
        <f t="shared" ref="F42:F52" si="13">IF(D$12=0,0,D42/D$12)</f>
        <v>0.28108320802623765</v>
      </c>
      <c r="G42" s="1"/>
      <c r="H42" s="1">
        <f>SUM(OSRRefH22_1x_0)</f>
        <v>16733.74085765846</v>
      </c>
      <c r="I42" s="1"/>
      <c r="J42" s="5">
        <f t="shared" ref="J42:J52" si="14">IF(H$12=0,0,H42/H$12)</f>
        <v>0.19517411701599022</v>
      </c>
      <c r="K42" s="1"/>
      <c r="L42" s="1">
        <f t="shared" ref="L42:L52" si="15">+D42-H42</f>
        <v>1710.5991423415398</v>
      </c>
      <c r="M42" s="1"/>
      <c r="N42" s="5">
        <f t="shared" ref="N42:N52" si="16">IF(H42=0,0,L42/H42)</f>
        <v>0.10222455079783653</v>
      </c>
      <c r="O42" s="13"/>
      <c r="P42" s="1">
        <f>SUM(OSRRefP22_1x_0)</f>
        <v>52261.36</v>
      </c>
      <c r="Q42" s="1"/>
      <c r="R42" s="5">
        <f t="shared" ref="R42:R52" si="17">IF(P$12=0,0,P42/P$12)</f>
        <v>0.31062889004118555</v>
      </c>
      <c r="S42" s="1"/>
      <c r="T42" s="1">
        <f>SUM(OSRRefT22_1x_0)</f>
        <v>52615.167655440004</v>
      </c>
      <c r="U42" s="1"/>
      <c r="V42" s="5">
        <f t="shared" ref="V42:V52" si="18">IF(T$12=0,0,T42/T$12)</f>
        <v>0.25611277228081536</v>
      </c>
      <c r="W42" s="1"/>
      <c r="X42" s="1">
        <f t="shared" ref="X42:X52" si="19">+P42-T42</f>
        <v>-353.80765544000315</v>
      </c>
      <c r="Y42" s="1"/>
      <c r="Z42" s="5">
        <f t="shared" ref="Z42:Z52" si="20">IF(T42=0,0,X42/T42)</f>
        <v>-6.7244422322661201E-3</v>
      </c>
    </row>
    <row r="43" spans="1:26" s="24" customFormat="1" hidden="1" outlineLevel="2" x14ac:dyDescent="0.25">
      <c r="A43" s="25"/>
      <c r="B43" s="11" t="str">
        <f>CONCATENATE("          ", "6001", " - ", "ADMINISTRATIVE SALARIES")</f>
        <v xml:space="preserve">          6001 - ADMINISTRATIVE SALARIES</v>
      </c>
      <c r="C43" s="11"/>
      <c r="D43" s="7"/>
      <c r="E43" s="2"/>
      <c r="F43" s="6">
        <f t="shared" si="13"/>
        <v>0</v>
      </c>
      <c r="G43" s="2"/>
      <c r="H43" s="7">
        <v>5990.5432000000001</v>
      </c>
      <c r="I43" s="2"/>
      <c r="J43" s="6">
        <f t="shared" si="14"/>
        <v>6.9870747339262282E-2</v>
      </c>
      <c r="K43" s="2"/>
      <c r="L43" s="7">
        <f t="shared" si="15"/>
        <v>-5990.5432000000001</v>
      </c>
      <c r="M43" s="2"/>
      <c r="N43" s="6">
        <f t="shared" si="16"/>
        <v>-1</v>
      </c>
      <c r="O43" s="11"/>
      <c r="P43" s="7"/>
      <c r="Q43" s="2"/>
      <c r="R43" s="6">
        <f t="shared" si="17"/>
        <v>0</v>
      </c>
      <c r="S43" s="2"/>
      <c r="T43" s="7">
        <v>19469.2654</v>
      </c>
      <c r="U43" s="2"/>
      <c r="V43" s="6">
        <f t="shared" si="18"/>
        <v>9.4769773775479155E-2</v>
      </c>
      <c r="W43" s="2"/>
      <c r="X43" s="7">
        <f t="shared" si="19"/>
        <v>-19469.2654</v>
      </c>
      <c r="Y43" s="2"/>
      <c r="Z43" s="6">
        <f t="shared" si="20"/>
        <v>-1</v>
      </c>
    </row>
    <row r="44" spans="1:26" s="24" customFormat="1" hidden="1" outlineLevel="2" x14ac:dyDescent="0.25">
      <c r="A44" s="25"/>
      <c r="B44" s="11" t="str">
        <f>CONCATENATE("          ", "6002", " - ", "STAFF SALARIES")</f>
        <v xml:space="preserve">          6002 - STAFF SALARIES</v>
      </c>
      <c r="C44" s="11"/>
      <c r="D44" s="7">
        <v>12098.2</v>
      </c>
      <c r="E44" s="2"/>
      <c r="F44" s="6">
        <f t="shared" si="13"/>
        <v>0.18437097057108187</v>
      </c>
      <c r="G44" s="2"/>
      <c r="H44" s="7">
        <v>3746.6964615384595</v>
      </c>
      <c r="I44" s="2"/>
      <c r="J44" s="6">
        <f t="shared" si="14"/>
        <v>4.3699623403276974E-2</v>
      </c>
      <c r="K44" s="2"/>
      <c r="L44" s="7">
        <f t="shared" si="15"/>
        <v>8351.5035384615403</v>
      </c>
      <c r="M44" s="2"/>
      <c r="N44" s="6">
        <f t="shared" si="16"/>
        <v>2.2290312610571785</v>
      </c>
      <c r="O44" s="11"/>
      <c r="P44" s="7">
        <v>34914.97</v>
      </c>
      <c r="Q44" s="2"/>
      <c r="R44" s="6">
        <f t="shared" si="17"/>
        <v>0.20752614124319177</v>
      </c>
      <c r="S44" s="2"/>
      <c r="T44" s="7">
        <v>12176.763500000001</v>
      </c>
      <c r="U44" s="2"/>
      <c r="V44" s="6">
        <f t="shared" si="18"/>
        <v>5.9272350471554616E-2</v>
      </c>
      <c r="W44" s="2"/>
      <c r="X44" s="7">
        <f t="shared" si="19"/>
        <v>22738.2065</v>
      </c>
      <c r="Y44" s="2"/>
      <c r="Z44" s="6">
        <f t="shared" si="20"/>
        <v>1.8673440196157212</v>
      </c>
    </row>
    <row r="45" spans="1:26" s="24" customFormat="1" hidden="1" outlineLevel="2" x14ac:dyDescent="0.25">
      <c r="A45" s="25"/>
      <c r="B45" s="11" t="str">
        <f>CONCATENATE("          ", "6003", " - ", "STAFF HOURLY-9 MONTH")</f>
        <v xml:space="preserve">          6003 - STAFF HOURLY-9 MONTH</v>
      </c>
      <c r="C45" s="11"/>
      <c r="D45" s="7"/>
      <c r="E45" s="2"/>
      <c r="F45" s="6">
        <f t="shared" si="13"/>
        <v>0</v>
      </c>
      <c r="G45" s="2"/>
      <c r="H45" s="7">
        <v>0</v>
      </c>
      <c r="I45" s="2"/>
      <c r="J45" s="6">
        <f t="shared" si="14"/>
        <v>0</v>
      </c>
      <c r="K45" s="2"/>
      <c r="L45" s="7">
        <f t="shared" si="15"/>
        <v>0</v>
      </c>
      <c r="M45" s="2"/>
      <c r="N45" s="6">
        <f t="shared" si="16"/>
        <v>0</v>
      </c>
      <c r="O45" s="11"/>
      <c r="P45" s="7"/>
      <c r="Q45" s="2"/>
      <c r="R45" s="6">
        <f t="shared" si="17"/>
        <v>0</v>
      </c>
      <c r="S45" s="2"/>
      <c r="T45" s="7">
        <v>0</v>
      </c>
      <c r="U45" s="2"/>
      <c r="V45" s="6">
        <f t="shared" si="18"/>
        <v>0</v>
      </c>
      <c r="W45" s="2"/>
      <c r="X45" s="7">
        <f t="shared" si="19"/>
        <v>0</v>
      </c>
      <c r="Y45" s="2"/>
      <c r="Z45" s="6">
        <f t="shared" si="20"/>
        <v>0</v>
      </c>
    </row>
    <row r="46" spans="1:26" s="24" customFormat="1" hidden="1" outlineLevel="2" x14ac:dyDescent="0.25">
      <c r="A46" s="25"/>
      <c r="B46" s="11" t="str">
        <f>CONCATENATE("          ", "6004", " - ", "STAFF HOURLY")</f>
        <v xml:space="preserve">          6004 - STAFF HOURLY</v>
      </c>
      <c r="C46" s="11"/>
      <c r="D46" s="7"/>
      <c r="E46" s="2"/>
      <c r="F46" s="6">
        <f t="shared" si="13"/>
        <v>0</v>
      </c>
      <c r="G46" s="2"/>
      <c r="H46" s="7">
        <v>3010</v>
      </c>
      <c r="I46" s="2"/>
      <c r="J46" s="6">
        <f t="shared" si="14"/>
        <v>3.510715847791223E-2</v>
      </c>
      <c r="K46" s="2"/>
      <c r="L46" s="7">
        <f t="shared" si="15"/>
        <v>-3010</v>
      </c>
      <c r="M46" s="2"/>
      <c r="N46" s="6">
        <f t="shared" si="16"/>
        <v>-1</v>
      </c>
      <c r="O46" s="11"/>
      <c r="P46" s="7"/>
      <c r="Q46" s="2"/>
      <c r="R46" s="6">
        <f t="shared" si="17"/>
        <v>0</v>
      </c>
      <c r="S46" s="2"/>
      <c r="T46" s="7">
        <v>9240</v>
      </c>
      <c r="U46" s="2"/>
      <c r="V46" s="6">
        <f t="shared" si="18"/>
        <v>4.4977182841496807E-2</v>
      </c>
      <c r="W46" s="2"/>
      <c r="X46" s="7">
        <f t="shared" si="19"/>
        <v>-9240</v>
      </c>
      <c r="Y46" s="2"/>
      <c r="Z46" s="6">
        <f t="shared" si="20"/>
        <v>-1</v>
      </c>
    </row>
    <row r="47" spans="1:26" s="24" customFormat="1" hidden="1" outlineLevel="2" x14ac:dyDescent="0.25">
      <c r="A47" s="25"/>
      <c r="B47" s="11" t="str">
        <f>CONCATENATE("          ", "6005", " - ", "TEMPORARY WAGES-HOURLY")</f>
        <v xml:space="preserve">          6005 - TEMPORARY WAGES-HOURLY</v>
      </c>
      <c r="C47" s="11"/>
      <c r="D47" s="7">
        <v>1690.5</v>
      </c>
      <c r="E47" s="2"/>
      <c r="F47" s="6">
        <f t="shared" si="13"/>
        <v>2.5762437862691466E-2</v>
      </c>
      <c r="G47" s="2"/>
      <c r="H47" s="7">
        <v>0</v>
      </c>
      <c r="I47" s="2"/>
      <c r="J47" s="6">
        <f t="shared" si="14"/>
        <v>0</v>
      </c>
      <c r="K47" s="2"/>
      <c r="L47" s="7">
        <f t="shared" si="15"/>
        <v>1690.5</v>
      </c>
      <c r="M47" s="2"/>
      <c r="N47" s="6">
        <f t="shared" si="16"/>
        <v>0</v>
      </c>
      <c r="O47" s="11"/>
      <c r="P47" s="7">
        <v>4182.5</v>
      </c>
      <c r="Q47" s="2"/>
      <c r="R47" s="6">
        <f t="shared" si="17"/>
        <v>2.4859768911433964E-2</v>
      </c>
      <c r="S47" s="2"/>
      <c r="T47" s="7">
        <v>0</v>
      </c>
      <c r="U47" s="2"/>
      <c r="V47" s="6">
        <f t="shared" si="18"/>
        <v>0</v>
      </c>
      <c r="W47" s="2"/>
      <c r="X47" s="7">
        <f t="shared" si="19"/>
        <v>4182.5</v>
      </c>
      <c r="Y47" s="2"/>
      <c r="Z47" s="6">
        <f t="shared" si="20"/>
        <v>0</v>
      </c>
    </row>
    <row r="48" spans="1:26" s="24" customFormat="1" hidden="1" outlineLevel="2" x14ac:dyDescent="0.25">
      <c r="A48" s="25"/>
      <c r="B48" s="11" t="str">
        <f>CONCATENATE("          ", "6006", " - ", "TEMPORARY PART TIME")</f>
        <v xml:space="preserve">          6006 - TEMPORARY PART TIME</v>
      </c>
      <c r="C48" s="11"/>
      <c r="D48" s="7"/>
      <c r="E48" s="2"/>
      <c r="F48" s="6">
        <f t="shared" si="13"/>
        <v>0</v>
      </c>
      <c r="G48" s="2"/>
      <c r="H48" s="7">
        <v>0</v>
      </c>
      <c r="I48" s="2"/>
      <c r="J48" s="6">
        <f t="shared" si="14"/>
        <v>0</v>
      </c>
      <c r="K48" s="2"/>
      <c r="L48" s="7">
        <f t="shared" si="15"/>
        <v>0</v>
      </c>
      <c r="M48" s="2"/>
      <c r="N48" s="6">
        <f t="shared" si="16"/>
        <v>0</v>
      </c>
      <c r="O48" s="11"/>
      <c r="P48" s="7"/>
      <c r="Q48" s="2"/>
      <c r="R48" s="6">
        <f t="shared" si="17"/>
        <v>0</v>
      </c>
      <c r="S48" s="2"/>
      <c r="T48" s="7">
        <v>0</v>
      </c>
      <c r="U48" s="2"/>
      <c r="V48" s="6">
        <f t="shared" si="18"/>
        <v>0</v>
      </c>
      <c r="W48" s="2"/>
      <c r="X48" s="7">
        <f t="shared" si="19"/>
        <v>0</v>
      </c>
      <c r="Y48" s="2"/>
      <c r="Z48" s="6">
        <f t="shared" si="20"/>
        <v>0</v>
      </c>
    </row>
    <row r="49" spans="1:26" s="24" customFormat="1" hidden="1" outlineLevel="2" x14ac:dyDescent="0.25">
      <c r="A49" s="25"/>
      <c r="B49" s="11" t="str">
        <f>CONCATENATE("          ", "6007", " - ", "STUDENT HOURLY")</f>
        <v xml:space="preserve">          6007 - STUDENT HOURLY</v>
      </c>
      <c r="C49" s="11"/>
      <c r="D49" s="7">
        <v>4655.6400000000003</v>
      </c>
      <c r="E49" s="2"/>
      <c r="F49" s="6">
        <f t="shared" si="13"/>
        <v>7.0949799592464308E-2</v>
      </c>
      <c r="G49" s="2"/>
      <c r="H49" s="7">
        <v>0</v>
      </c>
      <c r="I49" s="2"/>
      <c r="J49" s="6">
        <f t="shared" si="14"/>
        <v>0</v>
      </c>
      <c r="K49" s="2"/>
      <c r="L49" s="7">
        <f t="shared" si="15"/>
        <v>4655.6400000000003</v>
      </c>
      <c r="M49" s="2"/>
      <c r="N49" s="6">
        <f t="shared" si="16"/>
        <v>0</v>
      </c>
      <c r="O49" s="11"/>
      <c r="P49" s="7">
        <v>13163.89</v>
      </c>
      <c r="Q49" s="2"/>
      <c r="R49" s="6">
        <f t="shared" si="17"/>
        <v>7.8242979886559816E-2</v>
      </c>
      <c r="S49" s="2"/>
      <c r="T49" s="7">
        <v>3756.1363631999998</v>
      </c>
      <c r="U49" s="2"/>
      <c r="V49" s="6">
        <f t="shared" si="18"/>
        <v>1.828359653519927E-2</v>
      </c>
      <c r="W49" s="2"/>
      <c r="X49" s="7">
        <f t="shared" si="19"/>
        <v>9407.7536368000001</v>
      </c>
      <c r="Y49" s="2"/>
      <c r="Z49" s="6">
        <f t="shared" si="20"/>
        <v>2.5046358084787865</v>
      </c>
    </row>
    <row r="50" spans="1:26" s="24" customFormat="1" hidden="1" outlineLevel="2" x14ac:dyDescent="0.25">
      <c r="A50" s="25"/>
      <c r="B50" s="11" t="str">
        <f>CONCATENATE("          ", "6008", " - ", "STUDENT HOURLY-FICA EXEMPT")</f>
        <v xml:space="preserve">          6008 - STUDENT HOURLY-FICA EXEMPT</v>
      </c>
      <c r="C50" s="11"/>
      <c r="D50" s="7"/>
      <c r="E50" s="2"/>
      <c r="F50" s="6">
        <f t="shared" si="13"/>
        <v>0</v>
      </c>
      <c r="G50" s="2"/>
      <c r="H50" s="7">
        <v>3986.5011961200003</v>
      </c>
      <c r="I50" s="2"/>
      <c r="J50" s="6">
        <f t="shared" si="14"/>
        <v>4.649658779553871E-2</v>
      </c>
      <c r="K50" s="2"/>
      <c r="L50" s="7">
        <f t="shared" si="15"/>
        <v>-3986.5011961200003</v>
      </c>
      <c r="M50" s="2"/>
      <c r="N50" s="6">
        <f t="shared" si="16"/>
        <v>-1</v>
      </c>
      <c r="O50" s="11"/>
      <c r="P50" s="7"/>
      <c r="Q50" s="2"/>
      <c r="R50" s="6">
        <f t="shared" si="17"/>
        <v>0</v>
      </c>
      <c r="S50" s="2"/>
      <c r="T50" s="7">
        <v>7973.0023922400005</v>
      </c>
      <c r="U50" s="2"/>
      <c r="V50" s="6">
        <f t="shared" si="18"/>
        <v>3.8809868657085488E-2</v>
      </c>
      <c r="W50" s="2"/>
      <c r="X50" s="7">
        <f t="shared" si="19"/>
        <v>-7973.0023922400005</v>
      </c>
      <c r="Y50" s="2"/>
      <c r="Z50" s="6">
        <f t="shared" si="20"/>
        <v>-1</v>
      </c>
    </row>
    <row r="51" spans="1:26" s="24" customFormat="1" hidden="1" outlineLevel="2" x14ac:dyDescent="0.25">
      <c r="A51" s="25"/>
      <c r="B51" s="11" t="str">
        <f>CONCATENATE("          ", "6009", " - ", "TEMPORARY-SEASONAL")</f>
        <v xml:space="preserve">          6009 - TEMPORARY-SEASONAL</v>
      </c>
      <c r="C51" s="11"/>
      <c r="D51" s="7"/>
      <c r="E51" s="2"/>
      <c r="F51" s="6">
        <f t="shared" si="13"/>
        <v>0</v>
      </c>
      <c r="G51" s="2"/>
      <c r="H51" s="7">
        <v>0</v>
      </c>
      <c r="I51" s="2"/>
      <c r="J51" s="6">
        <f t="shared" si="14"/>
        <v>0</v>
      </c>
      <c r="K51" s="2"/>
      <c r="L51" s="7">
        <f t="shared" si="15"/>
        <v>0</v>
      </c>
      <c r="M51" s="2"/>
      <c r="N51" s="6">
        <f t="shared" si="16"/>
        <v>0</v>
      </c>
      <c r="O51" s="11"/>
      <c r="P51" s="7"/>
      <c r="Q51" s="2"/>
      <c r="R51" s="6">
        <f t="shared" si="17"/>
        <v>0</v>
      </c>
      <c r="S51" s="2"/>
      <c r="T51" s="7">
        <v>0</v>
      </c>
      <c r="U51" s="2"/>
      <c r="V51" s="6">
        <f t="shared" si="18"/>
        <v>0</v>
      </c>
      <c r="W51" s="2"/>
      <c r="X51" s="7">
        <f t="shared" si="19"/>
        <v>0</v>
      </c>
      <c r="Y51" s="2"/>
      <c r="Z51" s="6">
        <f t="shared" si="20"/>
        <v>0</v>
      </c>
    </row>
    <row r="52" spans="1:26" s="24" customFormat="1" hidden="1" outlineLevel="2" x14ac:dyDescent="0.25">
      <c r="A52" s="25"/>
      <c r="B52" s="11" t="str">
        <f>CONCATENATE("          ", "6010", " - ", "GRATUITY")</f>
        <v xml:space="preserve">          6010 - GRATUITY</v>
      </c>
      <c r="C52" s="11"/>
      <c r="D52" s="7"/>
      <c r="E52" s="2"/>
      <c r="F52" s="6">
        <f t="shared" si="13"/>
        <v>0</v>
      </c>
      <c r="G52" s="2"/>
      <c r="H52" s="7">
        <v>0</v>
      </c>
      <c r="I52" s="2"/>
      <c r="J52" s="6">
        <f t="shared" si="14"/>
        <v>0</v>
      </c>
      <c r="K52" s="2"/>
      <c r="L52" s="7">
        <f t="shared" si="15"/>
        <v>0</v>
      </c>
      <c r="M52" s="2"/>
      <c r="N52" s="6">
        <f t="shared" si="16"/>
        <v>0</v>
      </c>
      <c r="O52" s="11"/>
      <c r="P52" s="7"/>
      <c r="Q52" s="2"/>
      <c r="R52" s="6">
        <f t="shared" si="17"/>
        <v>0</v>
      </c>
      <c r="S52" s="2"/>
      <c r="T52" s="7">
        <v>0</v>
      </c>
      <c r="U52" s="2"/>
      <c r="V52" s="6">
        <f t="shared" si="18"/>
        <v>0</v>
      </c>
      <c r="W52" s="2"/>
      <c r="X52" s="7">
        <f t="shared" si="19"/>
        <v>0</v>
      </c>
      <c r="Y52" s="2"/>
      <c r="Z52" s="6">
        <f t="shared" si="20"/>
        <v>0</v>
      </c>
    </row>
    <row r="53" spans="1:26" s="26" customFormat="1" outlineLevel="1" collapsed="1" x14ac:dyDescent="0.25">
      <c r="A53" s="27"/>
      <c r="B53" s="13" t="str">
        <f>CONCATENATE("     ","Advertising/Promo                                 ")</f>
        <v xml:space="preserve">     Advertising/Promo                                 </v>
      </c>
      <c r="C53" s="13"/>
      <c r="D53" s="1">
        <f>SUM(OSRRefD22_2x_0)</f>
        <v>0</v>
      </c>
      <c r="E53" s="1"/>
      <c r="F53" s="5">
        <f t="shared" ref="F53:F71" si="21">IF(D$12=0,0,D53/D$12)</f>
        <v>0</v>
      </c>
      <c r="G53" s="1"/>
      <c r="H53" s="1">
        <f>SUM(OSRRefH22_2x_0)</f>
        <v>100</v>
      </c>
      <c r="I53" s="1"/>
      <c r="J53" s="5">
        <f t="shared" ref="J53:J71" si="22">IF(H$12=0,0,H53/H$12)</f>
        <v>1.1663507799970841E-3</v>
      </c>
      <c r="K53" s="1"/>
      <c r="L53" s="1">
        <f t="shared" ref="L53:L71" si="23">+D53-H53</f>
        <v>-100</v>
      </c>
      <c r="M53" s="1"/>
      <c r="N53" s="5">
        <f t="shared" ref="N53:N71" si="24">IF(H53=0,0,L53/H53)</f>
        <v>-1</v>
      </c>
      <c r="O53" s="13"/>
      <c r="P53" s="1">
        <f>SUM(OSRRefP22_2x_0)</f>
        <v>0</v>
      </c>
      <c r="Q53" s="1"/>
      <c r="R53" s="5">
        <f t="shared" ref="R53:R71" si="25">IF(P$12=0,0,P53/P$12)</f>
        <v>0</v>
      </c>
      <c r="S53" s="1"/>
      <c r="T53" s="1">
        <f>SUM(OSRRefT22_2x_0)</f>
        <v>300</v>
      </c>
      <c r="U53" s="1"/>
      <c r="V53" s="5">
        <f t="shared" ref="V53:V71" si="26">IF(T$12=0,0,T53/T$12)</f>
        <v>1.4602981442044416E-3</v>
      </c>
      <c r="W53" s="1"/>
      <c r="X53" s="1">
        <f t="shared" ref="X53:X71" si="27">+P53-T53</f>
        <v>-300</v>
      </c>
      <c r="Y53" s="1"/>
      <c r="Z53" s="5">
        <f t="shared" ref="Z53:Z71" si="28">IF(T53=0,0,X53/T53)</f>
        <v>-1</v>
      </c>
    </row>
    <row r="54" spans="1:26" s="24" customFormat="1" hidden="1" outlineLevel="2" x14ac:dyDescent="0.25">
      <c r="A54" s="25"/>
      <c r="B54" s="11" t="str">
        <f>CONCATENATE("          ", "6362", " - ", "ADVERTISING EXPENSE")</f>
        <v xml:space="preserve">          6362 - ADVERTISING EXPENSE</v>
      </c>
      <c r="C54" s="11"/>
      <c r="D54" s="7"/>
      <c r="E54" s="2"/>
      <c r="F54" s="6">
        <f t="shared" si="21"/>
        <v>0</v>
      </c>
      <c r="G54" s="2"/>
      <c r="H54" s="7">
        <v>100</v>
      </c>
      <c r="I54" s="2"/>
      <c r="J54" s="6">
        <f t="shared" si="22"/>
        <v>1.1663507799970841E-3</v>
      </c>
      <c r="K54" s="2"/>
      <c r="L54" s="7">
        <f t="shared" si="23"/>
        <v>-100</v>
      </c>
      <c r="M54" s="2"/>
      <c r="N54" s="6">
        <f t="shared" si="24"/>
        <v>-1</v>
      </c>
      <c r="O54" s="11"/>
      <c r="P54" s="7"/>
      <c r="Q54" s="2"/>
      <c r="R54" s="6">
        <f t="shared" si="25"/>
        <v>0</v>
      </c>
      <c r="S54" s="2"/>
      <c r="T54" s="7">
        <v>300</v>
      </c>
      <c r="U54" s="2"/>
      <c r="V54" s="6">
        <f t="shared" si="26"/>
        <v>1.4602981442044416E-3</v>
      </c>
      <c r="W54" s="2"/>
      <c r="X54" s="7">
        <f t="shared" si="27"/>
        <v>-300</v>
      </c>
      <c r="Y54" s="2"/>
      <c r="Z54" s="6">
        <f t="shared" si="28"/>
        <v>-1</v>
      </c>
    </row>
    <row r="55" spans="1:26" s="26" customFormat="1" outlineLevel="1" collapsed="1" x14ac:dyDescent="0.25">
      <c r="A55" s="27"/>
      <c r="B55" s="13" t="str">
        <f>CONCATENATE("     ","Depreciation                                      ")</f>
        <v xml:space="preserve">     Depreciation                                      </v>
      </c>
      <c r="C55" s="13"/>
      <c r="D55" s="1">
        <f>SUM(OSRRefD22_3x_0)</f>
        <v>0</v>
      </c>
      <c r="E55" s="1"/>
      <c r="F55" s="5">
        <f t="shared" si="21"/>
        <v>0</v>
      </c>
      <c r="G55" s="1"/>
      <c r="H55" s="1">
        <f>SUM(OSRRefH22_3x_0)</f>
        <v>0</v>
      </c>
      <c r="I55" s="1"/>
      <c r="J55" s="5">
        <f t="shared" si="22"/>
        <v>0</v>
      </c>
      <c r="K55" s="1"/>
      <c r="L55" s="1">
        <f t="shared" si="23"/>
        <v>0</v>
      </c>
      <c r="M55" s="1"/>
      <c r="N55" s="5">
        <f t="shared" si="24"/>
        <v>0</v>
      </c>
      <c r="O55" s="13"/>
      <c r="P55" s="1">
        <f>SUM(OSRRefP22_3x_0)</f>
        <v>0</v>
      </c>
      <c r="Q55" s="1"/>
      <c r="R55" s="5">
        <f t="shared" si="25"/>
        <v>0</v>
      </c>
      <c r="S55" s="1"/>
      <c r="T55" s="1">
        <f>SUM(OSRRefT22_3x_0)</f>
        <v>0</v>
      </c>
      <c r="U55" s="1"/>
      <c r="V55" s="5">
        <f t="shared" si="26"/>
        <v>0</v>
      </c>
      <c r="W55" s="1"/>
      <c r="X55" s="1">
        <f t="shared" si="27"/>
        <v>0</v>
      </c>
      <c r="Y55" s="1"/>
      <c r="Z55" s="5">
        <f t="shared" si="28"/>
        <v>0</v>
      </c>
    </row>
    <row r="56" spans="1:26" s="24" customFormat="1" hidden="1" outlineLevel="2" x14ac:dyDescent="0.25">
      <c r="A56" s="25"/>
      <c r="B56" s="11" t="str">
        <f>CONCATENATE("          ", "6322", " - ", "EQUIPMENT DEPRECIATION EXPENSE")</f>
        <v xml:space="preserve">          6322 - EQUIPMENT DEPRECIATION EXPENSE</v>
      </c>
      <c r="C56" s="11"/>
      <c r="D56" s="7"/>
      <c r="E56" s="2"/>
      <c r="F56" s="6">
        <f t="shared" si="21"/>
        <v>0</v>
      </c>
      <c r="G56" s="2"/>
      <c r="H56" s="7">
        <v>0</v>
      </c>
      <c r="I56" s="2"/>
      <c r="J56" s="6">
        <f t="shared" si="22"/>
        <v>0</v>
      </c>
      <c r="K56" s="2"/>
      <c r="L56" s="7">
        <f t="shared" si="23"/>
        <v>0</v>
      </c>
      <c r="M56" s="2"/>
      <c r="N56" s="6">
        <f t="shared" si="24"/>
        <v>0</v>
      </c>
      <c r="O56" s="11"/>
      <c r="P56" s="7"/>
      <c r="Q56" s="2"/>
      <c r="R56" s="6">
        <f t="shared" si="25"/>
        <v>0</v>
      </c>
      <c r="S56" s="2"/>
      <c r="T56" s="7">
        <v>0</v>
      </c>
      <c r="U56" s="2"/>
      <c r="V56" s="6">
        <f t="shared" si="26"/>
        <v>0</v>
      </c>
      <c r="W56" s="2"/>
      <c r="X56" s="7">
        <f t="shared" si="27"/>
        <v>0</v>
      </c>
      <c r="Y56" s="2"/>
      <c r="Z56" s="6">
        <f t="shared" si="28"/>
        <v>0</v>
      </c>
    </row>
    <row r="57" spans="1:26" s="26" customFormat="1" outlineLevel="1" collapsed="1" x14ac:dyDescent="0.25">
      <c r="A57" s="27"/>
      <c r="B57" s="13" t="str">
        <f>CONCATENATE("     ","Discounts and Markdowns                           ")</f>
        <v xml:space="preserve">     Discounts and Markdowns                           </v>
      </c>
      <c r="C57" s="13"/>
      <c r="D57" s="1">
        <f>SUM(OSRRefD22_4x_0)</f>
        <v>140.38999999999999</v>
      </c>
      <c r="E57" s="1"/>
      <c r="F57" s="5">
        <f t="shared" si="21"/>
        <v>2.1394786462840903E-3</v>
      </c>
      <c r="G57" s="1"/>
      <c r="H57" s="1">
        <f>SUM(OSRRefH22_4x_0)</f>
        <v>1000</v>
      </c>
      <c r="I57" s="1"/>
      <c r="J57" s="5">
        <f t="shared" si="22"/>
        <v>1.1663507799970841E-2</v>
      </c>
      <c r="K57" s="1"/>
      <c r="L57" s="1">
        <f t="shared" si="23"/>
        <v>-859.61</v>
      </c>
      <c r="M57" s="1"/>
      <c r="N57" s="5">
        <f t="shared" si="24"/>
        <v>-0.85960999999999999</v>
      </c>
      <c r="O57" s="13"/>
      <c r="P57" s="1">
        <f>SUM(OSRRefP22_4x_0)</f>
        <v>300.56</v>
      </c>
      <c r="Q57" s="1"/>
      <c r="R57" s="5">
        <f t="shared" si="25"/>
        <v>1.786455981833973E-3</v>
      </c>
      <c r="S57" s="1"/>
      <c r="T57" s="1">
        <f>SUM(OSRRefT22_4x_0)</f>
        <v>2200</v>
      </c>
      <c r="U57" s="1"/>
      <c r="V57" s="5">
        <f t="shared" si="26"/>
        <v>1.0708853057499239E-2</v>
      </c>
      <c r="W57" s="1"/>
      <c r="X57" s="1">
        <f t="shared" si="27"/>
        <v>-1899.44</v>
      </c>
      <c r="Y57" s="1"/>
      <c r="Z57" s="5">
        <f t="shared" si="28"/>
        <v>-0.86338181818181825</v>
      </c>
    </row>
    <row r="58" spans="1:26" s="24" customFormat="1" hidden="1" outlineLevel="2" x14ac:dyDescent="0.25">
      <c r="A58" s="25"/>
      <c r="B58" s="11" t="str">
        <f>CONCATENATE("          ", "6382", " - ", "DISCOUNTS/MARK DOWNS")</f>
        <v xml:space="preserve">          6382 - DISCOUNTS/MARK DOWNS</v>
      </c>
      <c r="C58" s="11"/>
      <c r="D58" s="7">
        <v>140.38999999999999</v>
      </c>
      <c r="E58" s="2"/>
      <c r="F58" s="6">
        <f t="shared" si="21"/>
        <v>2.1394786462840903E-3</v>
      </c>
      <c r="G58" s="2"/>
      <c r="H58" s="7">
        <v>1000</v>
      </c>
      <c r="I58" s="2"/>
      <c r="J58" s="6">
        <f t="shared" si="22"/>
        <v>1.1663507799970841E-2</v>
      </c>
      <c r="K58" s="2"/>
      <c r="L58" s="7">
        <f t="shared" si="23"/>
        <v>-859.61</v>
      </c>
      <c r="M58" s="2"/>
      <c r="N58" s="6">
        <f t="shared" si="24"/>
        <v>-0.85960999999999999</v>
      </c>
      <c r="O58" s="11"/>
      <c r="P58" s="7">
        <v>300.56</v>
      </c>
      <c r="Q58" s="2"/>
      <c r="R58" s="6">
        <f t="shared" si="25"/>
        <v>1.786455981833973E-3</v>
      </c>
      <c r="S58" s="2"/>
      <c r="T58" s="7">
        <v>2200</v>
      </c>
      <c r="U58" s="2"/>
      <c r="V58" s="6">
        <f t="shared" si="26"/>
        <v>1.0708853057499239E-2</v>
      </c>
      <c r="W58" s="2"/>
      <c r="X58" s="7">
        <f t="shared" si="27"/>
        <v>-1899.44</v>
      </c>
      <c r="Y58" s="2"/>
      <c r="Z58" s="6">
        <f t="shared" si="28"/>
        <v>-0.86338181818181825</v>
      </c>
    </row>
    <row r="59" spans="1:26" s="26" customFormat="1" outlineLevel="1" collapsed="1" x14ac:dyDescent="0.25">
      <c r="A59" s="27"/>
      <c r="B59" s="13" t="str">
        <f>CONCATENATE("     ","Employees' Appreciation                           ")</f>
        <v xml:space="preserve">     Employees' Appreciation                           </v>
      </c>
      <c r="C59" s="13"/>
      <c r="D59" s="1">
        <f>SUM(OSRRefD22_5x_0)</f>
        <v>0</v>
      </c>
      <c r="E59" s="1"/>
      <c r="F59" s="5">
        <f t="shared" si="21"/>
        <v>0</v>
      </c>
      <c r="G59" s="1"/>
      <c r="H59" s="1">
        <f>SUM(OSRRefH22_5x_0)</f>
        <v>100</v>
      </c>
      <c r="I59" s="1"/>
      <c r="J59" s="5">
        <f t="shared" si="22"/>
        <v>1.1663507799970841E-3</v>
      </c>
      <c r="K59" s="1"/>
      <c r="L59" s="1">
        <f t="shared" si="23"/>
        <v>-100</v>
      </c>
      <c r="M59" s="1"/>
      <c r="N59" s="5">
        <f t="shared" si="24"/>
        <v>-1</v>
      </c>
      <c r="O59" s="13"/>
      <c r="P59" s="1">
        <f>SUM(OSRRefP22_5x_0)</f>
        <v>0</v>
      </c>
      <c r="Q59" s="1"/>
      <c r="R59" s="5">
        <f t="shared" si="25"/>
        <v>0</v>
      </c>
      <c r="S59" s="1"/>
      <c r="T59" s="1">
        <f>SUM(OSRRefT22_5x_0)</f>
        <v>300</v>
      </c>
      <c r="U59" s="1"/>
      <c r="V59" s="5">
        <f t="shared" si="26"/>
        <v>1.4602981442044416E-3</v>
      </c>
      <c r="W59" s="1"/>
      <c r="X59" s="1">
        <f t="shared" si="27"/>
        <v>-300</v>
      </c>
      <c r="Y59" s="1"/>
      <c r="Z59" s="5">
        <f t="shared" si="28"/>
        <v>-1</v>
      </c>
    </row>
    <row r="60" spans="1:26" s="24" customFormat="1" hidden="1" outlineLevel="2" x14ac:dyDescent="0.25">
      <c r="A60" s="25"/>
      <c r="B60" s="11" t="str">
        <f>CONCATENATE("          ", "6277", " - ", "EMPLOYEE APPRECIATION")</f>
        <v xml:space="preserve">          6277 - EMPLOYEE APPRECIATION</v>
      </c>
      <c r="C60" s="11"/>
      <c r="D60" s="7"/>
      <c r="E60" s="2"/>
      <c r="F60" s="6">
        <f t="shared" si="21"/>
        <v>0</v>
      </c>
      <c r="G60" s="2"/>
      <c r="H60" s="7">
        <v>100</v>
      </c>
      <c r="I60" s="2"/>
      <c r="J60" s="6">
        <f t="shared" si="22"/>
        <v>1.1663507799970841E-3</v>
      </c>
      <c r="K60" s="2"/>
      <c r="L60" s="7">
        <f t="shared" si="23"/>
        <v>-100</v>
      </c>
      <c r="M60" s="2"/>
      <c r="N60" s="6">
        <f t="shared" si="24"/>
        <v>-1</v>
      </c>
      <c r="O60" s="11"/>
      <c r="P60" s="7"/>
      <c r="Q60" s="2"/>
      <c r="R60" s="6">
        <f t="shared" si="25"/>
        <v>0</v>
      </c>
      <c r="S60" s="2"/>
      <c r="T60" s="7">
        <v>300</v>
      </c>
      <c r="U60" s="2"/>
      <c r="V60" s="6">
        <f t="shared" si="26"/>
        <v>1.4602981442044416E-3</v>
      </c>
      <c r="W60" s="2"/>
      <c r="X60" s="7">
        <f t="shared" si="27"/>
        <v>-300</v>
      </c>
      <c r="Y60" s="2"/>
      <c r="Z60" s="6">
        <f t="shared" si="28"/>
        <v>-1</v>
      </c>
    </row>
    <row r="61" spans="1:26" s="26" customFormat="1" outlineLevel="1" collapsed="1" x14ac:dyDescent="0.25">
      <c r="A61" s="27"/>
      <c r="B61" s="13" t="str">
        <f>CONCATENATE("     ","Equipment Rental                                  ")</f>
        <v xml:space="preserve">     Equipment Rental                                  </v>
      </c>
      <c r="C61" s="13"/>
      <c r="D61" s="1">
        <f>SUM(OSRRefD22_6x_0)</f>
        <v>1205.6400000000001</v>
      </c>
      <c r="E61" s="1"/>
      <c r="F61" s="5">
        <f t="shared" si="21"/>
        <v>1.8373395791053144E-2</v>
      </c>
      <c r="G61" s="1"/>
      <c r="H61" s="1">
        <f>SUM(OSRRefH22_6x_0)</f>
        <v>3000</v>
      </c>
      <c r="I61" s="1"/>
      <c r="J61" s="5">
        <f t="shared" si="22"/>
        <v>3.4990523399912522E-2</v>
      </c>
      <c r="K61" s="1"/>
      <c r="L61" s="1">
        <f t="shared" si="23"/>
        <v>-1794.36</v>
      </c>
      <c r="M61" s="1"/>
      <c r="N61" s="5">
        <f t="shared" si="24"/>
        <v>-0.59811999999999999</v>
      </c>
      <c r="O61" s="13"/>
      <c r="P61" s="1">
        <f>SUM(OSRRefP22_6x_0)</f>
        <v>3616.92</v>
      </c>
      <c r="Q61" s="1"/>
      <c r="R61" s="5">
        <f t="shared" si="25"/>
        <v>2.1498098116232812E-2</v>
      </c>
      <c r="S61" s="1"/>
      <c r="T61" s="1">
        <f>SUM(OSRRefT22_6x_0)</f>
        <v>9000</v>
      </c>
      <c r="U61" s="1"/>
      <c r="V61" s="5">
        <f t="shared" si="26"/>
        <v>4.3808944326133255E-2</v>
      </c>
      <c r="W61" s="1"/>
      <c r="X61" s="1">
        <f t="shared" si="27"/>
        <v>-5383.08</v>
      </c>
      <c r="Y61" s="1"/>
      <c r="Z61" s="5">
        <f t="shared" si="28"/>
        <v>-0.59811999999999999</v>
      </c>
    </row>
    <row r="62" spans="1:26" s="24" customFormat="1" hidden="1" outlineLevel="2" x14ac:dyDescent="0.25">
      <c r="A62" s="25"/>
      <c r="B62" s="11" t="str">
        <f>CONCATENATE("          ", "6351", " - ", "EQUIPMENT RENTAL")</f>
        <v xml:space="preserve">          6351 - EQUIPMENT RENTAL</v>
      </c>
      <c r="C62" s="11"/>
      <c r="D62" s="7">
        <v>1205.6400000000001</v>
      </c>
      <c r="E62" s="2"/>
      <c r="F62" s="6">
        <f t="shared" si="21"/>
        <v>1.8373395791053144E-2</v>
      </c>
      <c r="G62" s="2"/>
      <c r="H62" s="7">
        <v>3000</v>
      </c>
      <c r="I62" s="2"/>
      <c r="J62" s="6">
        <f t="shared" si="22"/>
        <v>3.4990523399912522E-2</v>
      </c>
      <c r="K62" s="2"/>
      <c r="L62" s="7">
        <f t="shared" si="23"/>
        <v>-1794.36</v>
      </c>
      <c r="M62" s="2"/>
      <c r="N62" s="6">
        <f t="shared" si="24"/>
        <v>-0.59811999999999999</v>
      </c>
      <c r="O62" s="11"/>
      <c r="P62" s="7">
        <v>3616.92</v>
      </c>
      <c r="Q62" s="2"/>
      <c r="R62" s="6">
        <f t="shared" si="25"/>
        <v>2.1498098116232812E-2</v>
      </c>
      <c r="S62" s="2"/>
      <c r="T62" s="7">
        <v>9000</v>
      </c>
      <c r="U62" s="2"/>
      <c r="V62" s="6">
        <f t="shared" si="26"/>
        <v>4.3808944326133255E-2</v>
      </c>
      <c r="W62" s="2"/>
      <c r="X62" s="7">
        <f t="shared" si="27"/>
        <v>-5383.08</v>
      </c>
      <c r="Y62" s="2"/>
      <c r="Z62" s="6">
        <f t="shared" si="28"/>
        <v>-0.59811999999999999</v>
      </c>
    </row>
    <row r="63" spans="1:26" s="26" customFormat="1" outlineLevel="1" collapsed="1" x14ac:dyDescent="0.25">
      <c r="A63" s="27"/>
      <c r="B63" s="13" t="str">
        <f>CONCATENATE("     ","Freight out/Postage                               ")</f>
        <v xml:space="preserve">     Freight out/Postage                               </v>
      </c>
      <c r="C63" s="13"/>
      <c r="D63" s="1">
        <f>SUM(OSRRefD22_7x_0)</f>
        <v>0</v>
      </c>
      <c r="E63" s="1"/>
      <c r="F63" s="5">
        <f t="shared" si="21"/>
        <v>0</v>
      </c>
      <c r="G63" s="1"/>
      <c r="H63" s="1">
        <f>SUM(OSRRefH22_7x_0)</f>
        <v>-300</v>
      </c>
      <c r="I63" s="1"/>
      <c r="J63" s="5">
        <f t="shared" si="22"/>
        <v>-3.4990523399912525E-3</v>
      </c>
      <c r="K63" s="1"/>
      <c r="L63" s="1">
        <f t="shared" si="23"/>
        <v>300</v>
      </c>
      <c r="M63" s="1"/>
      <c r="N63" s="5">
        <f t="shared" si="24"/>
        <v>-1</v>
      </c>
      <c r="O63" s="13"/>
      <c r="P63" s="1">
        <f>SUM(OSRRefP22_7x_0)</f>
        <v>0</v>
      </c>
      <c r="Q63" s="1"/>
      <c r="R63" s="5">
        <f t="shared" si="25"/>
        <v>0</v>
      </c>
      <c r="S63" s="1"/>
      <c r="T63" s="1">
        <f>SUM(OSRRefT22_7x_0)</f>
        <v>-900</v>
      </c>
      <c r="U63" s="1"/>
      <c r="V63" s="5">
        <f t="shared" si="26"/>
        <v>-4.3808944326133251E-3</v>
      </c>
      <c r="W63" s="1"/>
      <c r="X63" s="1">
        <f t="shared" si="27"/>
        <v>900</v>
      </c>
      <c r="Y63" s="1"/>
      <c r="Z63" s="5">
        <f t="shared" si="28"/>
        <v>-1</v>
      </c>
    </row>
    <row r="64" spans="1:26" s="24" customFormat="1" hidden="1" outlineLevel="2" x14ac:dyDescent="0.25">
      <c r="A64" s="25"/>
      <c r="B64" s="11" t="str">
        <f>CONCATENATE("          ", "6305", " - ", "FREIGHT OUT")</f>
        <v xml:space="preserve">          6305 - FREIGHT OUT</v>
      </c>
      <c r="C64" s="11"/>
      <c r="D64" s="7"/>
      <c r="E64" s="2"/>
      <c r="F64" s="6">
        <f t="shared" si="21"/>
        <v>0</v>
      </c>
      <c r="G64" s="2"/>
      <c r="H64" s="7">
        <v>-300</v>
      </c>
      <c r="I64" s="2"/>
      <c r="J64" s="6">
        <f t="shared" si="22"/>
        <v>-3.4990523399912525E-3</v>
      </c>
      <c r="K64" s="2"/>
      <c r="L64" s="7">
        <f t="shared" si="23"/>
        <v>300</v>
      </c>
      <c r="M64" s="2"/>
      <c r="N64" s="6">
        <f t="shared" si="24"/>
        <v>-1</v>
      </c>
      <c r="O64" s="11"/>
      <c r="P64" s="7"/>
      <c r="Q64" s="2"/>
      <c r="R64" s="6">
        <f t="shared" si="25"/>
        <v>0</v>
      </c>
      <c r="S64" s="2"/>
      <c r="T64" s="7">
        <v>-900</v>
      </c>
      <c r="U64" s="2"/>
      <c r="V64" s="6">
        <f t="shared" si="26"/>
        <v>-4.3808944326133251E-3</v>
      </c>
      <c r="W64" s="2"/>
      <c r="X64" s="7">
        <f t="shared" si="27"/>
        <v>900</v>
      </c>
      <c r="Y64" s="2"/>
      <c r="Z64" s="6">
        <f t="shared" si="28"/>
        <v>-1</v>
      </c>
    </row>
    <row r="65" spans="1:26" s="26" customFormat="1" outlineLevel="1" collapsed="1" x14ac:dyDescent="0.25">
      <c r="A65" s="27"/>
      <c r="B65" s="13" t="str">
        <f>CONCATENATE("     ","General                                           ")</f>
        <v xml:space="preserve">     General                                           </v>
      </c>
      <c r="C65" s="13"/>
      <c r="D65" s="1">
        <f>SUM(OSRRefD22_8x_0)</f>
        <v>0</v>
      </c>
      <c r="E65" s="1"/>
      <c r="F65" s="5">
        <f t="shared" si="21"/>
        <v>0</v>
      </c>
      <c r="G65" s="1"/>
      <c r="H65" s="1">
        <f>SUM(OSRRefH22_8x_0)</f>
        <v>200</v>
      </c>
      <c r="I65" s="1"/>
      <c r="J65" s="5">
        <f t="shared" si="22"/>
        <v>2.3327015599941682E-3</v>
      </c>
      <c r="K65" s="1"/>
      <c r="L65" s="1">
        <f t="shared" si="23"/>
        <v>-200</v>
      </c>
      <c r="M65" s="1"/>
      <c r="N65" s="5">
        <f t="shared" si="24"/>
        <v>-1</v>
      </c>
      <c r="O65" s="13"/>
      <c r="P65" s="1">
        <f>SUM(OSRRefP22_8x_0)</f>
        <v>0</v>
      </c>
      <c r="Q65" s="1"/>
      <c r="R65" s="5">
        <f t="shared" si="25"/>
        <v>0</v>
      </c>
      <c r="S65" s="1"/>
      <c r="T65" s="1">
        <f>SUM(OSRRefT22_8x_0)</f>
        <v>600</v>
      </c>
      <c r="U65" s="1"/>
      <c r="V65" s="5">
        <f t="shared" si="26"/>
        <v>2.9205962884088833E-3</v>
      </c>
      <c r="W65" s="1"/>
      <c r="X65" s="1">
        <f t="shared" si="27"/>
        <v>-600</v>
      </c>
      <c r="Y65" s="1"/>
      <c r="Z65" s="5">
        <f t="shared" si="28"/>
        <v>-1</v>
      </c>
    </row>
    <row r="66" spans="1:26" s="24" customFormat="1" hidden="1" outlineLevel="2" x14ac:dyDescent="0.25">
      <c r="A66" s="25"/>
      <c r="B66" s="11" t="str">
        <f>CONCATENATE("          ", "6279", " - ", "GENERAL EXPENSE")</f>
        <v xml:space="preserve">          6279 - GENERAL EXPENSE</v>
      </c>
      <c r="C66" s="11"/>
      <c r="D66" s="7"/>
      <c r="E66" s="2"/>
      <c r="F66" s="6">
        <f t="shared" si="21"/>
        <v>0</v>
      </c>
      <c r="G66" s="2"/>
      <c r="H66" s="7">
        <v>200</v>
      </c>
      <c r="I66" s="2"/>
      <c r="J66" s="6">
        <f t="shared" si="22"/>
        <v>2.3327015599941682E-3</v>
      </c>
      <c r="K66" s="2"/>
      <c r="L66" s="7">
        <f t="shared" si="23"/>
        <v>-200</v>
      </c>
      <c r="M66" s="2"/>
      <c r="N66" s="6">
        <f t="shared" si="24"/>
        <v>-1</v>
      </c>
      <c r="O66" s="11"/>
      <c r="P66" s="7"/>
      <c r="Q66" s="2"/>
      <c r="R66" s="6">
        <f t="shared" si="25"/>
        <v>0</v>
      </c>
      <c r="S66" s="2"/>
      <c r="T66" s="7">
        <v>600</v>
      </c>
      <c r="U66" s="2"/>
      <c r="V66" s="6">
        <f t="shared" si="26"/>
        <v>2.9205962884088833E-3</v>
      </c>
      <c r="W66" s="2"/>
      <c r="X66" s="7">
        <f t="shared" si="27"/>
        <v>-600</v>
      </c>
      <c r="Y66" s="2"/>
      <c r="Z66" s="6">
        <f t="shared" si="28"/>
        <v>-1</v>
      </c>
    </row>
    <row r="67" spans="1:26" s="26" customFormat="1" outlineLevel="1" collapsed="1" x14ac:dyDescent="0.25">
      <c r="A67" s="27"/>
      <c r="B67" s="13" t="str">
        <f>CONCATENATE("     ","Repair and Maintenance                            ")</f>
        <v xml:space="preserve">     Repair and Maintenance                            </v>
      </c>
      <c r="C67" s="13"/>
      <c r="D67" s="1">
        <f>SUM(OSRRefD22_9x_0)</f>
        <v>6637.41</v>
      </c>
      <c r="E67" s="1"/>
      <c r="F67" s="5">
        <f t="shared" si="21"/>
        <v>0.10115105749435491</v>
      </c>
      <c r="G67" s="1"/>
      <c r="H67" s="1">
        <f>SUM(OSRRefH22_9x_0)</f>
        <v>7000</v>
      </c>
      <c r="I67" s="1"/>
      <c r="J67" s="5">
        <f t="shared" si="22"/>
        <v>8.1644554599795888E-2</v>
      </c>
      <c r="K67" s="1"/>
      <c r="L67" s="1">
        <f t="shared" si="23"/>
        <v>-362.59000000000015</v>
      </c>
      <c r="M67" s="1"/>
      <c r="N67" s="5">
        <f t="shared" si="24"/>
        <v>-5.1798571428571451E-2</v>
      </c>
      <c r="O67" s="13"/>
      <c r="P67" s="1">
        <f>SUM(OSRRefP22_9x_0)</f>
        <v>18447.43</v>
      </c>
      <c r="Q67" s="1"/>
      <c r="R67" s="5">
        <f t="shared" si="25"/>
        <v>0.10964706438968422</v>
      </c>
      <c r="S67" s="1"/>
      <c r="T67" s="1">
        <f>SUM(OSRRefT22_9x_0)</f>
        <v>21000</v>
      </c>
      <c r="U67" s="1"/>
      <c r="V67" s="5">
        <f t="shared" si="26"/>
        <v>0.10222087009431093</v>
      </c>
      <c r="W67" s="1"/>
      <c r="X67" s="1">
        <f t="shared" si="27"/>
        <v>-2552.5699999999997</v>
      </c>
      <c r="Y67" s="1"/>
      <c r="Z67" s="5">
        <f t="shared" si="28"/>
        <v>-0.12155095238095237</v>
      </c>
    </row>
    <row r="68" spans="1:26" s="24" customFormat="1" hidden="1" outlineLevel="2" x14ac:dyDescent="0.25">
      <c r="A68" s="25"/>
      <c r="B68" s="11" t="str">
        <f>CONCATENATE("          ", "6373", " - ", "MAINTENANCE CONTRACTS")</f>
        <v xml:space="preserve">          6373 - MAINTENANCE CONTRACTS</v>
      </c>
      <c r="C68" s="11"/>
      <c r="D68" s="7">
        <v>6637.41</v>
      </c>
      <c r="E68" s="2"/>
      <c r="F68" s="6">
        <f t="shared" si="21"/>
        <v>0.10115105749435491</v>
      </c>
      <c r="G68" s="2"/>
      <c r="H68" s="7">
        <v>7000</v>
      </c>
      <c r="I68" s="2"/>
      <c r="J68" s="6">
        <f t="shared" si="22"/>
        <v>8.1644554599795888E-2</v>
      </c>
      <c r="K68" s="2"/>
      <c r="L68" s="7">
        <f t="shared" si="23"/>
        <v>-362.59000000000015</v>
      </c>
      <c r="M68" s="2"/>
      <c r="N68" s="6">
        <f t="shared" si="24"/>
        <v>-5.1798571428571451E-2</v>
      </c>
      <c r="O68" s="11"/>
      <c r="P68" s="7">
        <v>18447.43</v>
      </c>
      <c r="Q68" s="2"/>
      <c r="R68" s="6">
        <f t="shared" si="25"/>
        <v>0.10964706438968422</v>
      </c>
      <c r="S68" s="2"/>
      <c r="T68" s="7">
        <v>21000</v>
      </c>
      <c r="U68" s="2"/>
      <c r="V68" s="6">
        <f t="shared" si="26"/>
        <v>0.10222087009431093</v>
      </c>
      <c r="W68" s="2"/>
      <c r="X68" s="7">
        <f t="shared" si="27"/>
        <v>-2552.5699999999997</v>
      </c>
      <c r="Y68" s="2"/>
      <c r="Z68" s="6">
        <f t="shared" si="28"/>
        <v>-0.12155095238095237</v>
      </c>
    </row>
    <row r="69" spans="1:26" s="26" customFormat="1" outlineLevel="1" collapsed="1" x14ac:dyDescent="0.25">
      <c r="A69" s="27"/>
      <c r="B69" s="13" t="str">
        <f>CONCATENATE("     ","Royalty &amp; Commissions                             ")</f>
        <v xml:space="preserve">     Royalty &amp; Commissions                             </v>
      </c>
      <c r="C69" s="13"/>
      <c r="D69" s="1">
        <f>SUM(OSRRefD22_10x_0)</f>
        <v>10215.44</v>
      </c>
      <c r="E69" s="1"/>
      <c r="F69" s="5">
        <f t="shared" si="21"/>
        <v>0.1556785792606051</v>
      </c>
      <c r="G69" s="1"/>
      <c r="H69" s="1">
        <f>SUM(OSRRefH22_10x_0)</f>
        <v>11000</v>
      </c>
      <c r="I69" s="1"/>
      <c r="J69" s="5">
        <f t="shared" si="22"/>
        <v>0.12829858579967926</v>
      </c>
      <c r="K69" s="1"/>
      <c r="L69" s="1">
        <f t="shared" si="23"/>
        <v>-784.55999999999949</v>
      </c>
      <c r="M69" s="1"/>
      <c r="N69" s="5">
        <f t="shared" si="24"/>
        <v>-7.1323636363636311E-2</v>
      </c>
      <c r="O69" s="13"/>
      <c r="P69" s="1">
        <f>SUM(OSRRefP22_10x_0)</f>
        <v>14469.62</v>
      </c>
      <c r="Q69" s="1"/>
      <c r="R69" s="5">
        <f t="shared" si="25"/>
        <v>8.6003923355950543E-2</v>
      </c>
      <c r="S69" s="1"/>
      <c r="T69" s="1">
        <f>SUM(OSRRefT22_10x_0)</f>
        <v>33000</v>
      </c>
      <c r="U69" s="1"/>
      <c r="V69" s="5">
        <f t="shared" si="26"/>
        <v>0.1606327958624886</v>
      </c>
      <c r="W69" s="1"/>
      <c r="X69" s="1">
        <f t="shared" si="27"/>
        <v>-18530.379999999997</v>
      </c>
      <c r="Y69" s="1"/>
      <c r="Z69" s="5">
        <f t="shared" si="28"/>
        <v>-0.56152666666666662</v>
      </c>
    </row>
    <row r="70" spans="1:26" s="24" customFormat="1" hidden="1" outlineLevel="2" x14ac:dyDescent="0.25">
      <c r="A70" s="25"/>
      <c r="B70" s="11" t="str">
        <f>CONCATENATE("          ", "6254", " - ", "ROYALTY &amp; COMMISSIONS")</f>
        <v xml:space="preserve">          6254 - ROYALTY &amp; COMMISSIONS</v>
      </c>
      <c r="C70" s="11"/>
      <c r="D70" s="7"/>
      <c r="E70" s="2"/>
      <c r="F70" s="6">
        <f t="shared" si="21"/>
        <v>0</v>
      </c>
      <c r="G70" s="2"/>
      <c r="H70" s="7">
        <v>11000</v>
      </c>
      <c r="I70" s="2"/>
      <c r="J70" s="6">
        <f t="shared" si="22"/>
        <v>0.12829858579967926</v>
      </c>
      <c r="K70" s="2"/>
      <c r="L70" s="7">
        <f t="shared" si="23"/>
        <v>-11000</v>
      </c>
      <c r="M70" s="2"/>
      <c r="N70" s="6">
        <f t="shared" si="24"/>
        <v>-1</v>
      </c>
      <c r="O70" s="11"/>
      <c r="P70" s="7"/>
      <c r="Q70" s="2"/>
      <c r="R70" s="6">
        <f t="shared" si="25"/>
        <v>0</v>
      </c>
      <c r="S70" s="2"/>
      <c r="T70" s="7">
        <v>33000</v>
      </c>
      <c r="U70" s="2"/>
      <c r="V70" s="6">
        <f t="shared" si="26"/>
        <v>0.1606327958624886</v>
      </c>
      <c r="W70" s="2"/>
      <c r="X70" s="7">
        <f t="shared" si="27"/>
        <v>-33000</v>
      </c>
      <c r="Y70" s="2"/>
      <c r="Z70" s="6">
        <f t="shared" si="28"/>
        <v>-1</v>
      </c>
    </row>
    <row r="71" spans="1:26" s="24" customFormat="1" hidden="1" outlineLevel="2" x14ac:dyDescent="0.25">
      <c r="A71" s="25"/>
      <c r="B71" s="11" t="str">
        <f>CONCATENATE("          ", "6259", " - ", "ROYALTY &amp; COMMISSIONS")</f>
        <v xml:space="preserve">          6259 - ROYALTY &amp; COMMISSIONS</v>
      </c>
      <c r="C71" s="11"/>
      <c r="D71" s="7">
        <v>10215.44</v>
      </c>
      <c r="E71" s="2"/>
      <c r="F71" s="6">
        <f t="shared" si="21"/>
        <v>0.1556785792606051</v>
      </c>
      <c r="G71" s="2"/>
      <c r="H71" s="7"/>
      <c r="I71" s="2"/>
      <c r="J71" s="6">
        <f t="shared" si="22"/>
        <v>0</v>
      </c>
      <c r="K71" s="2"/>
      <c r="L71" s="7">
        <f t="shared" si="23"/>
        <v>10215.44</v>
      </c>
      <c r="M71" s="2"/>
      <c r="N71" s="6">
        <f t="shared" si="24"/>
        <v>0</v>
      </c>
      <c r="O71" s="11"/>
      <c r="P71" s="7">
        <v>14469.62</v>
      </c>
      <c r="Q71" s="2"/>
      <c r="R71" s="6">
        <f t="shared" si="25"/>
        <v>8.6003923355950543E-2</v>
      </c>
      <c r="S71" s="2"/>
      <c r="T71" s="7"/>
      <c r="U71" s="2"/>
      <c r="V71" s="6">
        <f t="shared" si="26"/>
        <v>0</v>
      </c>
      <c r="W71" s="2"/>
      <c r="X71" s="7">
        <f t="shared" si="27"/>
        <v>14469.62</v>
      </c>
      <c r="Y71" s="2"/>
      <c r="Z71" s="6">
        <f t="shared" si="28"/>
        <v>0</v>
      </c>
    </row>
    <row r="72" spans="1:26" s="26" customFormat="1" outlineLevel="1" collapsed="1" x14ac:dyDescent="0.25">
      <c r="A72" s="27"/>
      <c r="B72" s="13" t="str">
        <f>CONCATENATE("     ","Supplies                                          ")</f>
        <v xml:space="preserve">     Supplies                                          </v>
      </c>
      <c r="C72" s="13"/>
      <c r="D72" s="1">
        <f>SUM(OSRRefD22_11x_0)</f>
        <v>4377.66</v>
      </c>
      <c r="E72" s="1"/>
      <c r="F72" s="5">
        <f t="shared" ref="F72:F76" si="29">IF(D$12=0,0,D72/D$12)</f>
        <v>6.6713513004430597E-2</v>
      </c>
      <c r="G72" s="1"/>
      <c r="H72" s="1">
        <f>SUM(OSRRefH22_11x_0)</f>
        <v>12750</v>
      </c>
      <c r="I72" s="1"/>
      <c r="J72" s="5">
        <f t="shared" ref="J72:J76" si="30">IF(H$12=0,0,H72/H$12)</f>
        <v>0.14870972444962824</v>
      </c>
      <c r="K72" s="1"/>
      <c r="L72" s="1">
        <f t="shared" ref="L72:L76" si="31">+D72-H72</f>
        <v>-8372.34</v>
      </c>
      <c r="M72" s="1"/>
      <c r="N72" s="5">
        <f t="shared" ref="N72:N76" si="32">IF(H72=0,0,L72/H72)</f>
        <v>-0.65665411764705883</v>
      </c>
      <c r="O72" s="13"/>
      <c r="P72" s="1">
        <f>SUM(OSRRefP22_11x_0)</f>
        <v>9688</v>
      </c>
      <c r="Q72" s="1"/>
      <c r="R72" s="5">
        <f t="shared" ref="R72:R76" si="33">IF(P$12=0,0,P72/P$12)</f>
        <v>5.7583129997363355E-2</v>
      </c>
      <c r="S72" s="1"/>
      <c r="T72" s="1">
        <f>SUM(OSRRefT22_11x_0)</f>
        <v>21750</v>
      </c>
      <c r="U72" s="1"/>
      <c r="V72" s="5">
        <f t="shared" ref="V72:V76" si="34">IF(T$12=0,0,T72/T$12)</f>
        <v>0.10587161545482203</v>
      </c>
      <c r="W72" s="1"/>
      <c r="X72" s="1">
        <f t="shared" ref="X72:X76" si="35">+P72-T72</f>
        <v>-12062</v>
      </c>
      <c r="Y72" s="1"/>
      <c r="Z72" s="5">
        <f t="shared" ref="Z72:Z76" si="36">IF(T72=0,0,X72/T72)</f>
        <v>-0.55457471264367819</v>
      </c>
    </row>
    <row r="73" spans="1:26" s="24" customFormat="1" hidden="1" outlineLevel="2" x14ac:dyDescent="0.25">
      <c r="A73" s="25"/>
      <c r="B73" s="11" t="str">
        <f>CONCATENATE("          ", "6234", " - ", "EXPENDABLE SUPPLIES &amp; EQUIPMEN")</f>
        <v xml:space="preserve">          6234 - EXPENDABLE SUPPLIES &amp; EQUIPMEN</v>
      </c>
      <c r="C73" s="11"/>
      <c r="D73" s="7"/>
      <c r="E73" s="2"/>
      <c r="F73" s="6">
        <f t="shared" si="29"/>
        <v>0</v>
      </c>
      <c r="G73" s="2"/>
      <c r="H73" s="7"/>
      <c r="I73" s="2"/>
      <c r="J73" s="6">
        <f t="shared" si="30"/>
        <v>0</v>
      </c>
      <c r="K73" s="2"/>
      <c r="L73" s="7">
        <f t="shared" si="31"/>
        <v>0</v>
      </c>
      <c r="M73" s="2"/>
      <c r="N73" s="6">
        <f t="shared" si="32"/>
        <v>0</v>
      </c>
      <c r="O73" s="11"/>
      <c r="P73" s="7">
        <v>1017.27</v>
      </c>
      <c r="Q73" s="2"/>
      <c r="R73" s="6">
        <f t="shared" si="33"/>
        <v>6.0464069624708737E-3</v>
      </c>
      <c r="S73" s="2"/>
      <c r="T73" s="7"/>
      <c r="U73" s="2"/>
      <c r="V73" s="6">
        <f t="shared" si="34"/>
        <v>0</v>
      </c>
      <c r="W73" s="2"/>
      <c r="X73" s="7">
        <f t="shared" si="35"/>
        <v>1017.27</v>
      </c>
      <c r="Y73" s="2"/>
      <c r="Z73" s="6">
        <f t="shared" si="36"/>
        <v>0</v>
      </c>
    </row>
    <row r="74" spans="1:26" s="24" customFormat="1" hidden="1" outlineLevel="2" x14ac:dyDescent="0.25">
      <c r="A74" s="25"/>
      <c r="B74" s="11" t="str">
        <f>CONCATENATE("          ", "6243", " - ", "PAPER SUPPLIES")</f>
        <v xml:space="preserve">          6243 - PAPER SUPPLIES</v>
      </c>
      <c r="C74" s="11"/>
      <c r="D74" s="7">
        <v>318.66000000000003</v>
      </c>
      <c r="E74" s="2"/>
      <c r="F74" s="6">
        <f t="shared" si="29"/>
        <v>4.8562309667703422E-3</v>
      </c>
      <c r="G74" s="2"/>
      <c r="H74" s="7">
        <v>250</v>
      </c>
      <c r="I74" s="2"/>
      <c r="J74" s="6">
        <f t="shared" si="30"/>
        <v>2.9158769499927103E-3</v>
      </c>
      <c r="K74" s="2"/>
      <c r="L74" s="7">
        <f t="shared" si="31"/>
        <v>68.660000000000025</v>
      </c>
      <c r="M74" s="2"/>
      <c r="N74" s="6">
        <f t="shared" si="32"/>
        <v>0.27464000000000011</v>
      </c>
      <c r="O74" s="11"/>
      <c r="P74" s="7">
        <v>2976.95</v>
      </c>
      <c r="Q74" s="2"/>
      <c r="R74" s="6">
        <f t="shared" si="33"/>
        <v>1.769427114426619E-2</v>
      </c>
      <c r="S74" s="2"/>
      <c r="T74" s="7">
        <v>750</v>
      </c>
      <c r="U74" s="2"/>
      <c r="V74" s="6">
        <f t="shared" si="34"/>
        <v>3.6507453605111044E-3</v>
      </c>
      <c r="W74" s="2"/>
      <c r="X74" s="7">
        <f t="shared" si="35"/>
        <v>2226.9499999999998</v>
      </c>
      <c r="Y74" s="2"/>
      <c r="Z74" s="6">
        <f t="shared" si="36"/>
        <v>2.9692666666666665</v>
      </c>
    </row>
    <row r="75" spans="1:26" s="24" customFormat="1" hidden="1" outlineLevel="2" x14ac:dyDescent="0.25">
      <c r="A75" s="25"/>
      <c r="B75" s="11" t="str">
        <f>CONCATENATE("          ", "6245", " - ", "PRINTING")</f>
        <v xml:space="preserve">          6245 - PRINTING</v>
      </c>
      <c r="C75" s="11"/>
      <c r="D75" s="7">
        <v>254.9</v>
      </c>
      <c r="E75" s="2"/>
      <c r="F75" s="6">
        <f t="shared" si="29"/>
        <v>3.8845580663709285E-3</v>
      </c>
      <c r="G75" s="2"/>
      <c r="H75" s="7"/>
      <c r="I75" s="2"/>
      <c r="J75" s="6">
        <f t="shared" si="30"/>
        <v>0</v>
      </c>
      <c r="K75" s="2"/>
      <c r="L75" s="7">
        <f t="shared" si="31"/>
        <v>254.9</v>
      </c>
      <c r="M75" s="2"/>
      <c r="N75" s="6">
        <f t="shared" si="32"/>
        <v>0</v>
      </c>
      <c r="O75" s="11"/>
      <c r="P75" s="7">
        <v>242.2</v>
      </c>
      <c r="Q75" s="2"/>
      <c r="R75" s="6">
        <f t="shared" si="33"/>
        <v>1.4395782499340838E-3</v>
      </c>
      <c r="S75" s="2"/>
      <c r="T75" s="7"/>
      <c r="U75" s="2"/>
      <c r="V75" s="6">
        <f t="shared" si="34"/>
        <v>0</v>
      </c>
      <c r="W75" s="2"/>
      <c r="X75" s="7">
        <f t="shared" si="35"/>
        <v>242.2</v>
      </c>
      <c r="Y75" s="2"/>
      <c r="Z75" s="6">
        <f t="shared" si="36"/>
        <v>0</v>
      </c>
    </row>
    <row r="76" spans="1:26" s="24" customFormat="1" hidden="1" outlineLevel="2" x14ac:dyDescent="0.25">
      <c r="A76" s="25"/>
      <c r="B76" s="11" t="str">
        <f>CONCATENATE("          ", "6247", " - ", "STORE SUPPLIES")</f>
        <v xml:space="preserve">          6247 - STORE SUPPLIES</v>
      </c>
      <c r="C76" s="11"/>
      <c r="D76" s="7">
        <v>3804.1</v>
      </c>
      <c r="E76" s="2"/>
      <c r="F76" s="6">
        <f t="shared" si="29"/>
        <v>5.7972723971289324E-2</v>
      </c>
      <c r="G76" s="2"/>
      <c r="H76" s="7">
        <v>12500</v>
      </c>
      <c r="I76" s="2"/>
      <c r="J76" s="6">
        <f t="shared" si="30"/>
        <v>0.1457938474996355</v>
      </c>
      <c r="K76" s="2"/>
      <c r="L76" s="7">
        <f t="shared" si="31"/>
        <v>-8695.9</v>
      </c>
      <c r="M76" s="2"/>
      <c r="N76" s="6">
        <f t="shared" si="32"/>
        <v>-0.69567199999999996</v>
      </c>
      <c r="O76" s="11"/>
      <c r="P76" s="7">
        <v>5451.58</v>
      </c>
      <c r="Q76" s="2"/>
      <c r="R76" s="6">
        <f t="shared" si="33"/>
        <v>3.2402873640692213E-2</v>
      </c>
      <c r="S76" s="2"/>
      <c r="T76" s="7">
        <v>21000</v>
      </c>
      <c r="U76" s="2"/>
      <c r="V76" s="6">
        <f t="shared" si="34"/>
        <v>0.10222087009431093</v>
      </c>
      <c r="W76" s="2"/>
      <c r="X76" s="7">
        <f t="shared" si="35"/>
        <v>-15548.42</v>
      </c>
      <c r="Y76" s="2"/>
      <c r="Z76" s="6">
        <f t="shared" si="36"/>
        <v>-0.74040095238095238</v>
      </c>
    </row>
    <row r="77" spans="1:26" s="26" customFormat="1" outlineLevel="1" collapsed="1" x14ac:dyDescent="0.25">
      <c r="A77" s="27"/>
      <c r="B77" s="13" t="str">
        <f>CONCATENATE("     ","Telephone/Data Lines                              ")</f>
        <v xml:space="preserve">     Telephone/Data Lines                              </v>
      </c>
      <c r="C77" s="13"/>
      <c r="D77" s="1">
        <f>SUM(OSRRefD22_12x_0)</f>
        <v>250</v>
      </c>
      <c r="E77" s="1"/>
      <c r="F77" s="5">
        <f t="shared" ref="F77:F79" si="37">IF(D$12=0,0,D77/D$12)</f>
        <v>3.8098843334355911E-3</v>
      </c>
      <c r="G77" s="1"/>
      <c r="H77" s="1">
        <f>SUM(OSRRefH22_12x_0)</f>
        <v>200</v>
      </c>
      <c r="I77" s="1"/>
      <c r="J77" s="5">
        <f t="shared" ref="J77:J79" si="38">IF(H$12=0,0,H77/H$12)</f>
        <v>2.3327015599941682E-3</v>
      </c>
      <c r="K77" s="1"/>
      <c r="L77" s="1">
        <f t="shared" ref="L77:L79" si="39">+D77-H77</f>
        <v>50</v>
      </c>
      <c r="M77" s="1"/>
      <c r="N77" s="5">
        <f t="shared" ref="N77:N79" si="40">IF(H77=0,0,L77/H77)</f>
        <v>0.25</v>
      </c>
      <c r="O77" s="13"/>
      <c r="P77" s="1">
        <f>SUM(OSRRefP22_12x_0)</f>
        <v>495.75</v>
      </c>
      <c r="Q77" s="1"/>
      <c r="R77" s="5">
        <f t="shared" ref="R77:R79" si="41">IF(P$12=0,0,P77/P$12)</f>
        <v>2.9466181560892737E-3</v>
      </c>
      <c r="S77" s="1"/>
      <c r="T77" s="1">
        <f>SUM(OSRRefT22_12x_0)</f>
        <v>600</v>
      </c>
      <c r="U77" s="1"/>
      <c r="V77" s="5">
        <f t="shared" ref="V77:V79" si="42">IF(T$12=0,0,T77/T$12)</f>
        <v>2.9205962884088833E-3</v>
      </c>
      <c r="W77" s="1"/>
      <c r="X77" s="1">
        <f t="shared" ref="X77:X79" si="43">+P77-T77</f>
        <v>-104.25</v>
      </c>
      <c r="Y77" s="1"/>
      <c r="Z77" s="5">
        <f t="shared" ref="Z77:Z79" si="44">IF(T77=0,0,X77/T77)</f>
        <v>-0.17374999999999999</v>
      </c>
    </row>
    <row r="78" spans="1:26" s="24" customFormat="1" hidden="1" outlineLevel="2" x14ac:dyDescent="0.25">
      <c r="A78" s="25"/>
      <c r="B78" s="11" t="str">
        <f>CONCATENATE("          ", "6303", " - ", "DATA PHONE LINES")</f>
        <v xml:space="preserve">          6303 - DATA PHONE LINES</v>
      </c>
      <c r="C78" s="11"/>
      <c r="D78" s="7"/>
      <c r="E78" s="2"/>
      <c r="F78" s="6">
        <f t="shared" si="37"/>
        <v>0</v>
      </c>
      <c r="G78" s="2"/>
      <c r="H78" s="7">
        <v>200</v>
      </c>
      <c r="I78" s="2"/>
      <c r="J78" s="6">
        <f t="shared" si="38"/>
        <v>2.3327015599941682E-3</v>
      </c>
      <c r="K78" s="2"/>
      <c r="L78" s="7">
        <f t="shared" si="39"/>
        <v>-200</v>
      </c>
      <c r="M78" s="2"/>
      <c r="N78" s="6">
        <f t="shared" si="40"/>
        <v>-1</v>
      </c>
      <c r="O78" s="11"/>
      <c r="P78" s="7"/>
      <c r="Q78" s="2"/>
      <c r="R78" s="6">
        <f t="shared" si="41"/>
        <v>0</v>
      </c>
      <c r="S78" s="2"/>
      <c r="T78" s="7">
        <v>600</v>
      </c>
      <c r="U78" s="2"/>
      <c r="V78" s="6">
        <f t="shared" si="42"/>
        <v>2.9205962884088833E-3</v>
      </c>
      <c r="W78" s="2"/>
      <c r="X78" s="7">
        <f t="shared" si="43"/>
        <v>-600</v>
      </c>
      <c r="Y78" s="2"/>
      <c r="Z78" s="6">
        <f t="shared" si="44"/>
        <v>-1</v>
      </c>
    </row>
    <row r="79" spans="1:26" s="24" customFormat="1" hidden="1" outlineLevel="2" x14ac:dyDescent="0.25">
      <c r="A79" s="25"/>
      <c r="B79" s="11" t="str">
        <f>CONCATENATE("          ", "6309", " - ", "TELEPHONE")</f>
        <v xml:space="preserve">          6309 - TELEPHONE</v>
      </c>
      <c r="C79" s="11"/>
      <c r="D79" s="7">
        <v>250</v>
      </c>
      <c r="E79" s="2"/>
      <c r="F79" s="6">
        <f t="shared" si="37"/>
        <v>3.8098843334355911E-3</v>
      </c>
      <c r="G79" s="2"/>
      <c r="H79" s="7"/>
      <c r="I79" s="2"/>
      <c r="J79" s="6">
        <f t="shared" si="38"/>
        <v>0</v>
      </c>
      <c r="K79" s="2"/>
      <c r="L79" s="7">
        <f t="shared" si="39"/>
        <v>250</v>
      </c>
      <c r="M79" s="2"/>
      <c r="N79" s="6">
        <f t="shared" si="40"/>
        <v>0</v>
      </c>
      <c r="O79" s="11"/>
      <c r="P79" s="7">
        <v>495.75</v>
      </c>
      <c r="Q79" s="2"/>
      <c r="R79" s="6">
        <f t="shared" si="41"/>
        <v>2.9466181560892737E-3</v>
      </c>
      <c r="S79" s="2"/>
      <c r="T79" s="7"/>
      <c r="U79" s="2"/>
      <c r="V79" s="6">
        <f t="shared" si="42"/>
        <v>0</v>
      </c>
      <c r="W79" s="2"/>
      <c r="X79" s="7">
        <f t="shared" si="43"/>
        <v>495.75</v>
      </c>
      <c r="Y79" s="2"/>
      <c r="Z79" s="6">
        <f t="shared" si="44"/>
        <v>0</v>
      </c>
    </row>
    <row r="80" spans="1:26" s="26" customFormat="1" outlineLevel="1" collapsed="1" x14ac:dyDescent="0.25">
      <c r="A80" s="27"/>
      <c r="B80" s="13" t="str">
        <f>CONCATENATE("     ","Training                                          ")</f>
        <v xml:space="preserve">     Training                                          </v>
      </c>
      <c r="C80" s="13"/>
      <c r="D80" s="1">
        <f>SUM(OSRRefD22_13x_0)</f>
        <v>97.71</v>
      </c>
      <c r="E80" s="1"/>
      <c r="F80" s="5">
        <f t="shared" ref="F80:F81" si="45">IF(D$12=0,0,D80/D$12)</f>
        <v>1.4890551928799663E-3</v>
      </c>
      <c r="G80" s="1"/>
      <c r="H80" s="1">
        <f>SUM(OSRRefH22_13x_0)</f>
        <v>0</v>
      </c>
      <c r="I80" s="1"/>
      <c r="J80" s="5">
        <f t="shared" ref="J80:J81" si="46">IF(H$12=0,0,H80/H$12)</f>
        <v>0</v>
      </c>
      <c r="K80" s="1"/>
      <c r="L80" s="1">
        <f t="shared" ref="L80:L81" si="47">+D80-H80</f>
        <v>97.71</v>
      </c>
      <c r="M80" s="1"/>
      <c r="N80" s="5">
        <f t="shared" ref="N80:N81" si="48">IF(H80=0,0,L80/H80)</f>
        <v>0</v>
      </c>
      <c r="O80" s="13"/>
      <c r="P80" s="1">
        <f>SUM(OSRRefP22_13x_0)</f>
        <v>97.71</v>
      </c>
      <c r="Q80" s="1"/>
      <c r="R80" s="5">
        <f t="shared" ref="R80:R81" si="49">IF(P$12=0,0,P80/P$12)</f>
        <v>5.8076461932724747E-4</v>
      </c>
      <c r="S80" s="1"/>
      <c r="T80" s="1">
        <f>SUM(OSRRefT22_13x_0)</f>
        <v>0</v>
      </c>
      <c r="U80" s="1"/>
      <c r="V80" s="5">
        <f t="shared" ref="V80:V81" si="50">IF(T$12=0,0,T80/T$12)</f>
        <v>0</v>
      </c>
      <c r="W80" s="1"/>
      <c r="X80" s="1">
        <f t="shared" ref="X80:X81" si="51">+P80-T80</f>
        <v>97.71</v>
      </c>
      <c r="Y80" s="1"/>
      <c r="Z80" s="5">
        <f t="shared" ref="Z80:Z81" si="52">IF(T80=0,0,X80/T80)</f>
        <v>0</v>
      </c>
    </row>
    <row r="81" spans="1:26" s="24" customFormat="1" hidden="1" outlineLevel="2" x14ac:dyDescent="0.25">
      <c r="A81" s="25"/>
      <c r="B81" s="11" t="str">
        <f>CONCATENATE("          ", "6376", " - ", "TRAINING")</f>
        <v xml:space="preserve">          6376 - TRAINING</v>
      </c>
      <c r="C81" s="11"/>
      <c r="D81" s="7">
        <v>97.71</v>
      </c>
      <c r="E81" s="2"/>
      <c r="F81" s="6">
        <f t="shared" si="45"/>
        <v>1.4890551928799663E-3</v>
      </c>
      <c r="G81" s="2"/>
      <c r="H81" s="7"/>
      <c r="I81" s="2"/>
      <c r="J81" s="6">
        <f t="shared" si="46"/>
        <v>0</v>
      </c>
      <c r="K81" s="2"/>
      <c r="L81" s="7">
        <f t="shared" si="47"/>
        <v>97.71</v>
      </c>
      <c r="M81" s="2"/>
      <c r="N81" s="6">
        <f t="shared" si="48"/>
        <v>0</v>
      </c>
      <c r="O81" s="11"/>
      <c r="P81" s="7">
        <v>97.71</v>
      </c>
      <c r="Q81" s="2"/>
      <c r="R81" s="6">
        <f t="shared" si="49"/>
        <v>5.8076461932724747E-4</v>
      </c>
      <c r="S81" s="2"/>
      <c r="T81" s="7"/>
      <c r="U81" s="2"/>
      <c r="V81" s="6">
        <f t="shared" si="50"/>
        <v>0</v>
      </c>
      <c r="W81" s="2"/>
      <c r="X81" s="7">
        <f t="shared" si="51"/>
        <v>97.71</v>
      </c>
      <c r="Y81" s="2"/>
      <c r="Z81" s="6">
        <f t="shared" si="52"/>
        <v>0</v>
      </c>
    </row>
    <row r="82" spans="1:26" s="63" customFormat="1" x14ac:dyDescent="0.25">
      <c r="A82" s="36"/>
      <c r="B82" s="36"/>
      <c r="C82" s="36"/>
      <c r="D82" s="1"/>
      <c r="E82" s="1"/>
      <c r="F82" s="5"/>
      <c r="G82" s="1"/>
      <c r="H82" s="1"/>
      <c r="I82" s="1"/>
      <c r="J82" s="5"/>
      <c r="K82" s="1"/>
      <c r="L82" s="1"/>
      <c r="M82" s="1"/>
      <c r="N82" s="5"/>
      <c r="O82" s="36"/>
      <c r="P82" s="1"/>
      <c r="Q82" s="1"/>
      <c r="R82" s="5"/>
      <c r="S82" s="1"/>
      <c r="T82" s="1"/>
      <c r="U82" s="1"/>
      <c r="V82" s="5"/>
      <c r="W82" s="1"/>
      <c r="X82" s="1"/>
      <c r="Y82" s="1"/>
      <c r="Z82" s="5"/>
    </row>
    <row r="83" spans="1:26" s="23" customFormat="1" collapsed="1" x14ac:dyDescent="0.25">
      <c r="A83" s="10"/>
      <c r="B83" s="28" t="s">
        <v>0</v>
      </c>
      <c r="C83" s="10"/>
      <c r="D83" s="4">
        <f>SUM(OSRRefD25x_0)</f>
        <v>13269</v>
      </c>
      <c r="E83" s="4"/>
      <c r="F83" s="12">
        <f t="shared" ref="F83:F85" si="53">IF(D$12=0,0,D83/D$12)</f>
        <v>0.20221342088142744</v>
      </c>
      <c r="G83" s="4"/>
      <c r="H83" s="4">
        <f>SUM(OSRRefH25x_0)</f>
        <v>12250</v>
      </c>
      <c r="I83" s="4"/>
      <c r="J83" s="12">
        <f t="shared" ref="J83:J85" si="54">IF(H$12=0,0,H83/H$12)</f>
        <v>0.1428779705496428</v>
      </c>
      <c r="K83" s="4"/>
      <c r="L83" s="4">
        <f t="shared" ref="L83:L85" si="55">+D83-H83</f>
        <v>1019</v>
      </c>
      <c r="M83" s="4"/>
      <c r="N83" s="12">
        <f t="shared" ref="N83:N85" si="56">IF(H83=0,0,L83/H83)</f>
        <v>8.3183673469387751E-2</v>
      </c>
      <c r="O83" s="10"/>
      <c r="P83" s="4">
        <f>SUM(OSRRefP25x_0)</f>
        <v>39807</v>
      </c>
      <c r="Q83" s="4"/>
      <c r="R83" s="12">
        <f t="shared" ref="R83:R85" si="57">IF(P$12=0,0,P83/P$12)</f>
        <v>0.23660318495097474</v>
      </c>
      <c r="S83" s="4"/>
      <c r="T83" s="4">
        <f>SUM(OSRRefT25x_0)</f>
        <v>36750</v>
      </c>
      <c r="U83" s="4"/>
      <c r="V83" s="12">
        <f t="shared" ref="V83:V85" si="58">IF(T$12=0,0,T83/T$12)</f>
        <v>0.17888652266504412</v>
      </c>
      <c r="W83" s="4"/>
      <c r="X83" s="4">
        <f t="shared" ref="X83:X85" si="59">+P83-T83</f>
        <v>3057</v>
      </c>
      <c r="Y83" s="4"/>
      <c r="Z83" s="12">
        <f t="shared" ref="Z83:Z85" si="60">IF(T83=0,0,X83/T83)</f>
        <v>8.3183673469387751E-2</v>
      </c>
    </row>
    <row r="84" spans="1:26" s="24" customFormat="1" hidden="1" outlineLevel="1" x14ac:dyDescent="0.25">
      <c r="A84" s="46"/>
      <c r="B84" s="11" t="str">
        <f>CONCATENATE("          ", "9150", " - ", "MISC. INCOME")</f>
        <v xml:space="preserve">          9150 - MISC. INCOME</v>
      </c>
      <c r="C84" s="11"/>
      <c r="D84" s="2">
        <f>--13269</f>
        <v>13269</v>
      </c>
      <c r="E84" s="2"/>
      <c r="F84" s="19">
        <f t="shared" si="53"/>
        <v>0.20221342088142744</v>
      </c>
      <c r="G84" s="2"/>
      <c r="H84" s="2"/>
      <c r="I84" s="2"/>
      <c r="J84" s="19">
        <f t="shared" si="54"/>
        <v>0</v>
      </c>
      <c r="K84" s="2"/>
      <c r="L84" s="2">
        <f t="shared" si="55"/>
        <v>13269</v>
      </c>
      <c r="M84" s="2"/>
      <c r="N84" s="19">
        <f t="shared" si="56"/>
        <v>0</v>
      </c>
      <c r="O84" s="11"/>
      <c r="P84" s="2">
        <f>--39807</f>
        <v>39807</v>
      </c>
      <c r="Q84" s="2"/>
      <c r="R84" s="19">
        <f t="shared" si="57"/>
        <v>0.23660318495097474</v>
      </c>
      <c r="S84" s="2"/>
      <c r="T84" s="2">
        <v>12250</v>
      </c>
      <c r="U84" s="2"/>
      <c r="V84" s="19">
        <f t="shared" si="58"/>
        <v>5.9628840888348036E-2</v>
      </c>
      <c r="W84" s="2"/>
      <c r="X84" s="2">
        <f t="shared" si="59"/>
        <v>27557</v>
      </c>
      <c r="Y84" s="2"/>
      <c r="Z84" s="19">
        <f t="shared" si="60"/>
        <v>2.2495510204081635</v>
      </c>
    </row>
    <row r="85" spans="1:26" s="24" customFormat="1" hidden="1" outlineLevel="1" x14ac:dyDescent="0.25">
      <c r="A85" s="46"/>
      <c r="B85" s="11" t="str">
        <f>CONCATENATE("          ", "9151", " - ", "MISC. INCOME")</f>
        <v xml:space="preserve">          9151 - MISC. INCOME</v>
      </c>
      <c r="C85" s="11"/>
      <c r="D85" s="2">
        <f>0</f>
        <v>0</v>
      </c>
      <c r="E85" s="2"/>
      <c r="F85" s="19">
        <f t="shared" si="53"/>
        <v>0</v>
      </c>
      <c r="G85" s="2"/>
      <c r="H85" s="2">
        <v>12250</v>
      </c>
      <c r="I85" s="2"/>
      <c r="J85" s="19">
        <f t="shared" si="54"/>
        <v>0.1428779705496428</v>
      </c>
      <c r="K85" s="2"/>
      <c r="L85" s="2">
        <f t="shared" si="55"/>
        <v>-12250</v>
      </c>
      <c r="M85" s="2"/>
      <c r="N85" s="19">
        <f t="shared" si="56"/>
        <v>-1</v>
      </c>
      <c r="O85" s="11"/>
      <c r="P85" s="2">
        <f>0</f>
        <v>0</v>
      </c>
      <c r="Q85" s="2"/>
      <c r="R85" s="19">
        <f t="shared" si="57"/>
        <v>0</v>
      </c>
      <c r="S85" s="2"/>
      <c r="T85" s="2">
        <v>24500</v>
      </c>
      <c r="U85" s="2"/>
      <c r="V85" s="19">
        <f t="shared" si="58"/>
        <v>0.11925768177669607</v>
      </c>
      <c r="W85" s="2"/>
      <c r="X85" s="2">
        <f t="shared" si="59"/>
        <v>-24500</v>
      </c>
      <c r="Y85" s="2"/>
      <c r="Z85" s="19">
        <f t="shared" si="60"/>
        <v>-1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10"/>
      <c r="B87" s="29" t="s">
        <v>3</v>
      </c>
      <c r="C87" s="29"/>
      <c r="D87" s="22">
        <f>+D29-D31+D83</f>
        <v>29545.169999999991</v>
      </c>
      <c r="E87" s="14"/>
      <c r="F87" s="20">
        <f>IF(D$12=0,0,D87/D$12)</f>
        <v>0.45025472124676474</v>
      </c>
      <c r="G87" s="14"/>
      <c r="H87" s="22">
        <f>+H29-H31+H83</f>
        <v>40745.707588355042</v>
      </c>
      <c r="I87" s="14"/>
      <c r="J87" s="20">
        <f>IF(H$12=0,0,H87/H$12)</f>
        <v>0.47523787827211011</v>
      </c>
      <c r="K87" s="15"/>
      <c r="L87" s="22">
        <f>+D87-H87</f>
        <v>-11200.537588355051</v>
      </c>
      <c r="M87" s="15"/>
      <c r="N87" s="20">
        <f>IF(H87=0,0,L87/H87)</f>
        <v>-0.274888773598231</v>
      </c>
      <c r="O87" s="28"/>
      <c r="P87" s="22">
        <f>+P29-P31+P83</f>
        <v>86392.989999999976</v>
      </c>
      <c r="Q87" s="14"/>
      <c r="R87" s="20">
        <f>IF(P$12=0,0,P87/P$12)</f>
        <v>0.51349904769105192</v>
      </c>
      <c r="S87" s="14"/>
      <c r="T87" s="22">
        <f>+T29-T31+T83</f>
        <v>84346.020778890757</v>
      </c>
      <c r="U87" s="14"/>
      <c r="V87" s="20">
        <f>IF(T$12=0,0,T87/T$12)</f>
        <v>0.41056779204814486</v>
      </c>
      <c r="W87" s="15"/>
      <c r="X87" s="22">
        <f>+P87-T87</f>
        <v>2046.9692211092188</v>
      </c>
      <c r="Y87" s="15"/>
      <c r="Z87" s="20">
        <f>IF(T87=0,0,X87/T87)</f>
        <v>2.4268711223203464E-2</v>
      </c>
    </row>
    <row r="88" spans="1:26" x14ac:dyDescent="0.25">
      <c r="A88" s="9"/>
      <c r="B88" s="10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x14ac:dyDescent="0.25">
      <c r="A89" s="52"/>
      <c r="B89" s="10" t="s">
        <v>14</v>
      </c>
      <c r="C89" s="10"/>
      <c r="D89" s="4">
        <v>5276.14</v>
      </c>
      <c r="E89" s="4"/>
      <c r="F89" s="12">
        <f>IF(D$12=0,0,D89/D$12)</f>
        <v>8.0405932508051448E-2</v>
      </c>
      <c r="G89" s="4"/>
      <c r="H89" s="4">
        <v>6545</v>
      </c>
      <c r="I89" s="4"/>
      <c r="J89" s="12">
        <f>IF(H$12=0,0,H89/H$12)</f>
        <v>7.6337658550809151E-2</v>
      </c>
      <c r="K89" s="4"/>
      <c r="L89" s="4">
        <f>+D89-H89</f>
        <v>-1268.8599999999997</v>
      </c>
      <c r="M89" s="4"/>
      <c r="N89" s="12">
        <f>IF(H89=0,0,L89/H89)</f>
        <v>-0.19386707410236817</v>
      </c>
      <c r="O89" s="10"/>
      <c r="P89" s="4">
        <v>18071.599999999999</v>
      </c>
      <c r="Q89" s="4"/>
      <c r="R89" s="12">
        <f>IF(P$12=0,0,P89/P$12)</f>
        <v>0.10741322172381829</v>
      </c>
      <c r="S89" s="4"/>
      <c r="T89" s="4">
        <v>25984</v>
      </c>
      <c r="U89" s="4"/>
      <c r="V89" s="12">
        <f>IF(T$12=0,0,T89/T$12)</f>
        <v>0.12648128993002739</v>
      </c>
      <c r="W89" s="4"/>
      <c r="X89" s="4">
        <f>+P89-T89</f>
        <v>-7912.4000000000015</v>
      </c>
      <c r="Y89" s="4"/>
      <c r="Z89" s="12">
        <f>IF(T89=0,0,X89/T89)</f>
        <v>-0.30451046798029563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.75" thickBot="1" x14ac:dyDescent="0.3">
      <c r="A91" s="10"/>
      <c r="B91" s="29" t="s">
        <v>4</v>
      </c>
      <c r="C91" s="29"/>
      <c r="D91" s="35">
        <f>+D87-D89</f>
        <v>24269.029999999992</v>
      </c>
      <c r="E91" s="14"/>
      <c r="F91" s="32">
        <f>IF(D$12=0,0,D91/D$12)</f>
        <v>0.3698487887387133</v>
      </c>
      <c r="G91" s="14"/>
      <c r="H91" s="35">
        <f>+H87-H89</f>
        <v>34200.707588355042</v>
      </c>
      <c r="I91" s="14"/>
      <c r="J91" s="32">
        <f>IF(H$12=0,0,H91/H$12)</f>
        <v>0.39890021972130096</v>
      </c>
      <c r="K91" s="15"/>
      <c r="L91" s="35">
        <f>D91-H91</f>
        <v>-9931.6775883550508</v>
      </c>
      <c r="M91" s="15"/>
      <c r="N91" s="32">
        <f>IF(H91=0,0,L91/H91)</f>
        <v>-0.29039392131572961</v>
      </c>
      <c r="O91" s="28"/>
      <c r="P91" s="35">
        <f>+P87-P89</f>
        <v>68321.389999999985</v>
      </c>
      <c r="Q91" s="14"/>
      <c r="R91" s="32">
        <f>IF(P$12=0,0,P91/P$12)</f>
        <v>0.40608582596723369</v>
      </c>
      <c r="S91" s="14"/>
      <c r="T91" s="35">
        <f>+T87-T89</f>
        <v>58362.020778890757</v>
      </c>
      <c r="U91" s="14"/>
      <c r="V91" s="32">
        <f>IF(T$12=0,0,T91/T$12)</f>
        <v>0.28408650211811748</v>
      </c>
      <c r="W91" s="15"/>
      <c r="X91" s="35">
        <f>P91-T91</f>
        <v>9959.3692211092275</v>
      </c>
      <c r="Y91" s="15"/>
      <c r="Z91" s="32">
        <f>IF(T91=0,0,X91/T91)</f>
        <v>0.17064812164131712</v>
      </c>
    </row>
    <row r="92" spans="1:26" ht="15.75" thickTop="1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x14ac:dyDescent="0.25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.75" thickBot="1" x14ac:dyDescent="0.3">
      <c r="A94" s="10"/>
      <c r="B94" s="29" t="s">
        <v>5</v>
      </c>
      <c r="C94" s="29"/>
      <c r="D94" s="30">
        <f>SUM(D91:D93)</f>
        <v>24269.029999999992</v>
      </c>
      <c r="E94" s="14"/>
      <c r="F94" s="31">
        <f>IF(D$12=0,0,D94/D$12)</f>
        <v>0.3698487887387133</v>
      </c>
      <c r="G94" s="14"/>
      <c r="H94" s="30">
        <f>SUM(H91:H93)</f>
        <v>34200.707588355042</v>
      </c>
      <c r="I94" s="14"/>
      <c r="J94" s="31">
        <f>IF(H$12=0,0,H94/H$12)</f>
        <v>0.39890021972130096</v>
      </c>
      <c r="K94" s="15"/>
      <c r="L94" s="30">
        <f>+D94-H94</f>
        <v>-9931.6775883550508</v>
      </c>
      <c r="M94" s="15"/>
      <c r="N94" s="31">
        <f>IF(H94=0,0,L94/H94)</f>
        <v>-0.29039392131572961</v>
      </c>
      <c r="O94" s="28"/>
      <c r="P94" s="30">
        <f>SUM(P91:P93)</f>
        <v>68321.389999999985</v>
      </c>
      <c r="Q94" s="14"/>
      <c r="R94" s="31">
        <f>IF(P$12=0,0,P94/P$12)</f>
        <v>0.40608582596723369</v>
      </c>
      <c r="S94" s="14"/>
      <c r="T94" s="30">
        <f>SUM(T91:T93)</f>
        <v>58362.020778890757</v>
      </c>
      <c r="U94" s="14"/>
      <c r="V94" s="31">
        <f>IF(T$12=0,0,T94/T$12)</f>
        <v>0.28408650211811748</v>
      </c>
      <c r="W94" s="15"/>
      <c r="X94" s="30">
        <f>+P94-T94</f>
        <v>9959.3692211092275</v>
      </c>
      <c r="Y94" s="15"/>
      <c r="Z94" s="31">
        <f>IF(T94=0,0,X94/T94)</f>
        <v>0.17064812164131712</v>
      </c>
    </row>
    <row r="95" spans="1:26" ht="15.75" thickTop="1" x14ac:dyDescent="0.25">
      <c r="A95" s="9"/>
      <c r="C95" s="9"/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25">
      <c r="A96" s="9"/>
      <c r="B96" s="53">
        <v>43756.452376655092</v>
      </c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  <row r="97" spans="1:24" x14ac:dyDescent="0.25">
      <c r="A97" s="9"/>
      <c r="B97" s="55" t="s">
        <v>314</v>
      </c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  <row r="98" spans="1:24" x14ac:dyDescent="0.25">
      <c r="A98" s="9"/>
      <c r="B98" s="56"/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  <row r="99" spans="1:24" x14ac:dyDescent="0.25">
      <c r="D99" s="18"/>
      <c r="E99" s="18"/>
      <c r="G99" s="18"/>
      <c r="H99" s="18"/>
      <c r="I99" s="18"/>
      <c r="J99" s="43"/>
      <c r="K99" s="18"/>
      <c r="L99" s="18"/>
      <c r="M99" s="18"/>
      <c r="P99" s="18"/>
      <c r="Q99" s="18"/>
      <c r="R99" s="43"/>
      <c r="S99" s="18"/>
      <c r="T99" s="18"/>
      <c r="U99" s="18"/>
      <c r="V99" s="43"/>
      <c r="W99" s="18"/>
      <c r="X99" s="18"/>
    </row>
  </sheetData>
  <pageMargins left="0.25" right="0.25" top="0.75" bottom="0.75" header="0.3" footer="0.3"/>
  <pageSetup scale="55" fitToWidth="2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str">
        <f>CONCATENATE("Period ",RIGHT(202003,2),", ",2020)</f>
        <v>Period 03, 2020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43736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tr">
        <f>CONCATENATE("Department ","320", " - ", "Customer Service (old)")</f>
        <v>Department 320 - Customer Service (old)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69.8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5" si="0">+D12-H12</f>
        <v>69.8</v>
      </c>
      <c r="M12" s="4"/>
      <c r="N12" s="12">
        <f t="shared" ref="N12:N15" si="1">IF(H12=0,0,L12/H12)</f>
        <v>0</v>
      </c>
      <c r="O12" s="10"/>
      <c r="P12" s="4">
        <f>SUM(OSRRefP13x_0)</f>
        <v>3720.52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5" si="2">+P12-T12</f>
        <v>3720.52</v>
      </c>
      <c r="Y12" s="4"/>
      <c r="Z12" s="12">
        <f t="shared" ref="Z12:Z15" si="3">IF(T12=0,0,X12/T12)</f>
        <v>0</v>
      </c>
    </row>
    <row r="13" spans="1:26" s="24" customFormat="1" hidden="1" outlineLevel="1" x14ac:dyDescent="0.25">
      <c r="A13" s="46"/>
      <c r="B13" s="11" t="str">
        <f>CONCATENATE("          ", "4092", " - ", "TAXABLE SALES-GRAD MERCH")</f>
        <v xml:space="preserve">          4092 - TAXABLE SALES-GRAD MERCH</v>
      </c>
      <c r="C13" s="11"/>
      <c r="D13" s="2">
        <f>--49.9</f>
        <v>49.9</v>
      </c>
      <c r="E13" s="2"/>
      <c r="F13" s="19"/>
      <c r="G13" s="2"/>
      <c r="H13" s="2"/>
      <c r="I13" s="2"/>
      <c r="J13" s="19"/>
      <c r="K13" s="2"/>
      <c r="L13" s="2">
        <f t="shared" si="0"/>
        <v>49.9</v>
      </c>
      <c r="M13" s="2"/>
      <c r="N13" s="19">
        <f t="shared" si="1"/>
        <v>0</v>
      </c>
      <c r="O13" s="11"/>
      <c r="P13" s="2">
        <f>--3912.58</f>
        <v>3912.58</v>
      </c>
      <c r="Q13" s="2"/>
      <c r="R13" s="19"/>
      <c r="S13" s="2"/>
      <c r="T13" s="2"/>
      <c r="U13" s="2"/>
      <c r="V13" s="19"/>
      <c r="W13" s="2"/>
      <c r="X13" s="2">
        <f t="shared" si="2"/>
        <v>3912.58</v>
      </c>
      <c r="Y13" s="2"/>
      <c r="Z13" s="19">
        <f t="shared" si="3"/>
        <v>0</v>
      </c>
    </row>
    <row r="14" spans="1:26" s="24" customFormat="1" hidden="1" outlineLevel="1" x14ac:dyDescent="0.25">
      <c r="A14" s="46"/>
      <c r="B14" s="11" t="str">
        <f>CONCATENATE("          ", "4095", " - ", "TAXABLE SALES-CUSTOMER SERVICE")</f>
        <v xml:space="preserve">          4095 - TAXABLE SALES-CUSTOMER SERVICE</v>
      </c>
      <c r="C14" s="11"/>
      <c r="D14" s="2">
        <f>--19.9</f>
        <v>19.899999999999999</v>
      </c>
      <c r="E14" s="2"/>
      <c r="F14" s="19"/>
      <c r="G14" s="2"/>
      <c r="H14" s="2"/>
      <c r="I14" s="2"/>
      <c r="J14" s="19"/>
      <c r="K14" s="2"/>
      <c r="L14" s="2">
        <f t="shared" si="0"/>
        <v>19.899999999999999</v>
      </c>
      <c r="M14" s="2"/>
      <c r="N14" s="19">
        <f t="shared" si="1"/>
        <v>0</v>
      </c>
      <c r="O14" s="11"/>
      <c r="P14" s="2">
        <f>--177.09</f>
        <v>177.09</v>
      </c>
      <c r="Q14" s="2"/>
      <c r="R14" s="19"/>
      <c r="S14" s="2"/>
      <c r="T14" s="2"/>
      <c r="U14" s="2"/>
      <c r="V14" s="19"/>
      <c r="W14" s="2"/>
      <c r="X14" s="2">
        <f t="shared" si="2"/>
        <v>177.09</v>
      </c>
      <c r="Y14" s="2"/>
      <c r="Z14" s="19">
        <f t="shared" si="3"/>
        <v>0</v>
      </c>
    </row>
    <row r="15" spans="1:26" s="24" customFormat="1" hidden="1" outlineLevel="1" x14ac:dyDescent="0.25">
      <c r="A15" s="46"/>
      <c r="B15" s="11" t="str">
        <f>CONCATENATE("          ", "4292", " - ", "SALES RETURN TAXABLE-GRAD MERC")</f>
        <v xml:space="preserve">          4292 - SALES RETURN TAXABLE-GRAD MERC</v>
      </c>
      <c r="C15" s="11"/>
      <c r="D15" s="2">
        <f>0</f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-369.15</f>
        <v>-369.15</v>
      </c>
      <c r="Q15" s="2"/>
      <c r="R15" s="19"/>
      <c r="S15" s="2"/>
      <c r="T15" s="2"/>
      <c r="U15" s="2"/>
      <c r="V15" s="19"/>
      <c r="W15" s="2"/>
      <c r="X15" s="2">
        <f t="shared" si="2"/>
        <v>-369.15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26.160000000000046</v>
      </c>
      <c r="E17" s="4"/>
      <c r="F17" s="12">
        <f t="shared" ref="F17:F22" si="4">IF(D$12=0,0,D17/D$12)</f>
        <v>0.37478510028653361</v>
      </c>
      <c r="G17" s="4"/>
      <c r="H17" s="4">
        <f>SUM(OSRRefH16x_0)</f>
        <v>0</v>
      </c>
      <c r="I17" s="4"/>
      <c r="J17" s="12">
        <f t="shared" ref="J17:J22" si="5">IF(H$12=0,0,H17/H$12)</f>
        <v>0</v>
      </c>
      <c r="K17" s="4"/>
      <c r="L17" s="4">
        <f t="shared" ref="L17:L22" si="6">+D17-H17</f>
        <v>26.160000000000046</v>
      </c>
      <c r="M17" s="4"/>
      <c r="N17" s="12">
        <f t="shared" ref="N17:N22" si="7">IF(H17=0,0,L17/H17)</f>
        <v>0</v>
      </c>
      <c r="O17" s="10"/>
      <c r="P17" s="4">
        <f>SUM(OSRRefP16x_0)</f>
        <v>1891.58</v>
      </c>
      <c r="Q17" s="4"/>
      <c r="R17" s="12">
        <f t="shared" ref="R17:R22" si="8">IF(P$12=0,0,P17/P$12)</f>
        <v>0.50841817810413592</v>
      </c>
      <c r="S17" s="4"/>
      <c r="T17" s="4">
        <f>SUM(OSRRefT16x_0)</f>
        <v>0</v>
      </c>
      <c r="U17" s="4"/>
      <c r="V17" s="12">
        <f t="shared" ref="V17:V22" si="9">IF(T$12=0,0,T17/T$12)</f>
        <v>0</v>
      </c>
      <c r="W17" s="4"/>
      <c r="X17" s="4">
        <f t="shared" ref="X17:X22" si="10">+P17-T17</f>
        <v>1891.58</v>
      </c>
      <c r="Y17" s="4"/>
      <c r="Z17" s="12">
        <f t="shared" ref="Z17:Z22" si="11">IF(T17=0,0,X17/T17)</f>
        <v>0</v>
      </c>
    </row>
    <row r="18" spans="1:26" s="24" customFormat="1" hidden="1" outlineLevel="1" x14ac:dyDescent="0.25">
      <c r="A18" s="46"/>
      <c r="B18" s="11" t="str">
        <f>CONCATENATE("          ", "5092", " - ", "PURCHASES @ COST-GRAD MERCH")</f>
        <v xml:space="preserve">          5092 - PURCHASES @ COST-GRAD MERCH</v>
      </c>
      <c r="C18" s="11"/>
      <c r="D18" s="2">
        <v>-615.04999999999995</v>
      </c>
      <c r="E18" s="2"/>
      <c r="F18" s="19">
        <f t="shared" si="4"/>
        <v>-8.8116045845272204</v>
      </c>
      <c r="G18" s="2"/>
      <c r="H18" s="2"/>
      <c r="I18" s="2"/>
      <c r="J18" s="19">
        <f t="shared" si="5"/>
        <v>0</v>
      </c>
      <c r="K18" s="2"/>
      <c r="L18" s="2">
        <f t="shared" si="6"/>
        <v>-615.04999999999995</v>
      </c>
      <c r="M18" s="2"/>
      <c r="N18" s="19">
        <f t="shared" si="7"/>
        <v>0</v>
      </c>
      <c r="O18" s="11"/>
      <c r="P18" s="2">
        <v>12.95</v>
      </c>
      <c r="Q18" s="2"/>
      <c r="R18" s="19">
        <f t="shared" si="8"/>
        <v>3.4806962467612054E-3</v>
      </c>
      <c r="S18" s="2"/>
      <c r="T18" s="2"/>
      <c r="U18" s="2"/>
      <c r="V18" s="19">
        <f t="shared" si="9"/>
        <v>0</v>
      </c>
      <c r="W18" s="2"/>
      <c r="X18" s="2">
        <f t="shared" si="10"/>
        <v>12.95</v>
      </c>
      <c r="Y18" s="2"/>
      <c r="Z18" s="19">
        <f t="shared" si="11"/>
        <v>0</v>
      </c>
    </row>
    <row r="19" spans="1:26" s="24" customFormat="1" hidden="1" outlineLevel="1" x14ac:dyDescent="0.25">
      <c r="A19" s="46"/>
      <c r="B19" s="11" t="str">
        <f>CONCATENATE("          ", "5095", " - ", "PURCHASES @ COST-CUSTOMER SERV")</f>
        <v xml:space="preserve">          5095 - PURCHASES @ COST-CUSTOMER SERV</v>
      </c>
      <c r="C19" s="11"/>
      <c r="D19" s="2"/>
      <c r="E19" s="2"/>
      <c r="F19" s="19">
        <f t="shared" si="4"/>
        <v>0</v>
      </c>
      <c r="G19" s="2"/>
      <c r="H19" s="2"/>
      <c r="I19" s="2"/>
      <c r="J19" s="19">
        <f t="shared" si="5"/>
        <v>0</v>
      </c>
      <c r="K19" s="2"/>
      <c r="L19" s="2">
        <f t="shared" si="6"/>
        <v>0</v>
      </c>
      <c r="M19" s="2"/>
      <c r="N19" s="19">
        <f t="shared" si="7"/>
        <v>0</v>
      </c>
      <c r="O19" s="11"/>
      <c r="P19" s="2">
        <v>11.85</v>
      </c>
      <c r="Q19" s="2"/>
      <c r="R19" s="19">
        <f t="shared" si="8"/>
        <v>3.185038650511219E-3</v>
      </c>
      <c r="S19" s="2"/>
      <c r="T19" s="2"/>
      <c r="U19" s="2"/>
      <c r="V19" s="19">
        <f t="shared" si="9"/>
        <v>0</v>
      </c>
      <c r="W19" s="2"/>
      <c r="X19" s="2">
        <f t="shared" si="10"/>
        <v>11.85</v>
      </c>
      <c r="Y19" s="2"/>
      <c r="Z19" s="19">
        <f t="shared" si="11"/>
        <v>0</v>
      </c>
    </row>
    <row r="20" spans="1:26" s="24" customFormat="1" hidden="1" outlineLevel="1" x14ac:dyDescent="0.25">
      <c r="A20" s="46"/>
      <c r="B20" s="11" t="str">
        <f>CONCATENATE("          ", "5200", " - ", "PURCHASES OFFSET")</f>
        <v xml:space="preserve">          5200 - PURCHASES OFFSET</v>
      </c>
      <c r="C20" s="11"/>
      <c r="D20" s="2">
        <v>604</v>
      </c>
      <c r="E20" s="2"/>
      <c r="F20" s="19">
        <f t="shared" si="4"/>
        <v>8.6532951289398277</v>
      </c>
      <c r="G20" s="2"/>
      <c r="H20" s="2"/>
      <c r="I20" s="2"/>
      <c r="J20" s="19">
        <f t="shared" si="5"/>
        <v>0</v>
      </c>
      <c r="K20" s="2"/>
      <c r="L20" s="2">
        <f t="shared" si="6"/>
        <v>604</v>
      </c>
      <c r="M20" s="2"/>
      <c r="N20" s="19">
        <f t="shared" si="7"/>
        <v>0</v>
      </c>
      <c r="O20" s="11"/>
      <c r="P20" s="2">
        <v>-96</v>
      </c>
      <c r="Q20" s="2"/>
      <c r="R20" s="19">
        <f t="shared" si="8"/>
        <v>-2.5802844763635192E-2</v>
      </c>
      <c r="S20" s="2"/>
      <c r="T20" s="2"/>
      <c r="U20" s="2"/>
      <c r="V20" s="19">
        <f t="shared" si="9"/>
        <v>0</v>
      </c>
      <c r="W20" s="2"/>
      <c r="X20" s="2">
        <f t="shared" si="10"/>
        <v>-96</v>
      </c>
      <c r="Y20" s="2"/>
      <c r="Z20" s="19">
        <f t="shared" si="11"/>
        <v>0</v>
      </c>
    </row>
    <row r="21" spans="1:26" s="24" customFormat="1" hidden="1" outlineLevel="1" x14ac:dyDescent="0.25">
      <c r="A21" s="46"/>
      <c r="B21" s="11" t="str">
        <f>CONCATENATE("          ", "5300", " - ", "COG$ OFFSET")</f>
        <v xml:space="preserve">          5300 - COG$ OFFSET</v>
      </c>
      <c r="C21" s="11"/>
      <c r="D21" s="2">
        <v>26</v>
      </c>
      <c r="E21" s="2"/>
      <c r="F21" s="19">
        <f t="shared" si="4"/>
        <v>0.3724928366762178</v>
      </c>
      <c r="G21" s="2"/>
      <c r="H21" s="2"/>
      <c r="I21" s="2"/>
      <c r="J21" s="19">
        <f t="shared" si="5"/>
        <v>0</v>
      </c>
      <c r="K21" s="2"/>
      <c r="L21" s="2">
        <f t="shared" si="6"/>
        <v>26</v>
      </c>
      <c r="M21" s="2"/>
      <c r="N21" s="19">
        <f t="shared" si="7"/>
        <v>0</v>
      </c>
      <c r="O21" s="11"/>
      <c r="P21" s="2">
        <v>1892</v>
      </c>
      <c r="Q21" s="2"/>
      <c r="R21" s="19">
        <f t="shared" si="8"/>
        <v>0.50853106554997685</v>
      </c>
      <c r="S21" s="2"/>
      <c r="T21" s="2"/>
      <c r="U21" s="2"/>
      <c r="V21" s="19">
        <f t="shared" si="9"/>
        <v>0</v>
      </c>
      <c r="W21" s="2"/>
      <c r="X21" s="2">
        <f t="shared" si="10"/>
        <v>1892</v>
      </c>
      <c r="Y21" s="2"/>
      <c r="Z21" s="19">
        <f t="shared" si="11"/>
        <v>0</v>
      </c>
    </row>
    <row r="22" spans="1:26" s="24" customFormat="1" hidden="1" outlineLevel="1" x14ac:dyDescent="0.25">
      <c r="A22" s="46"/>
      <c r="B22" s="11" t="str">
        <f>CONCATENATE("          ", "5592", " - ", "FREIGHT-IN-GRAD MERCH")</f>
        <v xml:space="preserve">          5592 - FREIGHT-IN-GRAD MERCH</v>
      </c>
      <c r="C22" s="11"/>
      <c r="D22" s="2">
        <v>11.21</v>
      </c>
      <c r="E22" s="2"/>
      <c r="F22" s="19">
        <f t="shared" si="4"/>
        <v>0.16060171919770774</v>
      </c>
      <c r="G22" s="2"/>
      <c r="H22" s="2"/>
      <c r="I22" s="2"/>
      <c r="J22" s="19">
        <f t="shared" si="5"/>
        <v>0</v>
      </c>
      <c r="K22" s="2"/>
      <c r="L22" s="2">
        <f t="shared" si="6"/>
        <v>11.21</v>
      </c>
      <c r="M22" s="2"/>
      <c r="N22" s="19">
        <f t="shared" si="7"/>
        <v>0</v>
      </c>
      <c r="O22" s="11"/>
      <c r="P22" s="2">
        <v>70.78</v>
      </c>
      <c r="Q22" s="2"/>
      <c r="R22" s="19">
        <f t="shared" si="8"/>
        <v>1.9024222420521864E-2</v>
      </c>
      <c r="S22" s="2"/>
      <c r="T22" s="2"/>
      <c r="U22" s="2"/>
      <c r="V22" s="19">
        <f t="shared" si="9"/>
        <v>0</v>
      </c>
      <c r="W22" s="2"/>
      <c r="X22" s="2">
        <f t="shared" si="10"/>
        <v>70.78</v>
      </c>
      <c r="Y22" s="2"/>
      <c r="Z22" s="19">
        <f t="shared" si="11"/>
        <v>0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9" t="s">
        <v>6</v>
      </c>
      <c r="C24" s="29"/>
      <c r="D24" s="22">
        <f>D12-D17</f>
        <v>43.639999999999951</v>
      </c>
      <c r="E24" s="14"/>
      <c r="F24" s="20">
        <f>IF(D$12=0,0,D24/D$12)</f>
        <v>0.62521489971346633</v>
      </c>
      <c r="G24" s="14"/>
      <c r="H24" s="22">
        <f>H12-H17</f>
        <v>0</v>
      </c>
      <c r="I24" s="14"/>
      <c r="J24" s="20">
        <f>IF(H$12=0,0,H24/H$12)</f>
        <v>0</v>
      </c>
      <c r="K24" s="15"/>
      <c r="L24" s="22">
        <f>+D24-H24</f>
        <v>43.639999999999951</v>
      </c>
      <c r="M24" s="15"/>
      <c r="N24" s="20">
        <f>IF(H24=0,0,L24/H24)</f>
        <v>0</v>
      </c>
      <c r="O24" s="28"/>
      <c r="P24" s="22">
        <f>P12-P17</f>
        <v>1828.94</v>
      </c>
      <c r="Q24" s="14"/>
      <c r="R24" s="20">
        <f>IF(P$12=0,0,P24/P$12)</f>
        <v>0.49158182189586402</v>
      </c>
      <c r="S24" s="14"/>
      <c r="T24" s="22">
        <f>T12-T17</f>
        <v>0</v>
      </c>
      <c r="U24" s="14"/>
      <c r="V24" s="20">
        <f>IF(T$12=0,0,T24/T$12)</f>
        <v>0</v>
      </c>
      <c r="W24" s="15"/>
      <c r="X24" s="22">
        <f>+P24-T24</f>
        <v>1828.94</v>
      </c>
      <c r="Y24" s="15"/>
      <c r="Z24" s="20">
        <f>IF(T24=0,0,X24/T24)</f>
        <v>0</v>
      </c>
    </row>
    <row r="25" spans="1:26" x14ac:dyDescent="0.25">
      <c r="A25" s="9"/>
      <c r="B25" s="10"/>
      <c r="C25" s="9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6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8" t="s">
        <v>9</v>
      </c>
      <c r="C26" s="10"/>
      <c r="D26" s="21">
        <f>SUM(OSRRefD22x_0)</f>
        <v>9160.18</v>
      </c>
      <c r="E26" s="21"/>
      <c r="F26" s="33">
        <f t="shared" ref="F26:F35" si="12">IF(D$12=0,0,D26/D$12)</f>
        <v>131.23467048710603</v>
      </c>
      <c r="G26" s="21"/>
      <c r="H26" s="21">
        <f>SUM(OSRRefH22x_0)</f>
        <v>-20965.39340788461</v>
      </c>
      <c r="I26" s="21"/>
      <c r="J26" s="33">
        <f t="shared" ref="J26:J35" si="13">IF(H$12=0,0,H26/H$12)</f>
        <v>0</v>
      </c>
      <c r="K26" s="4"/>
      <c r="L26" s="21">
        <f t="shared" ref="L26:L35" si="14">+D26-H26</f>
        <v>30125.573407884611</v>
      </c>
      <c r="M26" s="4"/>
      <c r="N26" s="33">
        <f t="shared" ref="N26:N35" si="15">IF(H26=0,0,L26/H26)</f>
        <v>-1.436919060939494</v>
      </c>
      <c r="O26" s="10"/>
      <c r="P26" s="21">
        <f>SUM(OSRRefP22x_0)</f>
        <v>-1342.7300000000007</v>
      </c>
      <c r="Q26" s="21"/>
      <c r="R26" s="33">
        <f t="shared" ref="R26:R35" si="16">IF(P$12=0,0,P26/P$12)</f>
        <v>-0.3608984765570406</v>
      </c>
      <c r="S26" s="21"/>
      <c r="T26" s="21">
        <f>SUM(OSRRefT22x_0)</f>
        <v>-16515.02857562499</v>
      </c>
      <c r="U26" s="21"/>
      <c r="V26" s="33">
        <f t="shared" ref="V26:V35" si="17">IF(T$12=0,0,T26/T$12)</f>
        <v>0</v>
      </c>
      <c r="W26" s="4"/>
      <c r="X26" s="21">
        <f t="shared" ref="X26:X35" si="18">+P26-T26</f>
        <v>15172.298575624989</v>
      </c>
      <c r="Y26" s="4"/>
      <c r="Z26" s="33">
        <f t="shared" ref="Z26:Z35" si="19">IF(T26=0,0,X26/T26)</f>
        <v>-0.91869647734174831</v>
      </c>
    </row>
    <row r="27" spans="1:26" s="26" customFormat="1" outlineLevel="1" collapsed="1" x14ac:dyDescent="0.25">
      <c r="A27" s="27"/>
      <c r="B27" s="13" t="str">
        <f>CONCATENATE("     ","*Benefits                                         ")</f>
        <v xml:space="preserve">     *Benefits                                         </v>
      </c>
      <c r="C27" s="13"/>
      <c r="D27" s="1">
        <f>SUM(OSRRefD22_0x_0)</f>
        <v>0</v>
      </c>
      <c r="E27" s="1"/>
      <c r="F27" s="5">
        <f t="shared" si="12"/>
        <v>0</v>
      </c>
      <c r="G27" s="1"/>
      <c r="H27" s="1">
        <f>SUM(OSRRefH22_0x_0)</f>
        <v>1178.5227459615389</v>
      </c>
      <c r="I27" s="1"/>
      <c r="J27" s="5">
        <f t="shared" si="13"/>
        <v>0</v>
      </c>
      <c r="K27" s="1"/>
      <c r="L27" s="1">
        <f t="shared" si="14"/>
        <v>-1178.5227459615389</v>
      </c>
      <c r="M27" s="1"/>
      <c r="N27" s="5">
        <f t="shared" si="15"/>
        <v>-1</v>
      </c>
      <c r="O27" s="13"/>
      <c r="P27" s="1">
        <f>SUM(OSRRefP22_0x_0)</f>
        <v>835.72</v>
      </c>
      <c r="Q27" s="1"/>
      <c r="R27" s="5">
        <f t="shared" si="16"/>
        <v>0.22462451485276252</v>
      </c>
      <c r="S27" s="1"/>
      <c r="T27" s="1">
        <f>SUM(OSRRefT22_0x_0)</f>
        <v>3665.1989243750004</v>
      </c>
      <c r="U27" s="1"/>
      <c r="V27" s="5">
        <f t="shared" si="17"/>
        <v>0</v>
      </c>
      <c r="W27" s="1"/>
      <c r="X27" s="1">
        <f t="shared" si="18"/>
        <v>-2829.4789243750001</v>
      </c>
      <c r="Y27" s="1"/>
      <c r="Z27" s="5">
        <f t="shared" si="19"/>
        <v>-0.77198509078398536</v>
      </c>
    </row>
    <row r="28" spans="1:26" s="24" customFormat="1" hidden="1" outlineLevel="2" x14ac:dyDescent="0.25">
      <c r="A28" s="25"/>
      <c r="B28" s="11" t="str">
        <f>CONCATENATE("          ", "6111", " - ", "F.I.C.A.")</f>
        <v xml:space="preserve">          6111 - F.I.C.A.</v>
      </c>
      <c r="C28" s="11"/>
      <c r="D28" s="7"/>
      <c r="E28" s="2"/>
      <c r="F28" s="6">
        <f t="shared" si="12"/>
        <v>0</v>
      </c>
      <c r="G28" s="2"/>
      <c r="H28" s="7">
        <v>150.23869211538502</v>
      </c>
      <c r="I28" s="2"/>
      <c r="J28" s="6">
        <f t="shared" si="13"/>
        <v>0</v>
      </c>
      <c r="K28" s="2"/>
      <c r="L28" s="7">
        <f t="shared" si="14"/>
        <v>-150.23869211538502</v>
      </c>
      <c r="M28" s="2"/>
      <c r="N28" s="6">
        <f t="shared" si="15"/>
        <v>-1</v>
      </c>
      <c r="O28" s="11"/>
      <c r="P28" s="7">
        <v>155.66</v>
      </c>
      <c r="Q28" s="2"/>
      <c r="R28" s="6">
        <f t="shared" si="16"/>
        <v>4.1838237665702646E-2</v>
      </c>
      <c r="S28" s="2"/>
      <c r="T28" s="7">
        <v>488.275749375001</v>
      </c>
      <c r="U28" s="2"/>
      <c r="V28" s="6">
        <f t="shared" si="17"/>
        <v>0</v>
      </c>
      <c r="W28" s="2"/>
      <c r="X28" s="7">
        <f t="shared" si="18"/>
        <v>-332.61574937500097</v>
      </c>
      <c r="Y28" s="2"/>
      <c r="Z28" s="6">
        <f t="shared" si="19"/>
        <v>-0.68120472868200654</v>
      </c>
    </row>
    <row r="29" spans="1:26" s="24" customFormat="1" hidden="1" outlineLevel="2" x14ac:dyDescent="0.25">
      <c r="A29" s="25"/>
      <c r="B29" s="11" t="str">
        <f>CONCATENATE("          ", "6112", " - ", "COMPENSATION INSURANCE")</f>
        <v xml:space="preserve">          6112 - COMPENSATION INSURANCE</v>
      </c>
      <c r="C29" s="11"/>
      <c r="D29" s="7"/>
      <c r="E29" s="2"/>
      <c r="F29" s="6">
        <f t="shared" si="12"/>
        <v>0</v>
      </c>
      <c r="G29" s="2"/>
      <c r="H29" s="7">
        <v>37.299557692307701</v>
      </c>
      <c r="I29" s="2"/>
      <c r="J29" s="6">
        <f t="shared" si="13"/>
        <v>0</v>
      </c>
      <c r="K29" s="2"/>
      <c r="L29" s="7">
        <f t="shared" si="14"/>
        <v>-37.299557692307701</v>
      </c>
      <c r="M29" s="2"/>
      <c r="N29" s="6">
        <f t="shared" si="15"/>
        <v>-1</v>
      </c>
      <c r="O29" s="11"/>
      <c r="P29" s="7">
        <v>36.479999999999997</v>
      </c>
      <c r="Q29" s="2"/>
      <c r="R29" s="6">
        <f t="shared" si="16"/>
        <v>9.8050810101813716E-3</v>
      </c>
      <c r="S29" s="2"/>
      <c r="T29" s="7">
        <v>121.2235625</v>
      </c>
      <c r="U29" s="2"/>
      <c r="V29" s="6">
        <f t="shared" si="17"/>
        <v>0</v>
      </c>
      <c r="W29" s="2"/>
      <c r="X29" s="7">
        <f t="shared" si="18"/>
        <v>-84.743562499999996</v>
      </c>
      <c r="Y29" s="2"/>
      <c r="Z29" s="6">
        <f t="shared" si="19"/>
        <v>-0.69906840512132284</v>
      </c>
    </row>
    <row r="30" spans="1:26" s="24" customFormat="1" hidden="1" outlineLevel="2" x14ac:dyDescent="0.25">
      <c r="A30" s="25"/>
      <c r="B30" s="11" t="str">
        <f>CONCATENATE("          ", "6113", " - ", "GROUP INSURANCE")</f>
        <v xml:space="preserve">          6113 - GROUP INSURANCE</v>
      </c>
      <c r="C30" s="11"/>
      <c r="D30" s="7"/>
      <c r="E30" s="2"/>
      <c r="F30" s="6">
        <f t="shared" si="12"/>
        <v>0</v>
      </c>
      <c r="G30" s="2"/>
      <c r="H30" s="7">
        <v>660</v>
      </c>
      <c r="I30" s="2"/>
      <c r="J30" s="6">
        <f t="shared" si="13"/>
        <v>0</v>
      </c>
      <c r="K30" s="2"/>
      <c r="L30" s="7">
        <f t="shared" si="14"/>
        <v>-660</v>
      </c>
      <c r="M30" s="2"/>
      <c r="N30" s="6">
        <f t="shared" si="15"/>
        <v>-1</v>
      </c>
      <c r="O30" s="11"/>
      <c r="P30" s="7">
        <v>305.26</v>
      </c>
      <c r="Q30" s="2"/>
      <c r="R30" s="6">
        <f t="shared" si="16"/>
        <v>8.2047670755700811E-2</v>
      </c>
      <c r="S30" s="2"/>
      <c r="T30" s="7">
        <v>1980</v>
      </c>
      <c r="U30" s="2"/>
      <c r="V30" s="6">
        <f t="shared" si="17"/>
        <v>0</v>
      </c>
      <c r="W30" s="2"/>
      <c r="X30" s="7">
        <f t="shared" si="18"/>
        <v>-1674.74</v>
      </c>
      <c r="Y30" s="2"/>
      <c r="Z30" s="6">
        <f t="shared" si="19"/>
        <v>-0.84582828282828282</v>
      </c>
    </row>
    <row r="31" spans="1:26" s="24" customFormat="1" hidden="1" outlineLevel="2" x14ac:dyDescent="0.25">
      <c r="A31" s="25"/>
      <c r="B31" s="11" t="str">
        <f>CONCATENATE("          ", "6114", " - ", "STATE UNEMPLOYMENT INSURANCE")</f>
        <v xml:space="preserve">          6114 - STATE UNEMPLOYMENT INSURANCE</v>
      </c>
      <c r="C31" s="11"/>
      <c r="D31" s="7"/>
      <c r="E31" s="2"/>
      <c r="F31" s="6">
        <f t="shared" si="12"/>
        <v>0</v>
      </c>
      <c r="G31" s="2"/>
      <c r="H31" s="7">
        <v>5.1041499999999997</v>
      </c>
      <c r="I31" s="2"/>
      <c r="J31" s="6">
        <f t="shared" si="13"/>
        <v>0</v>
      </c>
      <c r="K31" s="2"/>
      <c r="L31" s="7">
        <f t="shared" si="14"/>
        <v>-5.1041499999999997</v>
      </c>
      <c r="M31" s="2"/>
      <c r="N31" s="6">
        <f t="shared" si="15"/>
        <v>-1</v>
      </c>
      <c r="O31" s="11"/>
      <c r="P31" s="7">
        <v>5</v>
      </c>
      <c r="Q31" s="2"/>
      <c r="R31" s="6">
        <f t="shared" si="16"/>
        <v>1.3438981647726663E-3</v>
      </c>
      <c r="S31" s="2"/>
      <c r="T31" s="7">
        <v>16.588487499999999</v>
      </c>
      <c r="U31" s="2"/>
      <c r="V31" s="6">
        <f t="shared" si="17"/>
        <v>0</v>
      </c>
      <c r="W31" s="2"/>
      <c r="X31" s="7">
        <f t="shared" si="18"/>
        <v>-11.588487499999999</v>
      </c>
      <c r="Y31" s="2"/>
      <c r="Z31" s="6">
        <f t="shared" si="19"/>
        <v>-0.69858614295004295</v>
      </c>
    </row>
    <row r="32" spans="1:26" s="24" customFormat="1" hidden="1" outlineLevel="2" x14ac:dyDescent="0.25">
      <c r="A32" s="25"/>
      <c r="B32" s="11" t="str">
        <f>CONCATENATE("          ", "6115", " - ", "P.E.R.S.")</f>
        <v xml:space="preserve">          6115 - P.E.R.S.</v>
      </c>
      <c r="C32" s="11"/>
      <c r="D32" s="7"/>
      <c r="E32" s="2"/>
      <c r="F32" s="6">
        <f t="shared" si="12"/>
        <v>0</v>
      </c>
      <c r="G32" s="2"/>
      <c r="H32" s="7">
        <v>168.82957692307698</v>
      </c>
      <c r="I32" s="2"/>
      <c r="J32" s="6">
        <f t="shared" si="13"/>
        <v>0</v>
      </c>
      <c r="K32" s="2"/>
      <c r="L32" s="7">
        <f t="shared" si="14"/>
        <v>-168.82957692307698</v>
      </c>
      <c r="M32" s="2"/>
      <c r="N32" s="6">
        <f t="shared" si="15"/>
        <v>-1</v>
      </c>
      <c r="O32" s="11"/>
      <c r="P32" s="7">
        <v>134.12</v>
      </c>
      <c r="Q32" s="2"/>
      <c r="R32" s="6">
        <f t="shared" si="16"/>
        <v>3.6048724371861997E-2</v>
      </c>
      <c r="S32" s="2"/>
      <c r="T32" s="7">
        <v>548.69612500000005</v>
      </c>
      <c r="U32" s="2"/>
      <c r="V32" s="6">
        <f t="shared" si="17"/>
        <v>0</v>
      </c>
      <c r="W32" s="2"/>
      <c r="X32" s="7">
        <f t="shared" si="18"/>
        <v>-414.57612500000005</v>
      </c>
      <c r="Y32" s="2"/>
      <c r="Z32" s="6">
        <f t="shared" si="19"/>
        <v>-0.75556597925673341</v>
      </c>
    </row>
    <row r="33" spans="1:26" s="24" customFormat="1" hidden="1" outlineLevel="2" x14ac:dyDescent="0.25">
      <c r="A33" s="25"/>
      <c r="B33" s="11" t="str">
        <f>CONCATENATE("          ", "6116", " - ", "EDUCATIONAL BENEFITS")</f>
        <v xml:space="preserve">          6116 - EDUCATIONAL BENEFITS</v>
      </c>
      <c r="C33" s="11"/>
      <c r="D33" s="7"/>
      <c r="E33" s="2"/>
      <c r="F33" s="6">
        <f t="shared" si="12"/>
        <v>0</v>
      </c>
      <c r="G33" s="2"/>
      <c r="H33" s="7">
        <v>0</v>
      </c>
      <c r="I33" s="2"/>
      <c r="J33" s="6">
        <f t="shared" si="13"/>
        <v>0</v>
      </c>
      <c r="K33" s="2"/>
      <c r="L33" s="7">
        <f t="shared" si="14"/>
        <v>0</v>
      </c>
      <c r="M33" s="2"/>
      <c r="N33" s="6">
        <f t="shared" si="15"/>
        <v>0</v>
      </c>
      <c r="O33" s="11"/>
      <c r="P33" s="7"/>
      <c r="Q33" s="2"/>
      <c r="R33" s="6">
        <f t="shared" si="16"/>
        <v>0</v>
      </c>
      <c r="S33" s="2"/>
      <c r="T33" s="7">
        <v>0</v>
      </c>
      <c r="U33" s="2"/>
      <c r="V33" s="6">
        <f t="shared" si="17"/>
        <v>0</v>
      </c>
      <c r="W33" s="2"/>
      <c r="X33" s="7">
        <f t="shared" si="18"/>
        <v>0</v>
      </c>
      <c r="Y33" s="2"/>
      <c r="Z33" s="6">
        <f t="shared" si="19"/>
        <v>0</v>
      </c>
    </row>
    <row r="34" spans="1:26" s="24" customFormat="1" hidden="1" outlineLevel="2" x14ac:dyDescent="0.25">
      <c r="A34" s="25"/>
      <c r="B34" s="11" t="str">
        <f>CONCATENATE("          ", "6118", " - ", "VACATION")</f>
        <v xml:space="preserve">          6118 - VACATION</v>
      </c>
      <c r="C34" s="11"/>
      <c r="D34" s="7"/>
      <c r="E34" s="2"/>
      <c r="F34" s="6">
        <f t="shared" si="12"/>
        <v>0</v>
      </c>
      <c r="G34" s="2"/>
      <c r="H34" s="7">
        <v>98.156730769230791</v>
      </c>
      <c r="I34" s="2"/>
      <c r="J34" s="6">
        <f t="shared" si="13"/>
        <v>0</v>
      </c>
      <c r="K34" s="2"/>
      <c r="L34" s="7">
        <f t="shared" si="14"/>
        <v>-98.156730769230791</v>
      </c>
      <c r="M34" s="2"/>
      <c r="N34" s="6">
        <f t="shared" si="15"/>
        <v>-1</v>
      </c>
      <c r="O34" s="11"/>
      <c r="P34" s="7">
        <v>110.64</v>
      </c>
      <c r="Q34" s="2"/>
      <c r="R34" s="6">
        <f t="shared" si="16"/>
        <v>2.9737778590089557E-2</v>
      </c>
      <c r="S34" s="2"/>
      <c r="T34" s="7">
        <v>319.00937499999958</v>
      </c>
      <c r="U34" s="2"/>
      <c r="V34" s="6">
        <f t="shared" si="17"/>
        <v>0</v>
      </c>
      <c r="W34" s="2"/>
      <c r="X34" s="7">
        <f t="shared" si="18"/>
        <v>-208.36937499999959</v>
      </c>
      <c r="Y34" s="2"/>
      <c r="Z34" s="6">
        <f t="shared" si="19"/>
        <v>-0.65317633690232413</v>
      </c>
    </row>
    <row r="35" spans="1:26" s="24" customFormat="1" hidden="1" outlineLevel="2" x14ac:dyDescent="0.25">
      <c r="A35" s="25"/>
      <c r="B35" s="11" t="str">
        <f>CONCATENATE("          ", "6119", " - ", "SICK LEAVE")</f>
        <v xml:space="preserve">          6119 - SICK LEAVE</v>
      </c>
      <c r="C35" s="11"/>
      <c r="D35" s="7"/>
      <c r="E35" s="2"/>
      <c r="F35" s="6">
        <f t="shared" si="12"/>
        <v>0</v>
      </c>
      <c r="G35" s="2"/>
      <c r="H35" s="7">
        <v>58.894038461538493</v>
      </c>
      <c r="I35" s="2"/>
      <c r="J35" s="6">
        <f t="shared" si="13"/>
        <v>0</v>
      </c>
      <c r="K35" s="2"/>
      <c r="L35" s="7">
        <f t="shared" si="14"/>
        <v>-58.894038461538493</v>
      </c>
      <c r="M35" s="2"/>
      <c r="N35" s="6">
        <f t="shared" si="15"/>
        <v>-1</v>
      </c>
      <c r="O35" s="11"/>
      <c r="P35" s="7">
        <v>88.56</v>
      </c>
      <c r="Q35" s="2"/>
      <c r="R35" s="6">
        <f t="shared" si="16"/>
        <v>2.3803124294453464E-2</v>
      </c>
      <c r="S35" s="2"/>
      <c r="T35" s="7">
        <v>191.4056250000001</v>
      </c>
      <c r="U35" s="2"/>
      <c r="V35" s="6">
        <f t="shared" si="17"/>
        <v>0</v>
      </c>
      <c r="W35" s="2"/>
      <c r="X35" s="7">
        <f t="shared" si="18"/>
        <v>-102.8456250000001</v>
      </c>
      <c r="Y35" s="2"/>
      <c r="Z35" s="6">
        <f t="shared" si="19"/>
        <v>-0.53731767287403409</v>
      </c>
    </row>
    <row r="36" spans="1:26" s="26" customFormat="1" outlineLevel="1" collapsed="1" x14ac:dyDescent="0.25">
      <c r="A36" s="27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-240</v>
      </c>
      <c r="E36" s="1"/>
      <c r="F36" s="5">
        <f t="shared" ref="F36:F46" si="20">IF(D$12=0,0,D36/D$12)</f>
        <v>-3.4383954154727796</v>
      </c>
      <c r="G36" s="1"/>
      <c r="H36" s="1">
        <f>SUM(OSRRefH22_1x_0)</f>
        <v>1806.0838461538501</v>
      </c>
      <c r="I36" s="1"/>
      <c r="J36" s="5">
        <f t="shared" ref="J36:J46" si="21">IF(H$12=0,0,H36/H$12)</f>
        <v>0</v>
      </c>
      <c r="K36" s="1"/>
      <c r="L36" s="1">
        <f t="shared" ref="L36:L46" si="22">+D36-H36</f>
        <v>-2046.0838461538501</v>
      </c>
      <c r="M36" s="1"/>
      <c r="N36" s="5">
        <f t="shared" ref="N36:N46" si="23">IF(H36=0,0,L36/H36)</f>
        <v>-1.1328841961081113</v>
      </c>
      <c r="O36" s="13"/>
      <c r="P36" s="1">
        <f>SUM(OSRRefP22_1x_0)</f>
        <v>1986.7399999999998</v>
      </c>
      <c r="Q36" s="1"/>
      <c r="R36" s="5">
        <f t="shared" ref="R36:R46" si="24">IF(P$12=0,0,P36/P$12)</f>
        <v>0.53399524797608933</v>
      </c>
      <c r="S36" s="1"/>
      <c r="T36" s="1">
        <f>SUM(OSRRefT22_1x_0)</f>
        <v>5869.77250000001</v>
      </c>
      <c r="U36" s="1"/>
      <c r="V36" s="5">
        <f t="shared" ref="V36:V46" si="25">IF(T$12=0,0,T36/T$12)</f>
        <v>0</v>
      </c>
      <c r="W36" s="1"/>
      <c r="X36" s="1">
        <f t="shared" ref="X36:X46" si="26">+P36-T36</f>
        <v>-3883.0325000000103</v>
      </c>
      <c r="Y36" s="1"/>
      <c r="Z36" s="5">
        <f t="shared" ref="Z36:Z46" si="27">IF(T36=0,0,X36/T36)</f>
        <v>-0.66153032336432183</v>
      </c>
    </row>
    <row r="37" spans="1:26" s="24" customFormat="1" hidden="1" outlineLevel="2" x14ac:dyDescent="0.25">
      <c r="A37" s="25"/>
      <c r="B37" s="11" t="str">
        <f>CONCATENATE("          ", "6001", " - ", "ADMINISTRATIVE SALARIES")</f>
        <v xml:space="preserve">          6001 - ADMINISTRATIVE SALARIES</v>
      </c>
      <c r="C37" s="11"/>
      <c r="D37" s="7"/>
      <c r="E37" s="2"/>
      <c r="F37" s="6">
        <f t="shared" si="20"/>
        <v>0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0</v>
      </c>
      <c r="Y37" s="2"/>
      <c r="Z37" s="6">
        <f t="shared" si="27"/>
        <v>0</v>
      </c>
    </row>
    <row r="38" spans="1:26" s="24" customFormat="1" hidden="1" outlineLevel="2" x14ac:dyDescent="0.25">
      <c r="A38" s="25"/>
      <c r="B38" s="11" t="str">
        <f>CONCATENATE("          ", "6002", " - ", "STAFF SALARIES")</f>
        <v xml:space="preserve">          6002 - STAFF SALARIES</v>
      </c>
      <c r="C38" s="11"/>
      <c r="D38" s="7">
        <v>-240</v>
      </c>
      <c r="E38" s="2"/>
      <c r="F38" s="6">
        <f t="shared" si="20"/>
        <v>-3.4383954154727796</v>
      </c>
      <c r="G38" s="2"/>
      <c r="H38" s="7">
        <v>1806.0838461538501</v>
      </c>
      <c r="I38" s="2"/>
      <c r="J38" s="6">
        <f t="shared" si="21"/>
        <v>0</v>
      </c>
      <c r="K38" s="2"/>
      <c r="L38" s="7">
        <f t="shared" si="22"/>
        <v>-2046.0838461538501</v>
      </c>
      <c r="M38" s="2"/>
      <c r="N38" s="6">
        <f t="shared" si="23"/>
        <v>-1.1328841961081113</v>
      </c>
      <c r="O38" s="11"/>
      <c r="P38" s="7">
        <v>1872</v>
      </c>
      <c r="Q38" s="2"/>
      <c r="R38" s="6">
        <f t="shared" si="24"/>
        <v>0.50315547289088625</v>
      </c>
      <c r="S38" s="2"/>
      <c r="T38" s="7">
        <v>5869.77250000001</v>
      </c>
      <c r="U38" s="2"/>
      <c r="V38" s="6">
        <f t="shared" si="25"/>
        <v>0</v>
      </c>
      <c r="W38" s="2"/>
      <c r="X38" s="7">
        <f t="shared" si="26"/>
        <v>-3997.77250000001</v>
      </c>
      <c r="Y38" s="2"/>
      <c r="Z38" s="6">
        <f t="shared" si="27"/>
        <v>-0.68107792934053291</v>
      </c>
    </row>
    <row r="39" spans="1:26" s="24" customFormat="1" hidden="1" outlineLevel="2" x14ac:dyDescent="0.25">
      <c r="A39" s="25"/>
      <c r="B39" s="11" t="str">
        <f>CONCATENATE("          ", "6003", " - ", "STAFF HOURLY-9 MONTH")</f>
        <v xml:space="preserve">          6003 - STAFF HOURLY-9 MONTH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5"/>
      <c r="B40" s="11" t="str">
        <f>CONCATENATE("          ", "6004", " - ", "STAFF HOURLY")</f>
        <v xml:space="preserve">          6004 - STAFF HOURLY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4" customFormat="1" hidden="1" outlineLevel="2" x14ac:dyDescent="0.25">
      <c r="A41" s="25"/>
      <c r="B41" s="11" t="str">
        <f>CONCATENATE("          ", "6005", " - ", "TEMPORARY WAGES-HOURLY")</f>
        <v xml:space="preserve">          6005 - TEMPORARY WAGES-HOURLY</v>
      </c>
      <c r="C41" s="11"/>
      <c r="D41" s="7"/>
      <c r="E41" s="2"/>
      <c r="F41" s="6">
        <f t="shared" si="20"/>
        <v>0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0</v>
      </c>
      <c r="M41" s="2"/>
      <c r="N41" s="6">
        <f t="shared" si="23"/>
        <v>0</v>
      </c>
      <c r="O41" s="11"/>
      <c r="P41" s="7"/>
      <c r="Q41" s="2"/>
      <c r="R41" s="6">
        <f t="shared" si="24"/>
        <v>0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0</v>
      </c>
      <c r="Y41" s="2"/>
      <c r="Z41" s="6">
        <f t="shared" si="27"/>
        <v>0</v>
      </c>
    </row>
    <row r="42" spans="1:26" s="24" customFormat="1" hidden="1" outlineLevel="2" x14ac:dyDescent="0.25">
      <c r="A42" s="25"/>
      <c r="B42" s="11" t="str">
        <f>CONCATENATE("          ", "6006", " - ", "TEMPORARY PART TIME")</f>
        <v xml:space="preserve">          6006 - TEMPORARY PART TIME</v>
      </c>
      <c r="C42" s="11"/>
      <c r="D42" s="7"/>
      <c r="E42" s="2"/>
      <c r="F42" s="6">
        <f t="shared" si="20"/>
        <v>0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0</v>
      </c>
      <c r="M42" s="2"/>
      <c r="N42" s="6">
        <f t="shared" si="23"/>
        <v>0</v>
      </c>
      <c r="O42" s="11"/>
      <c r="P42" s="7">
        <v>57.37</v>
      </c>
      <c r="Q42" s="2"/>
      <c r="R42" s="6">
        <f t="shared" si="24"/>
        <v>1.5419887542601571E-2</v>
      </c>
      <c r="S42" s="2"/>
      <c r="T42" s="7">
        <v>0</v>
      </c>
      <c r="U42" s="2"/>
      <c r="V42" s="6">
        <f t="shared" si="25"/>
        <v>0</v>
      </c>
      <c r="W42" s="2"/>
      <c r="X42" s="7">
        <f t="shared" si="26"/>
        <v>57.37</v>
      </c>
      <c r="Y42" s="2"/>
      <c r="Z42" s="6">
        <f t="shared" si="27"/>
        <v>0</v>
      </c>
    </row>
    <row r="43" spans="1:26" s="24" customFormat="1" hidden="1" outlineLevel="2" x14ac:dyDescent="0.25">
      <c r="A43" s="25"/>
      <c r="B43" s="11" t="str">
        <f>CONCATENATE("          ", "6007", " - ", "STUDENT HOURLY")</f>
        <v xml:space="preserve">          6007 - STUDENT HOURLY</v>
      </c>
      <c r="C43" s="11"/>
      <c r="D43" s="7"/>
      <c r="E43" s="2"/>
      <c r="F43" s="6">
        <f t="shared" si="20"/>
        <v>0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>
        <v>57.37</v>
      </c>
      <c r="Q43" s="2"/>
      <c r="R43" s="6">
        <f t="shared" si="24"/>
        <v>1.5419887542601571E-2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57.37</v>
      </c>
      <c r="Y43" s="2"/>
      <c r="Z43" s="6">
        <f t="shared" si="27"/>
        <v>0</v>
      </c>
    </row>
    <row r="44" spans="1:26" s="24" customFormat="1" hidden="1" outlineLevel="2" x14ac:dyDescent="0.25">
      <c r="A44" s="25"/>
      <c r="B44" s="11" t="str">
        <f>CONCATENATE("          ", "6008", " - ", "STUDENT HOURLY-FICA EXEMPT")</f>
        <v xml:space="preserve">          6008 - STUDENT HOURLY-FICA EXEMPT</v>
      </c>
      <c r="C44" s="11"/>
      <c r="D44" s="7"/>
      <c r="E44" s="2"/>
      <c r="F44" s="6">
        <f t="shared" si="20"/>
        <v>0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0</v>
      </c>
      <c r="M44" s="2"/>
      <c r="N44" s="6">
        <f t="shared" si="23"/>
        <v>0</v>
      </c>
      <c r="O44" s="11"/>
      <c r="P44" s="7"/>
      <c r="Q44" s="2"/>
      <c r="R44" s="6">
        <f t="shared" si="24"/>
        <v>0</v>
      </c>
      <c r="S44" s="2"/>
      <c r="T44" s="7">
        <v>0</v>
      </c>
      <c r="U44" s="2"/>
      <c r="V44" s="6">
        <f t="shared" si="25"/>
        <v>0</v>
      </c>
      <c r="W44" s="2"/>
      <c r="X44" s="7">
        <f t="shared" si="26"/>
        <v>0</v>
      </c>
      <c r="Y44" s="2"/>
      <c r="Z44" s="6">
        <f t="shared" si="27"/>
        <v>0</v>
      </c>
    </row>
    <row r="45" spans="1:26" s="24" customFormat="1" hidden="1" outlineLevel="2" x14ac:dyDescent="0.25">
      <c r="A45" s="25"/>
      <c r="B45" s="11" t="str">
        <f>CONCATENATE("          ", "6009", " - ", "TEMPORARY-SEASONAL")</f>
        <v xml:space="preserve">          6009 - TEMPORARY-SEASONAL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24" customFormat="1" hidden="1" outlineLevel="2" x14ac:dyDescent="0.25">
      <c r="A46" s="25"/>
      <c r="B46" s="11" t="str">
        <f>CONCATENATE("          ", "6010", " - ", "GRATUITY")</f>
        <v xml:space="preserve">          6010 - GRATUITY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6" customFormat="1" outlineLevel="1" collapsed="1" x14ac:dyDescent="0.25">
      <c r="A47" s="27"/>
      <c r="B47" s="13" t="str">
        <f>CONCATENATE("     ","Advertising/Promo                                 ")</f>
        <v xml:space="preserve">     Advertising/Promo                                 </v>
      </c>
      <c r="C47" s="13"/>
      <c r="D47" s="1">
        <f>SUM(OSRRefD22_2x_0)</f>
        <v>-857.46</v>
      </c>
      <c r="E47" s="1"/>
      <c r="F47" s="5">
        <f t="shared" ref="F47:F53" si="28">IF(D$12=0,0,D47/D$12)</f>
        <v>-12.284527220630373</v>
      </c>
      <c r="G47" s="1"/>
      <c r="H47" s="1">
        <f>SUM(OSRRefH22_2x_0)</f>
        <v>0</v>
      </c>
      <c r="I47" s="1"/>
      <c r="J47" s="5">
        <f t="shared" ref="J47:J53" si="29">IF(H$12=0,0,H47/H$12)</f>
        <v>0</v>
      </c>
      <c r="K47" s="1"/>
      <c r="L47" s="1">
        <f t="shared" ref="L47:L53" si="30">+D47-H47</f>
        <v>-857.46</v>
      </c>
      <c r="M47" s="1"/>
      <c r="N47" s="5">
        <f t="shared" ref="N47:N53" si="31">IF(H47=0,0,L47/H47)</f>
        <v>0</v>
      </c>
      <c r="O47" s="13"/>
      <c r="P47" s="1">
        <f>SUM(OSRRefP22_2x_0)</f>
        <v>-857.46</v>
      </c>
      <c r="Q47" s="1"/>
      <c r="R47" s="5">
        <f t="shared" ref="R47:R53" si="32">IF(P$12=0,0,P47/P$12)</f>
        <v>-0.23046778407319407</v>
      </c>
      <c r="S47" s="1"/>
      <c r="T47" s="1">
        <f>SUM(OSRRefT22_2x_0)</f>
        <v>0</v>
      </c>
      <c r="U47" s="1"/>
      <c r="V47" s="5">
        <f t="shared" ref="V47:V53" si="33">IF(T$12=0,0,T47/T$12)</f>
        <v>0</v>
      </c>
      <c r="W47" s="1"/>
      <c r="X47" s="1">
        <f t="shared" ref="X47:X53" si="34">+P47-T47</f>
        <v>-857.46</v>
      </c>
      <c r="Y47" s="1"/>
      <c r="Z47" s="5">
        <f t="shared" ref="Z47:Z53" si="35">IF(T47=0,0,X47/T47)</f>
        <v>0</v>
      </c>
    </row>
    <row r="48" spans="1:26" s="24" customFormat="1" hidden="1" outlineLevel="2" x14ac:dyDescent="0.25">
      <c r="A48" s="25"/>
      <c r="B48" s="11" t="str">
        <f>CONCATENATE("          ", "6362", " - ", "ADVERTISING EXPENSE")</f>
        <v xml:space="preserve">          6362 - ADVERTISING EXPENSE</v>
      </c>
      <c r="C48" s="11"/>
      <c r="D48" s="7">
        <v>-857.46</v>
      </c>
      <c r="E48" s="2"/>
      <c r="F48" s="6">
        <f t="shared" si="28"/>
        <v>-12.284527220630373</v>
      </c>
      <c r="G48" s="2"/>
      <c r="H48" s="7"/>
      <c r="I48" s="2"/>
      <c r="J48" s="6">
        <f t="shared" si="29"/>
        <v>0</v>
      </c>
      <c r="K48" s="2"/>
      <c r="L48" s="7">
        <f t="shared" si="30"/>
        <v>-857.46</v>
      </c>
      <c r="M48" s="2"/>
      <c r="N48" s="6">
        <f t="shared" si="31"/>
        <v>0</v>
      </c>
      <c r="O48" s="11"/>
      <c r="P48" s="7">
        <v>-857.46</v>
      </c>
      <c r="Q48" s="2"/>
      <c r="R48" s="6">
        <f t="shared" si="32"/>
        <v>-0.23046778407319407</v>
      </c>
      <c r="S48" s="2"/>
      <c r="T48" s="7"/>
      <c r="U48" s="2"/>
      <c r="V48" s="6">
        <f t="shared" si="33"/>
        <v>0</v>
      </c>
      <c r="W48" s="2"/>
      <c r="X48" s="7">
        <f t="shared" si="34"/>
        <v>-857.46</v>
      </c>
      <c r="Y48" s="2"/>
      <c r="Z48" s="6">
        <f t="shared" si="35"/>
        <v>0</v>
      </c>
    </row>
    <row r="49" spans="1:26" s="26" customFormat="1" outlineLevel="1" collapsed="1" x14ac:dyDescent="0.25">
      <c r="A49" s="27"/>
      <c r="B49" s="13" t="str">
        <f>CONCATENATE("     ","Discounts and Markdowns                           ")</f>
        <v xml:space="preserve">     Discounts and Markdowns                           </v>
      </c>
      <c r="C49" s="13"/>
      <c r="D49" s="1">
        <f>SUM(OSRRefD22_3x_0)</f>
        <v>0</v>
      </c>
      <c r="E49" s="1"/>
      <c r="F49" s="5">
        <f t="shared" si="28"/>
        <v>0</v>
      </c>
      <c r="G49" s="1"/>
      <c r="H49" s="1">
        <f>SUM(OSRRefH22_3x_0)</f>
        <v>100</v>
      </c>
      <c r="I49" s="1"/>
      <c r="J49" s="5">
        <f t="shared" si="29"/>
        <v>0</v>
      </c>
      <c r="K49" s="1"/>
      <c r="L49" s="1">
        <f t="shared" si="30"/>
        <v>-100</v>
      </c>
      <c r="M49" s="1"/>
      <c r="N49" s="5">
        <f t="shared" si="31"/>
        <v>-1</v>
      </c>
      <c r="O49" s="13"/>
      <c r="P49" s="1">
        <f>SUM(OSRRefP22_3x_0)</f>
        <v>5.25</v>
      </c>
      <c r="Q49" s="1"/>
      <c r="R49" s="5">
        <f t="shared" si="32"/>
        <v>1.4110930730112995E-3</v>
      </c>
      <c r="S49" s="1"/>
      <c r="T49" s="1">
        <f>SUM(OSRRefT22_3x_0)</f>
        <v>300</v>
      </c>
      <c r="U49" s="1"/>
      <c r="V49" s="5">
        <f t="shared" si="33"/>
        <v>0</v>
      </c>
      <c r="W49" s="1"/>
      <c r="X49" s="1">
        <f t="shared" si="34"/>
        <v>-294.75</v>
      </c>
      <c r="Y49" s="1"/>
      <c r="Z49" s="5">
        <f t="shared" si="35"/>
        <v>-0.98250000000000004</v>
      </c>
    </row>
    <row r="50" spans="1:26" s="24" customFormat="1" hidden="1" outlineLevel="2" x14ac:dyDescent="0.25">
      <c r="A50" s="25"/>
      <c r="B50" s="11" t="str">
        <f>CONCATENATE("          ", "6382", " - ", "DISCOUNTS/MARK DOWNS")</f>
        <v xml:space="preserve">          6382 - DISCOUNTS/MARK DOWNS</v>
      </c>
      <c r="C50" s="11"/>
      <c r="D50" s="7"/>
      <c r="E50" s="2"/>
      <c r="F50" s="6">
        <f t="shared" si="28"/>
        <v>0</v>
      </c>
      <c r="G50" s="2"/>
      <c r="H50" s="7">
        <v>100</v>
      </c>
      <c r="I50" s="2"/>
      <c r="J50" s="6">
        <f t="shared" si="29"/>
        <v>0</v>
      </c>
      <c r="K50" s="2"/>
      <c r="L50" s="7">
        <f t="shared" si="30"/>
        <v>-100</v>
      </c>
      <c r="M50" s="2"/>
      <c r="N50" s="6">
        <f t="shared" si="31"/>
        <v>-1</v>
      </c>
      <c r="O50" s="11"/>
      <c r="P50" s="7">
        <v>5.25</v>
      </c>
      <c r="Q50" s="2"/>
      <c r="R50" s="6">
        <f t="shared" si="32"/>
        <v>1.4110930730112995E-3</v>
      </c>
      <c r="S50" s="2"/>
      <c r="T50" s="7">
        <v>300</v>
      </c>
      <c r="U50" s="2"/>
      <c r="V50" s="6">
        <f t="shared" si="33"/>
        <v>0</v>
      </c>
      <c r="W50" s="2"/>
      <c r="X50" s="7">
        <f t="shared" si="34"/>
        <v>-294.75</v>
      </c>
      <c r="Y50" s="2"/>
      <c r="Z50" s="6">
        <f t="shared" si="35"/>
        <v>-0.98250000000000004</v>
      </c>
    </row>
    <row r="51" spans="1:26" s="26" customFormat="1" outlineLevel="1" collapsed="1" x14ac:dyDescent="0.25">
      <c r="A51" s="27"/>
      <c r="B51" s="13" t="str">
        <f>CONCATENATE("     ","Freight out/Postage                               ")</f>
        <v xml:space="preserve">     Freight out/Postage                               </v>
      </c>
      <c r="C51" s="13"/>
      <c r="D51" s="1">
        <f>SUM(OSRRefD22_4x_0)</f>
        <v>7286.9499999999989</v>
      </c>
      <c r="E51" s="1"/>
      <c r="F51" s="5">
        <f t="shared" si="28"/>
        <v>104.39756446991403</v>
      </c>
      <c r="G51" s="1"/>
      <c r="H51" s="1">
        <f>SUM(OSRRefH22_4x_0)</f>
        <v>-25000</v>
      </c>
      <c r="I51" s="1"/>
      <c r="J51" s="5">
        <f t="shared" si="29"/>
        <v>0</v>
      </c>
      <c r="K51" s="1"/>
      <c r="L51" s="1">
        <f t="shared" si="30"/>
        <v>32286.949999999997</v>
      </c>
      <c r="M51" s="1"/>
      <c r="N51" s="5">
        <f t="shared" si="31"/>
        <v>-1.2914779999999999</v>
      </c>
      <c r="O51" s="13"/>
      <c r="P51" s="1">
        <f>SUM(OSRRefP22_4x_0)</f>
        <v>-8513.2200000000012</v>
      </c>
      <c r="Q51" s="1"/>
      <c r="R51" s="5">
        <f t="shared" si="32"/>
        <v>-2.2881801468611918</v>
      </c>
      <c r="S51" s="1"/>
      <c r="T51" s="1">
        <f>SUM(OSRRefT22_4x_0)</f>
        <v>-29000</v>
      </c>
      <c r="U51" s="1"/>
      <c r="V51" s="5">
        <f t="shared" si="33"/>
        <v>0</v>
      </c>
      <c r="W51" s="1"/>
      <c r="X51" s="1">
        <f t="shared" si="34"/>
        <v>20486.78</v>
      </c>
      <c r="Y51" s="1"/>
      <c r="Z51" s="5">
        <f t="shared" si="35"/>
        <v>-0.70644068965517237</v>
      </c>
    </row>
    <row r="52" spans="1:26" s="24" customFormat="1" hidden="1" outlineLevel="2" x14ac:dyDescent="0.25">
      <c r="A52" s="25"/>
      <c r="B52" s="11" t="str">
        <f>CONCATENATE("          ", "6305", " - ", "FREIGHT OUT")</f>
        <v xml:space="preserve">          6305 - FREIGHT OUT</v>
      </c>
      <c r="C52" s="11"/>
      <c r="D52" s="7">
        <v>8515.89</v>
      </c>
      <c r="E52" s="2"/>
      <c r="F52" s="6">
        <f t="shared" si="28"/>
        <v>122.00415472779369</v>
      </c>
      <c r="G52" s="2"/>
      <c r="H52" s="7">
        <v>-25000</v>
      </c>
      <c r="I52" s="2"/>
      <c r="J52" s="6">
        <f t="shared" si="29"/>
        <v>0</v>
      </c>
      <c r="K52" s="2"/>
      <c r="L52" s="7">
        <f t="shared" si="30"/>
        <v>33515.89</v>
      </c>
      <c r="M52" s="2"/>
      <c r="N52" s="6">
        <f t="shared" si="31"/>
        <v>-1.3406355999999999</v>
      </c>
      <c r="O52" s="11"/>
      <c r="P52" s="7">
        <v>12129.32</v>
      </c>
      <c r="Q52" s="2"/>
      <c r="R52" s="6">
        <f t="shared" si="32"/>
        <v>3.2601141775880791</v>
      </c>
      <c r="S52" s="2"/>
      <c r="T52" s="7">
        <v>-29000</v>
      </c>
      <c r="U52" s="2"/>
      <c r="V52" s="6">
        <f t="shared" si="33"/>
        <v>0</v>
      </c>
      <c r="W52" s="2"/>
      <c r="X52" s="7">
        <f t="shared" si="34"/>
        <v>41129.32</v>
      </c>
      <c r="Y52" s="2"/>
      <c r="Z52" s="6">
        <f t="shared" si="35"/>
        <v>-1.4182524137931034</v>
      </c>
    </row>
    <row r="53" spans="1:26" s="24" customFormat="1" hidden="1" outlineLevel="2" x14ac:dyDescent="0.25">
      <c r="A53" s="25"/>
      <c r="B53" s="11" t="str">
        <f>CONCATENATE("          ", "6307", " - ", "POSTAGE")</f>
        <v xml:space="preserve">          6307 - POSTAGE</v>
      </c>
      <c r="C53" s="11"/>
      <c r="D53" s="7">
        <v>-1228.94</v>
      </c>
      <c r="E53" s="2"/>
      <c r="F53" s="6">
        <f t="shared" si="28"/>
        <v>-17.606590257879656</v>
      </c>
      <c r="G53" s="2"/>
      <c r="H53" s="7"/>
      <c r="I53" s="2"/>
      <c r="J53" s="6">
        <f t="shared" si="29"/>
        <v>0</v>
      </c>
      <c r="K53" s="2"/>
      <c r="L53" s="7">
        <f t="shared" si="30"/>
        <v>-1228.94</v>
      </c>
      <c r="M53" s="2"/>
      <c r="N53" s="6">
        <f t="shared" si="31"/>
        <v>0</v>
      </c>
      <c r="O53" s="11"/>
      <c r="P53" s="7">
        <v>-20642.54</v>
      </c>
      <c r="Q53" s="2"/>
      <c r="R53" s="6">
        <f t="shared" si="32"/>
        <v>-5.5482943244492704</v>
      </c>
      <c r="S53" s="2"/>
      <c r="T53" s="7"/>
      <c r="U53" s="2"/>
      <c r="V53" s="6">
        <f t="shared" si="33"/>
        <v>0</v>
      </c>
      <c r="W53" s="2"/>
      <c r="X53" s="7">
        <f t="shared" si="34"/>
        <v>-20642.54</v>
      </c>
      <c r="Y53" s="2"/>
      <c r="Z53" s="6">
        <f t="shared" si="35"/>
        <v>0</v>
      </c>
    </row>
    <row r="54" spans="1:26" s="26" customFormat="1" outlineLevel="1" collapsed="1" x14ac:dyDescent="0.25">
      <c r="A54" s="27"/>
      <c r="B54" s="13" t="str">
        <f>CONCATENATE("     ","General                                           ")</f>
        <v xml:space="preserve">     General                                           </v>
      </c>
      <c r="C54" s="13"/>
      <c r="D54" s="1">
        <f>SUM(OSRRefD22_5x_0)</f>
        <v>80.17</v>
      </c>
      <c r="E54" s="1"/>
      <c r="F54" s="5">
        <f t="shared" ref="F54:F60" si="36">IF(D$12=0,0,D54/D$12)</f>
        <v>1.148567335243553</v>
      </c>
      <c r="G54" s="1"/>
      <c r="H54" s="1">
        <f>SUM(OSRRefH22_5x_0)</f>
        <v>100</v>
      </c>
      <c r="I54" s="1"/>
      <c r="J54" s="5">
        <f t="shared" ref="J54:J60" si="37">IF(H$12=0,0,H54/H$12)</f>
        <v>0</v>
      </c>
      <c r="K54" s="1"/>
      <c r="L54" s="1">
        <f t="shared" ref="L54:L60" si="38">+D54-H54</f>
        <v>-19.829999999999998</v>
      </c>
      <c r="M54" s="1"/>
      <c r="N54" s="5">
        <f t="shared" ref="N54:N60" si="39">IF(H54=0,0,L54/H54)</f>
        <v>-0.19829999999999998</v>
      </c>
      <c r="O54" s="13"/>
      <c r="P54" s="1">
        <f>SUM(OSRRefP22_5x_0)</f>
        <v>80.17</v>
      </c>
      <c r="Q54" s="1"/>
      <c r="R54" s="5">
        <f t="shared" ref="R54:R60" si="40">IF(P$12=0,0,P54/P$12)</f>
        <v>2.1548063173964929E-2</v>
      </c>
      <c r="S54" s="1"/>
      <c r="T54" s="1">
        <f>SUM(OSRRefT22_5x_0)</f>
        <v>200</v>
      </c>
      <c r="U54" s="1"/>
      <c r="V54" s="5">
        <f t="shared" ref="V54:V60" si="41">IF(T$12=0,0,T54/T$12)</f>
        <v>0</v>
      </c>
      <c r="W54" s="1"/>
      <c r="X54" s="1">
        <f t="shared" ref="X54:X60" si="42">+P54-T54</f>
        <v>-119.83</v>
      </c>
      <c r="Y54" s="1"/>
      <c r="Z54" s="5">
        <f t="shared" ref="Z54:Z60" si="43">IF(T54=0,0,X54/T54)</f>
        <v>-0.59914999999999996</v>
      </c>
    </row>
    <row r="55" spans="1:26" s="24" customFormat="1" hidden="1" outlineLevel="2" x14ac:dyDescent="0.25">
      <c r="A55" s="25"/>
      <c r="B55" s="11" t="str">
        <f>CONCATENATE("          ", "6279", " - ", "GENERAL EXPENSE")</f>
        <v xml:space="preserve">          6279 - GENERAL EXPENSE</v>
      </c>
      <c r="C55" s="11"/>
      <c r="D55" s="7">
        <v>80.17</v>
      </c>
      <c r="E55" s="2"/>
      <c r="F55" s="6">
        <f t="shared" si="36"/>
        <v>1.148567335243553</v>
      </c>
      <c r="G55" s="2"/>
      <c r="H55" s="7">
        <v>100</v>
      </c>
      <c r="I55" s="2"/>
      <c r="J55" s="6">
        <f t="shared" si="37"/>
        <v>0</v>
      </c>
      <c r="K55" s="2"/>
      <c r="L55" s="7">
        <f t="shared" si="38"/>
        <v>-19.829999999999998</v>
      </c>
      <c r="M55" s="2"/>
      <c r="N55" s="6">
        <f t="shared" si="39"/>
        <v>-0.19829999999999998</v>
      </c>
      <c r="O55" s="11"/>
      <c r="P55" s="7">
        <v>80.17</v>
      </c>
      <c r="Q55" s="2"/>
      <c r="R55" s="6">
        <f t="shared" si="40"/>
        <v>2.1548063173964929E-2</v>
      </c>
      <c r="S55" s="2"/>
      <c r="T55" s="7">
        <v>200</v>
      </c>
      <c r="U55" s="2"/>
      <c r="V55" s="6">
        <f t="shared" si="41"/>
        <v>0</v>
      </c>
      <c r="W55" s="2"/>
      <c r="X55" s="7">
        <f t="shared" si="42"/>
        <v>-119.83</v>
      </c>
      <c r="Y55" s="2"/>
      <c r="Z55" s="6">
        <f t="shared" si="43"/>
        <v>-0.59914999999999996</v>
      </c>
    </row>
    <row r="56" spans="1:26" s="26" customFormat="1" outlineLevel="1" collapsed="1" x14ac:dyDescent="0.25">
      <c r="A56" s="27"/>
      <c r="B56" s="13" t="str">
        <f>CONCATENATE("     ","Inventory Adjustment                              ")</f>
        <v xml:space="preserve">     Inventory Adjustment                              </v>
      </c>
      <c r="C56" s="13"/>
      <c r="D56" s="1">
        <f>SUM(OSRRefD22_6x_0)</f>
        <v>100</v>
      </c>
      <c r="E56" s="1"/>
      <c r="F56" s="5">
        <f t="shared" si="36"/>
        <v>1.4326647564469914</v>
      </c>
      <c r="G56" s="1"/>
      <c r="H56" s="1">
        <f>SUM(OSRRefH22_6x_0)</f>
        <v>100</v>
      </c>
      <c r="I56" s="1"/>
      <c r="J56" s="5">
        <f t="shared" si="37"/>
        <v>0</v>
      </c>
      <c r="K56" s="1"/>
      <c r="L56" s="1">
        <f t="shared" si="38"/>
        <v>0</v>
      </c>
      <c r="M56" s="1"/>
      <c r="N56" s="5">
        <f t="shared" si="39"/>
        <v>0</v>
      </c>
      <c r="O56" s="13"/>
      <c r="P56" s="1">
        <f>SUM(OSRRefP22_6x_0)</f>
        <v>200</v>
      </c>
      <c r="Q56" s="1"/>
      <c r="R56" s="5">
        <f t="shared" si="40"/>
        <v>5.3755926590906646E-2</v>
      </c>
      <c r="S56" s="1"/>
      <c r="T56" s="1">
        <f>SUM(OSRRefT22_6x_0)</f>
        <v>200</v>
      </c>
      <c r="U56" s="1"/>
      <c r="V56" s="5">
        <f t="shared" si="41"/>
        <v>0</v>
      </c>
      <c r="W56" s="1"/>
      <c r="X56" s="1">
        <f t="shared" si="42"/>
        <v>0</v>
      </c>
      <c r="Y56" s="1"/>
      <c r="Z56" s="5">
        <f t="shared" si="43"/>
        <v>0</v>
      </c>
    </row>
    <row r="57" spans="1:26" s="24" customFormat="1" hidden="1" outlineLevel="2" x14ac:dyDescent="0.25">
      <c r="A57" s="25"/>
      <c r="B57" s="11" t="str">
        <f>CONCATENATE("          ", "6408", " - ", "INVENTORY ADJUSTMENT")</f>
        <v xml:space="preserve">          6408 - INVENTORY ADJUSTMENT</v>
      </c>
      <c r="C57" s="11"/>
      <c r="D57" s="7">
        <v>100</v>
      </c>
      <c r="E57" s="2"/>
      <c r="F57" s="6">
        <f t="shared" si="36"/>
        <v>1.4326647564469914</v>
      </c>
      <c r="G57" s="2"/>
      <c r="H57" s="7">
        <v>100</v>
      </c>
      <c r="I57" s="2"/>
      <c r="J57" s="6">
        <f t="shared" si="37"/>
        <v>0</v>
      </c>
      <c r="K57" s="2"/>
      <c r="L57" s="7">
        <f t="shared" si="38"/>
        <v>0</v>
      </c>
      <c r="M57" s="2"/>
      <c r="N57" s="6">
        <f t="shared" si="39"/>
        <v>0</v>
      </c>
      <c r="O57" s="11"/>
      <c r="P57" s="7">
        <v>200</v>
      </c>
      <c r="Q57" s="2"/>
      <c r="R57" s="6">
        <f t="shared" si="40"/>
        <v>5.3755926590906646E-2</v>
      </c>
      <c r="S57" s="2"/>
      <c r="T57" s="7">
        <v>200</v>
      </c>
      <c r="U57" s="2"/>
      <c r="V57" s="6">
        <f t="shared" si="41"/>
        <v>0</v>
      </c>
      <c r="W57" s="2"/>
      <c r="X57" s="7">
        <f t="shared" si="42"/>
        <v>0</v>
      </c>
      <c r="Y57" s="2"/>
      <c r="Z57" s="6">
        <f t="shared" si="43"/>
        <v>0</v>
      </c>
    </row>
    <row r="58" spans="1:26" s="26" customFormat="1" outlineLevel="1" collapsed="1" x14ac:dyDescent="0.25">
      <c r="A58" s="27"/>
      <c r="B58" s="13" t="str">
        <f>CONCATENATE("     ","Supplies                                          ")</f>
        <v xml:space="preserve">     Supplies                                          </v>
      </c>
      <c r="C58" s="13"/>
      <c r="D58" s="1">
        <f>SUM(OSRRefD22_7x_0)</f>
        <v>2790.52</v>
      </c>
      <c r="E58" s="1"/>
      <c r="F58" s="5">
        <f t="shared" si="36"/>
        <v>39.978796561604582</v>
      </c>
      <c r="G58" s="1"/>
      <c r="H58" s="1">
        <f>SUM(OSRRefH22_7x_0)</f>
        <v>750</v>
      </c>
      <c r="I58" s="1"/>
      <c r="J58" s="5">
        <f t="shared" si="37"/>
        <v>0</v>
      </c>
      <c r="K58" s="1"/>
      <c r="L58" s="1">
        <f t="shared" si="38"/>
        <v>2040.52</v>
      </c>
      <c r="M58" s="1"/>
      <c r="N58" s="5">
        <f t="shared" si="39"/>
        <v>2.7206933333333332</v>
      </c>
      <c r="O58" s="13"/>
      <c r="P58" s="1">
        <f>SUM(OSRRefP22_7x_0)</f>
        <v>4773.7700000000004</v>
      </c>
      <c r="Q58" s="1"/>
      <c r="R58" s="5">
        <f t="shared" si="40"/>
        <v>1.2830921484093623</v>
      </c>
      <c r="S58" s="1"/>
      <c r="T58" s="1">
        <f>SUM(OSRRefT22_7x_0)</f>
        <v>2250</v>
      </c>
      <c r="U58" s="1"/>
      <c r="V58" s="5">
        <f t="shared" si="41"/>
        <v>0</v>
      </c>
      <c r="W58" s="1"/>
      <c r="X58" s="1">
        <f t="shared" si="42"/>
        <v>2523.7700000000004</v>
      </c>
      <c r="Y58" s="1"/>
      <c r="Z58" s="5">
        <f t="shared" si="43"/>
        <v>1.1216755555555558</v>
      </c>
    </row>
    <row r="59" spans="1:26" s="24" customFormat="1" hidden="1" outlineLevel="2" x14ac:dyDescent="0.25">
      <c r="A59" s="25"/>
      <c r="B59" s="11" t="str">
        <f>CONCATENATE("          ", "6241", " - ", "OFFICE EXPENSE")</f>
        <v xml:space="preserve">          6241 - OFFICE EXPENSE</v>
      </c>
      <c r="C59" s="11"/>
      <c r="D59" s="7">
        <v>87.41</v>
      </c>
      <c r="E59" s="2"/>
      <c r="F59" s="6">
        <f t="shared" si="36"/>
        <v>1.2522922636103151</v>
      </c>
      <c r="G59" s="2"/>
      <c r="H59" s="7"/>
      <c r="I59" s="2"/>
      <c r="J59" s="6">
        <f t="shared" si="37"/>
        <v>0</v>
      </c>
      <c r="K59" s="2"/>
      <c r="L59" s="7">
        <f t="shared" si="38"/>
        <v>87.41</v>
      </c>
      <c r="M59" s="2"/>
      <c r="N59" s="6">
        <f t="shared" si="39"/>
        <v>0</v>
      </c>
      <c r="O59" s="11"/>
      <c r="P59" s="7">
        <v>115.02</v>
      </c>
      <c r="Q59" s="2"/>
      <c r="R59" s="6">
        <f t="shared" si="40"/>
        <v>3.0915033382430412E-2</v>
      </c>
      <c r="S59" s="2"/>
      <c r="T59" s="7"/>
      <c r="U59" s="2"/>
      <c r="V59" s="6">
        <f t="shared" si="41"/>
        <v>0</v>
      </c>
      <c r="W59" s="2"/>
      <c r="X59" s="7">
        <f t="shared" si="42"/>
        <v>115.02</v>
      </c>
      <c r="Y59" s="2"/>
      <c r="Z59" s="6">
        <f t="shared" si="43"/>
        <v>0</v>
      </c>
    </row>
    <row r="60" spans="1:26" s="24" customFormat="1" hidden="1" outlineLevel="2" x14ac:dyDescent="0.25">
      <c r="A60" s="25"/>
      <c r="B60" s="11" t="str">
        <f>CONCATENATE("          ", "6247", " - ", "STORE SUPPLIES")</f>
        <v xml:space="preserve">          6247 - STORE SUPPLIES</v>
      </c>
      <c r="C60" s="11"/>
      <c r="D60" s="7">
        <v>2703.11</v>
      </c>
      <c r="E60" s="2"/>
      <c r="F60" s="6">
        <f t="shared" si="36"/>
        <v>38.726504297994275</v>
      </c>
      <c r="G60" s="2"/>
      <c r="H60" s="7">
        <v>750</v>
      </c>
      <c r="I60" s="2"/>
      <c r="J60" s="6">
        <f t="shared" si="37"/>
        <v>0</v>
      </c>
      <c r="K60" s="2"/>
      <c r="L60" s="7">
        <f t="shared" si="38"/>
        <v>1953.1100000000001</v>
      </c>
      <c r="M60" s="2"/>
      <c r="N60" s="6">
        <f t="shared" si="39"/>
        <v>2.6041466666666668</v>
      </c>
      <c r="O60" s="11"/>
      <c r="P60" s="7">
        <v>4658.75</v>
      </c>
      <c r="Q60" s="2"/>
      <c r="R60" s="6">
        <f t="shared" si="40"/>
        <v>1.2521771150269316</v>
      </c>
      <c r="S60" s="2"/>
      <c r="T60" s="7">
        <v>2250</v>
      </c>
      <c r="U60" s="2"/>
      <c r="V60" s="6">
        <f t="shared" si="41"/>
        <v>0</v>
      </c>
      <c r="W60" s="2"/>
      <c r="X60" s="7">
        <f t="shared" si="42"/>
        <v>2408.75</v>
      </c>
      <c r="Y60" s="2"/>
      <c r="Z60" s="6">
        <f t="shared" si="43"/>
        <v>1.0705555555555555</v>
      </c>
    </row>
    <row r="61" spans="1:26" s="26" customFormat="1" outlineLevel="1" collapsed="1" x14ac:dyDescent="0.25">
      <c r="A61" s="27"/>
      <c r="B61" s="13" t="str">
        <f>CONCATENATE("     ","Telephone/Data Lines                              ")</f>
        <v xml:space="preserve">     Telephone/Data Lines                              </v>
      </c>
      <c r="C61" s="13"/>
      <c r="D61" s="1">
        <f>SUM(OSRRefD22_8x_0)</f>
        <v>0</v>
      </c>
      <c r="E61" s="1"/>
      <c r="F61" s="5">
        <f t="shared" ref="F61:F62" si="44">IF(D$12=0,0,D61/D$12)</f>
        <v>0</v>
      </c>
      <c r="G61" s="1"/>
      <c r="H61" s="1">
        <f>SUM(OSRRefH22_8x_0)</f>
        <v>0</v>
      </c>
      <c r="I61" s="1"/>
      <c r="J61" s="5">
        <f t="shared" ref="J61:J62" si="45">IF(H$12=0,0,H61/H$12)</f>
        <v>0</v>
      </c>
      <c r="K61" s="1"/>
      <c r="L61" s="1">
        <f t="shared" ref="L61:L62" si="46">+D61-H61</f>
        <v>0</v>
      </c>
      <c r="M61" s="1"/>
      <c r="N61" s="5">
        <f t="shared" ref="N61:N62" si="47">IF(H61=0,0,L61/H61)</f>
        <v>0</v>
      </c>
      <c r="O61" s="13"/>
      <c r="P61" s="1">
        <f>SUM(OSRRefP22_8x_0)</f>
        <v>146.30000000000001</v>
      </c>
      <c r="Q61" s="1"/>
      <c r="R61" s="5">
        <f t="shared" ref="R61:R62" si="48">IF(P$12=0,0,P61/P$12)</f>
        <v>3.9322460301248217E-2</v>
      </c>
      <c r="S61" s="1"/>
      <c r="T61" s="1">
        <f>SUM(OSRRefT22_8x_0)</f>
        <v>0</v>
      </c>
      <c r="U61" s="1"/>
      <c r="V61" s="5">
        <f t="shared" ref="V61:V62" si="49">IF(T$12=0,0,T61/T$12)</f>
        <v>0</v>
      </c>
      <c r="W61" s="1"/>
      <c r="X61" s="1">
        <f t="shared" ref="X61:X62" si="50">+P61-T61</f>
        <v>146.30000000000001</v>
      </c>
      <c r="Y61" s="1"/>
      <c r="Z61" s="5">
        <f t="shared" ref="Z61:Z62" si="51">IF(T61=0,0,X61/T61)</f>
        <v>0</v>
      </c>
    </row>
    <row r="62" spans="1:26" s="24" customFormat="1" hidden="1" outlineLevel="2" x14ac:dyDescent="0.25">
      <c r="A62" s="25"/>
      <c r="B62" s="11" t="str">
        <f>CONCATENATE("          ", "6309", " - ", "TELEPHONE")</f>
        <v xml:space="preserve">          6309 - TELEPHONE</v>
      </c>
      <c r="C62" s="11"/>
      <c r="D62" s="7"/>
      <c r="E62" s="2"/>
      <c r="F62" s="6">
        <f t="shared" si="44"/>
        <v>0</v>
      </c>
      <c r="G62" s="2"/>
      <c r="H62" s="7"/>
      <c r="I62" s="2"/>
      <c r="J62" s="6">
        <f t="shared" si="45"/>
        <v>0</v>
      </c>
      <c r="K62" s="2"/>
      <c r="L62" s="7">
        <f t="shared" si="46"/>
        <v>0</v>
      </c>
      <c r="M62" s="2"/>
      <c r="N62" s="6">
        <f t="shared" si="47"/>
        <v>0</v>
      </c>
      <c r="O62" s="11"/>
      <c r="P62" s="7">
        <v>146.30000000000001</v>
      </c>
      <c r="Q62" s="2"/>
      <c r="R62" s="6">
        <f t="shared" si="48"/>
        <v>3.9322460301248217E-2</v>
      </c>
      <c r="S62" s="2"/>
      <c r="T62" s="7"/>
      <c r="U62" s="2"/>
      <c r="V62" s="6">
        <f t="shared" si="49"/>
        <v>0</v>
      </c>
      <c r="W62" s="2"/>
      <c r="X62" s="7">
        <f t="shared" si="50"/>
        <v>146.30000000000001</v>
      </c>
      <c r="Y62" s="2"/>
      <c r="Z62" s="6">
        <f t="shared" si="51"/>
        <v>0</v>
      </c>
    </row>
    <row r="63" spans="1:26" s="63" customFormat="1" x14ac:dyDescent="0.25">
      <c r="A63" s="36"/>
      <c r="B63" s="36"/>
      <c r="C63" s="36"/>
      <c r="D63" s="1"/>
      <c r="E63" s="1"/>
      <c r="F63" s="5"/>
      <c r="G63" s="1"/>
      <c r="H63" s="1"/>
      <c r="I63" s="1"/>
      <c r="J63" s="5"/>
      <c r="K63" s="1"/>
      <c r="L63" s="1"/>
      <c r="M63" s="1"/>
      <c r="N63" s="5"/>
      <c r="O63" s="36"/>
      <c r="P63" s="1"/>
      <c r="Q63" s="1"/>
      <c r="R63" s="5"/>
      <c r="S63" s="1"/>
      <c r="T63" s="1"/>
      <c r="U63" s="1"/>
      <c r="V63" s="5"/>
      <c r="W63" s="1"/>
      <c r="X63" s="1"/>
      <c r="Y63" s="1"/>
      <c r="Z63" s="5"/>
    </row>
    <row r="64" spans="1:26" s="23" customFormat="1" collapsed="1" x14ac:dyDescent="0.25">
      <c r="A64" s="10"/>
      <c r="B64" s="28" t="s">
        <v>0</v>
      </c>
      <c r="C64" s="10"/>
      <c r="D64" s="4">
        <f>SUM(OSRRefD25x_0)</f>
        <v>30</v>
      </c>
      <c r="E64" s="4"/>
      <c r="F64" s="12">
        <f t="shared" ref="F64:F68" si="52">IF(D$12=0,0,D64/D$12)</f>
        <v>0.42979942693409745</v>
      </c>
      <c r="G64" s="4"/>
      <c r="H64" s="4">
        <f>SUM(OSRRefH25x_0)</f>
        <v>13500</v>
      </c>
      <c r="I64" s="4"/>
      <c r="J64" s="12">
        <f t="shared" ref="J64:J68" si="53">IF(H$12=0,0,H64/H$12)</f>
        <v>0</v>
      </c>
      <c r="K64" s="4"/>
      <c r="L64" s="4">
        <f t="shared" ref="L64:L68" si="54">+D64-H64</f>
        <v>-13470</v>
      </c>
      <c r="M64" s="4"/>
      <c r="N64" s="12">
        <f t="shared" ref="N64:N68" si="55">IF(H64=0,0,L64/H64)</f>
        <v>-0.99777777777777776</v>
      </c>
      <c r="O64" s="10"/>
      <c r="P64" s="4">
        <f>SUM(OSRRefP25x_0)</f>
        <v>23321.85</v>
      </c>
      <c r="Q64" s="4"/>
      <c r="R64" s="12">
        <f t="shared" ref="R64:R68" si="56">IF(P$12=0,0,P64/P$12)</f>
        <v>6.2684382828206804</v>
      </c>
      <c r="S64" s="4"/>
      <c r="T64" s="4">
        <f>SUM(OSRRefT25x_0)</f>
        <v>41000</v>
      </c>
      <c r="U64" s="4"/>
      <c r="V64" s="12">
        <f t="shared" ref="V64:V68" si="57">IF(T$12=0,0,T64/T$12)</f>
        <v>0</v>
      </c>
      <c r="W64" s="4"/>
      <c r="X64" s="4">
        <f t="shared" ref="X64:X68" si="58">+P64-T64</f>
        <v>-17678.150000000001</v>
      </c>
      <c r="Y64" s="4"/>
      <c r="Z64" s="12">
        <f t="shared" ref="Z64:Z68" si="59">IF(T64=0,0,X64/T64)</f>
        <v>-0.43117439024390247</v>
      </c>
    </row>
    <row r="65" spans="1:26" s="24" customFormat="1" hidden="1" outlineLevel="1" x14ac:dyDescent="0.25">
      <c r="A65" s="46"/>
      <c r="B65" s="11" t="str">
        <f>CONCATENATE("          ", "4098", " - ", "TAXABLE SALES-GRAD RENTALS")</f>
        <v xml:space="preserve">          4098 - TAXABLE SALES-GRAD RENTALS</v>
      </c>
      <c r="C65" s="11"/>
      <c r="D65" s="2">
        <f t="shared" ref="D65:D66" si="60">0</f>
        <v>0</v>
      </c>
      <c r="E65" s="2"/>
      <c r="F65" s="19">
        <f t="shared" si="52"/>
        <v>0</v>
      </c>
      <c r="G65" s="2"/>
      <c r="H65" s="2"/>
      <c r="I65" s="2"/>
      <c r="J65" s="19">
        <f t="shared" si="53"/>
        <v>0</v>
      </c>
      <c r="K65" s="2"/>
      <c r="L65" s="2">
        <f t="shared" si="54"/>
        <v>0</v>
      </c>
      <c r="M65" s="2"/>
      <c r="N65" s="19">
        <f t="shared" si="55"/>
        <v>0</v>
      </c>
      <c r="O65" s="11"/>
      <c r="P65" s="2">
        <f>--1626.85</f>
        <v>1626.85</v>
      </c>
      <c r="Q65" s="2"/>
      <c r="R65" s="19">
        <f t="shared" si="56"/>
        <v>0.4372641458720824</v>
      </c>
      <c r="S65" s="2"/>
      <c r="T65" s="2"/>
      <c r="U65" s="2"/>
      <c r="V65" s="19">
        <f t="shared" si="57"/>
        <v>0</v>
      </c>
      <c r="W65" s="2"/>
      <c r="X65" s="2">
        <f t="shared" si="58"/>
        <v>1626.85</v>
      </c>
      <c r="Y65" s="2"/>
      <c r="Z65" s="19">
        <f t="shared" si="59"/>
        <v>0</v>
      </c>
    </row>
    <row r="66" spans="1:26" s="24" customFormat="1" hidden="1" outlineLevel="1" x14ac:dyDescent="0.25">
      <c r="A66" s="46"/>
      <c r="B66" s="11" t="str">
        <f>CONCATENATE("          ", "4197", " - ", "NON-TAXABLE SALES-RETURNED CHE")</f>
        <v xml:space="preserve">          4197 - NON-TAXABLE SALES-RETURNED CHE</v>
      </c>
      <c r="C66" s="11"/>
      <c r="D66" s="2">
        <f t="shared" si="60"/>
        <v>0</v>
      </c>
      <c r="E66" s="2"/>
      <c r="F66" s="19">
        <f t="shared" si="52"/>
        <v>0</v>
      </c>
      <c r="G66" s="2"/>
      <c r="H66" s="2"/>
      <c r="I66" s="2"/>
      <c r="J66" s="19">
        <f t="shared" si="53"/>
        <v>0</v>
      </c>
      <c r="K66" s="2"/>
      <c r="L66" s="2">
        <f t="shared" si="54"/>
        <v>0</v>
      </c>
      <c r="M66" s="2"/>
      <c r="N66" s="19">
        <f t="shared" si="55"/>
        <v>0</v>
      </c>
      <c r="O66" s="11"/>
      <c r="P66" s="2">
        <f>--30</f>
        <v>30</v>
      </c>
      <c r="Q66" s="2"/>
      <c r="R66" s="19">
        <f t="shared" si="56"/>
        <v>8.0633889886359972E-3</v>
      </c>
      <c r="S66" s="2"/>
      <c r="T66" s="2"/>
      <c r="U66" s="2"/>
      <c r="V66" s="19">
        <f t="shared" si="57"/>
        <v>0</v>
      </c>
      <c r="W66" s="2"/>
      <c r="X66" s="2">
        <f t="shared" si="58"/>
        <v>30</v>
      </c>
      <c r="Y66" s="2"/>
      <c r="Z66" s="19">
        <f t="shared" si="59"/>
        <v>0</v>
      </c>
    </row>
    <row r="67" spans="1:26" s="24" customFormat="1" hidden="1" outlineLevel="1" x14ac:dyDescent="0.25">
      <c r="A67" s="46"/>
      <c r="B67" s="11" t="str">
        <f>CONCATENATE("          ", "4198", " - ", "NON-TAXABLE SALES-GRAD RENTALS")</f>
        <v xml:space="preserve">          4198 - NON-TAXABLE SALES-GRAD RENTALS</v>
      </c>
      <c r="C67" s="11"/>
      <c r="D67" s="2">
        <f>--30</f>
        <v>30</v>
      </c>
      <c r="E67" s="2"/>
      <c r="F67" s="19">
        <f t="shared" si="52"/>
        <v>0.42979942693409745</v>
      </c>
      <c r="G67" s="2"/>
      <c r="H67" s="2"/>
      <c r="I67" s="2"/>
      <c r="J67" s="19">
        <f t="shared" si="53"/>
        <v>0</v>
      </c>
      <c r="K67" s="2"/>
      <c r="L67" s="2">
        <f t="shared" si="54"/>
        <v>30</v>
      </c>
      <c r="M67" s="2"/>
      <c r="N67" s="19">
        <f t="shared" si="55"/>
        <v>0</v>
      </c>
      <c r="O67" s="11"/>
      <c r="P67" s="2">
        <f>--495</f>
        <v>495</v>
      </c>
      <c r="Q67" s="2"/>
      <c r="R67" s="19">
        <f t="shared" si="56"/>
        <v>0.13304591831249396</v>
      </c>
      <c r="S67" s="2"/>
      <c r="T67" s="2"/>
      <c r="U67" s="2"/>
      <c r="V67" s="19">
        <f t="shared" si="57"/>
        <v>0</v>
      </c>
      <c r="W67" s="2"/>
      <c r="X67" s="2">
        <f t="shared" si="58"/>
        <v>495</v>
      </c>
      <c r="Y67" s="2"/>
      <c r="Z67" s="19">
        <f t="shared" si="59"/>
        <v>0</v>
      </c>
    </row>
    <row r="68" spans="1:26" s="24" customFormat="1" hidden="1" outlineLevel="1" x14ac:dyDescent="0.25">
      <c r="A68" s="46"/>
      <c r="B68" s="11" t="str">
        <f>CONCATENATE("          ", "9160", " - ", "MISC. INCOME")</f>
        <v xml:space="preserve">          9160 - MISC. INCOME</v>
      </c>
      <c r="C68" s="11"/>
      <c r="D68" s="2">
        <f>0</f>
        <v>0</v>
      </c>
      <c r="E68" s="2"/>
      <c r="F68" s="19">
        <f t="shared" si="52"/>
        <v>0</v>
      </c>
      <c r="G68" s="2"/>
      <c r="H68" s="2">
        <v>13500</v>
      </c>
      <c r="I68" s="2"/>
      <c r="J68" s="19">
        <f t="shared" si="53"/>
        <v>0</v>
      </c>
      <c r="K68" s="2"/>
      <c r="L68" s="2">
        <f t="shared" si="54"/>
        <v>-13500</v>
      </c>
      <c r="M68" s="2"/>
      <c r="N68" s="19">
        <f t="shared" si="55"/>
        <v>-1</v>
      </c>
      <c r="O68" s="11"/>
      <c r="P68" s="2">
        <f>--21170</f>
        <v>21170</v>
      </c>
      <c r="Q68" s="2"/>
      <c r="R68" s="19">
        <f t="shared" si="56"/>
        <v>5.6900648296474685</v>
      </c>
      <c r="S68" s="2"/>
      <c r="T68" s="2">
        <v>41000</v>
      </c>
      <c r="U68" s="2"/>
      <c r="V68" s="19">
        <f t="shared" si="57"/>
        <v>0</v>
      </c>
      <c r="W68" s="2"/>
      <c r="X68" s="2">
        <f t="shared" si="58"/>
        <v>-19830</v>
      </c>
      <c r="Y68" s="2"/>
      <c r="Z68" s="19">
        <f t="shared" si="59"/>
        <v>-0.48365853658536584</v>
      </c>
    </row>
    <row r="69" spans="1:26" x14ac:dyDescent="0.2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10"/>
      <c r="B70" s="29" t="s">
        <v>3</v>
      </c>
      <c r="C70" s="29"/>
      <c r="D70" s="22">
        <f>+D24-D26+D64</f>
        <v>-9086.5400000000009</v>
      </c>
      <c r="E70" s="14"/>
      <c r="F70" s="20">
        <f>IF(D$12=0,0,D70/D$12)</f>
        <v>-130.17965616045848</v>
      </c>
      <c r="G70" s="14"/>
      <c r="H70" s="22">
        <f>+H24-H26+H64</f>
        <v>34465.393407884607</v>
      </c>
      <c r="I70" s="14"/>
      <c r="J70" s="20">
        <f>IF(H$12=0,0,H70/H$12)</f>
        <v>0</v>
      </c>
      <c r="K70" s="15"/>
      <c r="L70" s="22">
        <f>+D70-H70</f>
        <v>-43551.933407884608</v>
      </c>
      <c r="M70" s="15"/>
      <c r="N70" s="20">
        <f>IF(H70=0,0,L70/H70)</f>
        <v>-1.2636424279991327</v>
      </c>
      <c r="O70" s="28"/>
      <c r="P70" s="22">
        <f>+P24-P26+P64</f>
        <v>26493.52</v>
      </c>
      <c r="Q70" s="14"/>
      <c r="R70" s="20">
        <f>IF(P$12=0,0,P70/P$12)</f>
        <v>7.1209185812735853</v>
      </c>
      <c r="S70" s="14"/>
      <c r="T70" s="22">
        <f>+T24-T26+T64</f>
        <v>57515.028575624994</v>
      </c>
      <c r="U70" s="14"/>
      <c r="V70" s="20">
        <f>IF(T$12=0,0,T70/T$12)</f>
        <v>0</v>
      </c>
      <c r="W70" s="15"/>
      <c r="X70" s="22">
        <f>+P70-T70</f>
        <v>-31021.508575624994</v>
      </c>
      <c r="Y70" s="15"/>
      <c r="Z70" s="20">
        <f>IF(T70=0,0,X70/T70)</f>
        <v>-0.53936352539294374</v>
      </c>
    </row>
    <row r="71" spans="1:26" x14ac:dyDescent="0.25">
      <c r="A71" s="9"/>
      <c r="B71" s="10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52"/>
      <c r="B72" s="10" t="s">
        <v>14</v>
      </c>
      <c r="C72" s="10"/>
      <c r="D72" s="4">
        <v>-55.55</v>
      </c>
      <c r="E72" s="4"/>
      <c r="F72" s="12">
        <f>IF(D$12=0,0,D72/D$12)</f>
        <v>-0.79584527220630374</v>
      </c>
      <c r="G72" s="4"/>
      <c r="H72" s="4">
        <v>0</v>
      </c>
      <c r="I72" s="4"/>
      <c r="J72" s="12">
        <f>IF(H$12=0,0,H72/H$12)</f>
        <v>0</v>
      </c>
      <c r="K72" s="4"/>
      <c r="L72" s="4">
        <f>+D72-H72</f>
        <v>-55.55</v>
      </c>
      <c r="M72" s="4"/>
      <c r="N72" s="12">
        <f>IF(H72=0,0,L72/H72)</f>
        <v>0</v>
      </c>
      <c r="O72" s="10"/>
      <c r="P72" s="4">
        <v>399.63</v>
      </c>
      <c r="Q72" s="4"/>
      <c r="R72" s="12">
        <f>IF(P$12=0,0,P72/P$12)</f>
        <v>0.10741240471762012</v>
      </c>
      <c r="S72" s="4"/>
      <c r="T72" s="4">
        <v>0</v>
      </c>
      <c r="U72" s="4"/>
      <c r="V72" s="12">
        <f>IF(T$12=0,0,T72/T$12)</f>
        <v>0</v>
      </c>
      <c r="W72" s="4"/>
      <c r="X72" s="4">
        <f>+P72-T72</f>
        <v>399.63</v>
      </c>
      <c r="Y72" s="4"/>
      <c r="Z72" s="12">
        <f>IF(T72=0,0,X72/T72)</f>
        <v>0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.75" thickBot="1" x14ac:dyDescent="0.3">
      <c r="A74" s="10"/>
      <c r="B74" s="29" t="s">
        <v>4</v>
      </c>
      <c r="C74" s="29"/>
      <c r="D74" s="35">
        <f>+D70-D72</f>
        <v>-9030.9900000000016</v>
      </c>
      <c r="E74" s="14"/>
      <c r="F74" s="32">
        <f>IF(D$12=0,0,D74/D$12)</f>
        <v>-129.38381088825219</v>
      </c>
      <c r="G74" s="14"/>
      <c r="H74" s="35">
        <f>+H70-H72</f>
        <v>34465.393407884607</v>
      </c>
      <c r="I74" s="14"/>
      <c r="J74" s="32">
        <f>IF(H$12=0,0,H74/H$12)</f>
        <v>0</v>
      </c>
      <c r="K74" s="15"/>
      <c r="L74" s="35">
        <f>D74-H74</f>
        <v>-43496.383407884612</v>
      </c>
      <c r="M74" s="15"/>
      <c r="N74" s="32">
        <f>IF(H74=0,0,L74/H74)</f>
        <v>-1.2620306663301861</v>
      </c>
      <c r="O74" s="28"/>
      <c r="P74" s="35">
        <f>+P70-P72</f>
        <v>26093.89</v>
      </c>
      <c r="Q74" s="14"/>
      <c r="R74" s="32">
        <f>IF(P$12=0,0,P74/P$12)</f>
        <v>7.013506176555965</v>
      </c>
      <c r="S74" s="14"/>
      <c r="T74" s="35">
        <f>+T70-T72</f>
        <v>57515.028575624994</v>
      </c>
      <c r="U74" s="14"/>
      <c r="V74" s="32">
        <f>IF(T$12=0,0,T74/T$12)</f>
        <v>0</v>
      </c>
      <c r="W74" s="15"/>
      <c r="X74" s="35">
        <f>P74-T74</f>
        <v>-31421.138575624995</v>
      </c>
      <c r="Y74" s="15"/>
      <c r="Z74" s="32">
        <f>IF(T74=0,0,X74/T74)</f>
        <v>-0.54631179630398985</v>
      </c>
    </row>
    <row r="75" spans="1:26" ht="15.75" thickTop="1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9" t="s">
        <v>5</v>
      </c>
      <c r="C77" s="29"/>
      <c r="D77" s="30">
        <f>SUM(D74:D76)</f>
        <v>-9030.9900000000016</v>
      </c>
      <c r="E77" s="14"/>
      <c r="F77" s="31">
        <f>IF(D$12=0,0,D77/D$12)</f>
        <v>-129.38381088825219</v>
      </c>
      <c r="G77" s="14"/>
      <c r="H77" s="30">
        <f>SUM(H74:H76)</f>
        <v>34465.393407884607</v>
      </c>
      <c r="I77" s="14"/>
      <c r="J77" s="31">
        <f>IF(H$12=0,0,H77/H$12)</f>
        <v>0</v>
      </c>
      <c r="K77" s="15"/>
      <c r="L77" s="30">
        <f>+D77-H77</f>
        <v>-43496.383407884612</v>
      </c>
      <c r="M77" s="15"/>
      <c r="N77" s="31">
        <f>IF(H77=0,0,L77/H77)</f>
        <v>-1.2620306663301861</v>
      </c>
      <c r="O77" s="28"/>
      <c r="P77" s="30">
        <f>SUM(P74:P76)</f>
        <v>26093.89</v>
      </c>
      <c r="Q77" s="14"/>
      <c r="R77" s="31">
        <f>IF(P$12=0,0,P77/P$12)</f>
        <v>7.013506176555965</v>
      </c>
      <c r="S77" s="14"/>
      <c r="T77" s="30">
        <f>SUM(T74:T76)</f>
        <v>57515.028575624994</v>
      </c>
      <c r="U77" s="14"/>
      <c r="V77" s="31">
        <f>IF(T$12=0,0,T77/T$12)</f>
        <v>0</v>
      </c>
      <c r="W77" s="15"/>
      <c r="X77" s="30">
        <f>+P77-T77</f>
        <v>-31421.138575624995</v>
      </c>
      <c r="Y77" s="15"/>
      <c r="Z77" s="31">
        <f>IF(T77=0,0,X77/T77)</f>
        <v>-0.54631179630398985</v>
      </c>
    </row>
    <row r="78" spans="1:26" ht="15.75" thickTop="1" x14ac:dyDescent="0.25">
      <c r="A78" s="9"/>
      <c r="C78" s="9"/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25">
      <c r="A79" s="9"/>
      <c r="B79" s="53">
        <v>43756.452422222224</v>
      </c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A80" s="9"/>
      <c r="B80" s="55" t="s">
        <v>314</v>
      </c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1:24" x14ac:dyDescent="0.25">
      <c r="A81" s="9"/>
      <c r="B81" s="56"/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</sheetData>
  <pageMargins left="0.25" right="0.25" top="0.75" bottom="0.75" header="0.3" footer="0.3"/>
  <pageSetup scale="55" fitToWidth="2" orientation="landscape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1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str">
        <f>CONCATENATE("Period ",RIGHT(202003,2),", ",2020)</f>
        <v>Period 03, 2020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43736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">
        <v>311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320325.60999999993</v>
      </c>
      <c r="E12" s="4"/>
      <c r="F12" s="12"/>
      <c r="G12" s="4"/>
      <c r="H12" s="4">
        <f>SUM(OSRRefH13x_0)</f>
        <v>252934</v>
      </c>
      <c r="I12" s="4"/>
      <c r="J12" s="12"/>
      <c r="K12" s="4"/>
      <c r="L12" s="4">
        <f t="shared" ref="L12:L37" si="0">+D12-H12</f>
        <v>67391.609999999928</v>
      </c>
      <c r="M12" s="4"/>
      <c r="N12" s="12">
        <f t="shared" ref="N12:N37" si="1">IF(H12=0,0,L12/H12)</f>
        <v>0.26643950595807575</v>
      </c>
      <c r="O12" s="10"/>
      <c r="P12" s="4">
        <f>SUM(OSRRefP13x_0)</f>
        <v>1192178.0799999998</v>
      </c>
      <c r="Q12" s="4"/>
      <c r="R12" s="12"/>
      <c r="S12" s="4"/>
      <c r="T12" s="4">
        <f>SUM(OSRRefT13x_0)</f>
        <v>1000552</v>
      </c>
      <c r="U12" s="4"/>
      <c r="V12" s="12"/>
      <c r="W12" s="4"/>
      <c r="X12" s="4">
        <f t="shared" ref="X12:X37" si="2">+P12-T12</f>
        <v>191626.07999999984</v>
      </c>
      <c r="Y12" s="4"/>
      <c r="Z12" s="12">
        <f t="shared" ref="Z12:Z37" si="3">IF(T12=0,0,X12/T12)</f>
        <v>0.19152036076085985</v>
      </c>
    </row>
    <row r="13" spans="1:26" s="24" customFormat="1" hidden="1" outlineLevel="1" x14ac:dyDescent="0.25">
      <c r="A13" s="46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222582</v>
      </c>
      <c r="I13" s="2"/>
      <c r="J13" s="19"/>
      <c r="K13" s="2"/>
      <c r="L13" s="2">
        <f t="shared" si="0"/>
        <v>-222582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880485</v>
      </c>
      <c r="U13" s="2"/>
      <c r="V13" s="19"/>
      <c r="W13" s="2"/>
      <c r="X13" s="2">
        <f t="shared" si="2"/>
        <v>-880485</v>
      </c>
      <c r="Y13" s="2"/>
      <c r="Z13" s="19">
        <f t="shared" si="3"/>
        <v>-1</v>
      </c>
    </row>
    <row r="14" spans="1:26" s="24" customFormat="1" hidden="1" outlineLevel="1" x14ac:dyDescent="0.25">
      <c r="A14" s="46"/>
      <c r="B14" s="11" t="str">
        <f>CONCATENATE("          ", "4081", " - ", "TAXABLE SALES-ELECTRONICS")</f>
        <v xml:space="preserve">          4081 - TAXABLE SALES-ELECTRONICS</v>
      </c>
      <c r="C14" s="11"/>
      <c r="D14" s="2">
        <f>--79257.39</f>
        <v>79257.39</v>
      </c>
      <c r="E14" s="2"/>
      <c r="F14" s="19"/>
      <c r="G14" s="2"/>
      <c r="H14" s="2"/>
      <c r="I14" s="2"/>
      <c r="J14" s="19"/>
      <c r="K14" s="2"/>
      <c r="L14" s="2">
        <f t="shared" si="0"/>
        <v>79257.39</v>
      </c>
      <c r="M14" s="2"/>
      <c r="N14" s="19">
        <f t="shared" si="1"/>
        <v>0</v>
      </c>
      <c r="O14" s="11"/>
      <c r="P14" s="2">
        <f>--188677.32</f>
        <v>188677.32</v>
      </c>
      <c r="Q14" s="2"/>
      <c r="R14" s="19"/>
      <c r="S14" s="2"/>
      <c r="T14" s="2"/>
      <c r="U14" s="2"/>
      <c r="V14" s="19"/>
      <c r="W14" s="2"/>
      <c r="X14" s="2">
        <f t="shared" si="2"/>
        <v>188677.32</v>
      </c>
      <c r="Y14" s="2"/>
      <c r="Z14" s="19">
        <f t="shared" si="3"/>
        <v>0</v>
      </c>
    </row>
    <row r="15" spans="1:26" s="24" customFormat="1" hidden="1" outlineLevel="1" x14ac:dyDescent="0.25">
      <c r="A15" s="46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>--225219.71</f>
        <v>225219.71</v>
      </c>
      <c r="E15" s="2"/>
      <c r="F15" s="19"/>
      <c r="G15" s="2"/>
      <c r="H15" s="2"/>
      <c r="I15" s="2"/>
      <c r="J15" s="19"/>
      <c r="K15" s="2"/>
      <c r="L15" s="2">
        <f t="shared" si="0"/>
        <v>225219.71</v>
      </c>
      <c r="M15" s="2"/>
      <c r="N15" s="19">
        <f t="shared" si="1"/>
        <v>0</v>
      </c>
      <c r="O15" s="11"/>
      <c r="P15" s="2">
        <f>--1038754.49</f>
        <v>1038754.49</v>
      </c>
      <c r="Q15" s="2"/>
      <c r="R15" s="19"/>
      <c r="S15" s="2"/>
      <c r="T15" s="2"/>
      <c r="U15" s="2"/>
      <c r="V15" s="19"/>
      <c r="W15" s="2"/>
      <c r="X15" s="2">
        <f t="shared" si="2"/>
        <v>1038754.49</v>
      </c>
      <c r="Y15" s="2"/>
      <c r="Z15" s="19">
        <f t="shared" si="3"/>
        <v>0</v>
      </c>
    </row>
    <row r="16" spans="1:26" s="24" customFormat="1" hidden="1" outlineLevel="1" x14ac:dyDescent="0.25">
      <c r="A16" s="46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>--17378.42</f>
        <v>17378.419999999998</v>
      </c>
      <c r="E16" s="2"/>
      <c r="F16" s="19"/>
      <c r="G16" s="2"/>
      <c r="H16" s="2"/>
      <c r="I16" s="2"/>
      <c r="J16" s="19"/>
      <c r="K16" s="2"/>
      <c r="L16" s="2">
        <f t="shared" si="0"/>
        <v>17378.419999999998</v>
      </c>
      <c r="M16" s="2"/>
      <c r="N16" s="19">
        <f t="shared" si="1"/>
        <v>0</v>
      </c>
      <c r="O16" s="11"/>
      <c r="P16" s="2">
        <f>--40956.21</f>
        <v>40956.21</v>
      </c>
      <c r="Q16" s="2"/>
      <c r="R16" s="19"/>
      <c r="S16" s="2"/>
      <c r="T16" s="2"/>
      <c r="U16" s="2"/>
      <c r="V16" s="19"/>
      <c r="W16" s="2"/>
      <c r="X16" s="2">
        <f t="shared" si="2"/>
        <v>40956.21</v>
      </c>
      <c r="Y16" s="2"/>
      <c r="Z16" s="19">
        <f t="shared" si="3"/>
        <v>0</v>
      </c>
    </row>
    <row r="17" spans="1:26" s="24" customFormat="1" hidden="1" outlineLevel="1" x14ac:dyDescent="0.25">
      <c r="A17" s="46"/>
      <c r="B17" s="11" t="str">
        <f>CONCATENATE("          ", "4084", " - ", "TAXABLE SALES-SOFTWARE LICENSE")</f>
        <v xml:space="preserve">          4084 - TAXABLE SALES-SOFTWARE LICENSE</v>
      </c>
      <c r="C17" s="11"/>
      <c r="D17" s="2">
        <f t="shared" ref="D17:D18" si="4"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--129</f>
        <v>129</v>
      </c>
      <c r="Q17" s="2"/>
      <c r="R17" s="19"/>
      <c r="S17" s="2"/>
      <c r="T17" s="2"/>
      <c r="U17" s="2"/>
      <c r="V17" s="19"/>
      <c r="W17" s="2"/>
      <c r="X17" s="2">
        <f t="shared" si="2"/>
        <v>129</v>
      </c>
      <c r="Y17" s="2"/>
      <c r="Z17" s="19">
        <f t="shared" si="3"/>
        <v>0</v>
      </c>
    </row>
    <row r="18" spans="1:26" s="24" customFormat="1" hidden="1" outlineLevel="1" x14ac:dyDescent="0.25">
      <c r="A18" s="46"/>
      <c r="B18" s="11" t="str">
        <f>CONCATENATE("          ", "4085", " - ", "TAXABLE SALES-SOFTWARE")</f>
        <v xml:space="preserve">          4085 - TAXABLE SALES-SOFTWARE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--493.95</f>
        <v>493.95</v>
      </c>
      <c r="Q18" s="2"/>
      <c r="R18" s="19"/>
      <c r="S18" s="2"/>
      <c r="T18" s="2"/>
      <c r="U18" s="2"/>
      <c r="V18" s="19"/>
      <c r="W18" s="2"/>
      <c r="X18" s="2">
        <f t="shared" si="2"/>
        <v>493.95</v>
      </c>
      <c r="Y18" s="2"/>
      <c r="Z18" s="19">
        <f t="shared" si="3"/>
        <v>0</v>
      </c>
    </row>
    <row r="19" spans="1:26" s="24" customFormat="1" hidden="1" outlineLevel="1" x14ac:dyDescent="0.25">
      <c r="A19" s="46"/>
      <c r="B19" s="11" t="str">
        <f>CONCATENATE("          ", "4086", " - ", "TAXABLE SALES-COMPUTER SUPPLIE")</f>
        <v xml:space="preserve">          4086 - TAXABLE SALES-COMPUTER SUPPLIE</v>
      </c>
      <c r="C19" s="11"/>
      <c r="D19" s="2">
        <f>--10424.61</f>
        <v>10424.61</v>
      </c>
      <c r="E19" s="2"/>
      <c r="F19" s="19"/>
      <c r="G19" s="2"/>
      <c r="H19" s="2"/>
      <c r="I19" s="2"/>
      <c r="J19" s="19"/>
      <c r="K19" s="2"/>
      <c r="L19" s="2">
        <f t="shared" si="0"/>
        <v>10424.61</v>
      </c>
      <c r="M19" s="2"/>
      <c r="N19" s="19">
        <f t="shared" si="1"/>
        <v>0</v>
      </c>
      <c r="O19" s="11"/>
      <c r="P19" s="2">
        <f>--19983.21</f>
        <v>19983.21</v>
      </c>
      <c r="Q19" s="2"/>
      <c r="R19" s="19"/>
      <c r="S19" s="2"/>
      <c r="T19" s="2"/>
      <c r="U19" s="2"/>
      <c r="V19" s="19"/>
      <c r="W19" s="2"/>
      <c r="X19" s="2">
        <f t="shared" si="2"/>
        <v>19983.21</v>
      </c>
      <c r="Y19" s="2"/>
      <c r="Z19" s="19">
        <f t="shared" si="3"/>
        <v>0</v>
      </c>
    </row>
    <row r="20" spans="1:26" s="24" customFormat="1" hidden="1" outlineLevel="1" x14ac:dyDescent="0.25">
      <c r="A20" s="46"/>
      <c r="B20" s="11" t="str">
        <f>CONCATENATE("          ", "4088", " - ", "TAXABLE SALES-MUSIC")</f>
        <v xml:space="preserve">          4088 - TAXABLE SALES-MUSIC</v>
      </c>
      <c r="C20" s="11"/>
      <c r="D20" s="2">
        <f>--16.99</f>
        <v>16.989999999999998</v>
      </c>
      <c r="E20" s="2"/>
      <c r="F20" s="19"/>
      <c r="G20" s="2"/>
      <c r="H20" s="2"/>
      <c r="I20" s="2"/>
      <c r="J20" s="19"/>
      <c r="K20" s="2"/>
      <c r="L20" s="2">
        <f t="shared" si="0"/>
        <v>16.989999999999998</v>
      </c>
      <c r="M20" s="2"/>
      <c r="N20" s="19">
        <f t="shared" si="1"/>
        <v>0</v>
      </c>
      <c r="O20" s="11"/>
      <c r="P20" s="2">
        <f>--535.96</f>
        <v>535.96</v>
      </c>
      <c r="Q20" s="2"/>
      <c r="R20" s="19"/>
      <c r="S20" s="2"/>
      <c r="T20" s="2"/>
      <c r="U20" s="2"/>
      <c r="V20" s="19"/>
      <c r="W20" s="2"/>
      <c r="X20" s="2">
        <f t="shared" si="2"/>
        <v>535.96</v>
      </c>
      <c r="Y20" s="2"/>
      <c r="Z20" s="19">
        <f t="shared" si="3"/>
        <v>0</v>
      </c>
    </row>
    <row r="21" spans="1:26" s="24" customFormat="1" hidden="1" outlineLevel="1" x14ac:dyDescent="0.25">
      <c r="A21" s="46"/>
      <c r="B21" s="11" t="str">
        <f>CONCATENATE("          ", "4100", " - ", "NON-TAXABLE SALES")</f>
        <v xml:space="preserve">          4100 - NON-TAXABLE SALES</v>
      </c>
      <c r="C21" s="11"/>
      <c r="D21" s="2">
        <f>0</f>
        <v>0</v>
      </c>
      <c r="E21" s="2"/>
      <c r="F21" s="19"/>
      <c r="G21" s="2"/>
      <c r="H21" s="2">
        <v>30352</v>
      </c>
      <c r="I21" s="2"/>
      <c r="J21" s="19"/>
      <c r="K21" s="2"/>
      <c r="L21" s="2">
        <f t="shared" si="0"/>
        <v>-30352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v>120067</v>
      </c>
      <c r="U21" s="2"/>
      <c r="V21" s="19"/>
      <c r="W21" s="2"/>
      <c r="X21" s="2">
        <f t="shared" si="2"/>
        <v>-120067</v>
      </c>
      <c r="Y21" s="2"/>
      <c r="Z21" s="19">
        <f t="shared" si="3"/>
        <v>-1</v>
      </c>
    </row>
    <row r="22" spans="1:26" s="24" customFormat="1" hidden="1" outlineLevel="1" x14ac:dyDescent="0.25">
      <c r="A22" s="46"/>
      <c r="B22" s="11" t="str">
        <f>CONCATENATE("          ", "4181", " - ", "NON-TAXABLE SALES-ELECTRONICS")</f>
        <v xml:space="preserve">          4181 - NON-TAXABLE SALES-ELECTRONICS</v>
      </c>
      <c r="C22" s="11"/>
      <c r="D22" s="2">
        <f>--63.96</f>
        <v>63.96</v>
      </c>
      <c r="E22" s="2"/>
      <c r="F22" s="19"/>
      <c r="G22" s="2"/>
      <c r="H22" s="2"/>
      <c r="I22" s="2"/>
      <c r="J22" s="19"/>
      <c r="K22" s="2"/>
      <c r="L22" s="2">
        <f t="shared" si="0"/>
        <v>63.96</v>
      </c>
      <c r="M22" s="2"/>
      <c r="N22" s="19">
        <f t="shared" si="1"/>
        <v>0</v>
      </c>
      <c r="O22" s="11"/>
      <c r="P22" s="2">
        <f>--1454.52</f>
        <v>1454.52</v>
      </c>
      <c r="Q22" s="2"/>
      <c r="R22" s="19"/>
      <c r="S22" s="2"/>
      <c r="T22" s="2"/>
      <c r="U22" s="2"/>
      <c r="V22" s="19"/>
      <c r="W22" s="2"/>
      <c r="X22" s="2">
        <f t="shared" si="2"/>
        <v>1454.52</v>
      </c>
      <c r="Y22" s="2"/>
      <c r="Z22" s="19">
        <f t="shared" si="3"/>
        <v>0</v>
      </c>
    </row>
    <row r="23" spans="1:26" s="24" customFormat="1" hidden="1" outlineLevel="1" x14ac:dyDescent="0.25">
      <c r="A23" s="46"/>
      <c r="B23" s="11" t="str">
        <f>CONCATENATE("          ", "4182", " - ", "NON-TAXABLE SALES-COMPUTER HAR")</f>
        <v xml:space="preserve">          4182 - NON-TAXABLE SALES-COMPUTER HAR</v>
      </c>
      <c r="C23" s="11"/>
      <c r="D23" s="2">
        <f>--15231</f>
        <v>15231</v>
      </c>
      <c r="E23" s="2"/>
      <c r="F23" s="19"/>
      <c r="G23" s="2"/>
      <c r="H23" s="2"/>
      <c r="I23" s="2"/>
      <c r="J23" s="19"/>
      <c r="K23" s="2"/>
      <c r="L23" s="2">
        <f t="shared" si="0"/>
        <v>15231</v>
      </c>
      <c r="M23" s="2"/>
      <c r="N23" s="19">
        <f t="shared" si="1"/>
        <v>0</v>
      </c>
      <c r="O23" s="11"/>
      <c r="P23" s="2">
        <f>--45802</f>
        <v>45802</v>
      </c>
      <c r="Q23" s="2"/>
      <c r="R23" s="19"/>
      <c r="S23" s="2"/>
      <c r="T23" s="2"/>
      <c r="U23" s="2"/>
      <c r="V23" s="19"/>
      <c r="W23" s="2"/>
      <c r="X23" s="2">
        <f t="shared" si="2"/>
        <v>45802</v>
      </c>
      <c r="Y23" s="2"/>
      <c r="Z23" s="19">
        <f t="shared" si="3"/>
        <v>0</v>
      </c>
    </row>
    <row r="24" spans="1:26" s="24" customFormat="1" hidden="1" outlineLevel="1" x14ac:dyDescent="0.25">
      <c r="A24" s="46"/>
      <c r="B24" s="11" t="str">
        <f>CONCATENATE("          ", "4183", " - ", "NON-TAXABLE SALES-COMPUTER EQU")</f>
        <v xml:space="preserve">          4183 - NON-TAXABLE SALES-COMPUTER EQU</v>
      </c>
      <c r="C24" s="11"/>
      <c r="D24" s="2">
        <f>--864.82</f>
        <v>864.82</v>
      </c>
      <c r="E24" s="2"/>
      <c r="F24" s="19"/>
      <c r="G24" s="2"/>
      <c r="H24" s="2"/>
      <c r="I24" s="2"/>
      <c r="J24" s="19"/>
      <c r="K24" s="2"/>
      <c r="L24" s="2">
        <f t="shared" si="0"/>
        <v>864.82</v>
      </c>
      <c r="M24" s="2"/>
      <c r="N24" s="19">
        <f t="shared" si="1"/>
        <v>0</v>
      </c>
      <c r="O24" s="11"/>
      <c r="P24" s="2">
        <f>--2021.11</f>
        <v>2021.11</v>
      </c>
      <c r="Q24" s="2"/>
      <c r="R24" s="19"/>
      <c r="S24" s="2"/>
      <c r="T24" s="2"/>
      <c r="U24" s="2"/>
      <c r="V24" s="19"/>
      <c r="W24" s="2"/>
      <c r="X24" s="2">
        <f t="shared" si="2"/>
        <v>2021.11</v>
      </c>
      <c r="Y24" s="2"/>
      <c r="Z24" s="19">
        <f t="shared" si="3"/>
        <v>0</v>
      </c>
    </row>
    <row r="25" spans="1:26" s="24" customFormat="1" hidden="1" outlineLevel="1" x14ac:dyDescent="0.25">
      <c r="A25" s="46"/>
      <c r="B25" s="11" t="str">
        <f>CONCATENATE("          ", "4184", " - ", "NON-TAXABLE SALES-SOFTWARE LIC")</f>
        <v xml:space="preserve">          4184 - NON-TAXABLE SALES-SOFTWARE LIC</v>
      </c>
      <c r="C25" s="11"/>
      <c r="D25" s="2">
        <f>0</f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--1522</f>
        <v>1522</v>
      </c>
      <c r="Q25" s="2"/>
      <c r="R25" s="19"/>
      <c r="S25" s="2"/>
      <c r="T25" s="2"/>
      <c r="U25" s="2"/>
      <c r="V25" s="19"/>
      <c r="W25" s="2"/>
      <c r="X25" s="2">
        <f t="shared" si="2"/>
        <v>1522</v>
      </c>
      <c r="Y25" s="2"/>
      <c r="Z25" s="19">
        <f t="shared" si="3"/>
        <v>0</v>
      </c>
    </row>
    <row r="26" spans="1:26" s="24" customFormat="1" hidden="1" outlineLevel="1" x14ac:dyDescent="0.25">
      <c r="A26" s="46"/>
      <c r="B26" s="11" t="str">
        <f>CONCATENATE("          ", "4185", " - ", "NON-TAXABLE SALES-SOFTWARE")</f>
        <v xml:space="preserve">          4185 - NON-TAXABLE SALES-SOFTWARE</v>
      </c>
      <c r="C26" s="11"/>
      <c r="D26" s="2">
        <f>--2555.94</f>
        <v>2555.94</v>
      </c>
      <c r="E26" s="2"/>
      <c r="F26" s="19"/>
      <c r="G26" s="2"/>
      <c r="H26" s="2"/>
      <c r="I26" s="2"/>
      <c r="J26" s="19"/>
      <c r="K26" s="2"/>
      <c r="L26" s="2">
        <f t="shared" si="0"/>
        <v>2555.94</v>
      </c>
      <c r="M26" s="2"/>
      <c r="N26" s="19">
        <f t="shared" si="1"/>
        <v>0</v>
      </c>
      <c r="O26" s="11"/>
      <c r="P26" s="2">
        <f>--7077.94</f>
        <v>7077.94</v>
      </c>
      <c r="Q26" s="2"/>
      <c r="R26" s="19"/>
      <c r="S26" s="2"/>
      <c r="T26" s="2"/>
      <c r="U26" s="2"/>
      <c r="V26" s="19"/>
      <c r="W26" s="2"/>
      <c r="X26" s="2">
        <f t="shared" si="2"/>
        <v>7077.94</v>
      </c>
      <c r="Y26" s="2"/>
      <c r="Z26" s="19">
        <f t="shared" si="3"/>
        <v>0</v>
      </c>
    </row>
    <row r="27" spans="1:26" s="24" customFormat="1" hidden="1" outlineLevel="1" x14ac:dyDescent="0.25">
      <c r="A27" s="46"/>
      <c r="B27" s="11" t="str">
        <f>CONCATENATE("          ", "4186", " - ", "NON-TAXABLE SALES-COMPUTER SUP")</f>
        <v xml:space="preserve">          4186 - NON-TAXABLE SALES-COMPUTER SUP</v>
      </c>
      <c r="C27" s="11"/>
      <c r="D27" s="2">
        <f>--485.86</f>
        <v>485.86</v>
      </c>
      <c r="E27" s="2"/>
      <c r="F27" s="19"/>
      <c r="G27" s="2"/>
      <c r="H27" s="2"/>
      <c r="I27" s="2"/>
      <c r="J27" s="19"/>
      <c r="K27" s="2"/>
      <c r="L27" s="2">
        <f t="shared" si="0"/>
        <v>485.86</v>
      </c>
      <c r="M27" s="2"/>
      <c r="N27" s="19">
        <f t="shared" si="1"/>
        <v>0</v>
      </c>
      <c r="O27" s="11"/>
      <c r="P27" s="2">
        <f>--760.76</f>
        <v>760.76</v>
      </c>
      <c r="Q27" s="2"/>
      <c r="R27" s="19"/>
      <c r="S27" s="2"/>
      <c r="T27" s="2"/>
      <c r="U27" s="2"/>
      <c r="V27" s="19"/>
      <c r="W27" s="2"/>
      <c r="X27" s="2">
        <f t="shared" si="2"/>
        <v>760.76</v>
      </c>
      <c r="Y27" s="2"/>
      <c r="Z27" s="19">
        <f t="shared" si="3"/>
        <v>0</v>
      </c>
    </row>
    <row r="28" spans="1:26" s="24" customFormat="1" hidden="1" outlineLevel="1" x14ac:dyDescent="0.25">
      <c r="A28" s="46"/>
      <c r="B28" s="11" t="str">
        <f>CONCATENATE("          ", "4188", " - ", "NON-TAXABLE SALES-MUSIC")</f>
        <v xml:space="preserve">          4188 - NON-TAXABLE SALES-MUSIC</v>
      </c>
      <c r="C28" s="11"/>
      <c r="D28" s="2">
        <f>--119.98</f>
        <v>119.98</v>
      </c>
      <c r="E28" s="2"/>
      <c r="F28" s="19"/>
      <c r="G28" s="2"/>
      <c r="H28" s="2"/>
      <c r="I28" s="2"/>
      <c r="J28" s="19"/>
      <c r="K28" s="2"/>
      <c r="L28" s="2">
        <f t="shared" si="0"/>
        <v>119.98</v>
      </c>
      <c r="M28" s="2"/>
      <c r="N28" s="19">
        <f t="shared" si="1"/>
        <v>0</v>
      </c>
      <c r="O28" s="11"/>
      <c r="P28" s="2">
        <f>--219.96</f>
        <v>219.96</v>
      </c>
      <c r="Q28" s="2"/>
      <c r="R28" s="19"/>
      <c r="S28" s="2"/>
      <c r="T28" s="2"/>
      <c r="U28" s="2"/>
      <c r="V28" s="19"/>
      <c r="W28" s="2"/>
      <c r="X28" s="2">
        <f t="shared" si="2"/>
        <v>219.96</v>
      </c>
      <c r="Y28" s="2"/>
      <c r="Z28" s="19">
        <f t="shared" si="3"/>
        <v>0</v>
      </c>
    </row>
    <row r="29" spans="1:26" s="24" customFormat="1" hidden="1" outlineLevel="1" x14ac:dyDescent="0.25">
      <c r="A29" s="46"/>
      <c r="B29" s="11" t="str">
        <f>CONCATENATE("          ", "4281", " - ", "SALES RETURN TAXABLE-ELECTRONI")</f>
        <v xml:space="preserve">          4281 - SALES RETURN TAXABLE-ELECTRONI</v>
      </c>
      <c r="C29" s="11"/>
      <c r="D29" s="2">
        <f>-1039.72</f>
        <v>-1039.72</v>
      </c>
      <c r="E29" s="2"/>
      <c r="F29" s="19"/>
      <c r="G29" s="2"/>
      <c r="H29" s="2"/>
      <c r="I29" s="2"/>
      <c r="J29" s="19"/>
      <c r="K29" s="2"/>
      <c r="L29" s="2">
        <f t="shared" si="0"/>
        <v>-1039.72</v>
      </c>
      <c r="M29" s="2"/>
      <c r="N29" s="19">
        <f t="shared" si="1"/>
        <v>0</v>
      </c>
      <c r="O29" s="11"/>
      <c r="P29" s="2">
        <f>-3274.47</f>
        <v>-3274.47</v>
      </c>
      <c r="Q29" s="2"/>
      <c r="R29" s="19"/>
      <c r="S29" s="2"/>
      <c r="T29" s="2"/>
      <c r="U29" s="2"/>
      <c r="V29" s="19"/>
      <c r="W29" s="2"/>
      <c r="X29" s="2">
        <f t="shared" si="2"/>
        <v>-3274.47</v>
      </c>
      <c r="Y29" s="2"/>
      <c r="Z29" s="19">
        <f t="shared" si="3"/>
        <v>0</v>
      </c>
    </row>
    <row r="30" spans="1:26" s="24" customFormat="1" hidden="1" outlineLevel="1" x14ac:dyDescent="0.25">
      <c r="A30" s="46"/>
      <c r="B30" s="11" t="str">
        <f>CONCATENATE("          ", "4282", " - ", "SALES RETURN TAXABLE-COMPUTER")</f>
        <v xml:space="preserve">          4282 - SALES RETURN TAXABLE-COMPUTER</v>
      </c>
      <c r="C30" s="11"/>
      <c r="D30" s="2">
        <f>-27457.13</f>
        <v>-27457.13</v>
      </c>
      <c r="E30" s="2"/>
      <c r="F30" s="19"/>
      <c r="G30" s="2"/>
      <c r="H30" s="2"/>
      <c r="I30" s="2"/>
      <c r="J30" s="19"/>
      <c r="K30" s="2"/>
      <c r="L30" s="2">
        <f t="shared" si="0"/>
        <v>-27457.13</v>
      </c>
      <c r="M30" s="2"/>
      <c r="N30" s="19">
        <f t="shared" si="1"/>
        <v>0</v>
      </c>
      <c r="O30" s="11"/>
      <c r="P30" s="2">
        <f>-147646.85</f>
        <v>-147646.85</v>
      </c>
      <c r="Q30" s="2"/>
      <c r="R30" s="19"/>
      <c r="S30" s="2"/>
      <c r="T30" s="2"/>
      <c r="U30" s="2"/>
      <c r="V30" s="19"/>
      <c r="W30" s="2"/>
      <c r="X30" s="2">
        <f t="shared" si="2"/>
        <v>-147646.85</v>
      </c>
      <c r="Y30" s="2"/>
      <c r="Z30" s="19">
        <f t="shared" si="3"/>
        <v>0</v>
      </c>
    </row>
    <row r="31" spans="1:26" s="24" customFormat="1" hidden="1" outlineLevel="1" x14ac:dyDescent="0.25">
      <c r="A31" s="46"/>
      <c r="B31" s="11" t="str">
        <f>CONCATENATE("          ", "4283", " - ", "SALES RETURN TAXABLE-COMPUTER")</f>
        <v xml:space="preserve">          4283 - SALES RETURN TAXABLE-COMPUTER</v>
      </c>
      <c r="C31" s="11"/>
      <c r="D31" s="2">
        <f>-553.79</f>
        <v>-553.79</v>
      </c>
      <c r="E31" s="2"/>
      <c r="F31" s="19"/>
      <c r="G31" s="2"/>
      <c r="H31" s="2"/>
      <c r="I31" s="2"/>
      <c r="J31" s="19"/>
      <c r="K31" s="2"/>
      <c r="L31" s="2">
        <f t="shared" si="0"/>
        <v>-553.79</v>
      </c>
      <c r="M31" s="2"/>
      <c r="N31" s="19">
        <f t="shared" si="1"/>
        <v>0</v>
      </c>
      <c r="O31" s="11"/>
      <c r="P31" s="2">
        <f>-1284.48</f>
        <v>-1284.48</v>
      </c>
      <c r="Q31" s="2"/>
      <c r="R31" s="19"/>
      <c r="S31" s="2"/>
      <c r="T31" s="2"/>
      <c r="U31" s="2"/>
      <c r="V31" s="19"/>
      <c r="W31" s="2"/>
      <c r="X31" s="2">
        <f t="shared" si="2"/>
        <v>-1284.48</v>
      </c>
      <c r="Y31" s="2"/>
      <c r="Z31" s="19">
        <f t="shared" si="3"/>
        <v>0</v>
      </c>
    </row>
    <row r="32" spans="1:26" s="24" customFormat="1" hidden="1" outlineLevel="1" x14ac:dyDescent="0.25">
      <c r="A32" s="46"/>
      <c r="B32" s="11" t="str">
        <f>CONCATENATE("          ", "4284", " - ", "SALES RETURN TAXABLE-SOFTWARE")</f>
        <v xml:space="preserve">          4284 - SALES RETURN TAXABLE-SOFTWARE</v>
      </c>
      <c r="C32" s="11"/>
      <c r="D32" s="2">
        <f t="shared" ref="D32:D33" si="5">0</f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-129</f>
        <v>-129</v>
      </c>
      <c r="Q32" s="2"/>
      <c r="R32" s="19"/>
      <c r="S32" s="2"/>
      <c r="T32" s="2"/>
      <c r="U32" s="2"/>
      <c r="V32" s="19"/>
      <c r="W32" s="2"/>
      <c r="X32" s="2">
        <f t="shared" si="2"/>
        <v>-129</v>
      </c>
      <c r="Y32" s="2"/>
      <c r="Z32" s="19">
        <f t="shared" si="3"/>
        <v>0</v>
      </c>
    </row>
    <row r="33" spans="1:26" s="24" customFormat="1" hidden="1" outlineLevel="1" x14ac:dyDescent="0.25">
      <c r="A33" s="46"/>
      <c r="B33" s="11" t="str">
        <f>CONCATENATE("          ", "4285", " - ", "SALES RETURN TAXABLE-SOFTWARE")</f>
        <v xml:space="preserve">          4285 - SALES RETURN TAXABLE-SOFTWARE</v>
      </c>
      <c r="C33" s="11"/>
      <c r="D33" s="2">
        <f t="shared" si="5"/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-406.99</f>
        <v>-406.99</v>
      </c>
      <c r="Q33" s="2"/>
      <c r="R33" s="19"/>
      <c r="S33" s="2"/>
      <c r="T33" s="2"/>
      <c r="U33" s="2"/>
      <c r="V33" s="19"/>
      <c r="W33" s="2"/>
      <c r="X33" s="2">
        <f t="shared" si="2"/>
        <v>-406.99</v>
      </c>
      <c r="Y33" s="2"/>
      <c r="Z33" s="19">
        <f t="shared" si="3"/>
        <v>0</v>
      </c>
    </row>
    <row r="34" spans="1:26" s="24" customFormat="1" hidden="1" outlineLevel="1" x14ac:dyDescent="0.25">
      <c r="A34" s="46"/>
      <c r="B34" s="11" t="str">
        <f>CONCATENATE("          ", "4286", " - ", "SALES RETURN TAXABLE-COMPUTER")</f>
        <v xml:space="preserve">          4286 - SALES RETURN TAXABLE-COMPUTER</v>
      </c>
      <c r="C34" s="11"/>
      <c r="D34" s="2">
        <f>-962.59</f>
        <v>-962.59</v>
      </c>
      <c r="E34" s="2"/>
      <c r="F34" s="19"/>
      <c r="G34" s="2"/>
      <c r="H34" s="2"/>
      <c r="I34" s="2"/>
      <c r="J34" s="19"/>
      <c r="K34" s="2"/>
      <c r="L34" s="2">
        <f t="shared" si="0"/>
        <v>-962.59</v>
      </c>
      <c r="M34" s="2"/>
      <c r="N34" s="19">
        <f t="shared" si="1"/>
        <v>0</v>
      </c>
      <c r="O34" s="11"/>
      <c r="P34" s="2">
        <f>-2143.74</f>
        <v>-2143.7399999999998</v>
      </c>
      <c r="Q34" s="2"/>
      <c r="R34" s="19"/>
      <c r="S34" s="2"/>
      <c r="T34" s="2"/>
      <c r="U34" s="2"/>
      <c r="V34" s="19"/>
      <c r="W34" s="2"/>
      <c r="X34" s="2">
        <f t="shared" si="2"/>
        <v>-2143.7399999999998</v>
      </c>
      <c r="Y34" s="2"/>
      <c r="Z34" s="19">
        <f t="shared" si="3"/>
        <v>0</v>
      </c>
    </row>
    <row r="35" spans="1:26" s="24" customFormat="1" hidden="1" outlineLevel="1" x14ac:dyDescent="0.25">
      <c r="A35" s="46"/>
      <c r="B35" s="11" t="str">
        <f>CONCATENATE("          ", "4381", " - ", "SALES RETURN NON TAXABLE-ELECT")</f>
        <v xml:space="preserve">          4381 - SALES RETURN NON TAXABLE-ELECT</v>
      </c>
      <c r="C35" s="11"/>
      <c r="D35" s="2">
        <f>-1279.84</f>
        <v>-1279.8399999999999</v>
      </c>
      <c r="E35" s="2"/>
      <c r="F35" s="19"/>
      <c r="G35" s="2"/>
      <c r="H35" s="2"/>
      <c r="I35" s="2"/>
      <c r="J35" s="19"/>
      <c r="K35" s="2"/>
      <c r="L35" s="2">
        <f t="shared" si="0"/>
        <v>-1279.8399999999999</v>
      </c>
      <c r="M35" s="2"/>
      <c r="N35" s="19">
        <f t="shared" si="1"/>
        <v>0</v>
      </c>
      <c r="O35" s="11"/>
      <c r="P35" s="2">
        <f>-1279.84</f>
        <v>-1279.8399999999999</v>
      </c>
      <c r="Q35" s="2"/>
      <c r="R35" s="19"/>
      <c r="S35" s="2"/>
      <c r="T35" s="2"/>
      <c r="U35" s="2"/>
      <c r="V35" s="19"/>
      <c r="W35" s="2"/>
      <c r="X35" s="2">
        <f t="shared" si="2"/>
        <v>-1279.8399999999999</v>
      </c>
      <c r="Y35" s="2"/>
      <c r="Z35" s="19">
        <f t="shared" si="3"/>
        <v>0</v>
      </c>
    </row>
    <row r="36" spans="1:26" s="24" customFormat="1" hidden="1" outlineLevel="1" x14ac:dyDescent="0.25">
      <c r="A36" s="46"/>
      <c r="B36" s="11" t="str">
        <f>CONCATENATE("          ", "4383", " - ", "SALES RETURN NON TAXABLE-COMPU")</f>
        <v xml:space="preserve">          4383 - SALES RETURN NON TAXABLE-COMPU</v>
      </c>
      <c r="C36" s="11"/>
      <c r="D36" s="2">
        <f t="shared" ref="D36:D37" si="6">0</f>
        <v>0</v>
      </c>
      <c r="E36" s="2"/>
      <c r="F36" s="19"/>
      <c r="G36" s="2"/>
      <c r="H36" s="2"/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-24.99</f>
        <v>-24.99</v>
      </c>
      <c r="Q36" s="2"/>
      <c r="R36" s="19"/>
      <c r="S36" s="2"/>
      <c r="T36" s="2"/>
      <c r="U36" s="2"/>
      <c r="V36" s="19"/>
      <c r="W36" s="2"/>
      <c r="X36" s="2">
        <f t="shared" si="2"/>
        <v>-24.99</v>
      </c>
      <c r="Y36" s="2"/>
      <c r="Z36" s="19">
        <f t="shared" si="3"/>
        <v>0</v>
      </c>
    </row>
    <row r="37" spans="1:26" s="24" customFormat="1" hidden="1" outlineLevel="1" x14ac:dyDescent="0.25">
      <c r="A37" s="46"/>
      <c r="B37" s="11" t="str">
        <f>CONCATENATE("          ", "4386", " - ", "SALES RETURN NON TAXABLE-COMPU")</f>
        <v xml:space="preserve">          4386 - SALES RETURN NON TAXABLE-COMPU</v>
      </c>
      <c r="C37" s="11"/>
      <c r="D37" s="2">
        <f t="shared" si="6"/>
        <v>0</v>
      </c>
      <c r="E37" s="2"/>
      <c r="F37" s="19"/>
      <c r="G37" s="2"/>
      <c r="H37" s="2"/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>-19.99</f>
        <v>-19.989999999999998</v>
      </c>
      <c r="Q37" s="2"/>
      <c r="R37" s="19"/>
      <c r="S37" s="2"/>
      <c r="T37" s="2"/>
      <c r="U37" s="2"/>
      <c r="V37" s="19"/>
      <c r="W37" s="2"/>
      <c r="X37" s="2">
        <f t="shared" si="2"/>
        <v>-19.989999999999998</v>
      </c>
      <c r="Y37" s="2"/>
      <c r="Z37" s="19">
        <f t="shared" si="3"/>
        <v>0</v>
      </c>
    </row>
    <row r="38" spans="1:26" x14ac:dyDescent="0.25">
      <c r="A38" s="9"/>
      <c r="B38" s="10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collapsed="1" x14ac:dyDescent="0.25">
      <c r="A39" s="10"/>
      <c r="B39" s="28" t="s">
        <v>8</v>
      </c>
      <c r="C39" s="10"/>
      <c r="D39" s="4">
        <f>SUM(OSRRefD16x_0)</f>
        <v>278765.08</v>
      </c>
      <c r="E39" s="4"/>
      <c r="F39" s="12">
        <f t="shared" ref="F39:F53" si="7">IF(D$12=0,0,D39/D$12)</f>
        <v>0.87025536297269546</v>
      </c>
      <c r="G39" s="4"/>
      <c r="H39" s="4">
        <f>SUM(OSRRefH16x_0)</f>
        <v>197533</v>
      </c>
      <c r="I39" s="4"/>
      <c r="J39" s="12">
        <f t="shared" ref="J39:J53" si="8">IF(H$12=0,0,H39/H$12)</f>
        <v>0.78096657626100086</v>
      </c>
      <c r="K39" s="4"/>
      <c r="L39" s="4">
        <f t="shared" ref="L39:L53" si="9">+D39-H39</f>
        <v>81232.080000000016</v>
      </c>
      <c r="M39" s="4"/>
      <c r="N39" s="12">
        <f t="shared" ref="N39:N53" si="10">IF(H39=0,0,L39/H39)</f>
        <v>0.41123295854363584</v>
      </c>
      <c r="O39" s="10"/>
      <c r="P39" s="4">
        <f>SUM(OSRRefP16x_0)</f>
        <v>1076160.1500000001</v>
      </c>
      <c r="Q39" s="4"/>
      <c r="R39" s="12">
        <f t="shared" ref="R39:R53" si="11">IF(P$12=0,0,P39/P$12)</f>
        <v>0.90268406042157756</v>
      </c>
      <c r="S39" s="4"/>
      <c r="T39" s="4">
        <f>SUM(OSRRefT16x_0)</f>
        <v>781395</v>
      </c>
      <c r="U39" s="4"/>
      <c r="V39" s="12">
        <f t="shared" ref="V39:V53" si="12">IF(T$12=0,0,T39/T$12)</f>
        <v>0.78096390792282655</v>
      </c>
      <c r="W39" s="4"/>
      <c r="X39" s="4">
        <f t="shared" ref="X39:X53" si="13">+P39-T39</f>
        <v>294765.15000000014</v>
      </c>
      <c r="Y39" s="4"/>
      <c r="Z39" s="12">
        <f t="shared" ref="Z39:Z53" si="14">IF(T39=0,0,X39/T39)</f>
        <v>0.37722937822740116</v>
      </c>
    </row>
    <row r="40" spans="1:26" s="24" customFormat="1" hidden="1" outlineLevel="1" x14ac:dyDescent="0.25">
      <c r="A40" s="46"/>
      <c r="B40" s="11" t="str">
        <f>CONCATENATE("          ", "5000", " - ", "PURCHASES @ COST")</f>
        <v xml:space="preserve">          5000 - PURCHASES @ COST</v>
      </c>
      <c r="C40" s="11"/>
      <c r="D40" s="2"/>
      <c r="E40" s="2"/>
      <c r="F40" s="19">
        <f t="shared" si="7"/>
        <v>0</v>
      </c>
      <c r="G40" s="2"/>
      <c r="H40" s="2">
        <v>197533</v>
      </c>
      <c r="I40" s="2"/>
      <c r="J40" s="19">
        <f t="shared" si="8"/>
        <v>0.78096657626100086</v>
      </c>
      <c r="K40" s="2"/>
      <c r="L40" s="2">
        <f t="shared" si="9"/>
        <v>-197533</v>
      </c>
      <c r="M40" s="2"/>
      <c r="N40" s="19">
        <f t="shared" si="10"/>
        <v>-1</v>
      </c>
      <c r="O40" s="11"/>
      <c r="P40" s="2"/>
      <c r="Q40" s="2"/>
      <c r="R40" s="19">
        <f t="shared" si="11"/>
        <v>0</v>
      </c>
      <c r="S40" s="2"/>
      <c r="T40" s="2">
        <v>781395</v>
      </c>
      <c r="U40" s="2"/>
      <c r="V40" s="19">
        <f t="shared" si="12"/>
        <v>0.78096390792282655</v>
      </c>
      <c r="W40" s="2"/>
      <c r="X40" s="2">
        <f t="shared" si="13"/>
        <v>-781395</v>
      </c>
      <c r="Y40" s="2"/>
      <c r="Z40" s="19">
        <f t="shared" si="14"/>
        <v>-1</v>
      </c>
    </row>
    <row r="41" spans="1:26" s="24" customFormat="1" hidden="1" outlineLevel="1" x14ac:dyDescent="0.25">
      <c r="A41" s="46"/>
      <c r="B41" s="11" t="str">
        <f>CONCATENATE("          ", "5081", " - ", "PURCHASES @ COST-ELECTRONICS")</f>
        <v xml:space="preserve">          5081 - PURCHASES @ COST-ELECTRONICS</v>
      </c>
      <c r="C41" s="11"/>
      <c r="D41" s="2">
        <v>66227.41</v>
      </c>
      <c r="E41" s="2"/>
      <c r="F41" s="19">
        <f t="shared" si="7"/>
        <v>0.20675028137775189</v>
      </c>
      <c r="G41" s="2"/>
      <c r="H41" s="2"/>
      <c r="I41" s="2"/>
      <c r="J41" s="19">
        <f t="shared" si="8"/>
        <v>0</v>
      </c>
      <c r="K41" s="2"/>
      <c r="L41" s="2">
        <f t="shared" si="9"/>
        <v>66227.41</v>
      </c>
      <c r="M41" s="2"/>
      <c r="N41" s="19">
        <f t="shared" si="10"/>
        <v>0</v>
      </c>
      <c r="O41" s="11"/>
      <c r="P41" s="2">
        <v>149686.09000000003</v>
      </c>
      <c r="Q41" s="2"/>
      <c r="R41" s="19">
        <f t="shared" si="11"/>
        <v>0.12555682117557473</v>
      </c>
      <c r="S41" s="2"/>
      <c r="T41" s="2"/>
      <c r="U41" s="2"/>
      <c r="V41" s="19">
        <f t="shared" si="12"/>
        <v>0</v>
      </c>
      <c r="W41" s="2"/>
      <c r="X41" s="2">
        <f t="shared" si="13"/>
        <v>149686.09000000003</v>
      </c>
      <c r="Y41" s="2"/>
      <c r="Z41" s="19">
        <f t="shared" si="14"/>
        <v>0</v>
      </c>
    </row>
    <row r="42" spans="1:26" s="24" customFormat="1" hidden="1" outlineLevel="1" x14ac:dyDescent="0.25">
      <c r="A42" s="46"/>
      <c r="B42" s="11" t="str">
        <f>CONCATENATE("          ", "5082", " - ", "PURCHASES @ COST-COMPUTER HARD")</f>
        <v xml:space="preserve">          5082 - PURCHASES @ COST-COMPUTER HARD</v>
      </c>
      <c r="C42" s="11"/>
      <c r="D42" s="2">
        <v>127420.07</v>
      </c>
      <c r="E42" s="2"/>
      <c r="F42" s="19">
        <f t="shared" si="7"/>
        <v>0.39778296215528952</v>
      </c>
      <c r="G42" s="2"/>
      <c r="H42" s="2"/>
      <c r="I42" s="2"/>
      <c r="J42" s="19">
        <f t="shared" si="8"/>
        <v>0</v>
      </c>
      <c r="K42" s="2"/>
      <c r="L42" s="2">
        <f t="shared" si="9"/>
        <v>127420.07</v>
      </c>
      <c r="M42" s="2"/>
      <c r="N42" s="19">
        <f t="shared" si="10"/>
        <v>0</v>
      </c>
      <c r="O42" s="11"/>
      <c r="P42" s="2">
        <v>801042.97</v>
      </c>
      <c r="Q42" s="2"/>
      <c r="R42" s="19">
        <f t="shared" si="11"/>
        <v>0.67191553295460693</v>
      </c>
      <c r="S42" s="2"/>
      <c r="T42" s="2"/>
      <c r="U42" s="2"/>
      <c r="V42" s="19">
        <f t="shared" si="12"/>
        <v>0</v>
      </c>
      <c r="W42" s="2"/>
      <c r="X42" s="2">
        <f t="shared" si="13"/>
        <v>801042.97</v>
      </c>
      <c r="Y42" s="2"/>
      <c r="Z42" s="19">
        <f t="shared" si="14"/>
        <v>0</v>
      </c>
    </row>
    <row r="43" spans="1:26" s="24" customFormat="1" hidden="1" outlineLevel="1" x14ac:dyDescent="0.25">
      <c r="A43" s="46"/>
      <c r="B43" s="11" t="str">
        <f>CONCATENATE("          ", "5083", " - ", "PURCHASES @ COST-COMPUTER EQUI")</f>
        <v xml:space="preserve">          5083 - PURCHASES @ COST-COMPUTER EQUI</v>
      </c>
      <c r="C43" s="11"/>
      <c r="D43" s="2">
        <v>10519.97</v>
      </c>
      <c r="E43" s="2"/>
      <c r="F43" s="19">
        <f t="shared" si="7"/>
        <v>3.2841489008637183E-2</v>
      </c>
      <c r="G43" s="2"/>
      <c r="H43" s="2"/>
      <c r="I43" s="2"/>
      <c r="J43" s="19">
        <f t="shared" si="8"/>
        <v>0</v>
      </c>
      <c r="K43" s="2"/>
      <c r="L43" s="2">
        <f t="shared" si="9"/>
        <v>10519.97</v>
      </c>
      <c r="M43" s="2"/>
      <c r="N43" s="19">
        <f t="shared" si="10"/>
        <v>0</v>
      </c>
      <c r="O43" s="11"/>
      <c r="P43" s="2">
        <v>27712.41</v>
      </c>
      <c r="Q43" s="2"/>
      <c r="R43" s="19">
        <f t="shared" si="11"/>
        <v>2.3245193369098017E-2</v>
      </c>
      <c r="S43" s="2"/>
      <c r="T43" s="2"/>
      <c r="U43" s="2"/>
      <c r="V43" s="19">
        <f t="shared" si="12"/>
        <v>0</v>
      </c>
      <c r="W43" s="2"/>
      <c r="X43" s="2">
        <f t="shared" si="13"/>
        <v>27712.41</v>
      </c>
      <c r="Y43" s="2"/>
      <c r="Z43" s="19">
        <f t="shared" si="14"/>
        <v>0</v>
      </c>
    </row>
    <row r="44" spans="1:26" s="24" customFormat="1" hidden="1" outlineLevel="1" x14ac:dyDescent="0.25">
      <c r="A44" s="46"/>
      <c r="B44" s="11" t="str">
        <f>CONCATENATE("          ", "5084", " - ", "PURCHASES @ COST-SOFTWARE LICE")</f>
        <v xml:space="preserve">          5084 - PURCHASES @ COST-SOFTWARE LICE</v>
      </c>
      <c r="C44" s="11"/>
      <c r="D44" s="2"/>
      <c r="E44" s="2"/>
      <c r="F44" s="19">
        <f t="shared" si="7"/>
        <v>0</v>
      </c>
      <c r="G44" s="2"/>
      <c r="H44" s="2"/>
      <c r="I44" s="2"/>
      <c r="J44" s="19">
        <f t="shared" si="8"/>
        <v>0</v>
      </c>
      <c r="K44" s="2"/>
      <c r="L44" s="2">
        <f t="shared" si="9"/>
        <v>0</v>
      </c>
      <c r="M44" s="2"/>
      <c r="N44" s="19">
        <f t="shared" si="10"/>
        <v>0</v>
      </c>
      <c r="O44" s="11"/>
      <c r="P44" s="2">
        <v>1522</v>
      </c>
      <c r="Q44" s="2"/>
      <c r="R44" s="19">
        <f t="shared" si="11"/>
        <v>1.2766549104811591E-3</v>
      </c>
      <c r="S44" s="2"/>
      <c r="T44" s="2"/>
      <c r="U44" s="2"/>
      <c r="V44" s="19">
        <f t="shared" si="12"/>
        <v>0</v>
      </c>
      <c r="W44" s="2"/>
      <c r="X44" s="2">
        <f t="shared" si="13"/>
        <v>1522</v>
      </c>
      <c r="Y44" s="2"/>
      <c r="Z44" s="19">
        <f t="shared" si="14"/>
        <v>0</v>
      </c>
    </row>
    <row r="45" spans="1:26" s="24" customFormat="1" hidden="1" outlineLevel="1" x14ac:dyDescent="0.25">
      <c r="A45" s="46"/>
      <c r="B45" s="11" t="str">
        <f>CONCATENATE("          ", "5085", " - ", "PURCHASES @ COST-SOFTWARE")</f>
        <v xml:space="preserve">          5085 - PURCHASES @ COST-SOFTWARE</v>
      </c>
      <c r="C45" s="11"/>
      <c r="D45" s="2">
        <v>3058</v>
      </c>
      <c r="E45" s="2"/>
      <c r="F45" s="19">
        <f t="shared" si="7"/>
        <v>9.5465361011877903E-3</v>
      </c>
      <c r="G45" s="2"/>
      <c r="H45" s="2"/>
      <c r="I45" s="2"/>
      <c r="J45" s="19">
        <f t="shared" si="8"/>
        <v>0</v>
      </c>
      <c r="K45" s="2"/>
      <c r="L45" s="2">
        <f t="shared" si="9"/>
        <v>3058</v>
      </c>
      <c r="M45" s="2"/>
      <c r="N45" s="19">
        <f t="shared" si="10"/>
        <v>0</v>
      </c>
      <c r="O45" s="11"/>
      <c r="P45" s="2">
        <v>6426</v>
      </c>
      <c r="Q45" s="2"/>
      <c r="R45" s="19">
        <f t="shared" si="11"/>
        <v>5.3901343329513327E-3</v>
      </c>
      <c r="S45" s="2"/>
      <c r="T45" s="2"/>
      <c r="U45" s="2"/>
      <c r="V45" s="19">
        <f t="shared" si="12"/>
        <v>0</v>
      </c>
      <c r="W45" s="2"/>
      <c r="X45" s="2">
        <f t="shared" si="13"/>
        <v>6426</v>
      </c>
      <c r="Y45" s="2"/>
      <c r="Z45" s="19">
        <f t="shared" si="14"/>
        <v>0</v>
      </c>
    </row>
    <row r="46" spans="1:26" s="24" customFormat="1" hidden="1" outlineLevel="1" x14ac:dyDescent="0.25">
      <c r="A46" s="46"/>
      <c r="B46" s="11" t="str">
        <f>CONCATENATE("          ", "5086", " - ", "PURCHASES @ COST-COMPUTER SUPP")</f>
        <v xml:space="preserve">          5086 - PURCHASES @ COST-COMPUTER SUPP</v>
      </c>
      <c r="C46" s="11"/>
      <c r="D46" s="2">
        <v>6272.87</v>
      </c>
      <c r="E46" s="2"/>
      <c r="F46" s="19">
        <f t="shared" si="7"/>
        <v>1.9582792646519898E-2</v>
      </c>
      <c r="G46" s="2"/>
      <c r="H46" s="2"/>
      <c r="I46" s="2"/>
      <c r="J46" s="19">
        <f t="shared" si="8"/>
        <v>0</v>
      </c>
      <c r="K46" s="2"/>
      <c r="L46" s="2">
        <f t="shared" si="9"/>
        <v>6272.87</v>
      </c>
      <c r="M46" s="2"/>
      <c r="N46" s="19">
        <f t="shared" si="10"/>
        <v>0</v>
      </c>
      <c r="O46" s="11"/>
      <c r="P46" s="2">
        <v>12479.75</v>
      </c>
      <c r="Q46" s="2"/>
      <c r="R46" s="19">
        <f t="shared" si="11"/>
        <v>1.0468025045385838E-2</v>
      </c>
      <c r="S46" s="2"/>
      <c r="T46" s="2"/>
      <c r="U46" s="2"/>
      <c r="V46" s="19">
        <f t="shared" si="12"/>
        <v>0</v>
      </c>
      <c r="W46" s="2"/>
      <c r="X46" s="2">
        <f t="shared" si="13"/>
        <v>12479.75</v>
      </c>
      <c r="Y46" s="2"/>
      <c r="Z46" s="19">
        <f t="shared" si="14"/>
        <v>0</v>
      </c>
    </row>
    <row r="47" spans="1:26" s="24" customFormat="1" hidden="1" outlineLevel="1" x14ac:dyDescent="0.25">
      <c r="A47" s="46"/>
      <c r="B47" s="11" t="str">
        <f>CONCATENATE("          ", "5088", " - ", "PURCHASES @ COST-MUSIC")</f>
        <v xml:space="preserve">          5088 - PURCHASES @ COST-MUSIC</v>
      </c>
      <c r="C47" s="11"/>
      <c r="D47" s="2">
        <v>6.75</v>
      </c>
      <c r="E47" s="2"/>
      <c r="F47" s="19">
        <f t="shared" si="7"/>
        <v>2.1072308267827857E-5</v>
      </c>
      <c r="G47" s="2"/>
      <c r="H47" s="2"/>
      <c r="I47" s="2"/>
      <c r="J47" s="19">
        <f t="shared" si="8"/>
        <v>0</v>
      </c>
      <c r="K47" s="2"/>
      <c r="L47" s="2">
        <f t="shared" si="9"/>
        <v>6.75</v>
      </c>
      <c r="M47" s="2"/>
      <c r="N47" s="19">
        <f t="shared" si="10"/>
        <v>0</v>
      </c>
      <c r="O47" s="11"/>
      <c r="P47" s="2">
        <v>88.75</v>
      </c>
      <c r="Q47" s="2"/>
      <c r="R47" s="19">
        <f t="shared" si="11"/>
        <v>7.4443576416033426E-5</v>
      </c>
      <c r="S47" s="2"/>
      <c r="T47" s="2"/>
      <c r="U47" s="2"/>
      <c r="V47" s="19">
        <f t="shared" si="12"/>
        <v>0</v>
      </c>
      <c r="W47" s="2"/>
      <c r="X47" s="2">
        <f t="shared" si="13"/>
        <v>88.75</v>
      </c>
      <c r="Y47" s="2"/>
      <c r="Z47" s="19">
        <f t="shared" si="14"/>
        <v>0</v>
      </c>
    </row>
    <row r="48" spans="1:26" s="24" customFormat="1" hidden="1" outlineLevel="1" x14ac:dyDescent="0.25">
      <c r="A48" s="46"/>
      <c r="B48" s="11" t="str">
        <f>CONCATENATE("          ", "5200", " - ", "PURCHASES OFFSET")</f>
        <v xml:space="preserve">          5200 - PURCHASES OFFSET</v>
      </c>
      <c r="C48" s="11"/>
      <c r="D48" s="2">
        <v>-213676</v>
      </c>
      <c r="E48" s="2"/>
      <c r="F48" s="19">
        <f t="shared" si="7"/>
        <v>-0.66705874687946443</v>
      </c>
      <c r="G48" s="2"/>
      <c r="H48" s="2"/>
      <c r="I48" s="2"/>
      <c r="J48" s="19">
        <f t="shared" si="8"/>
        <v>0</v>
      </c>
      <c r="K48" s="2"/>
      <c r="L48" s="2">
        <f t="shared" si="9"/>
        <v>-213676</v>
      </c>
      <c r="M48" s="2"/>
      <c r="N48" s="19">
        <f t="shared" si="10"/>
        <v>0</v>
      </c>
      <c r="O48" s="11"/>
      <c r="P48" s="2">
        <v>-999198</v>
      </c>
      <c r="Q48" s="2"/>
      <c r="R48" s="19">
        <f t="shared" si="11"/>
        <v>-0.8381281427351861</v>
      </c>
      <c r="S48" s="2"/>
      <c r="T48" s="2"/>
      <c r="U48" s="2"/>
      <c r="V48" s="19">
        <f t="shared" si="12"/>
        <v>0</v>
      </c>
      <c r="W48" s="2"/>
      <c r="X48" s="2">
        <f t="shared" si="13"/>
        <v>-999198</v>
      </c>
      <c r="Y48" s="2"/>
      <c r="Z48" s="19">
        <f t="shared" si="14"/>
        <v>0</v>
      </c>
    </row>
    <row r="49" spans="1:26" s="24" customFormat="1" hidden="1" outlineLevel="1" x14ac:dyDescent="0.25">
      <c r="A49" s="46"/>
      <c r="B49" s="11" t="str">
        <f>CONCATENATE("          ", "5300", " - ", "COG$ OFFSET")</f>
        <v xml:space="preserve">          5300 - COG$ OFFSET</v>
      </c>
      <c r="C49" s="11"/>
      <c r="D49" s="2">
        <v>278765</v>
      </c>
      <c r="E49" s="2"/>
      <c r="F49" s="19">
        <f t="shared" si="7"/>
        <v>0.87025511322681959</v>
      </c>
      <c r="G49" s="2"/>
      <c r="H49" s="2"/>
      <c r="I49" s="2"/>
      <c r="J49" s="19">
        <f t="shared" si="8"/>
        <v>0</v>
      </c>
      <c r="K49" s="2"/>
      <c r="L49" s="2">
        <f t="shared" si="9"/>
        <v>278765</v>
      </c>
      <c r="M49" s="2"/>
      <c r="N49" s="19">
        <f t="shared" si="10"/>
        <v>0</v>
      </c>
      <c r="O49" s="11"/>
      <c r="P49" s="2">
        <v>1076159</v>
      </c>
      <c r="Q49" s="2"/>
      <c r="R49" s="19">
        <f t="shared" si="11"/>
        <v>0.90268309580058725</v>
      </c>
      <c r="S49" s="2"/>
      <c r="T49" s="2"/>
      <c r="U49" s="2"/>
      <c r="V49" s="19">
        <f t="shared" si="12"/>
        <v>0</v>
      </c>
      <c r="W49" s="2"/>
      <c r="X49" s="2">
        <f t="shared" si="13"/>
        <v>1076159</v>
      </c>
      <c r="Y49" s="2"/>
      <c r="Z49" s="19">
        <f t="shared" si="14"/>
        <v>0</v>
      </c>
    </row>
    <row r="50" spans="1:26" s="24" customFormat="1" hidden="1" outlineLevel="1" x14ac:dyDescent="0.25">
      <c r="A50" s="46"/>
      <c r="B50" s="11" t="str">
        <f>CONCATENATE("          ", "5581", " - ", "FREIGHT-IN-ELECTRONICS")</f>
        <v xml:space="preserve">          5581 - FREIGHT-IN-ELECTRONICS</v>
      </c>
      <c r="C50" s="11"/>
      <c r="D50" s="2">
        <v>92.95</v>
      </c>
      <c r="E50" s="2"/>
      <c r="F50" s="19">
        <f t="shared" si="7"/>
        <v>2.9017348940660732E-4</v>
      </c>
      <c r="G50" s="2"/>
      <c r="H50" s="2"/>
      <c r="I50" s="2"/>
      <c r="J50" s="19">
        <f t="shared" si="8"/>
        <v>0</v>
      </c>
      <c r="K50" s="2"/>
      <c r="L50" s="2">
        <f t="shared" si="9"/>
        <v>92.95</v>
      </c>
      <c r="M50" s="2"/>
      <c r="N50" s="19">
        <f t="shared" si="10"/>
        <v>0</v>
      </c>
      <c r="O50" s="11"/>
      <c r="P50" s="2">
        <v>92.95</v>
      </c>
      <c r="Q50" s="2"/>
      <c r="R50" s="19">
        <f t="shared" si="11"/>
        <v>7.7966540032341496E-5</v>
      </c>
      <c r="S50" s="2"/>
      <c r="T50" s="2"/>
      <c r="U50" s="2"/>
      <c r="V50" s="19">
        <f t="shared" si="12"/>
        <v>0</v>
      </c>
      <c r="W50" s="2"/>
      <c r="X50" s="2">
        <f t="shared" si="13"/>
        <v>92.95</v>
      </c>
      <c r="Y50" s="2"/>
      <c r="Z50" s="19">
        <f t="shared" si="14"/>
        <v>0</v>
      </c>
    </row>
    <row r="51" spans="1:26" s="24" customFormat="1" hidden="1" outlineLevel="1" x14ac:dyDescent="0.25">
      <c r="A51" s="46"/>
      <c r="B51" s="11" t="str">
        <f>CONCATENATE("          ", "5582", " - ", "FREIGHT-IN-COMPUTER HARDWARE")</f>
        <v xml:space="preserve">          5582 - FREIGHT-IN-COMPUTER HARDWARE</v>
      </c>
      <c r="C51" s="11"/>
      <c r="D51" s="2">
        <v>4.84</v>
      </c>
      <c r="E51" s="2"/>
      <c r="F51" s="19">
        <f t="shared" si="7"/>
        <v>1.5109625483894344E-5</v>
      </c>
      <c r="G51" s="2"/>
      <c r="H51" s="2"/>
      <c r="I51" s="2"/>
      <c r="J51" s="19">
        <f t="shared" si="8"/>
        <v>0</v>
      </c>
      <c r="K51" s="2"/>
      <c r="L51" s="2">
        <f t="shared" si="9"/>
        <v>4.84</v>
      </c>
      <c r="M51" s="2"/>
      <c r="N51" s="19">
        <f t="shared" si="10"/>
        <v>0</v>
      </c>
      <c r="O51" s="11"/>
      <c r="P51" s="2">
        <v>4.84</v>
      </c>
      <c r="Q51" s="2"/>
      <c r="R51" s="19">
        <f t="shared" si="11"/>
        <v>4.0597961673645272E-6</v>
      </c>
      <c r="S51" s="2"/>
      <c r="T51" s="2"/>
      <c r="U51" s="2"/>
      <c r="V51" s="19">
        <f t="shared" si="12"/>
        <v>0</v>
      </c>
      <c r="W51" s="2"/>
      <c r="X51" s="2">
        <f t="shared" si="13"/>
        <v>4.84</v>
      </c>
      <c r="Y51" s="2"/>
      <c r="Z51" s="19">
        <f t="shared" si="14"/>
        <v>0</v>
      </c>
    </row>
    <row r="52" spans="1:26" s="24" customFormat="1" hidden="1" outlineLevel="1" x14ac:dyDescent="0.25">
      <c r="A52" s="46"/>
      <c r="B52" s="11" t="str">
        <f>CONCATENATE("          ", "5583", " - ", "FREIGHT-IN-COMPUTER EQUIPMENT")</f>
        <v xml:space="preserve">          5583 - FREIGHT-IN-COMPUTER EQUIPMENT</v>
      </c>
      <c r="C52" s="11"/>
      <c r="D52" s="2">
        <v>7.86</v>
      </c>
      <c r="E52" s="2"/>
      <c r="F52" s="19">
        <f t="shared" si="7"/>
        <v>2.4537532294092883E-5</v>
      </c>
      <c r="G52" s="2"/>
      <c r="H52" s="2"/>
      <c r="I52" s="2"/>
      <c r="J52" s="19">
        <f t="shared" si="8"/>
        <v>0</v>
      </c>
      <c r="K52" s="2"/>
      <c r="L52" s="2">
        <f t="shared" si="9"/>
        <v>7.86</v>
      </c>
      <c r="M52" s="2"/>
      <c r="N52" s="19">
        <f t="shared" si="10"/>
        <v>0</v>
      </c>
      <c r="O52" s="11"/>
      <c r="P52" s="2">
        <v>41</v>
      </c>
      <c r="Q52" s="2"/>
      <c r="R52" s="19">
        <f t="shared" si="11"/>
        <v>3.4390835302054882E-5</v>
      </c>
      <c r="S52" s="2"/>
      <c r="T52" s="2"/>
      <c r="U52" s="2"/>
      <c r="V52" s="19">
        <f t="shared" si="12"/>
        <v>0</v>
      </c>
      <c r="W52" s="2"/>
      <c r="X52" s="2">
        <f t="shared" si="13"/>
        <v>41</v>
      </c>
      <c r="Y52" s="2"/>
      <c r="Z52" s="19">
        <f t="shared" si="14"/>
        <v>0</v>
      </c>
    </row>
    <row r="53" spans="1:26" s="24" customFormat="1" hidden="1" outlineLevel="1" x14ac:dyDescent="0.25">
      <c r="A53" s="46"/>
      <c r="B53" s="11" t="str">
        <f>CONCATENATE("          ", "5586", " - ", "FREIGHT-IN-COMPUTER SUPPLIES")</f>
        <v xml:space="preserve">          5586 - FREIGHT-IN-COMPUTER SUPPLIES</v>
      </c>
      <c r="C53" s="11"/>
      <c r="D53" s="2">
        <v>65.36</v>
      </c>
      <c r="E53" s="2"/>
      <c r="F53" s="19">
        <f t="shared" si="7"/>
        <v>2.0404238050151537E-4</v>
      </c>
      <c r="G53" s="2"/>
      <c r="H53" s="2"/>
      <c r="I53" s="2"/>
      <c r="J53" s="19">
        <f t="shared" si="8"/>
        <v>0</v>
      </c>
      <c r="K53" s="2"/>
      <c r="L53" s="2">
        <f t="shared" si="9"/>
        <v>65.36</v>
      </c>
      <c r="M53" s="2"/>
      <c r="N53" s="19">
        <f t="shared" si="10"/>
        <v>0</v>
      </c>
      <c r="O53" s="11"/>
      <c r="P53" s="2">
        <v>102.39</v>
      </c>
      <c r="Q53" s="2"/>
      <c r="R53" s="19">
        <f t="shared" si="11"/>
        <v>8.5884820160424364E-5</v>
      </c>
      <c r="S53" s="2"/>
      <c r="T53" s="2"/>
      <c r="U53" s="2"/>
      <c r="V53" s="19">
        <f t="shared" si="12"/>
        <v>0</v>
      </c>
      <c r="W53" s="2"/>
      <c r="X53" s="2">
        <f t="shared" si="13"/>
        <v>102.39</v>
      </c>
      <c r="Y53" s="2"/>
      <c r="Z53" s="19">
        <f t="shared" si="14"/>
        <v>0</v>
      </c>
    </row>
    <row r="54" spans="1:26" x14ac:dyDescent="0.25">
      <c r="A54" s="9"/>
      <c r="B54" s="10"/>
      <c r="C54" s="10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O54" s="10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x14ac:dyDescent="0.25">
      <c r="A55" s="10"/>
      <c r="B55" s="29" t="s">
        <v>6</v>
      </c>
      <c r="C55" s="29"/>
      <c r="D55" s="22">
        <f>D12-D39</f>
        <v>41560.529999999912</v>
      </c>
      <c r="E55" s="14"/>
      <c r="F55" s="20">
        <f>IF(D$12=0,0,D55/D$12)</f>
        <v>0.12974463702730457</v>
      </c>
      <c r="G55" s="14"/>
      <c r="H55" s="22">
        <f>H12-H39</f>
        <v>55401</v>
      </c>
      <c r="I55" s="14"/>
      <c r="J55" s="20">
        <f>IF(H$12=0,0,H55/H$12)</f>
        <v>0.21903342373899912</v>
      </c>
      <c r="K55" s="15"/>
      <c r="L55" s="22">
        <f>+D55-H55</f>
        <v>-13840.470000000088</v>
      </c>
      <c r="M55" s="15"/>
      <c r="N55" s="20">
        <f>IF(H55=0,0,L55/H55)</f>
        <v>-0.24982346889045484</v>
      </c>
      <c r="O55" s="28"/>
      <c r="P55" s="22">
        <f>P12-P39</f>
        <v>116017.9299999997</v>
      </c>
      <c r="Q55" s="14"/>
      <c r="R55" s="20">
        <f>IF(P$12=0,0,P55/P$12)</f>
        <v>9.7315939578422481E-2</v>
      </c>
      <c r="S55" s="14"/>
      <c r="T55" s="22">
        <f>T12-T39</f>
        <v>219157</v>
      </c>
      <c r="U55" s="14"/>
      <c r="V55" s="20">
        <f>IF(T$12=0,0,T55/T$12)</f>
        <v>0.21903609207717339</v>
      </c>
      <c r="W55" s="15"/>
      <c r="X55" s="22">
        <f>+P55-T55</f>
        <v>-103139.0700000003</v>
      </c>
      <c r="Y55" s="15"/>
      <c r="Z55" s="20">
        <f>IF(T55=0,0,X55/T55)</f>
        <v>-0.47061727437408024</v>
      </c>
    </row>
    <row r="56" spans="1:26" x14ac:dyDescent="0.25">
      <c r="A56" s="9"/>
      <c r="B56" s="10"/>
      <c r="C56" s="9"/>
      <c r="D56" s="1"/>
      <c r="E56" s="1"/>
      <c r="F56" s="5"/>
      <c r="G56" s="1"/>
      <c r="H56" s="1"/>
      <c r="I56" s="1"/>
      <c r="J56" s="5"/>
      <c r="K56" s="1"/>
      <c r="L56" s="1"/>
      <c r="M56" s="1"/>
      <c r="N56" s="5"/>
      <c r="O56" s="36"/>
      <c r="P56" s="1"/>
      <c r="Q56" s="1"/>
      <c r="R56" s="5"/>
      <c r="S56" s="1"/>
      <c r="T56" s="1"/>
      <c r="U56" s="1"/>
      <c r="V56" s="5"/>
      <c r="W56" s="1"/>
      <c r="X56" s="1"/>
      <c r="Y56" s="1"/>
      <c r="Z56" s="5"/>
    </row>
    <row r="57" spans="1:26" s="23" customFormat="1" x14ac:dyDescent="0.25">
      <c r="A57" s="10"/>
      <c r="B57" s="28" t="s">
        <v>9</v>
      </c>
      <c r="C57" s="10"/>
      <c r="D57" s="21">
        <f>SUM(OSRRefD22x_0)</f>
        <v>12298.65</v>
      </c>
      <c r="E57" s="21"/>
      <c r="F57" s="33">
        <f t="shared" ref="F57:F68" si="15">IF(D$12=0,0,D57/D$12)</f>
        <v>3.8394213937499415E-2</v>
      </c>
      <c r="G57" s="21"/>
      <c r="H57" s="21">
        <f>SUM(OSRRefH22x_0)</f>
        <v>17133.879112316921</v>
      </c>
      <c r="I57" s="21"/>
      <c r="J57" s="33">
        <f t="shared" ref="J57:J68" si="16">IF(H$12=0,0,H57/H$12)</f>
        <v>6.774051377955087E-2</v>
      </c>
      <c r="K57" s="4"/>
      <c r="L57" s="21">
        <f t="shared" ref="L57:L68" si="17">+D57-H57</f>
        <v>-4835.2291123169216</v>
      </c>
      <c r="M57" s="4"/>
      <c r="N57" s="33">
        <f t="shared" ref="N57:N68" si="18">IF(H57=0,0,L57/H57)</f>
        <v>-0.28220282637812305</v>
      </c>
      <c r="O57" s="10"/>
      <c r="P57" s="21">
        <f>SUM(OSRRefP22x_0)</f>
        <v>102193.21999999999</v>
      </c>
      <c r="Q57" s="21"/>
      <c r="R57" s="33">
        <f t="shared" ref="R57:R68" si="19">IF(P$12=0,0,P57/P$12)</f>
        <v>8.5719760926991712E-2</v>
      </c>
      <c r="S57" s="21"/>
      <c r="T57" s="21">
        <f>SUM(OSRRefT22x_0)</f>
        <v>50354.932318129999</v>
      </c>
      <c r="U57" s="21"/>
      <c r="V57" s="33">
        <f t="shared" ref="V57:V68" si="20">IF(T$12=0,0,T57/T$12)</f>
        <v>5.0327151730374831E-2</v>
      </c>
      <c r="W57" s="4"/>
      <c r="X57" s="21">
        <f t="shared" ref="X57:X68" si="21">+P57-T57</f>
        <v>51838.287681869988</v>
      </c>
      <c r="Y57" s="4"/>
      <c r="Z57" s="33">
        <f t="shared" ref="Z57:Z68" si="22">IF(T57=0,0,X57/T57)</f>
        <v>1.0294579953830245</v>
      </c>
    </row>
    <row r="58" spans="1:26" s="26" customFormat="1" outlineLevel="1" collapsed="1" x14ac:dyDescent="0.25">
      <c r="A58" s="27"/>
      <c r="B58" s="13" t="str">
        <f>CONCATENATE("     ","*Benefits                                         ")</f>
        <v xml:space="preserve">     *Benefits                                         </v>
      </c>
      <c r="C58" s="13"/>
      <c r="D58" s="1">
        <f>SUM(OSRRefD22_0x_0)</f>
        <v>3779.41</v>
      </c>
      <c r="E58" s="1"/>
      <c r="F58" s="5">
        <f t="shared" si="15"/>
        <v>1.1798650754149818E-2</v>
      </c>
      <c r="G58" s="1"/>
      <c r="H58" s="1">
        <f>SUM(OSRRefH22_0x_0)</f>
        <v>2449.7177215476918</v>
      </c>
      <c r="I58" s="1"/>
      <c r="J58" s="5">
        <f t="shared" si="16"/>
        <v>9.6852053165952055E-3</v>
      </c>
      <c r="K58" s="1"/>
      <c r="L58" s="1">
        <f t="shared" si="17"/>
        <v>1329.6922784523081</v>
      </c>
      <c r="M58" s="1"/>
      <c r="N58" s="5">
        <f t="shared" si="18"/>
        <v>0.54279408062257484</v>
      </c>
      <c r="O58" s="13"/>
      <c r="P58" s="1">
        <f>SUM(OSRRefP22_0x_0)</f>
        <v>8908.9500000000007</v>
      </c>
      <c r="Q58" s="1"/>
      <c r="R58" s="5">
        <f t="shared" si="19"/>
        <v>7.472834930835167E-3</v>
      </c>
      <c r="S58" s="1"/>
      <c r="T58" s="1">
        <f>SUM(OSRRefT22_0x_0)</f>
        <v>8260.0377981299989</v>
      </c>
      <c r="U58" s="1"/>
      <c r="V58" s="5">
        <f t="shared" si="20"/>
        <v>8.2554807727434447E-3</v>
      </c>
      <c r="W58" s="1"/>
      <c r="X58" s="1">
        <f t="shared" si="21"/>
        <v>648.91220187000181</v>
      </c>
      <c r="Y58" s="1"/>
      <c r="Z58" s="5">
        <f t="shared" si="22"/>
        <v>7.8560439761778081E-2</v>
      </c>
    </row>
    <row r="59" spans="1:26" s="24" customFormat="1" hidden="1" outlineLevel="2" x14ac:dyDescent="0.25">
      <c r="A59" s="25"/>
      <c r="B59" s="11" t="str">
        <f>CONCATENATE("          ", "6111", " - ", "F.I.C.A.")</f>
        <v xml:space="preserve">          6111 - F.I.C.A.</v>
      </c>
      <c r="C59" s="11"/>
      <c r="D59" s="7">
        <v>699.16</v>
      </c>
      <c r="E59" s="2"/>
      <c r="F59" s="6">
        <f t="shared" si="15"/>
        <v>2.1826540812643737E-3</v>
      </c>
      <c r="G59" s="2"/>
      <c r="H59" s="7">
        <v>368.84942751692296</v>
      </c>
      <c r="I59" s="2"/>
      <c r="J59" s="6">
        <f t="shared" si="16"/>
        <v>1.4582832972906883E-3</v>
      </c>
      <c r="K59" s="2"/>
      <c r="L59" s="7">
        <f t="shared" si="17"/>
        <v>330.31057248307701</v>
      </c>
      <c r="M59" s="2"/>
      <c r="N59" s="6">
        <f t="shared" si="18"/>
        <v>0.89551602318244683</v>
      </c>
      <c r="O59" s="11"/>
      <c r="P59" s="7">
        <v>1774.7</v>
      </c>
      <c r="Q59" s="2"/>
      <c r="R59" s="6">
        <f t="shared" si="19"/>
        <v>1.4886198880623609E-3</v>
      </c>
      <c r="S59" s="2"/>
      <c r="T59" s="7">
        <v>1940.4794505300001</v>
      </c>
      <c r="U59" s="2"/>
      <c r="V59" s="6">
        <f t="shared" si="20"/>
        <v>1.939408896818956E-3</v>
      </c>
      <c r="W59" s="2"/>
      <c r="X59" s="7">
        <f t="shared" si="21"/>
        <v>-165.77945053000008</v>
      </c>
      <c r="Y59" s="2"/>
      <c r="Z59" s="6">
        <f t="shared" si="22"/>
        <v>-8.5432211345871756E-2</v>
      </c>
    </row>
    <row r="60" spans="1:26" s="24" customFormat="1" hidden="1" outlineLevel="2" x14ac:dyDescent="0.25">
      <c r="A60" s="25"/>
      <c r="B60" s="11" t="str">
        <f>CONCATENATE("          ", "6112", " - ", "COMPENSATION INSURANCE")</f>
        <v xml:space="preserve">          6112 - COMPENSATION INSURANCE</v>
      </c>
      <c r="C60" s="11"/>
      <c r="D60" s="7">
        <v>205.93</v>
      </c>
      <c r="E60" s="2"/>
      <c r="F60" s="6">
        <f t="shared" si="15"/>
        <v>6.4287710245833937E-4</v>
      </c>
      <c r="G60" s="2"/>
      <c r="H60" s="7">
        <v>213.04075046153801</v>
      </c>
      <c r="I60" s="2"/>
      <c r="J60" s="6">
        <f t="shared" si="16"/>
        <v>8.4227802692219322E-4</v>
      </c>
      <c r="K60" s="2"/>
      <c r="L60" s="7">
        <f t="shared" si="17"/>
        <v>-7.1107504615380037</v>
      </c>
      <c r="M60" s="2"/>
      <c r="N60" s="6">
        <f t="shared" si="18"/>
        <v>-3.3377419325331212E-2</v>
      </c>
      <c r="O60" s="11"/>
      <c r="P60" s="7">
        <v>463.57</v>
      </c>
      <c r="Q60" s="2"/>
      <c r="R60" s="6">
        <f t="shared" si="19"/>
        <v>3.888429151456971E-4</v>
      </c>
      <c r="S60" s="2"/>
      <c r="T60" s="7">
        <v>603.22721899999897</v>
      </c>
      <c r="U60" s="2"/>
      <c r="V60" s="6">
        <f t="shared" si="20"/>
        <v>6.0289442127945271E-4</v>
      </c>
      <c r="W60" s="2"/>
      <c r="X60" s="7">
        <f t="shared" si="21"/>
        <v>-139.65721899999897</v>
      </c>
      <c r="Y60" s="2"/>
      <c r="Z60" s="6">
        <f t="shared" si="22"/>
        <v>-0.2315167727867386</v>
      </c>
    </row>
    <row r="61" spans="1:26" s="24" customFormat="1" hidden="1" outlineLevel="2" x14ac:dyDescent="0.25">
      <c r="A61" s="25"/>
      <c r="B61" s="11" t="str">
        <f>CONCATENATE("          ", "6113", " - ", "GROUP INSURANCE")</f>
        <v xml:space="preserve">          6113 - GROUP INSURANCE</v>
      </c>
      <c r="C61" s="11"/>
      <c r="D61" s="7">
        <v>964.88</v>
      </c>
      <c r="E61" s="2"/>
      <c r="F61" s="6">
        <f t="shared" si="15"/>
        <v>3.0121850076239619E-3</v>
      </c>
      <c r="G61" s="2"/>
      <c r="H61" s="7">
        <v>1186.2</v>
      </c>
      <c r="I61" s="2"/>
      <c r="J61" s="6">
        <f t="shared" si="16"/>
        <v>4.6897609653111091E-3</v>
      </c>
      <c r="K61" s="2"/>
      <c r="L61" s="7">
        <f t="shared" si="17"/>
        <v>-221.32000000000005</v>
      </c>
      <c r="M61" s="2"/>
      <c r="N61" s="6">
        <f t="shared" si="18"/>
        <v>-0.1865789917383241</v>
      </c>
      <c r="O61" s="11"/>
      <c r="P61" s="7">
        <v>2894.64</v>
      </c>
      <c r="Q61" s="2"/>
      <c r="R61" s="6">
        <f t="shared" si="19"/>
        <v>2.4280265243595152E-3</v>
      </c>
      <c r="S61" s="2"/>
      <c r="T61" s="7">
        <v>3558.6</v>
      </c>
      <c r="U61" s="2"/>
      <c r="V61" s="6">
        <f t="shared" si="20"/>
        <v>3.5566367365214399E-3</v>
      </c>
      <c r="W61" s="2"/>
      <c r="X61" s="7">
        <f t="shared" si="21"/>
        <v>-663.96</v>
      </c>
      <c r="Y61" s="2"/>
      <c r="Z61" s="6">
        <f t="shared" si="22"/>
        <v>-0.18657899173832407</v>
      </c>
    </row>
    <row r="62" spans="1:26" s="24" customFormat="1" hidden="1" outlineLevel="2" x14ac:dyDescent="0.25">
      <c r="A62" s="25"/>
      <c r="B62" s="11" t="str">
        <f>CONCATENATE("          ", "6114", " - ", "STATE UNEMPLOYMENT INSURANCE")</f>
        <v xml:space="preserve">          6114 - STATE UNEMPLOYMENT INSURANCE</v>
      </c>
      <c r="C62" s="11"/>
      <c r="D62" s="7">
        <v>28.18</v>
      </c>
      <c r="E62" s="2"/>
      <c r="F62" s="6">
        <f t="shared" si="15"/>
        <v>8.797298473887244E-5</v>
      </c>
      <c r="G62" s="2"/>
      <c r="H62" s="7">
        <v>29.1529448</v>
      </c>
      <c r="I62" s="2"/>
      <c r="J62" s="6">
        <f t="shared" si="16"/>
        <v>1.1525909842093194E-4</v>
      </c>
      <c r="K62" s="2"/>
      <c r="L62" s="7">
        <f t="shared" si="17"/>
        <v>-0.9729448000000005</v>
      </c>
      <c r="M62" s="2"/>
      <c r="N62" s="6">
        <f t="shared" si="18"/>
        <v>-3.3373808604062548E-2</v>
      </c>
      <c r="O62" s="11"/>
      <c r="P62" s="7">
        <v>63.44</v>
      </c>
      <c r="Q62" s="2"/>
      <c r="R62" s="6">
        <f t="shared" si="19"/>
        <v>5.3213526623472227E-5</v>
      </c>
      <c r="S62" s="2"/>
      <c r="T62" s="7">
        <v>82.546882600000004</v>
      </c>
      <c r="U62" s="2"/>
      <c r="V62" s="6">
        <f t="shared" si="20"/>
        <v>8.2501341859293669E-5</v>
      </c>
      <c r="W62" s="2"/>
      <c r="X62" s="7">
        <f t="shared" si="21"/>
        <v>-19.106882600000006</v>
      </c>
      <c r="Y62" s="2"/>
      <c r="Z62" s="6">
        <f t="shared" si="22"/>
        <v>-0.23146704028287562</v>
      </c>
    </row>
    <row r="63" spans="1:26" s="24" customFormat="1" hidden="1" outlineLevel="2" x14ac:dyDescent="0.25">
      <c r="A63" s="25"/>
      <c r="B63" s="11" t="str">
        <f>CONCATENATE("          ", "6115", " - ", "P.E.R.S.")</f>
        <v xml:space="preserve">          6115 - P.E.R.S.</v>
      </c>
      <c r="C63" s="11"/>
      <c r="D63" s="7">
        <v>196.25</v>
      </c>
      <c r="E63" s="2"/>
      <c r="F63" s="6">
        <f t="shared" si="15"/>
        <v>6.1265785149055066E-4</v>
      </c>
      <c r="G63" s="2"/>
      <c r="H63" s="7">
        <v>294.022912615385</v>
      </c>
      <c r="I63" s="2"/>
      <c r="J63" s="6">
        <f t="shared" si="16"/>
        <v>1.1624491472691889E-3</v>
      </c>
      <c r="K63" s="2"/>
      <c r="L63" s="7">
        <f t="shared" si="17"/>
        <v>-97.772912615384996</v>
      </c>
      <c r="M63" s="2"/>
      <c r="N63" s="6">
        <f t="shared" si="18"/>
        <v>-0.33253501145770553</v>
      </c>
      <c r="O63" s="11"/>
      <c r="P63" s="7">
        <v>563.04999999999995</v>
      </c>
      <c r="Q63" s="2"/>
      <c r="R63" s="6">
        <f t="shared" si="19"/>
        <v>4.7228682480053656E-4</v>
      </c>
      <c r="S63" s="2"/>
      <c r="T63" s="7">
        <v>955.57446600000105</v>
      </c>
      <c r="U63" s="2"/>
      <c r="V63" s="6">
        <f t="shared" si="20"/>
        <v>9.5504727990149542E-4</v>
      </c>
      <c r="W63" s="2"/>
      <c r="X63" s="7">
        <f t="shared" si="21"/>
        <v>-392.5244660000011</v>
      </c>
      <c r="Y63" s="2"/>
      <c r="Z63" s="6">
        <f t="shared" si="22"/>
        <v>-0.41077328870359398</v>
      </c>
    </row>
    <row r="64" spans="1:26" s="24" customFormat="1" hidden="1" outlineLevel="2" x14ac:dyDescent="0.25">
      <c r="A64" s="25"/>
      <c r="B64" s="11" t="str">
        <f>CONCATENATE("          ", "6116", " - ", "EDUCATIONAL BENEFITS")</f>
        <v xml:space="preserve">          6116 - EDUCATIONAL BENEFITS</v>
      </c>
      <c r="C64" s="11"/>
      <c r="D64" s="7"/>
      <c r="E64" s="2"/>
      <c r="F64" s="6">
        <f t="shared" si="15"/>
        <v>0</v>
      </c>
      <c r="G64" s="2"/>
      <c r="H64" s="7">
        <v>0</v>
      </c>
      <c r="I64" s="2"/>
      <c r="J64" s="6">
        <f t="shared" si="16"/>
        <v>0</v>
      </c>
      <c r="K64" s="2"/>
      <c r="L64" s="7">
        <f t="shared" si="17"/>
        <v>0</v>
      </c>
      <c r="M64" s="2"/>
      <c r="N64" s="6">
        <f t="shared" si="18"/>
        <v>0</v>
      </c>
      <c r="O64" s="11"/>
      <c r="P64" s="7"/>
      <c r="Q64" s="2"/>
      <c r="R64" s="6">
        <f t="shared" si="19"/>
        <v>0</v>
      </c>
      <c r="S64" s="2"/>
      <c r="T64" s="7">
        <v>0</v>
      </c>
      <c r="U64" s="2"/>
      <c r="V64" s="6">
        <f t="shared" si="20"/>
        <v>0</v>
      </c>
      <c r="W64" s="2"/>
      <c r="X64" s="7">
        <f t="shared" si="21"/>
        <v>0</v>
      </c>
      <c r="Y64" s="2"/>
      <c r="Z64" s="6">
        <f t="shared" si="22"/>
        <v>0</v>
      </c>
    </row>
    <row r="65" spans="1:26" s="24" customFormat="1" hidden="1" outlineLevel="2" x14ac:dyDescent="0.25">
      <c r="A65" s="25"/>
      <c r="B65" s="11" t="str">
        <f>CONCATENATE("          ", "6117", " - ", "RETIREMENT STAFF HOURLY")</f>
        <v xml:space="preserve">          6117 - RETIREMENT STAFF HOURLY</v>
      </c>
      <c r="C65" s="11"/>
      <c r="D65" s="7">
        <v>301.07</v>
      </c>
      <c r="E65" s="2"/>
      <c r="F65" s="6">
        <f t="shared" si="15"/>
        <v>9.3988738521406413E-4</v>
      </c>
      <c r="G65" s="2"/>
      <c r="H65" s="7"/>
      <c r="I65" s="2"/>
      <c r="J65" s="6">
        <f t="shared" si="16"/>
        <v>0</v>
      </c>
      <c r="K65" s="2"/>
      <c r="L65" s="7">
        <f t="shared" si="17"/>
        <v>301.07</v>
      </c>
      <c r="M65" s="2"/>
      <c r="N65" s="6">
        <f t="shared" si="18"/>
        <v>0</v>
      </c>
      <c r="O65" s="11"/>
      <c r="P65" s="7">
        <v>552.04999999999995</v>
      </c>
      <c r="Q65" s="2"/>
      <c r="R65" s="6">
        <f t="shared" si="19"/>
        <v>4.6306001532925349E-4</v>
      </c>
      <c r="S65" s="2"/>
      <c r="T65" s="7"/>
      <c r="U65" s="2"/>
      <c r="V65" s="6">
        <f t="shared" si="20"/>
        <v>0</v>
      </c>
      <c r="W65" s="2"/>
      <c r="X65" s="7">
        <f t="shared" si="21"/>
        <v>552.04999999999995</v>
      </c>
      <c r="Y65" s="2"/>
      <c r="Z65" s="6">
        <f t="shared" si="22"/>
        <v>0</v>
      </c>
    </row>
    <row r="66" spans="1:26" s="24" customFormat="1" hidden="1" outlineLevel="2" x14ac:dyDescent="0.25">
      <c r="A66" s="25"/>
      <c r="B66" s="11" t="str">
        <f>CONCATENATE("          ", "6118", " - ", "VACATION")</f>
        <v xml:space="preserve">          6118 - VACATION</v>
      </c>
      <c r="C66" s="11"/>
      <c r="D66" s="7">
        <v>572.64</v>
      </c>
      <c r="E66" s="2"/>
      <c r="F66" s="6">
        <f t="shared" si="15"/>
        <v>1.7876809787391028E-3</v>
      </c>
      <c r="G66" s="2"/>
      <c r="H66" s="7">
        <v>170.943553846154</v>
      </c>
      <c r="I66" s="2"/>
      <c r="J66" s="6">
        <f t="shared" si="16"/>
        <v>6.7584252748208629E-4</v>
      </c>
      <c r="K66" s="2"/>
      <c r="L66" s="7">
        <f t="shared" si="17"/>
        <v>401.69644615384595</v>
      </c>
      <c r="M66" s="2"/>
      <c r="N66" s="6">
        <f t="shared" si="18"/>
        <v>2.3498777059201963</v>
      </c>
      <c r="O66" s="11"/>
      <c r="P66" s="7">
        <v>1037.27</v>
      </c>
      <c r="Q66" s="2"/>
      <c r="R66" s="6">
        <f t="shared" si="19"/>
        <v>8.7006296911615766E-4</v>
      </c>
      <c r="S66" s="2"/>
      <c r="T66" s="7">
        <v>555.56655000000001</v>
      </c>
      <c r="U66" s="2"/>
      <c r="V66" s="6">
        <f t="shared" si="20"/>
        <v>5.552600464543572E-4</v>
      </c>
      <c r="W66" s="2"/>
      <c r="X66" s="7">
        <f t="shared" si="21"/>
        <v>481.70344999999998</v>
      </c>
      <c r="Y66" s="2"/>
      <c r="Z66" s="6">
        <f t="shared" si="22"/>
        <v>0.86704905109927866</v>
      </c>
    </row>
    <row r="67" spans="1:26" s="24" customFormat="1" hidden="1" outlineLevel="2" x14ac:dyDescent="0.25">
      <c r="A67" s="25"/>
      <c r="B67" s="11" t="str">
        <f>CONCATENATE("          ", "6119", " - ", "SICK LEAVE")</f>
        <v xml:space="preserve">          6119 - SICK LEAVE</v>
      </c>
      <c r="C67" s="11"/>
      <c r="D67" s="7">
        <v>636.29999999999995</v>
      </c>
      <c r="E67" s="2"/>
      <c r="F67" s="6">
        <f t="shared" si="15"/>
        <v>1.9864162593805725E-3</v>
      </c>
      <c r="G67" s="2"/>
      <c r="H67" s="7">
        <v>187.50813230769199</v>
      </c>
      <c r="I67" s="2"/>
      <c r="J67" s="6">
        <f t="shared" si="16"/>
        <v>7.4133225389900917E-4</v>
      </c>
      <c r="K67" s="2"/>
      <c r="L67" s="7">
        <f t="shared" si="17"/>
        <v>448.79186769230796</v>
      </c>
      <c r="M67" s="2"/>
      <c r="N67" s="6">
        <f t="shared" si="18"/>
        <v>2.3934528181202386</v>
      </c>
      <c r="O67" s="11"/>
      <c r="P67" s="7">
        <v>1086.03</v>
      </c>
      <c r="Q67" s="2"/>
      <c r="R67" s="6">
        <f t="shared" si="19"/>
        <v>9.1096289909977214E-4</v>
      </c>
      <c r="S67" s="2"/>
      <c r="T67" s="7">
        <v>564.04322999999897</v>
      </c>
      <c r="U67" s="2"/>
      <c r="V67" s="6">
        <f t="shared" si="20"/>
        <v>5.637320499084495E-4</v>
      </c>
      <c r="W67" s="2"/>
      <c r="X67" s="7">
        <f t="shared" si="21"/>
        <v>521.986770000001</v>
      </c>
      <c r="Y67" s="2"/>
      <c r="Z67" s="6">
        <f t="shared" si="22"/>
        <v>0.92543752364513254</v>
      </c>
    </row>
    <row r="68" spans="1:26" s="24" customFormat="1" hidden="1" outlineLevel="2" x14ac:dyDescent="0.25">
      <c r="A68" s="25"/>
      <c r="B68" s="11" t="str">
        <f>CONCATENATE("          ", "6156", " - ", "EMPLOYEE MEALS")</f>
        <v xml:space="preserve">          6156 - EMPLOYEE MEALS</v>
      </c>
      <c r="C68" s="11"/>
      <c r="D68" s="7">
        <v>175</v>
      </c>
      <c r="E68" s="2"/>
      <c r="F68" s="6">
        <f t="shared" si="15"/>
        <v>5.4631910323998142E-4</v>
      </c>
      <c r="G68" s="2"/>
      <c r="H68" s="7"/>
      <c r="I68" s="2"/>
      <c r="J68" s="6">
        <f t="shared" si="16"/>
        <v>0</v>
      </c>
      <c r="K68" s="2"/>
      <c r="L68" s="7">
        <f t="shared" si="17"/>
        <v>175</v>
      </c>
      <c r="M68" s="2"/>
      <c r="N68" s="6">
        <f t="shared" si="18"/>
        <v>0</v>
      </c>
      <c r="O68" s="11"/>
      <c r="P68" s="7">
        <v>474.2</v>
      </c>
      <c r="Q68" s="2"/>
      <c r="R68" s="6">
        <f t="shared" si="19"/>
        <v>3.9775936829840059E-4</v>
      </c>
      <c r="S68" s="2"/>
      <c r="T68" s="7"/>
      <c r="U68" s="2"/>
      <c r="V68" s="6">
        <f t="shared" si="20"/>
        <v>0</v>
      </c>
      <c r="W68" s="2"/>
      <c r="X68" s="7">
        <f t="shared" si="21"/>
        <v>474.2</v>
      </c>
      <c r="Y68" s="2"/>
      <c r="Z68" s="6">
        <f t="shared" si="22"/>
        <v>0</v>
      </c>
    </row>
    <row r="69" spans="1:26" s="26" customFormat="1" outlineLevel="1" collapsed="1" x14ac:dyDescent="0.25">
      <c r="A69" s="27"/>
      <c r="B69" s="13" t="str">
        <f>CONCATENATE("     ","*Payroll                                          ")</f>
        <v xml:space="preserve">     *Payroll                                          </v>
      </c>
      <c r="C69" s="13"/>
      <c r="D69" s="1">
        <f>SUM(OSRRefD22_1x_0)</f>
        <v>10223.98</v>
      </c>
      <c r="E69" s="1"/>
      <c r="F69" s="5">
        <f t="shared" ref="F69:F79" si="23">IF(D$12=0,0,D69/D$12)</f>
        <v>3.1917460486534315E-2</v>
      </c>
      <c r="G69" s="1"/>
      <c r="H69" s="1">
        <f>SUM(OSRRefH22_1x_0)</f>
        <v>10939.16139076923</v>
      </c>
      <c r="I69" s="1"/>
      <c r="J69" s="5">
        <f t="shared" ref="J69:J79" si="24">IF(H$12=0,0,H69/H$12)</f>
        <v>4.3249074425617866E-2</v>
      </c>
      <c r="K69" s="1"/>
      <c r="L69" s="1">
        <f t="shared" ref="L69:L79" si="25">+D69-H69</f>
        <v>-715.18139076923035</v>
      </c>
      <c r="M69" s="1"/>
      <c r="N69" s="5">
        <f t="shared" ref="N69:N79" si="26">IF(H69=0,0,L69/H69)</f>
        <v>-6.5378082032204077E-2</v>
      </c>
      <c r="O69" s="13"/>
      <c r="P69" s="1">
        <f>SUM(OSRRefP22_1x_0)</f>
        <v>27512.059999999998</v>
      </c>
      <c r="Q69" s="1"/>
      <c r="R69" s="5">
        <f t="shared" ref="R69:R79" si="27">IF(P$12=0,0,P69/P$12)</f>
        <v>2.307713961659151E-2</v>
      </c>
      <c r="S69" s="1"/>
      <c r="T69" s="1">
        <f>SUM(OSRRefT22_1x_0)</f>
        <v>30859.894519999998</v>
      </c>
      <c r="U69" s="1"/>
      <c r="V69" s="5">
        <f t="shared" ref="V69:V79" si="28">IF(T$12=0,0,T69/T$12)</f>
        <v>3.084286925617059E-2</v>
      </c>
      <c r="W69" s="1"/>
      <c r="X69" s="1">
        <f t="shared" ref="X69:X79" si="29">+P69-T69</f>
        <v>-3347.8345200000003</v>
      </c>
      <c r="Y69" s="1"/>
      <c r="Z69" s="5">
        <f t="shared" ref="Z69:Z79" si="30">IF(T69=0,0,X69/T69)</f>
        <v>-0.10848496315599204</v>
      </c>
    </row>
    <row r="70" spans="1:26" s="24" customFormat="1" hidden="1" outlineLevel="2" x14ac:dyDescent="0.25">
      <c r="A70" s="25"/>
      <c r="B70" s="11" t="str">
        <f>CONCATENATE("          ", "6001", " - ", "ADMINISTRATIVE SALARIES")</f>
        <v xml:space="preserve">          6001 - ADMINISTRATIVE SALARIES</v>
      </c>
      <c r="C70" s="11"/>
      <c r="D70" s="7"/>
      <c r="E70" s="2"/>
      <c r="F70" s="6">
        <f t="shared" si="23"/>
        <v>0</v>
      </c>
      <c r="G70" s="2"/>
      <c r="H70" s="7">
        <v>3145.3613907692297</v>
      </c>
      <c r="I70" s="2"/>
      <c r="J70" s="6">
        <f t="shared" si="24"/>
        <v>1.2435502505670371E-2</v>
      </c>
      <c r="K70" s="2"/>
      <c r="L70" s="7">
        <f t="shared" si="25"/>
        <v>-3145.3613907692297</v>
      </c>
      <c r="M70" s="2"/>
      <c r="N70" s="6">
        <f t="shared" si="26"/>
        <v>-1</v>
      </c>
      <c r="O70" s="11"/>
      <c r="P70" s="7"/>
      <c r="Q70" s="2"/>
      <c r="R70" s="6">
        <f t="shared" si="27"/>
        <v>0</v>
      </c>
      <c r="S70" s="2"/>
      <c r="T70" s="7">
        <v>10222.424519999999</v>
      </c>
      <c r="U70" s="2"/>
      <c r="V70" s="6">
        <f t="shared" si="28"/>
        <v>1.021678485476017E-2</v>
      </c>
      <c r="W70" s="2"/>
      <c r="X70" s="7">
        <f t="shared" si="29"/>
        <v>-10222.424519999999</v>
      </c>
      <c r="Y70" s="2"/>
      <c r="Z70" s="6">
        <f t="shared" si="30"/>
        <v>-1</v>
      </c>
    </row>
    <row r="71" spans="1:26" s="24" customFormat="1" hidden="1" outlineLevel="2" x14ac:dyDescent="0.25">
      <c r="A71" s="25"/>
      <c r="B71" s="11" t="str">
        <f>CONCATENATE("          ", "6002", " - ", "STAFF SALARIES")</f>
        <v xml:space="preserve">          6002 - STAFF SALARIES</v>
      </c>
      <c r="C71" s="11"/>
      <c r="D71" s="7">
        <v>2855.56</v>
      </c>
      <c r="E71" s="2"/>
      <c r="F71" s="6">
        <f t="shared" si="23"/>
        <v>8.9145541625597798E-3</v>
      </c>
      <c r="G71" s="2"/>
      <c r="H71" s="7">
        <v>0</v>
      </c>
      <c r="I71" s="2"/>
      <c r="J71" s="6">
        <f t="shared" si="24"/>
        <v>0</v>
      </c>
      <c r="K71" s="2"/>
      <c r="L71" s="7">
        <f t="shared" si="25"/>
        <v>2855.56</v>
      </c>
      <c r="M71" s="2"/>
      <c r="N71" s="6">
        <f t="shared" si="26"/>
        <v>0</v>
      </c>
      <c r="O71" s="11"/>
      <c r="P71" s="7">
        <v>8631.64</v>
      </c>
      <c r="Q71" s="2"/>
      <c r="R71" s="6">
        <f t="shared" si="27"/>
        <v>7.2402270640641204E-3</v>
      </c>
      <c r="S71" s="2"/>
      <c r="T71" s="7">
        <v>0</v>
      </c>
      <c r="U71" s="2"/>
      <c r="V71" s="6">
        <f t="shared" si="28"/>
        <v>0</v>
      </c>
      <c r="W71" s="2"/>
      <c r="X71" s="7">
        <f t="shared" si="29"/>
        <v>8631.64</v>
      </c>
      <c r="Y71" s="2"/>
      <c r="Z71" s="6">
        <f t="shared" si="30"/>
        <v>0</v>
      </c>
    </row>
    <row r="72" spans="1:26" s="24" customFormat="1" hidden="1" outlineLevel="2" x14ac:dyDescent="0.25">
      <c r="A72" s="25"/>
      <c r="B72" s="11" t="str">
        <f>CONCATENATE("          ", "6003", " - ", "STAFF HOURLY-9 MONTH")</f>
        <v xml:space="preserve">          6003 - STAFF HOURLY-9 MONTH</v>
      </c>
      <c r="C72" s="11"/>
      <c r="D72" s="7"/>
      <c r="E72" s="2"/>
      <c r="F72" s="6">
        <f t="shared" si="23"/>
        <v>0</v>
      </c>
      <c r="G72" s="2"/>
      <c r="H72" s="7">
        <v>0</v>
      </c>
      <c r="I72" s="2"/>
      <c r="J72" s="6">
        <f t="shared" si="24"/>
        <v>0</v>
      </c>
      <c r="K72" s="2"/>
      <c r="L72" s="7">
        <f t="shared" si="25"/>
        <v>0</v>
      </c>
      <c r="M72" s="2"/>
      <c r="N72" s="6">
        <f t="shared" si="26"/>
        <v>0</v>
      </c>
      <c r="O72" s="11"/>
      <c r="P72" s="7"/>
      <c r="Q72" s="2"/>
      <c r="R72" s="6">
        <f t="shared" si="27"/>
        <v>0</v>
      </c>
      <c r="S72" s="2"/>
      <c r="T72" s="7">
        <v>0</v>
      </c>
      <c r="U72" s="2"/>
      <c r="V72" s="6">
        <f t="shared" si="28"/>
        <v>0</v>
      </c>
      <c r="W72" s="2"/>
      <c r="X72" s="7">
        <f t="shared" si="29"/>
        <v>0</v>
      </c>
      <c r="Y72" s="2"/>
      <c r="Z72" s="6">
        <f t="shared" si="30"/>
        <v>0</v>
      </c>
    </row>
    <row r="73" spans="1:26" s="24" customFormat="1" hidden="1" outlineLevel="2" x14ac:dyDescent="0.25">
      <c r="A73" s="25"/>
      <c r="B73" s="11" t="str">
        <f>CONCATENATE("          ", "6004", " - ", "STAFF HOURLY")</f>
        <v xml:space="preserve">          6004 - STAFF HOURLY</v>
      </c>
      <c r="C73" s="11"/>
      <c r="D73" s="7"/>
      <c r="E73" s="2"/>
      <c r="F73" s="6">
        <f t="shared" si="23"/>
        <v>0</v>
      </c>
      <c r="G73" s="2"/>
      <c r="H73" s="7">
        <v>1400.8</v>
      </c>
      <c r="I73" s="2"/>
      <c r="J73" s="6">
        <f t="shared" si="24"/>
        <v>5.5382036420568211E-3</v>
      </c>
      <c r="K73" s="2"/>
      <c r="L73" s="7">
        <f t="shared" si="25"/>
        <v>-1400.8</v>
      </c>
      <c r="M73" s="2"/>
      <c r="N73" s="6">
        <f t="shared" si="26"/>
        <v>-1</v>
      </c>
      <c r="O73" s="11"/>
      <c r="P73" s="7"/>
      <c r="Q73" s="2"/>
      <c r="R73" s="6">
        <f t="shared" si="27"/>
        <v>0</v>
      </c>
      <c r="S73" s="2"/>
      <c r="T73" s="7">
        <v>4865.72</v>
      </c>
      <c r="U73" s="2"/>
      <c r="V73" s="6">
        <f t="shared" si="28"/>
        <v>4.863035604346401E-3</v>
      </c>
      <c r="W73" s="2"/>
      <c r="X73" s="7">
        <f t="shared" si="29"/>
        <v>-4865.72</v>
      </c>
      <c r="Y73" s="2"/>
      <c r="Z73" s="6">
        <f t="shared" si="30"/>
        <v>-1</v>
      </c>
    </row>
    <row r="74" spans="1:26" s="24" customFormat="1" hidden="1" outlineLevel="2" x14ac:dyDescent="0.25">
      <c r="A74" s="25"/>
      <c r="B74" s="11" t="str">
        <f>CONCATENATE("          ", "6005", " - ", "TEMPORARY WAGES-HOURLY")</f>
        <v xml:space="preserve">          6005 - TEMPORARY WAGES-HOURLY</v>
      </c>
      <c r="C74" s="11"/>
      <c r="D74" s="7">
        <v>4227.2700000000004</v>
      </c>
      <c r="E74" s="2"/>
      <c r="F74" s="6">
        <f t="shared" si="23"/>
        <v>1.3196790603161581E-2</v>
      </c>
      <c r="G74" s="2"/>
      <c r="H74" s="7">
        <v>0</v>
      </c>
      <c r="I74" s="2"/>
      <c r="J74" s="6">
        <f t="shared" si="24"/>
        <v>0</v>
      </c>
      <c r="K74" s="2"/>
      <c r="L74" s="7">
        <f t="shared" si="25"/>
        <v>4227.2700000000004</v>
      </c>
      <c r="M74" s="2"/>
      <c r="N74" s="6">
        <f t="shared" si="26"/>
        <v>0</v>
      </c>
      <c r="O74" s="11"/>
      <c r="P74" s="7">
        <v>9368.14</v>
      </c>
      <c r="Q74" s="2"/>
      <c r="R74" s="6">
        <f t="shared" si="27"/>
        <v>7.8580038982095698E-3</v>
      </c>
      <c r="S74" s="2"/>
      <c r="T74" s="7">
        <v>0</v>
      </c>
      <c r="U74" s="2"/>
      <c r="V74" s="6">
        <f t="shared" si="28"/>
        <v>0</v>
      </c>
      <c r="W74" s="2"/>
      <c r="X74" s="7">
        <f t="shared" si="29"/>
        <v>9368.14</v>
      </c>
      <c r="Y74" s="2"/>
      <c r="Z74" s="6">
        <f t="shared" si="30"/>
        <v>0</v>
      </c>
    </row>
    <row r="75" spans="1:26" s="24" customFormat="1" hidden="1" outlineLevel="2" x14ac:dyDescent="0.25">
      <c r="A75" s="25"/>
      <c r="B75" s="11" t="str">
        <f>CONCATENATE("          ", "6006", " - ", "TEMPORARY PART TIME")</f>
        <v xml:space="preserve">          6006 - TEMPORARY PART TIME</v>
      </c>
      <c r="C75" s="11"/>
      <c r="D75" s="7">
        <v>2102.34</v>
      </c>
      <c r="E75" s="2"/>
      <c r="F75" s="6">
        <f t="shared" si="23"/>
        <v>6.563134305745958E-3</v>
      </c>
      <c r="G75" s="2"/>
      <c r="H75" s="7">
        <v>0</v>
      </c>
      <c r="I75" s="2"/>
      <c r="J75" s="6">
        <f t="shared" si="24"/>
        <v>0</v>
      </c>
      <c r="K75" s="2"/>
      <c r="L75" s="7">
        <f t="shared" si="25"/>
        <v>2102.34</v>
      </c>
      <c r="M75" s="2"/>
      <c r="N75" s="6">
        <f t="shared" si="26"/>
        <v>0</v>
      </c>
      <c r="O75" s="11"/>
      <c r="P75" s="7">
        <v>5054.16</v>
      </c>
      <c r="Q75" s="2"/>
      <c r="R75" s="6">
        <f t="shared" si="27"/>
        <v>4.2394337597617968E-3</v>
      </c>
      <c r="S75" s="2"/>
      <c r="T75" s="7">
        <v>0</v>
      </c>
      <c r="U75" s="2"/>
      <c r="V75" s="6">
        <f t="shared" si="28"/>
        <v>0</v>
      </c>
      <c r="W75" s="2"/>
      <c r="X75" s="7">
        <f t="shared" si="29"/>
        <v>5054.16</v>
      </c>
      <c r="Y75" s="2"/>
      <c r="Z75" s="6">
        <f t="shared" si="30"/>
        <v>0</v>
      </c>
    </row>
    <row r="76" spans="1:26" s="24" customFormat="1" hidden="1" outlineLevel="2" x14ac:dyDescent="0.25">
      <c r="A76" s="25"/>
      <c r="B76" s="11" t="str">
        <f>CONCATENATE("          ", "6007", " - ", "STUDENT HOURLY")</f>
        <v xml:space="preserve">          6007 - STUDENT HOURLY</v>
      </c>
      <c r="C76" s="11"/>
      <c r="D76" s="7">
        <v>1038.81</v>
      </c>
      <c r="E76" s="2"/>
      <c r="F76" s="6">
        <f t="shared" si="23"/>
        <v>3.2429814150670006E-3</v>
      </c>
      <c r="G76" s="2"/>
      <c r="H76" s="7">
        <v>0</v>
      </c>
      <c r="I76" s="2"/>
      <c r="J76" s="6">
        <f t="shared" si="24"/>
        <v>0</v>
      </c>
      <c r="K76" s="2"/>
      <c r="L76" s="7">
        <f t="shared" si="25"/>
        <v>1038.81</v>
      </c>
      <c r="M76" s="2"/>
      <c r="N76" s="6">
        <f t="shared" si="26"/>
        <v>0</v>
      </c>
      <c r="O76" s="11"/>
      <c r="P76" s="7">
        <v>4458.12</v>
      </c>
      <c r="Q76" s="2"/>
      <c r="R76" s="6">
        <f t="shared" si="27"/>
        <v>3.7394748945560217E-3</v>
      </c>
      <c r="S76" s="2"/>
      <c r="T76" s="7">
        <v>9378.75</v>
      </c>
      <c r="U76" s="2"/>
      <c r="V76" s="6">
        <f t="shared" si="28"/>
        <v>9.3735757861660371E-3</v>
      </c>
      <c r="W76" s="2"/>
      <c r="X76" s="7">
        <f t="shared" si="29"/>
        <v>-4920.63</v>
      </c>
      <c r="Y76" s="2"/>
      <c r="Z76" s="6">
        <f t="shared" si="30"/>
        <v>-0.52465733706517392</v>
      </c>
    </row>
    <row r="77" spans="1:26" s="24" customFormat="1" hidden="1" outlineLevel="2" x14ac:dyDescent="0.25">
      <c r="A77" s="25"/>
      <c r="B77" s="11" t="str">
        <f>CONCATENATE("          ", "6008", " - ", "STUDENT HOURLY-FICA EXEMPT")</f>
        <v xml:space="preserve">          6008 - STUDENT HOURLY-FICA EXEMPT</v>
      </c>
      <c r="C77" s="11"/>
      <c r="D77" s="7"/>
      <c r="E77" s="2"/>
      <c r="F77" s="6">
        <f t="shared" si="23"/>
        <v>0</v>
      </c>
      <c r="G77" s="2"/>
      <c r="H77" s="7">
        <v>6393</v>
      </c>
      <c r="I77" s="2"/>
      <c r="J77" s="6">
        <f t="shared" si="24"/>
        <v>2.5275368277890675E-2</v>
      </c>
      <c r="K77" s="2"/>
      <c r="L77" s="7">
        <f t="shared" si="25"/>
        <v>-6393</v>
      </c>
      <c r="M77" s="2"/>
      <c r="N77" s="6">
        <f t="shared" si="26"/>
        <v>-1</v>
      </c>
      <c r="O77" s="11"/>
      <c r="P77" s="7"/>
      <c r="Q77" s="2"/>
      <c r="R77" s="6">
        <f t="shared" si="27"/>
        <v>0</v>
      </c>
      <c r="S77" s="2"/>
      <c r="T77" s="7">
        <v>6393</v>
      </c>
      <c r="U77" s="2"/>
      <c r="V77" s="6">
        <f t="shared" si="28"/>
        <v>6.3894730108979845E-3</v>
      </c>
      <c r="W77" s="2"/>
      <c r="X77" s="7">
        <f t="shared" si="29"/>
        <v>-6393</v>
      </c>
      <c r="Y77" s="2"/>
      <c r="Z77" s="6">
        <f t="shared" si="30"/>
        <v>-1</v>
      </c>
    </row>
    <row r="78" spans="1:26" s="24" customFormat="1" hidden="1" outlineLevel="2" x14ac:dyDescent="0.25">
      <c r="A78" s="25"/>
      <c r="B78" s="11" t="str">
        <f>CONCATENATE("          ", "6009", " - ", "TEMPORARY-SEASONAL")</f>
        <v xml:space="preserve">          6009 - TEMPORARY-SEASONAL</v>
      </c>
      <c r="C78" s="11"/>
      <c r="D78" s="7"/>
      <c r="E78" s="2"/>
      <c r="F78" s="6">
        <f t="shared" si="23"/>
        <v>0</v>
      </c>
      <c r="G78" s="2"/>
      <c r="H78" s="7">
        <v>0</v>
      </c>
      <c r="I78" s="2"/>
      <c r="J78" s="6">
        <f t="shared" si="24"/>
        <v>0</v>
      </c>
      <c r="K78" s="2"/>
      <c r="L78" s="7">
        <f t="shared" si="25"/>
        <v>0</v>
      </c>
      <c r="M78" s="2"/>
      <c r="N78" s="6">
        <f t="shared" si="26"/>
        <v>0</v>
      </c>
      <c r="O78" s="11"/>
      <c r="P78" s="7"/>
      <c r="Q78" s="2"/>
      <c r="R78" s="6">
        <f t="shared" si="27"/>
        <v>0</v>
      </c>
      <c r="S78" s="2"/>
      <c r="T78" s="7">
        <v>0</v>
      </c>
      <c r="U78" s="2"/>
      <c r="V78" s="6">
        <f t="shared" si="28"/>
        <v>0</v>
      </c>
      <c r="W78" s="2"/>
      <c r="X78" s="7">
        <f t="shared" si="29"/>
        <v>0</v>
      </c>
      <c r="Y78" s="2"/>
      <c r="Z78" s="6">
        <f t="shared" si="30"/>
        <v>0</v>
      </c>
    </row>
    <row r="79" spans="1:26" s="24" customFormat="1" hidden="1" outlineLevel="2" x14ac:dyDescent="0.25">
      <c r="A79" s="25"/>
      <c r="B79" s="11" t="str">
        <f>CONCATENATE("          ", "6010", " - ", "GRATUITY")</f>
        <v xml:space="preserve">          6010 - GRATUITY</v>
      </c>
      <c r="C79" s="11"/>
      <c r="D79" s="7"/>
      <c r="E79" s="2"/>
      <c r="F79" s="6">
        <f t="shared" si="23"/>
        <v>0</v>
      </c>
      <c r="G79" s="2"/>
      <c r="H79" s="7">
        <v>0</v>
      </c>
      <c r="I79" s="2"/>
      <c r="J79" s="6">
        <f t="shared" si="24"/>
        <v>0</v>
      </c>
      <c r="K79" s="2"/>
      <c r="L79" s="7">
        <f t="shared" si="25"/>
        <v>0</v>
      </c>
      <c r="M79" s="2"/>
      <c r="N79" s="6">
        <f t="shared" si="26"/>
        <v>0</v>
      </c>
      <c r="O79" s="11"/>
      <c r="P79" s="7"/>
      <c r="Q79" s="2"/>
      <c r="R79" s="6">
        <f t="shared" si="27"/>
        <v>0</v>
      </c>
      <c r="S79" s="2"/>
      <c r="T79" s="7">
        <v>0</v>
      </c>
      <c r="U79" s="2"/>
      <c r="V79" s="6">
        <f t="shared" si="28"/>
        <v>0</v>
      </c>
      <c r="W79" s="2"/>
      <c r="X79" s="7">
        <f t="shared" si="29"/>
        <v>0</v>
      </c>
      <c r="Y79" s="2"/>
      <c r="Z79" s="6">
        <f t="shared" si="30"/>
        <v>0</v>
      </c>
    </row>
    <row r="80" spans="1:26" s="26" customFormat="1" outlineLevel="1" collapsed="1" x14ac:dyDescent="0.25">
      <c r="A80" s="27"/>
      <c r="B80" s="13" t="str">
        <f>CONCATENATE("     ","Advertising/Promo                                 ")</f>
        <v xml:space="preserve">     Advertising/Promo                                 </v>
      </c>
      <c r="C80" s="13"/>
      <c r="D80" s="1">
        <f>SUM(OSRRefD22_2x_0)</f>
        <v>98.24</v>
      </c>
      <c r="E80" s="1"/>
      <c r="F80" s="5">
        <f t="shared" ref="F80:F94" si="31">IF(D$12=0,0,D80/D$12)</f>
        <v>3.0668793544169013E-4</v>
      </c>
      <c r="G80" s="1"/>
      <c r="H80" s="1">
        <f>SUM(OSRRefH22_2x_0)</f>
        <v>250</v>
      </c>
      <c r="I80" s="1"/>
      <c r="J80" s="5">
        <f t="shared" ref="J80:J94" si="32">IF(H$12=0,0,H80/H$12)</f>
        <v>9.8840013600385874E-4</v>
      </c>
      <c r="K80" s="1"/>
      <c r="L80" s="1">
        <f t="shared" ref="L80:L94" si="33">+D80-H80</f>
        <v>-151.76</v>
      </c>
      <c r="M80" s="1"/>
      <c r="N80" s="5">
        <f t="shared" ref="N80:N94" si="34">IF(H80=0,0,L80/H80)</f>
        <v>-0.60703999999999991</v>
      </c>
      <c r="O80" s="13"/>
      <c r="P80" s="1">
        <f>SUM(OSRRefP22_2x_0)</f>
        <v>800.4</v>
      </c>
      <c r="Q80" s="1"/>
      <c r="R80" s="5">
        <f t="shared" ref="R80:R94" si="35">IF(P$12=0,0,P80/P$12)</f>
        <v>6.7137620916499327E-4</v>
      </c>
      <c r="S80" s="1"/>
      <c r="T80" s="1">
        <f>SUM(OSRRefT22_2x_0)</f>
        <v>750</v>
      </c>
      <c r="U80" s="1"/>
      <c r="V80" s="5">
        <f t="shared" ref="V80:V94" si="36">IF(T$12=0,0,T80/T$12)</f>
        <v>7.4958622840192216E-4</v>
      </c>
      <c r="W80" s="1"/>
      <c r="X80" s="1">
        <f t="shared" ref="X80:X94" si="37">+P80-T80</f>
        <v>50.399999999999977</v>
      </c>
      <c r="Y80" s="1"/>
      <c r="Z80" s="5">
        <f t="shared" ref="Z80:Z94" si="38">IF(T80=0,0,X80/T80)</f>
        <v>6.7199999999999968E-2</v>
      </c>
    </row>
    <row r="81" spans="1:26" s="24" customFormat="1" hidden="1" outlineLevel="2" x14ac:dyDescent="0.25">
      <c r="A81" s="25"/>
      <c r="B81" s="11" t="str">
        <f>CONCATENATE("          ", "6362", " - ", "ADVERTISING EXPENSE")</f>
        <v xml:space="preserve">          6362 - ADVERTISING EXPENSE</v>
      </c>
      <c r="C81" s="11"/>
      <c r="D81" s="7">
        <v>98.24</v>
      </c>
      <c r="E81" s="2"/>
      <c r="F81" s="6">
        <f t="shared" si="31"/>
        <v>3.0668793544169013E-4</v>
      </c>
      <c r="G81" s="2"/>
      <c r="H81" s="7">
        <v>250</v>
      </c>
      <c r="I81" s="2"/>
      <c r="J81" s="6">
        <f t="shared" si="32"/>
        <v>9.8840013600385874E-4</v>
      </c>
      <c r="K81" s="2"/>
      <c r="L81" s="7">
        <f t="shared" si="33"/>
        <v>-151.76</v>
      </c>
      <c r="M81" s="2"/>
      <c r="N81" s="6">
        <f t="shared" si="34"/>
        <v>-0.60703999999999991</v>
      </c>
      <c r="O81" s="11"/>
      <c r="P81" s="7">
        <v>800.4</v>
      </c>
      <c r="Q81" s="2"/>
      <c r="R81" s="6">
        <f t="shared" si="35"/>
        <v>6.7137620916499327E-4</v>
      </c>
      <c r="S81" s="2"/>
      <c r="T81" s="7">
        <v>750</v>
      </c>
      <c r="U81" s="2"/>
      <c r="V81" s="6">
        <f t="shared" si="36"/>
        <v>7.4958622840192216E-4</v>
      </c>
      <c r="W81" s="2"/>
      <c r="X81" s="7">
        <f t="shared" si="37"/>
        <v>50.399999999999977</v>
      </c>
      <c r="Y81" s="2"/>
      <c r="Z81" s="6">
        <f t="shared" si="38"/>
        <v>6.7199999999999968E-2</v>
      </c>
    </row>
    <row r="82" spans="1:26" s="26" customFormat="1" outlineLevel="1" collapsed="1" x14ac:dyDescent="0.25">
      <c r="A82" s="27"/>
      <c r="B82" s="13" t="str">
        <f>CONCATENATE("     ","Depreciation                                      ")</f>
        <v xml:space="preserve">     Depreciation                                      </v>
      </c>
      <c r="C82" s="13"/>
      <c r="D82" s="1">
        <f>SUM(OSRRefD22_3x_0)</f>
        <v>280.44</v>
      </c>
      <c r="E82" s="1"/>
      <c r="F82" s="5">
        <f t="shared" si="31"/>
        <v>8.7548416750068796E-4</v>
      </c>
      <c r="G82" s="1"/>
      <c r="H82" s="1">
        <f>SUM(OSRRefH22_3x_0)</f>
        <v>0</v>
      </c>
      <c r="I82" s="1"/>
      <c r="J82" s="5">
        <f t="shared" si="32"/>
        <v>0</v>
      </c>
      <c r="K82" s="1"/>
      <c r="L82" s="1">
        <f t="shared" si="33"/>
        <v>280.44</v>
      </c>
      <c r="M82" s="1"/>
      <c r="N82" s="5">
        <f t="shared" si="34"/>
        <v>0</v>
      </c>
      <c r="O82" s="13"/>
      <c r="P82" s="1">
        <f>SUM(OSRRefP22_3x_0)</f>
        <v>841.32</v>
      </c>
      <c r="Q82" s="1"/>
      <c r="R82" s="5">
        <f t="shared" si="35"/>
        <v>7.0569994039816619E-4</v>
      </c>
      <c r="S82" s="1"/>
      <c r="T82" s="1">
        <f>SUM(OSRRefT22_3x_0)</f>
        <v>0</v>
      </c>
      <c r="U82" s="1"/>
      <c r="V82" s="5">
        <f t="shared" si="36"/>
        <v>0</v>
      </c>
      <c r="W82" s="1"/>
      <c r="X82" s="1">
        <f t="shared" si="37"/>
        <v>841.32</v>
      </c>
      <c r="Y82" s="1"/>
      <c r="Z82" s="5">
        <f t="shared" si="38"/>
        <v>0</v>
      </c>
    </row>
    <row r="83" spans="1:26" s="24" customFormat="1" hidden="1" outlineLevel="2" x14ac:dyDescent="0.25">
      <c r="A83" s="25"/>
      <c r="B83" s="11" t="str">
        <f>CONCATENATE("          ", "6322", " - ", "EQUIPMENT DEPRECIATION EXPENSE")</f>
        <v xml:space="preserve">          6322 - EQUIPMENT DEPRECIATION EXPENSE</v>
      </c>
      <c r="C83" s="11"/>
      <c r="D83" s="7">
        <v>280.44</v>
      </c>
      <c r="E83" s="2"/>
      <c r="F83" s="6">
        <f t="shared" si="31"/>
        <v>8.7548416750068796E-4</v>
      </c>
      <c r="G83" s="2"/>
      <c r="H83" s="7"/>
      <c r="I83" s="2"/>
      <c r="J83" s="6">
        <f t="shared" si="32"/>
        <v>0</v>
      </c>
      <c r="K83" s="2"/>
      <c r="L83" s="7">
        <f t="shared" si="33"/>
        <v>280.44</v>
      </c>
      <c r="M83" s="2"/>
      <c r="N83" s="6">
        <f t="shared" si="34"/>
        <v>0</v>
      </c>
      <c r="O83" s="11"/>
      <c r="P83" s="7">
        <v>841.32</v>
      </c>
      <c r="Q83" s="2"/>
      <c r="R83" s="6">
        <f t="shared" si="35"/>
        <v>7.0569994039816619E-4</v>
      </c>
      <c r="S83" s="2"/>
      <c r="T83" s="7"/>
      <c r="U83" s="2"/>
      <c r="V83" s="6">
        <f t="shared" si="36"/>
        <v>0</v>
      </c>
      <c r="W83" s="2"/>
      <c r="X83" s="7">
        <f t="shared" si="37"/>
        <v>841.32</v>
      </c>
      <c r="Y83" s="2"/>
      <c r="Z83" s="6">
        <f t="shared" si="38"/>
        <v>0</v>
      </c>
    </row>
    <row r="84" spans="1:26" s="26" customFormat="1" outlineLevel="1" collapsed="1" x14ac:dyDescent="0.25">
      <c r="A84" s="27"/>
      <c r="B84" s="13" t="str">
        <f>CONCATENATE("     ","Discounts and Markdowns                           ")</f>
        <v xml:space="preserve">     Discounts and Markdowns                           </v>
      </c>
      <c r="C84" s="13"/>
      <c r="D84" s="1">
        <f>SUM(OSRRefD22_4x_0)</f>
        <v>-3019.66</v>
      </c>
      <c r="E84" s="1"/>
      <c r="F84" s="5">
        <f t="shared" si="31"/>
        <v>-9.4268453902265278E-3</v>
      </c>
      <c r="G84" s="1"/>
      <c r="H84" s="1">
        <f>SUM(OSRRefH22_4x_0)</f>
        <v>2500</v>
      </c>
      <c r="I84" s="1"/>
      <c r="J84" s="5">
        <f t="shared" si="32"/>
        <v>9.8840013600385874E-3</v>
      </c>
      <c r="K84" s="1"/>
      <c r="L84" s="1">
        <f t="shared" si="33"/>
        <v>-5519.66</v>
      </c>
      <c r="M84" s="1"/>
      <c r="N84" s="5">
        <f t="shared" si="34"/>
        <v>-2.2078639999999998</v>
      </c>
      <c r="O84" s="13"/>
      <c r="P84" s="1">
        <f>SUM(OSRRefP22_4x_0)</f>
        <v>66999.509999999995</v>
      </c>
      <c r="Q84" s="1"/>
      <c r="R84" s="5">
        <f t="shared" si="35"/>
        <v>5.6199246676301919E-2</v>
      </c>
      <c r="S84" s="1"/>
      <c r="T84" s="1">
        <f>SUM(OSRRefT22_4x_0)</f>
        <v>7500</v>
      </c>
      <c r="U84" s="1"/>
      <c r="V84" s="5">
        <f t="shared" si="36"/>
        <v>7.4958622840192212E-3</v>
      </c>
      <c r="W84" s="1"/>
      <c r="X84" s="1">
        <f t="shared" si="37"/>
        <v>59499.509999999995</v>
      </c>
      <c r="Y84" s="1"/>
      <c r="Z84" s="5">
        <f t="shared" si="38"/>
        <v>7.9332679999999991</v>
      </c>
    </row>
    <row r="85" spans="1:26" s="24" customFormat="1" hidden="1" outlineLevel="2" x14ac:dyDescent="0.25">
      <c r="A85" s="25"/>
      <c r="B85" s="11" t="str">
        <f>CONCATENATE("          ", "6382", " - ", "DISCOUNTS/MARK DOWNS")</f>
        <v xml:space="preserve">          6382 - DISCOUNTS/MARK DOWNS</v>
      </c>
      <c r="C85" s="11"/>
      <c r="D85" s="7">
        <v>-3019.66</v>
      </c>
      <c r="E85" s="2"/>
      <c r="F85" s="6">
        <f t="shared" si="31"/>
        <v>-9.4268453902265278E-3</v>
      </c>
      <c r="G85" s="2"/>
      <c r="H85" s="7">
        <v>2500</v>
      </c>
      <c r="I85" s="2"/>
      <c r="J85" s="6">
        <f t="shared" si="32"/>
        <v>9.8840013600385874E-3</v>
      </c>
      <c r="K85" s="2"/>
      <c r="L85" s="7">
        <f t="shared" si="33"/>
        <v>-5519.66</v>
      </c>
      <c r="M85" s="2"/>
      <c r="N85" s="6">
        <f t="shared" si="34"/>
        <v>-2.2078639999999998</v>
      </c>
      <c r="O85" s="11"/>
      <c r="P85" s="7">
        <v>66999.509999999995</v>
      </c>
      <c r="Q85" s="2"/>
      <c r="R85" s="6">
        <f t="shared" si="35"/>
        <v>5.6199246676301919E-2</v>
      </c>
      <c r="S85" s="2"/>
      <c r="T85" s="7">
        <v>7500</v>
      </c>
      <c r="U85" s="2"/>
      <c r="V85" s="6">
        <f t="shared" si="36"/>
        <v>7.4958622840192212E-3</v>
      </c>
      <c r="W85" s="2"/>
      <c r="X85" s="7">
        <f t="shared" si="37"/>
        <v>59499.509999999995</v>
      </c>
      <c r="Y85" s="2"/>
      <c r="Z85" s="6">
        <f t="shared" si="38"/>
        <v>7.9332679999999991</v>
      </c>
    </row>
    <row r="86" spans="1:26" s="26" customFormat="1" outlineLevel="1" collapsed="1" x14ac:dyDescent="0.25">
      <c r="A86" s="27"/>
      <c r="B86" s="13" t="str">
        <f>CONCATENATE("     ","Employees' Appreciation                           ")</f>
        <v xml:space="preserve">     Employees' Appreciation                           </v>
      </c>
      <c r="C86" s="13"/>
      <c r="D86" s="1">
        <f>SUM(OSRRefD22_5x_0)</f>
        <v>0</v>
      </c>
      <c r="E86" s="1"/>
      <c r="F86" s="5">
        <f t="shared" si="31"/>
        <v>0</v>
      </c>
      <c r="G86" s="1"/>
      <c r="H86" s="1">
        <f>SUM(OSRRefH22_5x_0)</f>
        <v>40</v>
      </c>
      <c r="I86" s="1"/>
      <c r="J86" s="5">
        <f t="shared" si="32"/>
        <v>1.5814402176061741E-4</v>
      </c>
      <c r="K86" s="1"/>
      <c r="L86" s="1">
        <f t="shared" si="33"/>
        <v>-40</v>
      </c>
      <c r="M86" s="1"/>
      <c r="N86" s="5">
        <f t="shared" si="34"/>
        <v>-1</v>
      </c>
      <c r="O86" s="13"/>
      <c r="P86" s="1">
        <f>SUM(OSRRefP22_5x_0)</f>
        <v>0</v>
      </c>
      <c r="Q86" s="1"/>
      <c r="R86" s="5">
        <f t="shared" si="35"/>
        <v>0</v>
      </c>
      <c r="S86" s="1"/>
      <c r="T86" s="1">
        <f>SUM(OSRRefT22_5x_0)</f>
        <v>120</v>
      </c>
      <c r="U86" s="1"/>
      <c r="V86" s="5">
        <f t="shared" si="36"/>
        <v>1.1993379654430754E-4</v>
      </c>
      <c r="W86" s="1"/>
      <c r="X86" s="1">
        <f t="shared" si="37"/>
        <v>-120</v>
      </c>
      <c r="Y86" s="1"/>
      <c r="Z86" s="5">
        <f t="shared" si="38"/>
        <v>-1</v>
      </c>
    </row>
    <row r="87" spans="1:26" s="24" customFormat="1" hidden="1" outlineLevel="2" x14ac:dyDescent="0.25">
      <c r="A87" s="25"/>
      <c r="B87" s="11" t="str">
        <f>CONCATENATE("          ", "6277", " - ", "EMPLOYEE APPRECIATION")</f>
        <v xml:space="preserve">          6277 - EMPLOYEE APPRECIATION</v>
      </c>
      <c r="C87" s="11"/>
      <c r="D87" s="7"/>
      <c r="E87" s="2"/>
      <c r="F87" s="6">
        <f t="shared" si="31"/>
        <v>0</v>
      </c>
      <c r="G87" s="2"/>
      <c r="H87" s="7">
        <v>40</v>
      </c>
      <c r="I87" s="2"/>
      <c r="J87" s="6">
        <f t="shared" si="32"/>
        <v>1.5814402176061741E-4</v>
      </c>
      <c r="K87" s="2"/>
      <c r="L87" s="7">
        <f t="shared" si="33"/>
        <v>-40</v>
      </c>
      <c r="M87" s="2"/>
      <c r="N87" s="6">
        <f t="shared" si="34"/>
        <v>-1</v>
      </c>
      <c r="O87" s="11"/>
      <c r="P87" s="7"/>
      <c r="Q87" s="2"/>
      <c r="R87" s="6">
        <f t="shared" si="35"/>
        <v>0</v>
      </c>
      <c r="S87" s="2"/>
      <c r="T87" s="7">
        <v>120</v>
      </c>
      <c r="U87" s="2"/>
      <c r="V87" s="6">
        <f t="shared" si="36"/>
        <v>1.1993379654430754E-4</v>
      </c>
      <c r="W87" s="2"/>
      <c r="X87" s="7">
        <f t="shared" si="37"/>
        <v>-120</v>
      </c>
      <c r="Y87" s="2"/>
      <c r="Z87" s="6">
        <f t="shared" si="38"/>
        <v>-1</v>
      </c>
    </row>
    <row r="88" spans="1:26" s="26" customFormat="1" outlineLevel="1" collapsed="1" x14ac:dyDescent="0.25">
      <c r="A88" s="27"/>
      <c r="B88" s="13" t="str">
        <f>CONCATENATE("     ","Freight out/Postage                               ")</f>
        <v xml:space="preserve">     Freight out/Postage                               </v>
      </c>
      <c r="C88" s="13"/>
      <c r="D88" s="1">
        <f>SUM(OSRRefD22_6x_0)</f>
        <v>5.49</v>
      </c>
      <c r="E88" s="1"/>
      <c r="F88" s="5">
        <f t="shared" si="31"/>
        <v>1.7138810724499992E-5</v>
      </c>
      <c r="G88" s="1"/>
      <c r="H88" s="1">
        <f>SUM(OSRRefH22_6x_0)</f>
        <v>25</v>
      </c>
      <c r="I88" s="1"/>
      <c r="J88" s="5">
        <f t="shared" si="32"/>
        <v>9.8840013600385868E-5</v>
      </c>
      <c r="K88" s="1"/>
      <c r="L88" s="1">
        <f t="shared" si="33"/>
        <v>-19.509999999999998</v>
      </c>
      <c r="M88" s="1"/>
      <c r="N88" s="5">
        <f t="shared" si="34"/>
        <v>-0.78039999999999987</v>
      </c>
      <c r="O88" s="13"/>
      <c r="P88" s="1">
        <f>SUM(OSRRefP22_6x_0)</f>
        <v>5.49</v>
      </c>
      <c r="Q88" s="1"/>
      <c r="R88" s="5">
        <f t="shared" si="35"/>
        <v>4.6050167270312506E-6</v>
      </c>
      <c r="S88" s="1"/>
      <c r="T88" s="1">
        <f>SUM(OSRRefT22_6x_0)</f>
        <v>75</v>
      </c>
      <c r="U88" s="1"/>
      <c r="V88" s="5">
        <f t="shared" si="36"/>
        <v>7.4958622840192219E-5</v>
      </c>
      <c r="W88" s="1"/>
      <c r="X88" s="1">
        <f t="shared" si="37"/>
        <v>-69.510000000000005</v>
      </c>
      <c r="Y88" s="1"/>
      <c r="Z88" s="5">
        <f t="shared" si="38"/>
        <v>-0.92680000000000007</v>
      </c>
    </row>
    <row r="89" spans="1:26" s="24" customFormat="1" hidden="1" outlineLevel="2" x14ac:dyDescent="0.25">
      <c r="A89" s="25"/>
      <c r="B89" s="11" t="str">
        <f>CONCATENATE("          ", "6305", " - ", "FREIGHT OUT")</f>
        <v xml:space="preserve">          6305 - FREIGHT OUT</v>
      </c>
      <c r="C89" s="11"/>
      <c r="D89" s="7">
        <v>5.49</v>
      </c>
      <c r="E89" s="2"/>
      <c r="F89" s="6">
        <f t="shared" si="31"/>
        <v>1.7138810724499992E-5</v>
      </c>
      <c r="G89" s="2"/>
      <c r="H89" s="7">
        <v>25</v>
      </c>
      <c r="I89" s="2"/>
      <c r="J89" s="6">
        <f t="shared" si="32"/>
        <v>9.8840013600385868E-5</v>
      </c>
      <c r="K89" s="2"/>
      <c r="L89" s="7">
        <f t="shared" si="33"/>
        <v>-19.509999999999998</v>
      </c>
      <c r="M89" s="2"/>
      <c r="N89" s="6">
        <f t="shared" si="34"/>
        <v>-0.78039999999999987</v>
      </c>
      <c r="O89" s="11"/>
      <c r="P89" s="7">
        <v>5.49</v>
      </c>
      <c r="Q89" s="2"/>
      <c r="R89" s="6">
        <f t="shared" si="35"/>
        <v>4.6050167270312506E-6</v>
      </c>
      <c r="S89" s="2"/>
      <c r="T89" s="7">
        <v>75</v>
      </c>
      <c r="U89" s="2"/>
      <c r="V89" s="6">
        <f t="shared" si="36"/>
        <v>7.4958622840192219E-5</v>
      </c>
      <c r="W89" s="2"/>
      <c r="X89" s="7">
        <f t="shared" si="37"/>
        <v>-69.510000000000005</v>
      </c>
      <c r="Y89" s="2"/>
      <c r="Z89" s="6">
        <f t="shared" si="38"/>
        <v>-0.92680000000000007</v>
      </c>
    </row>
    <row r="90" spans="1:26" s="26" customFormat="1" outlineLevel="1" collapsed="1" x14ac:dyDescent="0.25">
      <c r="A90" s="27"/>
      <c r="B90" s="13" t="str">
        <f>CONCATENATE("     ","Subscriptions &amp; Dues                              ")</f>
        <v xml:space="preserve">     Subscriptions &amp; Dues                              </v>
      </c>
      <c r="C90" s="13"/>
      <c r="D90" s="1">
        <f>SUM(OSRRefD22_7x_0)</f>
        <v>0</v>
      </c>
      <c r="E90" s="1"/>
      <c r="F90" s="5">
        <f t="shared" si="31"/>
        <v>0</v>
      </c>
      <c r="G90" s="1"/>
      <c r="H90" s="1">
        <f>SUM(OSRRefH22_7x_0)</f>
        <v>0</v>
      </c>
      <c r="I90" s="1"/>
      <c r="J90" s="5">
        <f t="shared" si="32"/>
        <v>0</v>
      </c>
      <c r="K90" s="1"/>
      <c r="L90" s="1">
        <f t="shared" si="33"/>
        <v>0</v>
      </c>
      <c r="M90" s="1"/>
      <c r="N90" s="5">
        <f t="shared" si="34"/>
        <v>0</v>
      </c>
      <c r="O90" s="13"/>
      <c r="P90" s="1">
        <f>SUM(OSRRefP22_7x_0)</f>
        <v>-5000</v>
      </c>
      <c r="Q90" s="1"/>
      <c r="R90" s="5">
        <f t="shared" si="35"/>
        <v>-4.194004305128644E-3</v>
      </c>
      <c r="S90" s="1"/>
      <c r="T90" s="1">
        <f>SUM(OSRRefT22_7x_0)</f>
        <v>0</v>
      </c>
      <c r="U90" s="1"/>
      <c r="V90" s="5">
        <f t="shared" si="36"/>
        <v>0</v>
      </c>
      <c r="W90" s="1"/>
      <c r="X90" s="1">
        <f t="shared" si="37"/>
        <v>-5000</v>
      </c>
      <c r="Y90" s="1"/>
      <c r="Z90" s="5">
        <f t="shared" si="38"/>
        <v>0</v>
      </c>
    </row>
    <row r="91" spans="1:26" s="24" customFormat="1" hidden="1" outlineLevel="2" x14ac:dyDescent="0.25">
      <c r="A91" s="25"/>
      <c r="B91" s="11" t="str">
        <f>CONCATENATE("          ", "6258", " - ", "MEMBERSHIP DUES")</f>
        <v xml:space="preserve">          6258 - MEMBERSHIP DUES</v>
      </c>
      <c r="C91" s="11"/>
      <c r="D91" s="7"/>
      <c r="E91" s="2"/>
      <c r="F91" s="6">
        <f t="shared" si="31"/>
        <v>0</v>
      </c>
      <c r="G91" s="2"/>
      <c r="H91" s="7"/>
      <c r="I91" s="2"/>
      <c r="J91" s="6">
        <f t="shared" si="32"/>
        <v>0</v>
      </c>
      <c r="K91" s="2"/>
      <c r="L91" s="7">
        <f t="shared" si="33"/>
        <v>0</v>
      </c>
      <c r="M91" s="2"/>
      <c r="N91" s="6">
        <f t="shared" si="34"/>
        <v>0</v>
      </c>
      <c r="O91" s="11"/>
      <c r="P91" s="7">
        <v>-5000</v>
      </c>
      <c r="Q91" s="2"/>
      <c r="R91" s="6">
        <f t="shared" si="35"/>
        <v>-4.194004305128644E-3</v>
      </c>
      <c r="S91" s="2"/>
      <c r="T91" s="7"/>
      <c r="U91" s="2"/>
      <c r="V91" s="6">
        <f t="shared" si="36"/>
        <v>0</v>
      </c>
      <c r="W91" s="2"/>
      <c r="X91" s="7">
        <f t="shared" si="37"/>
        <v>-5000</v>
      </c>
      <c r="Y91" s="2"/>
      <c r="Z91" s="6">
        <f t="shared" si="38"/>
        <v>0</v>
      </c>
    </row>
    <row r="92" spans="1:26" s="26" customFormat="1" outlineLevel="1" collapsed="1" x14ac:dyDescent="0.25">
      <c r="A92" s="27"/>
      <c r="B92" s="13" t="str">
        <f>CONCATENATE("     ","Supplies                                          ")</f>
        <v xml:space="preserve">     Supplies                                          </v>
      </c>
      <c r="C92" s="13"/>
      <c r="D92" s="1">
        <f>SUM(OSRRefD22_8x_0)</f>
        <v>600.75</v>
      </c>
      <c r="E92" s="1"/>
      <c r="F92" s="5">
        <f t="shared" si="31"/>
        <v>1.8754354358366792E-3</v>
      </c>
      <c r="G92" s="1"/>
      <c r="H92" s="1">
        <f>SUM(OSRRefH22_8x_0)</f>
        <v>275</v>
      </c>
      <c r="I92" s="1"/>
      <c r="J92" s="5">
        <f t="shared" si="32"/>
        <v>1.0872401496042445E-3</v>
      </c>
      <c r="K92" s="1"/>
      <c r="L92" s="1">
        <f t="shared" si="33"/>
        <v>325.75</v>
      </c>
      <c r="M92" s="1"/>
      <c r="N92" s="5">
        <f t="shared" si="34"/>
        <v>1.1845454545454546</v>
      </c>
      <c r="O92" s="13"/>
      <c r="P92" s="1">
        <f>SUM(OSRRefP22_8x_0)</f>
        <v>1364.19</v>
      </c>
      <c r="Q92" s="1"/>
      <c r="R92" s="5">
        <f t="shared" si="35"/>
        <v>1.144283746602689E-3</v>
      </c>
      <c r="S92" s="1"/>
      <c r="T92" s="1">
        <f>SUM(OSRRefT22_8x_0)</f>
        <v>825</v>
      </c>
      <c r="U92" s="1"/>
      <c r="V92" s="5">
        <f t="shared" si="36"/>
        <v>8.2454485124211431E-4</v>
      </c>
      <c r="W92" s="1"/>
      <c r="X92" s="1">
        <f t="shared" si="37"/>
        <v>539.19000000000005</v>
      </c>
      <c r="Y92" s="1"/>
      <c r="Z92" s="5">
        <f t="shared" si="38"/>
        <v>0.65356363636363646</v>
      </c>
    </row>
    <row r="93" spans="1:26" s="24" customFormat="1" hidden="1" outlineLevel="2" x14ac:dyDescent="0.25">
      <c r="A93" s="25"/>
      <c r="B93" s="11" t="str">
        <f>CONCATENATE("          ", "6241", " - ", "OFFICE EXPENSE")</f>
        <v xml:space="preserve">          6241 - OFFICE EXPENSE</v>
      </c>
      <c r="C93" s="11"/>
      <c r="D93" s="7">
        <v>242.54</v>
      </c>
      <c r="E93" s="2"/>
      <c r="F93" s="6">
        <f t="shared" si="31"/>
        <v>7.5716705885614348E-4</v>
      </c>
      <c r="G93" s="2"/>
      <c r="H93" s="7">
        <v>275</v>
      </c>
      <c r="I93" s="2"/>
      <c r="J93" s="6">
        <f t="shared" si="32"/>
        <v>1.0872401496042445E-3</v>
      </c>
      <c r="K93" s="2"/>
      <c r="L93" s="7">
        <f t="shared" si="33"/>
        <v>-32.460000000000008</v>
      </c>
      <c r="M93" s="2"/>
      <c r="N93" s="6">
        <f t="shared" si="34"/>
        <v>-0.11803636363636366</v>
      </c>
      <c r="O93" s="11"/>
      <c r="P93" s="7">
        <v>423.54</v>
      </c>
      <c r="Q93" s="2"/>
      <c r="R93" s="6">
        <f t="shared" si="35"/>
        <v>3.5526571667883716E-4</v>
      </c>
      <c r="S93" s="2"/>
      <c r="T93" s="7">
        <v>825</v>
      </c>
      <c r="U93" s="2"/>
      <c r="V93" s="6">
        <f t="shared" si="36"/>
        <v>8.2454485124211431E-4</v>
      </c>
      <c r="W93" s="2"/>
      <c r="X93" s="7">
        <f t="shared" si="37"/>
        <v>-401.46</v>
      </c>
      <c r="Y93" s="2"/>
      <c r="Z93" s="6">
        <f t="shared" si="38"/>
        <v>-0.48661818181818178</v>
      </c>
    </row>
    <row r="94" spans="1:26" s="24" customFormat="1" hidden="1" outlineLevel="2" x14ac:dyDescent="0.25">
      <c r="A94" s="25"/>
      <c r="B94" s="11" t="str">
        <f>CONCATENATE("          ", "6247", " - ", "STORE SUPPLIES")</f>
        <v xml:space="preserve">          6247 - STORE SUPPLIES</v>
      </c>
      <c r="C94" s="11"/>
      <c r="D94" s="7">
        <v>358.21</v>
      </c>
      <c r="E94" s="2"/>
      <c r="F94" s="6">
        <f t="shared" si="31"/>
        <v>1.1182683769805357E-3</v>
      </c>
      <c r="G94" s="2"/>
      <c r="H94" s="7"/>
      <c r="I94" s="2"/>
      <c r="J94" s="6">
        <f t="shared" si="32"/>
        <v>0</v>
      </c>
      <c r="K94" s="2"/>
      <c r="L94" s="7">
        <f t="shared" si="33"/>
        <v>358.21</v>
      </c>
      <c r="M94" s="2"/>
      <c r="N94" s="6">
        <f t="shared" si="34"/>
        <v>0</v>
      </c>
      <c r="O94" s="11"/>
      <c r="P94" s="7">
        <v>940.65</v>
      </c>
      <c r="Q94" s="2"/>
      <c r="R94" s="6">
        <f t="shared" si="35"/>
        <v>7.8901802992385175E-4</v>
      </c>
      <c r="S94" s="2"/>
      <c r="T94" s="7"/>
      <c r="U94" s="2"/>
      <c r="V94" s="6">
        <f t="shared" si="36"/>
        <v>0</v>
      </c>
      <c r="W94" s="2"/>
      <c r="X94" s="7">
        <f t="shared" si="37"/>
        <v>940.65</v>
      </c>
      <c r="Y94" s="2"/>
      <c r="Z94" s="6">
        <f t="shared" si="38"/>
        <v>0</v>
      </c>
    </row>
    <row r="95" spans="1:26" s="26" customFormat="1" outlineLevel="1" collapsed="1" x14ac:dyDescent="0.25">
      <c r="A95" s="27"/>
      <c r="B95" s="13" t="str">
        <f>CONCATENATE("     ","Telephone/Data Lines                              ")</f>
        <v xml:space="preserve">     Telephone/Data Lines                              </v>
      </c>
      <c r="C95" s="13"/>
      <c r="D95" s="1">
        <f>SUM(OSRRefD22_9x_0)</f>
        <v>330</v>
      </c>
      <c r="E95" s="1"/>
      <c r="F95" s="5">
        <f t="shared" ref="F95:F97" si="39">IF(D$12=0,0,D95/D$12)</f>
        <v>1.0302017375382509E-3</v>
      </c>
      <c r="G95" s="1"/>
      <c r="H95" s="1">
        <f>SUM(OSRRefH22_9x_0)</f>
        <v>280</v>
      </c>
      <c r="I95" s="1"/>
      <c r="J95" s="5">
        <f t="shared" ref="J95:J97" si="40">IF(H$12=0,0,H95/H$12)</f>
        <v>1.1070081523243218E-3</v>
      </c>
      <c r="K95" s="1"/>
      <c r="L95" s="1">
        <f t="shared" ref="L95:L97" si="41">+D95-H95</f>
        <v>50</v>
      </c>
      <c r="M95" s="1"/>
      <c r="N95" s="5">
        <f t="shared" ref="N95:N97" si="42">IF(H95=0,0,L95/H95)</f>
        <v>0.17857142857142858</v>
      </c>
      <c r="O95" s="13"/>
      <c r="P95" s="1">
        <f>SUM(OSRRefP22_9x_0)</f>
        <v>761.3</v>
      </c>
      <c r="Q95" s="1"/>
      <c r="R95" s="5">
        <f t="shared" ref="R95:R97" si="43">IF(P$12=0,0,P95/P$12)</f>
        <v>6.3857909549888724E-4</v>
      </c>
      <c r="S95" s="1"/>
      <c r="T95" s="1">
        <f>SUM(OSRRefT22_9x_0)</f>
        <v>840</v>
      </c>
      <c r="U95" s="1"/>
      <c r="V95" s="5">
        <f t="shared" ref="V95:V97" si="44">IF(T$12=0,0,T95/T$12)</f>
        <v>8.3953657581015281E-4</v>
      </c>
      <c r="W95" s="1"/>
      <c r="X95" s="1">
        <f t="shared" ref="X95:X97" si="45">+P95-T95</f>
        <v>-78.700000000000045</v>
      </c>
      <c r="Y95" s="1"/>
      <c r="Z95" s="5">
        <f t="shared" ref="Z95:Z97" si="46">IF(T95=0,0,X95/T95)</f>
        <v>-9.3690476190476241E-2</v>
      </c>
    </row>
    <row r="96" spans="1:26" s="24" customFormat="1" hidden="1" outlineLevel="2" x14ac:dyDescent="0.25">
      <c r="A96" s="25"/>
      <c r="B96" s="11" t="str">
        <f>CONCATENATE("          ", "6303", " - ", "DATA PHONE LINES")</f>
        <v xml:space="preserve">          6303 - DATA PHONE LINES</v>
      </c>
      <c r="C96" s="11"/>
      <c r="D96" s="7"/>
      <c r="E96" s="2"/>
      <c r="F96" s="6">
        <f t="shared" si="39"/>
        <v>0</v>
      </c>
      <c r="G96" s="2"/>
      <c r="H96" s="7">
        <v>280</v>
      </c>
      <c r="I96" s="2"/>
      <c r="J96" s="6">
        <f t="shared" si="40"/>
        <v>1.1070081523243218E-3</v>
      </c>
      <c r="K96" s="2"/>
      <c r="L96" s="7">
        <f t="shared" si="41"/>
        <v>-280</v>
      </c>
      <c r="M96" s="2"/>
      <c r="N96" s="6">
        <f t="shared" si="42"/>
        <v>-1</v>
      </c>
      <c r="O96" s="11"/>
      <c r="P96" s="7"/>
      <c r="Q96" s="2"/>
      <c r="R96" s="6">
        <f t="shared" si="43"/>
        <v>0</v>
      </c>
      <c r="S96" s="2"/>
      <c r="T96" s="7">
        <v>840</v>
      </c>
      <c r="U96" s="2"/>
      <c r="V96" s="6">
        <f t="shared" si="44"/>
        <v>8.3953657581015281E-4</v>
      </c>
      <c r="W96" s="2"/>
      <c r="X96" s="7">
        <f t="shared" si="45"/>
        <v>-840</v>
      </c>
      <c r="Y96" s="2"/>
      <c r="Z96" s="6">
        <f t="shared" si="46"/>
        <v>-1</v>
      </c>
    </row>
    <row r="97" spans="1:26" s="24" customFormat="1" hidden="1" outlineLevel="2" x14ac:dyDescent="0.25">
      <c r="A97" s="25"/>
      <c r="B97" s="11" t="str">
        <f>CONCATENATE("          ", "6309", " - ", "TELEPHONE")</f>
        <v xml:space="preserve">          6309 - TELEPHONE</v>
      </c>
      <c r="C97" s="11"/>
      <c r="D97" s="7">
        <v>330</v>
      </c>
      <c r="E97" s="2"/>
      <c r="F97" s="6">
        <f t="shared" si="39"/>
        <v>1.0302017375382509E-3</v>
      </c>
      <c r="G97" s="2"/>
      <c r="H97" s="7"/>
      <c r="I97" s="2"/>
      <c r="J97" s="6">
        <f t="shared" si="40"/>
        <v>0</v>
      </c>
      <c r="K97" s="2"/>
      <c r="L97" s="7">
        <f t="shared" si="41"/>
        <v>330</v>
      </c>
      <c r="M97" s="2"/>
      <c r="N97" s="6">
        <f t="shared" si="42"/>
        <v>0</v>
      </c>
      <c r="O97" s="11"/>
      <c r="P97" s="7">
        <v>761.3</v>
      </c>
      <c r="Q97" s="2"/>
      <c r="R97" s="6">
        <f t="shared" si="43"/>
        <v>6.3857909549888724E-4</v>
      </c>
      <c r="S97" s="2"/>
      <c r="T97" s="7"/>
      <c r="U97" s="2"/>
      <c r="V97" s="6">
        <f t="shared" si="44"/>
        <v>0</v>
      </c>
      <c r="W97" s="2"/>
      <c r="X97" s="7">
        <f t="shared" si="45"/>
        <v>761.3</v>
      </c>
      <c r="Y97" s="2"/>
      <c r="Z97" s="6">
        <f t="shared" si="46"/>
        <v>0</v>
      </c>
    </row>
    <row r="98" spans="1:26" s="26" customFormat="1" outlineLevel="1" collapsed="1" x14ac:dyDescent="0.25">
      <c r="A98" s="27"/>
      <c r="B98" s="13" t="str">
        <f>CONCATENATE("     ","Training                                          ")</f>
        <v xml:space="preserve">     Training                                          </v>
      </c>
      <c r="C98" s="13"/>
      <c r="D98" s="1">
        <f>SUM(OSRRefD22_10x_0)</f>
        <v>0</v>
      </c>
      <c r="E98" s="1"/>
      <c r="F98" s="5">
        <f t="shared" ref="F98:F99" si="47">IF(D$12=0,0,D98/D$12)</f>
        <v>0</v>
      </c>
      <c r="G98" s="1"/>
      <c r="H98" s="1">
        <f>SUM(OSRRefH22_10x_0)</f>
        <v>375</v>
      </c>
      <c r="I98" s="1"/>
      <c r="J98" s="5">
        <f t="shared" ref="J98:J99" si="48">IF(H$12=0,0,H98/H$12)</f>
        <v>1.4826002040057881E-3</v>
      </c>
      <c r="K98" s="1"/>
      <c r="L98" s="1">
        <f t="shared" ref="L98:L99" si="49">+D98-H98</f>
        <v>-375</v>
      </c>
      <c r="M98" s="1"/>
      <c r="N98" s="5">
        <f t="shared" ref="N98:N99" si="50">IF(H98=0,0,L98/H98)</f>
        <v>-1</v>
      </c>
      <c r="O98" s="13"/>
      <c r="P98" s="1">
        <f>SUM(OSRRefP22_10x_0)</f>
        <v>0</v>
      </c>
      <c r="Q98" s="1"/>
      <c r="R98" s="5">
        <f t="shared" ref="R98:R99" si="51">IF(P$12=0,0,P98/P$12)</f>
        <v>0</v>
      </c>
      <c r="S98" s="1"/>
      <c r="T98" s="1">
        <f>SUM(OSRRefT22_10x_0)</f>
        <v>1125</v>
      </c>
      <c r="U98" s="1"/>
      <c r="V98" s="5">
        <f t="shared" ref="V98:V99" si="52">IF(T$12=0,0,T98/T$12)</f>
        <v>1.1243793426028831E-3</v>
      </c>
      <c r="W98" s="1"/>
      <c r="X98" s="1">
        <f t="shared" ref="X98:X99" si="53">+P98-T98</f>
        <v>-1125</v>
      </c>
      <c r="Y98" s="1"/>
      <c r="Z98" s="5">
        <f t="shared" ref="Z98:Z99" si="54">IF(T98=0,0,X98/T98)</f>
        <v>-1</v>
      </c>
    </row>
    <row r="99" spans="1:26" s="24" customFormat="1" hidden="1" outlineLevel="2" x14ac:dyDescent="0.25">
      <c r="A99" s="25"/>
      <c r="B99" s="11" t="str">
        <f>CONCATENATE("          ", "6376", " - ", "TRAINING")</f>
        <v xml:space="preserve">          6376 - TRAINING</v>
      </c>
      <c r="C99" s="11"/>
      <c r="D99" s="7"/>
      <c r="E99" s="2"/>
      <c r="F99" s="6">
        <f t="shared" si="47"/>
        <v>0</v>
      </c>
      <c r="G99" s="2"/>
      <c r="H99" s="7">
        <v>375</v>
      </c>
      <c r="I99" s="2"/>
      <c r="J99" s="6">
        <f t="shared" si="48"/>
        <v>1.4826002040057881E-3</v>
      </c>
      <c r="K99" s="2"/>
      <c r="L99" s="7">
        <f t="shared" si="49"/>
        <v>-375</v>
      </c>
      <c r="M99" s="2"/>
      <c r="N99" s="6">
        <f t="shared" si="50"/>
        <v>-1</v>
      </c>
      <c r="O99" s="11"/>
      <c r="P99" s="7"/>
      <c r="Q99" s="2"/>
      <c r="R99" s="6">
        <f t="shared" si="51"/>
        <v>0</v>
      </c>
      <c r="S99" s="2"/>
      <c r="T99" s="7">
        <v>1125</v>
      </c>
      <c r="U99" s="2"/>
      <c r="V99" s="6">
        <f t="shared" si="52"/>
        <v>1.1243793426028831E-3</v>
      </c>
      <c r="W99" s="2"/>
      <c r="X99" s="7">
        <f t="shared" si="53"/>
        <v>-1125</v>
      </c>
      <c r="Y99" s="2"/>
      <c r="Z99" s="6">
        <f t="shared" si="54"/>
        <v>-1</v>
      </c>
    </row>
    <row r="100" spans="1:26" s="63" customFormat="1" x14ac:dyDescent="0.25">
      <c r="A100" s="36"/>
      <c r="B100" s="36"/>
      <c r="C100" s="36"/>
      <c r="D100" s="1"/>
      <c r="E100" s="1"/>
      <c r="F100" s="5"/>
      <c r="G100" s="1"/>
      <c r="H100" s="1"/>
      <c r="I100" s="1"/>
      <c r="J100" s="5"/>
      <c r="K100" s="1"/>
      <c r="L100" s="1"/>
      <c r="M100" s="1"/>
      <c r="N100" s="5"/>
      <c r="O100" s="36"/>
      <c r="P100" s="1"/>
      <c r="Q100" s="1"/>
      <c r="R100" s="5"/>
      <c r="S100" s="1"/>
      <c r="T100" s="1"/>
      <c r="U100" s="1"/>
      <c r="V100" s="5"/>
      <c r="W100" s="1"/>
      <c r="X100" s="1"/>
      <c r="Y100" s="1"/>
      <c r="Z100" s="5"/>
    </row>
    <row r="101" spans="1:26" s="23" customFormat="1" collapsed="1" x14ac:dyDescent="0.25">
      <c r="A101" s="10"/>
      <c r="B101" s="28" t="s">
        <v>0</v>
      </c>
      <c r="C101" s="10"/>
      <c r="D101" s="4">
        <f>SUM(OSRRefD25x_0)</f>
        <v>5155.6499999999996</v>
      </c>
      <c r="E101" s="4"/>
      <c r="F101" s="12">
        <f t="shared" ref="F101:F104" si="55">IF(D$12=0,0,D101/D$12)</f>
        <v>1.6095029054966917E-2</v>
      </c>
      <c r="G101" s="4"/>
      <c r="H101" s="4">
        <f>SUM(OSRRefH25x_0)</f>
        <v>2025</v>
      </c>
      <c r="I101" s="4"/>
      <c r="J101" s="12">
        <f t="shared" ref="J101:J104" si="56">IF(H$12=0,0,H101/H$12)</f>
        <v>8.0060411016312557E-3</v>
      </c>
      <c r="K101" s="4"/>
      <c r="L101" s="4">
        <f t="shared" ref="L101:L104" si="57">+D101-H101</f>
        <v>3130.6499999999996</v>
      </c>
      <c r="M101" s="4"/>
      <c r="N101" s="12">
        <f t="shared" ref="N101:N104" si="58">IF(H101=0,0,L101/H101)</f>
        <v>1.5459999999999998</v>
      </c>
      <c r="O101" s="10"/>
      <c r="P101" s="4">
        <f>SUM(OSRRefP25x_0)</f>
        <v>2146.1100000000006</v>
      </c>
      <c r="Q101" s="4"/>
      <c r="R101" s="12">
        <f t="shared" ref="R101:R104" si="59">IF(P$12=0,0,P101/P$12)</f>
        <v>1.8001589158559272E-3</v>
      </c>
      <c r="S101" s="4"/>
      <c r="T101" s="4">
        <f>SUM(OSRRefT25x_0)</f>
        <v>5400</v>
      </c>
      <c r="U101" s="4"/>
      <c r="V101" s="12">
        <f t="shared" ref="V101:V104" si="60">IF(T$12=0,0,T101/T$12)</f>
        <v>5.3970208444938392E-3</v>
      </c>
      <c r="W101" s="4"/>
      <c r="X101" s="4">
        <f t="shared" ref="X101:X104" si="61">+P101-T101</f>
        <v>-3253.8899999999994</v>
      </c>
      <c r="Y101" s="4"/>
      <c r="Z101" s="12">
        <f t="shared" ref="Z101:Z104" si="62">IF(T101=0,0,X101/T101)</f>
        <v>-0.60257222222222206</v>
      </c>
    </row>
    <row r="102" spans="1:26" s="24" customFormat="1" hidden="1" outlineLevel="1" x14ac:dyDescent="0.25">
      <c r="A102" s="46"/>
      <c r="B102" s="11" t="str">
        <f>CONCATENATE("          ", "4187", " - ", "NON-TAXABLE SALES-COMPUTER REP")</f>
        <v xml:space="preserve">          4187 - NON-TAXABLE SALES-COMPUTER REP</v>
      </c>
      <c r="C102" s="11"/>
      <c r="D102" s="2">
        <f>--4892.54</f>
        <v>4892.54</v>
      </c>
      <c r="E102" s="2"/>
      <c r="F102" s="19">
        <f t="shared" si="55"/>
        <v>1.5273646087804222E-2</v>
      </c>
      <c r="G102" s="2"/>
      <c r="H102" s="2"/>
      <c r="I102" s="2"/>
      <c r="J102" s="19">
        <f t="shared" si="56"/>
        <v>0</v>
      </c>
      <c r="K102" s="2"/>
      <c r="L102" s="2">
        <f t="shared" si="57"/>
        <v>4892.54</v>
      </c>
      <c r="M102" s="2"/>
      <c r="N102" s="19">
        <f t="shared" si="58"/>
        <v>0</v>
      </c>
      <c r="O102" s="11"/>
      <c r="P102" s="2">
        <f>--7374.8</f>
        <v>7374.8</v>
      </c>
      <c r="Q102" s="2"/>
      <c r="R102" s="19">
        <f t="shared" si="59"/>
        <v>6.1859885898925444E-3</v>
      </c>
      <c r="S102" s="2"/>
      <c r="T102" s="2"/>
      <c r="U102" s="2"/>
      <c r="V102" s="19">
        <f t="shared" si="60"/>
        <v>0</v>
      </c>
      <c r="W102" s="2"/>
      <c r="X102" s="2">
        <f t="shared" si="61"/>
        <v>7374.8</v>
      </c>
      <c r="Y102" s="2"/>
      <c r="Z102" s="19">
        <f t="shared" si="62"/>
        <v>0</v>
      </c>
    </row>
    <row r="103" spans="1:26" s="24" customFormat="1" hidden="1" outlineLevel="1" x14ac:dyDescent="0.25">
      <c r="A103" s="46"/>
      <c r="B103" s="11" t="str">
        <f>CONCATENATE("          ", "4387", " - ", "SALES RETURN NON TAXABLE-COMPU")</f>
        <v xml:space="preserve">          4387 - SALES RETURN NON TAXABLE-COMPU</v>
      </c>
      <c r="C103" s="11"/>
      <c r="D103" s="2">
        <f>-2989.2</f>
        <v>-2989.2</v>
      </c>
      <c r="E103" s="2"/>
      <c r="F103" s="19">
        <f t="shared" si="55"/>
        <v>-9.3317546480283006E-3</v>
      </c>
      <c r="G103" s="2"/>
      <c r="H103" s="2"/>
      <c r="I103" s="2"/>
      <c r="J103" s="19">
        <f t="shared" si="56"/>
        <v>0</v>
      </c>
      <c r="K103" s="2"/>
      <c r="L103" s="2">
        <f t="shared" si="57"/>
        <v>-2989.2</v>
      </c>
      <c r="M103" s="2"/>
      <c r="N103" s="19">
        <f t="shared" si="58"/>
        <v>0</v>
      </c>
      <c r="O103" s="11"/>
      <c r="P103" s="2">
        <f>-6440.7</f>
        <v>-6440.7</v>
      </c>
      <c r="Q103" s="2"/>
      <c r="R103" s="19">
        <f t="shared" si="59"/>
        <v>-5.4024647056084112E-3</v>
      </c>
      <c r="S103" s="2"/>
      <c r="T103" s="2"/>
      <c r="U103" s="2"/>
      <c r="V103" s="19">
        <f t="shared" si="60"/>
        <v>0</v>
      </c>
      <c r="W103" s="2"/>
      <c r="X103" s="2">
        <f t="shared" si="61"/>
        <v>-6440.7</v>
      </c>
      <c r="Y103" s="2"/>
      <c r="Z103" s="19">
        <f t="shared" si="62"/>
        <v>0</v>
      </c>
    </row>
    <row r="104" spans="1:26" s="24" customFormat="1" hidden="1" outlineLevel="1" x14ac:dyDescent="0.25">
      <c r="A104" s="46"/>
      <c r="B104" s="11" t="str">
        <f>CONCATENATE("          ", "9150", " - ", "MISC. INCOME")</f>
        <v xml:space="preserve">          9150 - MISC. INCOME</v>
      </c>
      <c r="C104" s="11"/>
      <c r="D104" s="2">
        <f>--3252.31</f>
        <v>3252.31</v>
      </c>
      <c r="E104" s="2"/>
      <c r="F104" s="19">
        <f t="shared" si="55"/>
        <v>1.0153137615190995E-2</v>
      </c>
      <c r="G104" s="2"/>
      <c r="H104" s="2">
        <v>2025</v>
      </c>
      <c r="I104" s="2"/>
      <c r="J104" s="19">
        <f t="shared" si="56"/>
        <v>8.0060411016312557E-3</v>
      </c>
      <c r="K104" s="2"/>
      <c r="L104" s="2">
        <f t="shared" si="57"/>
        <v>1227.31</v>
      </c>
      <c r="M104" s="2"/>
      <c r="N104" s="19">
        <f t="shared" si="58"/>
        <v>0.60607901234567896</v>
      </c>
      <c r="O104" s="11"/>
      <c r="P104" s="2">
        <f>--1212.01</f>
        <v>1212.01</v>
      </c>
      <c r="Q104" s="2"/>
      <c r="R104" s="19">
        <f t="shared" si="59"/>
        <v>1.0166350315717935E-3</v>
      </c>
      <c r="S104" s="2"/>
      <c r="T104" s="2">
        <v>5400</v>
      </c>
      <c r="U104" s="2"/>
      <c r="V104" s="19">
        <f t="shared" si="60"/>
        <v>5.3970208444938392E-3</v>
      </c>
      <c r="W104" s="2"/>
      <c r="X104" s="2">
        <f t="shared" si="61"/>
        <v>-4187.99</v>
      </c>
      <c r="Y104" s="2"/>
      <c r="Z104" s="19">
        <f t="shared" si="62"/>
        <v>-0.77555370370370369</v>
      </c>
    </row>
    <row r="105" spans="1:26" x14ac:dyDescent="0.25">
      <c r="A105" s="9"/>
      <c r="B105" s="10"/>
      <c r="C105" s="10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O105" s="10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x14ac:dyDescent="0.25">
      <c r="A106" s="10"/>
      <c r="B106" s="29" t="s">
        <v>3</v>
      </c>
      <c r="C106" s="29"/>
      <c r="D106" s="22">
        <f>+D55-D57+D101</f>
        <v>34417.529999999912</v>
      </c>
      <c r="E106" s="14"/>
      <c r="F106" s="20">
        <f>IF(D$12=0,0,D106/D$12)</f>
        <v>0.10744545214477207</v>
      </c>
      <c r="G106" s="14"/>
      <c r="H106" s="22">
        <f>+H55-H57+H101</f>
        <v>40292.120887683079</v>
      </c>
      <c r="I106" s="14"/>
      <c r="J106" s="20">
        <f>IF(H$12=0,0,H106/H$12)</f>
        <v>0.1592989510610795</v>
      </c>
      <c r="K106" s="15"/>
      <c r="L106" s="22">
        <f>+D106-H106</f>
        <v>-5874.5908876831672</v>
      </c>
      <c r="M106" s="15"/>
      <c r="N106" s="20">
        <f>IF(H106=0,0,L106/H106)</f>
        <v>-0.14579999161769056</v>
      </c>
      <c r="O106" s="28"/>
      <c r="P106" s="22">
        <f>+P55-P57+P101</f>
        <v>15970.819999999716</v>
      </c>
      <c r="Q106" s="14"/>
      <c r="R106" s="20">
        <f>IF(P$12=0,0,P106/P$12)</f>
        <v>1.3396337567286691E-2</v>
      </c>
      <c r="S106" s="14"/>
      <c r="T106" s="22">
        <f>+T55-T57+T101</f>
        <v>174202.06768187002</v>
      </c>
      <c r="U106" s="14"/>
      <c r="V106" s="20">
        <f>IF(T$12=0,0,T106/T$12)</f>
        <v>0.17410596119129243</v>
      </c>
      <c r="W106" s="15"/>
      <c r="X106" s="22">
        <f>+P106-T106</f>
        <v>-158231.2476818703</v>
      </c>
      <c r="Y106" s="15"/>
      <c r="Z106" s="20">
        <f>IF(T106=0,0,X106/T106)</f>
        <v>-0.90832014675528516</v>
      </c>
    </row>
    <row r="107" spans="1:26" x14ac:dyDescent="0.25">
      <c r="A107" s="9"/>
      <c r="B107" s="10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x14ac:dyDescent="0.25">
      <c r="A108" s="52"/>
      <c r="B108" s="10" t="s">
        <v>14</v>
      </c>
      <c r="C108" s="10"/>
      <c r="D108" s="4">
        <v>19351.62</v>
      </c>
      <c r="E108" s="4"/>
      <c r="F108" s="12">
        <f>IF(D$12=0,0,D108/D$12)</f>
        <v>6.0412341055090794E-2</v>
      </c>
      <c r="G108" s="4"/>
      <c r="H108" s="4">
        <v>5139</v>
      </c>
      <c r="I108" s="4"/>
      <c r="J108" s="12">
        <f>IF(H$12=0,0,H108/H$12)</f>
        <v>2.031755319569532E-2</v>
      </c>
      <c r="K108" s="4"/>
      <c r="L108" s="4">
        <f>+D108-H108</f>
        <v>14212.619999999999</v>
      </c>
      <c r="M108" s="4"/>
      <c r="N108" s="12">
        <f>IF(H108=0,0,L108/H108)</f>
        <v>2.7656392294220664</v>
      </c>
      <c r="O108" s="10"/>
      <c r="P108" s="4">
        <v>128055.71999999999</v>
      </c>
      <c r="Q108" s="4"/>
      <c r="R108" s="12">
        <f>IF(P$12=0,0,P108/P$12)</f>
        <v>0.10741324819526962</v>
      </c>
      <c r="S108" s="4"/>
      <c r="T108" s="4">
        <v>126553.99999999999</v>
      </c>
      <c r="U108" s="4"/>
      <c r="V108" s="12">
        <f>IF(T$12=0,0,T108/T$12)</f>
        <v>0.1264841807322358</v>
      </c>
      <c r="W108" s="4"/>
      <c r="X108" s="4">
        <f>+P108-T108</f>
        <v>1501.7200000000012</v>
      </c>
      <c r="Y108" s="4"/>
      <c r="Z108" s="12">
        <f>IF(T108=0,0,X108/T108)</f>
        <v>1.1866238917774241E-2</v>
      </c>
    </row>
    <row r="109" spans="1:26" x14ac:dyDescent="0.25">
      <c r="A109" s="9"/>
      <c r="B109" s="10"/>
      <c r="C109" s="10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O109" s="10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ht="15.75" thickBot="1" x14ac:dyDescent="0.3">
      <c r="A110" s="10"/>
      <c r="B110" s="29" t="s">
        <v>4</v>
      </c>
      <c r="C110" s="29"/>
      <c r="D110" s="35">
        <f>+D106-D108</f>
        <v>15065.909999999913</v>
      </c>
      <c r="E110" s="14"/>
      <c r="F110" s="32">
        <f>IF(D$12=0,0,D110/D$12)</f>
        <v>4.7033111089681265E-2</v>
      </c>
      <c r="G110" s="14"/>
      <c r="H110" s="35">
        <f>+H106-H108</f>
        <v>35153.120887683079</v>
      </c>
      <c r="I110" s="14"/>
      <c r="J110" s="32">
        <f>IF(H$12=0,0,H110/H$12)</f>
        <v>0.13898139786538416</v>
      </c>
      <c r="K110" s="15"/>
      <c r="L110" s="35">
        <f>D110-H110</f>
        <v>-20087.210887683166</v>
      </c>
      <c r="M110" s="15"/>
      <c r="N110" s="32">
        <f>IF(H110=0,0,L110/H110)</f>
        <v>-0.5714204139047383</v>
      </c>
      <c r="O110" s="28"/>
      <c r="P110" s="35">
        <f>+P106-P108</f>
        <v>-112084.90000000027</v>
      </c>
      <c r="Q110" s="14"/>
      <c r="R110" s="32">
        <f>IF(P$12=0,0,P110/P$12)</f>
        <v>-9.4016910627982925E-2</v>
      </c>
      <c r="S110" s="14"/>
      <c r="T110" s="35">
        <f>+T106-T108</f>
        <v>47648.06768187003</v>
      </c>
      <c r="U110" s="14"/>
      <c r="V110" s="32">
        <f>IF(T$12=0,0,T110/T$12)</f>
        <v>4.7621780459056628E-2</v>
      </c>
      <c r="W110" s="15"/>
      <c r="X110" s="35">
        <f>P110-T110</f>
        <v>-159732.9676818703</v>
      </c>
      <c r="Y110" s="15"/>
      <c r="Z110" s="32">
        <f>IF(T110=0,0,X110/T110)</f>
        <v>-3.3523493281690473</v>
      </c>
    </row>
    <row r="111" spans="1:26" ht="15.75" thickTop="1" x14ac:dyDescent="0.25">
      <c r="A111" s="9"/>
      <c r="B111" s="9"/>
      <c r="C111" s="9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x14ac:dyDescent="0.25">
      <c r="A112" s="9"/>
      <c r="B112" s="9"/>
      <c r="C112" s="9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3" customFormat="1" ht="15.75" thickBot="1" x14ac:dyDescent="0.3">
      <c r="A113" s="10"/>
      <c r="B113" s="29" t="s">
        <v>5</v>
      </c>
      <c r="C113" s="29"/>
      <c r="D113" s="30">
        <f>SUM(D110:D112)</f>
        <v>15065.909999999913</v>
      </c>
      <c r="E113" s="14"/>
      <c r="F113" s="31">
        <f>IF(D$12=0,0,D113/D$12)</f>
        <v>4.7033111089681265E-2</v>
      </c>
      <c r="G113" s="14"/>
      <c r="H113" s="30">
        <f>SUM(H110:H112)</f>
        <v>35153.120887683079</v>
      </c>
      <c r="I113" s="14"/>
      <c r="J113" s="31">
        <f>IF(H$12=0,0,H113/H$12)</f>
        <v>0.13898139786538416</v>
      </c>
      <c r="K113" s="15"/>
      <c r="L113" s="30">
        <f>+D113-H113</f>
        <v>-20087.210887683166</v>
      </c>
      <c r="M113" s="15"/>
      <c r="N113" s="31">
        <f>IF(H113=0,0,L113/H113)</f>
        <v>-0.5714204139047383</v>
      </c>
      <c r="O113" s="28"/>
      <c r="P113" s="30">
        <f>SUM(P110:P112)</f>
        <v>-112084.90000000027</v>
      </c>
      <c r="Q113" s="14"/>
      <c r="R113" s="31">
        <f>IF(P$12=0,0,P113/P$12)</f>
        <v>-9.4016910627982925E-2</v>
      </c>
      <c r="S113" s="14"/>
      <c r="T113" s="30">
        <f>SUM(T110:T112)</f>
        <v>47648.06768187003</v>
      </c>
      <c r="U113" s="14"/>
      <c r="V113" s="31">
        <f>IF(T$12=0,0,T113/T$12)</f>
        <v>4.7621780459056628E-2</v>
      </c>
      <c r="W113" s="15"/>
      <c r="X113" s="30">
        <f>+P113-T113</f>
        <v>-159732.9676818703</v>
      </c>
      <c r="Y113" s="15"/>
      <c r="Z113" s="31">
        <f>IF(T113=0,0,X113/T113)</f>
        <v>-3.3523493281690473</v>
      </c>
    </row>
    <row r="114" spans="1:26" ht="15.75" thickTop="1" x14ac:dyDescent="0.25">
      <c r="A114" s="9"/>
      <c r="C114" s="9"/>
      <c r="D114" s="18"/>
      <c r="E114" s="18"/>
      <c r="G114" s="18"/>
      <c r="H114" s="18"/>
      <c r="I114" s="18"/>
      <c r="J114" s="43"/>
      <c r="K114" s="18"/>
      <c r="L114" s="18"/>
      <c r="M114" s="18"/>
      <c r="P114" s="18"/>
      <c r="Q114" s="18"/>
      <c r="R114" s="43"/>
      <c r="S114" s="18"/>
      <c r="T114" s="18"/>
      <c r="U114" s="18"/>
      <c r="V114" s="43"/>
      <c r="W114" s="18"/>
      <c r="X114" s="18"/>
    </row>
    <row r="115" spans="1:26" x14ac:dyDescent="0.25">
      <c r="A115" s="9"/>
      <c r="B115" s="53">
        <v>43756.452022951387</v>
      </c>
      <c r="D115" s="18"/>
      <c r="E115" s="18"/>
      <c r="G115" s="18"/>
      <c r="H115" s="18"/>
      <c r="I115" s="18"/>
      <c r="J115" s="43"/>
      <c r="K115" s="18"/>
      <c r="L115" s="18"/>
      <c r="M115" s="18"/>
      <c r="P115" s="18"/>
      <c r="Q115" s="18"/>
      <c r="R115" s="43"/>
      <c r="S115" s="18"/>
      <c r="T115" s="18"/>
      <c r="U115" s="18"/>
      <c r="V115" s="43"/>
      <c r="W115" s="18"/>
      <c r="X115" s="18"/>
    </row>
    <row r="116" spans="1:26" x14ac:dyDescent="0.25">
      <c r="A116" s="9"/>
      <c r="B116" s="55" t="s">
        <v>314</v>
      </c>
      <c r="D116" s="18"/>
      <c r="E116" s="18"/>
      <c r="G116" s="18"/>
      <c r="H116" s="18"/>
      <c r="I116" s="18"/>
      <c r="J116" s="43"/>
      <c r="K116" s="18"/>
      <c r="L116" s="18"/>
      <c r="M116" s="18"/>
      <c r="P116" s="18"/>
      <c r="Q116" s="18"/>
      <c r="R116" s="43"/>
      <c r="S116" s="18"/>
      <c r="T116" s="18"/>
      <c r="U116" s="18"/>
      <c r="V116" s="43"/>
      <c r="W116" s="18"/>
      <c r="X116" s="18"/>
    </row>
    <row r="117" spans="1:26" x14ac:dyDescent="0.25">
      <c r="A117" s="9"/>
      <c r="B117" s="56"/>
      <c r="D117" s="18"/>
      <c r="E117" s="18"/>
      <c r="G117" s="18"/>
      <c r="H117" s="18"/>
      <c r="I117" s="18"/>
      <c r="J117" s="43"/>
      <c r="K117" s="18"/>
      <c r="L117" s="18"/>
      <c r="M117" s="18"/>
      <c r="P117" s="18"/>
      <c r="Q117" s="18"/>
      <c r="R117" s="43"/>
      <c r="S117" s="18"/>
      <c r="T117" s="18"/>
      <c r="U117" s="18"/>
      <c r="V117" s="43"/>
      <c r="W117" s="18"/>
      <c r="X117" s="18"/>
    </row>
    <row r="118" spans="1:26" x14ac:dyDescent="0.25">
      <c r="D118" s="18"/>
      <c r="E118" s="18"/>
      <c r="G118" s="18"/>
      <c r="H118" s="18"/>
      <c r="I118" s="18"/>
      <c r="J118" s="43"/>
      <c r="K118" s="18"/>
      <c r="L118" s="18"/>
      <c r="M118" s="18"/>
      <c r="P118" s="18"/>
      <c r="Q118" s="18"/>
      <c r="R118" s="43"/>
      <c r="S118" s="18"/>
      <c r="T118" s="18"/>
      <c r="U118" s="18"/>
      <c r="V118" s="43"/>
      <c r="W118" s="18"/>
      <c r="X118" s="18"/>
    </row>
  </sheetData>
  <pageMargins left="0.25" right="0.25" top="0.75" bottom="0.75" header="0.3" footer="0.3"/>
  <pageSetup scale="55" fitToWidth="2" orientation="landscape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str">
        <f>CONCATENATE("Period ",RIGHT(202003,2),", ",2020)</f>
        <v>Period 03, 2020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43736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tr">
        <f>CONCATENATE("Department ","317", " - ", "Computer Store")</f>
        <v>Department 317 - Computer Store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320325.60999999993</v>
      </c>
      <c r="E12" s="4"/>
      <c r="F12" s="12"/>
      <c r="G12" s="4"/>
      <c r="H12" s="4">
        <f>SUM(OSRRefH13x_0)</f>
        <v>252934</v>
      </c>
      <c r="I12" s="4"/>
      <c r="J12" s="12"/>
      <c r="K12" s="4"/>
      <c r="L12" s="4">
        <f t="shared" ref="L12:L37" si="0">+D12-H12</f>
        <v>67391.609999999928</v>
      </c>
      <c r="M12" s="4"/>
      <c r="N12" s="12">
        <f t="shared" ref="N12:N37" si="1">IF(H12=0,0,L12/H12)</f>
        <v>0.26643950595807575</v>
      </c>
      <c r="O12" s="10"/>
      <c r="P12" s="4">
        <f>SUM(OSRRefP13x_0)</f>
        <v>1192178.0799999998</v>
      </c>
      <c r="Q12" s="4"/>
      <c r="R12" s="12"/>
      <c r="S12" s="4"/>
      <c r="T12" s="4">
        <f>SUM(OSRRefT13x_0)</f>
        <v>1000552</v>
      </c>
      <c r="U12" s="4"/>
      <c r="V12" s="12"/>
      <c r="W12" s="4"/>
      <c r="X12" s="4">
        <f t="shared" ref="X12:X37" si="2">+P12-T12</f>
        <v>191626.07999999984</v>
      </c>
      <c r="Y12" s="4"/>
      <c r="Z12" s="12">
        <f t="shared" ref="Z12:Z37" si="3">IF(T12=0,0,X12/T12)</f>
        <v>0.19152036076085985</v>
      </c>
    </row>
    <row r="13" spans="1:26" s="24" customFormat="1" hidden="1" outlineLevel="1" x14ac:dyDescent="0.25">
      <c r="A13" s="46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222582</v>
      </c>
      <c r="I13" s="2"/>
      <c r="J13" s="19"/>
      <c r="K13" s="2"/>
      <c r="L13" s="2">
        <f t="shared" si="0"/>
        <v>-222582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880485</v>
      </c>
      <c r="U13" s="2"/>
      <c r="V13" s="19"/>
      <c r="W13" s="2"/>
      <c r="X13" s="2">
        <f t="shared" si="2"/>
        <v>-880485</v>
      </c>
      <c r="Y13" s="2"/>
      <c r="Z13" s="19">
        <f t="shared" si="3"/>
        <v>-1</v>
      </c>
    </row>
    <row r="14" spans="1:26" s="24" customFormat="1" hidden="1" outlineLevel="1" x14ac:dyDescent="0.25">
      <c r="A14" s="46"/>
      <c r="B14" s="11" t="str">
        <f>CONCATENATE("          ", "4081", " - ", "TAXABLE SALES-ELECTRONICS")</f>
        <v xml:space="preserve">          4081 - TAXABLE SALES-ELECTRONICS</v>
      </c>
      <c r="C14" s="11"/>
      <c r="D14" s="2">
        <f>--79257.39</f>
        <v>79257.39</v>
      </c>
      <c r="E14" s="2"/>
      <c r="F14" s="19"/>
      <c r="G14" s="2"/>
      <c r="H14" s="2"/>
      <c r="I14" s="2"/>
      <c r="J14" s="19"/>
      <c r="K14" s="2"/>
      <c r="L14" s="2">
        <f t="shared" si="0"/>
        <v>79257.39</v>
      </c>
      <c r="M14" s="2"/>
      <c r="N14" s="19">
        <f t="shared" si="1"/>
        <v>0</v>
      </c>
      <c r="O14" s="11"/>
      <c r="P14" s="2">
        <f>--188677.32</f>
        <v>188677.32</v>
      </c>
      <c r="Q14" s="2"/>
      <c r="R14" s="19"/>
      <c r="S14" s="2"/>
      <c r="T14" s="2"/>
      <c r="U14" s="2"/>
      <c r="V14" s="19"/>
      <c r="W14" s="2"/>
      <c r="X14" s="2">
        <f t="shared" si="2"/>
        <v>188677.32</v>
      </c>
      <c r="Y14" s="2"/>
      <c r="Z14" s="19">
        <f t="shared" si="3"/>
        <v>0</v>
      </c>
    </row>
    <row r="15" spans="1:26" s="24" customFormat="1" hidden="1" outlineLevel="1" x14ac:dyDescent="0.25">
      <c r="A15" s="46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>--225219.71</f>
        <v>225219.71</v>
      </c>
      <c r="E15" s="2"/>
      <c r="F15" s="19"/>
      <c r="G15" s="2"/>
      <c r="H15" s="2"/>
      <c r="I15" s="2"/>
      <c r="J15" s="19"/>
      <c r="K15" s="2"/>
      <c r="L15" s="2">
        <f t="shared" si="0"/>
        <v>225219.71</v>
      </c>
      <c r="M15" s="2"/>
      <c r="N15" s="19">
        <f t="shared" si="1"/>
        <v>0</v>
      </c>
      <c r="O15" s="11"/>
      <c r="P15" s="2">
        <f>--1038754.49</f>
        <v>1038754.49</v>
      </c>
      <c r="Q15" s="2"/>
      <c r="R15" s="19"/>
      <c r="S15" s="2"/>
      <c r="T15" s="2"/>
      <c r="U15" s="2"/>
      <c r="V15" s="19"/>
      <c r="W15" s="2"/>
      <c r="X15" s="2">
        <f t="shared" si="2"/>
        <v>1038754.49</v>
      </c>
      <c r="Y15" s="2"/>
      <c r="Z15" s="19">
        <f t="shared" si="3"/>
        <v>0</v>
      </c>
    </row>
    <row r="16" spans="1:26" s="24" customFormat="1" hidden="1" outlineLevel="1" x14ac:dyDescent="0.25">
      <c r="A16" s="46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>--17378.42</f>
        <v>17378.419999999998</v>
      </c>
      <c r="E16" s="2"/>
      <c r="F16" s="19"/>
      <c r="G16" s="2"/>
      <c r="H16" s="2"/>
      <c r="I16" s="2"/>
      <c r="J16" s="19"/>
      <c r="K16" s="2"/>
      <c r="L16" s="2">
        <f t="shared" si="0"/>
        <v>17378.419999999998</v>
      </c>
      <c r="M16" s="2"/>
      <c r="N16" s="19">
        <f t="shared" si="1"/>
        <v>0</v>
      </c>
      <c r="O16" s="11"/>
      <c r="P16" s="2">
        <f>--40956.21</f>
        <v>40956.21</v>
      </c>
      <c r="Q16" s="2"/>
      <c r="R16" s="19"/>
      <c r="S16" s="2"/>
      <c r="T16" s="2"/>
      <c r="U16" s="2"/>
      <c r="V16" s="19"/>
      <c r="W16" s="2"/>
      <c r="X16" s="2">
        <f t="shared" si="2"/>
        <v>40956.21</v>
      </c>
      <c r="Y16" s="2"/>
      <c r="Z16" s="19">
        <f t="shared" si="3"/>
        <v>0</v>
      </c>
    </row>
    <row r="17" spans="1:26" s="24" customFormat="1" hidden="1" outlineLevel="1" x14ac:dyDescent="0.25">
      <c r="A17" s="46"/>
      <c r="B17" s="11" t="str">
        <f>CONCATENATE("          ", "4084", " - ", "TAXABLE SALES-SOFTWARE LICENSE")</f>
        <v xml:space="preserve">          4084 - TAXABLE SALES-SOFTWARE LICENSE</v>
      </c>
      <c r="C17" s="11"/>
      <c r="D17" s="2">
        <f t="shared" ref="D17:D18" si="4"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--129</f>
        <v>129</v>
      </c>
      <c r="Q17" s="2"/>
      <c r="R17" s="19"/>
      <c r="S17" s="2"/>
      <c r="T17" s="2"/>
      <c r="U17" s="2"/>
      <c r="V17" s="19"/>
      <c r="W17" s="2"/>
      <c r="X17" s="2">
        <f t="shared" si="2"/>
        <v>129</v>
      </c>
      <c r="Y17" s="2"/>
      <c r="Z17" s="19">
        <f t="shared" si="3"/>
        <v>0</v>
      </c>
    </row>
    <row r="18" spans="1:26" s="24" customFormat="1" hidden="1" outlineLevel="1" x14ac:dyDescent="0.25">
      <c r="A18" s="46"/>
      <c r="B18" s="11" t="str">
        <f>CONCATENATE("          ", "4085", " - ", "TAXABLE SALES-SOFTWARE")</f>
        <v xml:space="preserve">          4085 - TAXABLE SALES-SOFTWARE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--493.95</f>
        <v>493.95</v>
      </c>
      <c r="Q18" s="2"/>
      <c r="R18" s="19"/>
      <c r="S18" s="2"/>
      <c r="T18" s="2"/>
      <c r="U18" s="2"/>
      <c r="V18" s="19"/>
      <c r="W18" s="2"/>
      <c r="X18" s="2">
        <f t="shared" si="2"/>
        <v>493.95</v>
      </c>
      <c r="Y18" s="2"/>
      <c r="Z18" s="19">
        <f t="shared" si="3"/>
        <v>0</v>
      </c>
    </row>
    <row r="19" spans="1:26" s="24" customFormat="1" hidden="1" outlineLevel="1" x14ac:dyDescent="0.25">
      <c r="A19" s="46"/>
      <c r="B19" s="11" t="str">
        <f>CONCATENATE("          ", "4086", " - ", "TAXABLE SALES-COMPUTER SUPPLIE")</f>
        <v xml:space="preserve">          4086 - TAXABLE SALES-COMPUTER SUPPLIE</v>
      </c>
      <c r="C19" s="11"/>
      <c r="D19" s="2">
        <f>--10424.61</f>
        <v>10424.61</v>
      </c>
      <c r="E19" s="2"/>
      <c r="F19" s="19"/>
      <c r="G19" s="2"/>
      <c r="H19" s="2"/>
      <c r="I19" s="2"/>
      <c r="J19" s="19"/>
      <c r="K19" s="2"/>
      <c r="L19" s="2">
        <f t="shared" si="0"/>
        <v>10424.61</v>
      </c>
      <c r="M19" s="2"/>
      <c r="N19" s="19">
        <f t="shared" si="1"/>
        <v>0</v>
      </c>
      <c r="O19" s="11"/>
      <c r="P19" s="2">
        <f>--19983.21</f>
        <v>19983.21</v>
      </c>
      <c r="Q19" s="2"/>
      <c r="R19" s="19"/>
      <c r="S19" s="2"/>
      <c r="T19" s="2"/>
      <c r="U19" s="2"/>
      <c r="V19" s="19"/>
      <c r="W19" s="2"/>
      <c r="X19" s="2">
        <f t="shared" si="2"/>
        <v>19983.21</v>
      </c>
      <c r="Y19" s="2"/>
      <c r="Z19" s="19">
        <f t="shared" si="3"/>
        <v>0</v>
      </c>
    </row>
    <row r="20" spans="1:26" s="24" customFormat="1" hidden="1" outlineLevel="1" x14ac:dyDescent="0.25">
      <c r="A20" s="46"/>
      <c r="B20" s="11" t="str">
        <f>CONCATENATE("          ", "4088", " - ", "TAXABLE SALES-MUSIC")</f>
        <v xml:space="preserve">          4088 - TAXABLE SALES-MUSIC</v>
      </c>
      <c r="C20" s="11"/>
      <c r="D20" s="2">
        <f>--16.99</f>
        <v>16.989999999999998</v>
      </c>
      <c r="E20" s="2"/>
      <c r="F20" s="19"/>
      <c r="G20" s="2"/>
      <c r="H20" s="2"/>
      <c r="I20" s="2"/>
      <c r="J20" s="19"/>
      <c r="K20" s="2"/>
      <c r="L20" s="2">
        <f t="shared" si="0"/>
        <v>16.989999999999998</v>
      </c>
      <c r="M20" s="2"/>
      <c r="N20" s="19">
        <f t="shared" si="1"/>
        <v>0</v>
      </c>
      <c r="O20" s="11"/>
      <c r="P20" s="2">
        <f>--535.96</f>
        <v>535.96</v>
      </c>
      <c r="Q20" s="2"/>
      <c r="R20" s="19"/>
      <c r="S20" s="2"/>
      <c r="T20" s="2"/>
      <c r="U20" s="2"/>
      <c r="V20" s="19"/>
      <c r="W20" s="2"/>
      <c r="X20" s="2">
        <f t="shared" si="2"/>
        <v>535.96</v>
      </c>
      <c r="Y20" s="2"/>
      <c r="Z20" s="19">
        <f t="shared" si="3"/>
        <v>0</v>
      </c>
    </row>
    <row r="21" spans="1:26" s="24" customFormat="1" hidden="1" outlineLevel="1" x14ac:dyDescent="0.25">
      <c r="A21" s="46"/>
      <c r="B21" s="11" t="str">
        <f>CONCATENATE("          ", "4100", " - ", "NON-TAXABLE SALES")</f>
        <v xml:space="preserve">          4100 - NON-TAXABLE SALES</v>
      </c>
      <c r="C21" s="11"/>
      <c r="D21" s="2">
        <f>0</f>
        <v>0</v>
      </c>
      <c r="E21" s="2"/>
      <c r="F21" s="19"/>
      <c r="G21" s="2"/>
      <c r="H21" s="2">
        <v>30352</v>
      </c>
      <c r="I21" s="2"/>
      <c r="J21" s="19"/>
      <c r="K21" s="2"/>
      <c r="L21" s="2">
        <f t="shared" si="0"/>
        <v>-30352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v>120067</v>
      </c>
      <c r="U21" s="2"/>
      <c r="V21" s="19"/>
      <c r="W21" s="2"/>
      <c r="X21" s="2">
        <f t="shared" si="2"/>
        <v>-120067</v>
      </c>
      <c r="Y21" s="2"/>
      <c r="Z21" s="19">
        <f t="shared" si="3"/>
        <v>-1</v>
      </c>
    </row>
    <row r="22" spans="1:26" s="24" customFormat="1" hidden="1" outlineLevel="1" x14ac:dyDescent="0.25">
      <c r="A22" s="46"/>
      <c r="B22" s="11" t="str">
        <f>CONCATENATE("          ", "4181", " - ", "NON-TAXABLE SALES-ELECTRONICS")</f>
        <v xml:space="preserve">          4181 - NON-TAXABLE SALES-ELECTRONICS</v>
      </c>
      <c r="C22" s="11"/>
      <c r="D22" s="2">
        <f>--63.96</f>
        <v>63.96</v>
      </c>
      <c r="E22" s="2"/>
      <c r="F22" s="19"/>
      <c r="G22" s="2"/>
      <c r="H22" s="2"/>
      <c r="I22" s="2"/>
      <c r="J22" s="19"/>
      <c r="K22" s="2"/>
      <c r="L22" s="2">
        <f t="shared" si="0"/>
        <v>63.96</v>
      </c>
      <c r="M22" s="2"/>
      <c r="N22" s="19">
        <f t="shared" si="1"/>
        <v>0</v>
      </c>
      <c r="O22" s="11"/>
      <c r="P22" s="2">
        <f>--1454.52</f>
        <v>1454.52</v>
      </c>
      <c r="Q22" s="2"/>
      <c r="R22" s="19"/>
      <c r="S22" s="2"/>
      <c r="T22" s="2"/>
      <c r="U22" s="2"/>
      <c r="V22" s="19"/>
      <c r="W22" s="2"/>
      <c r="X22" s="2">
        <f t="shared" si="2"/>
        <v>1454.52</v>
      </c>
      <c r="Y22" s="2"/>
      <c r="Z22" s="19">
        <f t="shared" si="3"/>
        <v>0</v>
      </c>
    </row>
    <row r="23" spans="1:26" s="24" customFormat="1" hidden="1" outlineLevel="1" x14ac:dyDescent="0.25">
      <c r="A23" s="46"/>
      <c r="B23" s="11" t="str">
        <f>CONCATENATE("          ", "4182", " - ", "NON-TAXABLE SALES-COMPUTER HAR")</f>
        <v xml:space="preserve">          4182 - NON-TAXABLE SALES-COMPUTER HAR</v>
      </c>
      <c r="C23" s="11"/>
      <c r="D23" s="2">
        <f>--15231</f>
        <v>15231</v>
      </c>
      <c r="E23" s="2"/>
      <c r="F23" s="19"/>
      <c r="G23" s="2"/>
      <c r="H23" s="2"/>
      <c r="I23" s="2"/>
      <c r="J23" s="19"/>
      <c r="K23" s="2"/>
      <c r="L23" s="2">
        <f t="shared" si="0"/>
        <v>15231</v>
      </c>
      <c r="M23" s="2"/>
      <c r="N23" s="19">
        <f t="shared" si="1"/>
        <v>0</v>
      </c>
      <c r="O23" s="11"/>
      <c r="P23" s="2">
        <f>--45802</f>
        <v>45802</v>
      </c>
      <c r="Q23" s="2"/>
      <c r="R23" s="19"/>
      <c r="S23" s="2"/>
      <c r="T23" s="2"/>
      <c r="U23" s="2"/>
      <c r="V23" s="19"/>
      <c r="W23" s="2"/>
      <c r="X23" s="2">
        <f t="shared" si="2"/>
        <v>45802</v>
      </c>
      <c r="Y23" s="2"/>
      <c r="Z23" s="19">
        <f t="shared" si="3"/>
        <v>0</v>
      </c>
    </row>
    <row r="24" spans="1:26" s="24" customFormat="1" hidden="1" outlineLevel="1" x14ac:dyDescent="0.25">
      <c r="A24" s="46"/>
      <c r="B24" s="11" t="str">
        <f>CONCATENATE("          ", "4183", " - ", "NON-TAXABLE SALES-COMPUTER EQU")</f>
        <v xml:space="preserve">          4183 - NON-TAXABLE SALES-COMPUTER EQU</v>
      </c>
      <c r="C24" s="11"/>
      <c r="D24" s="2">
        <f>--864.82</f>
        <v>864.82</v>
      </c>
      <c r="E24" s="2"/>
      <c r="F24" s="19"/>
      <c r="G24" s="2"/>
      <c r="H24" s="2"/>
      <c r="I24" s="2"/>
      <c r="J24" s="19"/>
      <c r="K24" s="2"/>
      <c r="L24" s="2">
        <f t="shared" si="0"/>
        <v>864.82</v>
      </c>
      <c r="M24" s="2"/>
      <c r="N24" s="19">
        <f t="shared" si="1"/>
        <v>0</v>
      </c>
      <c r="O24" s="11"/>
      <c r="P24" s="2">
        <f>--2021.11</f>
        <v>2021.11</v>
      </c>
      <c r="Q24" s="2"/>
      <c r="R24" s="19"/>
      <c r="S24" s="2"/>
      <c r="T24" s="2"/>
      <c r="U24" s="2"/>
      <c r="V24" s="19"/>
      <c r="W24" s="2"/>
      <c r="X24" s="2">
        <f t="shared" si="2"/>
        <v>2021.11</v>
      </c>
      <c r="Y24" s="2"/>
      <c r="Z24" s="19">
        <f t="shared" si="3"/>
        <v>0</v>
      </c>
    </row>
    <row r="25" spans="1:26" s="24" customFormat="1" hidden="1" outlineLevel="1" x14ac:dyDescent="0.25">
      <c r="A25" s="46"/>
      <c r="B25" s="11" t="str">
        <f>CONCATENATE("          ", "4184", " - ", "NON-TAXABLE SALES-SOFTWARE LIC")</f>
        <v xml:space="preserve">          4184 - NON-TAXABLE SALES-SOFTWARE LIC</v>
      </c>
      <c r="C25" s="11"/>
      <c r="D25" s="2">
        <f>0</f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--1522</f>
        <v>1522</v>
      </c>
      <c r="Q25" s="2"/>
      <c r="R25" s="19"/>
      <c r="S25" s="2"/>
      <c r="T25" s="2"/>
      <c r="U25" s="2"/>
      <c r="V25" s="19"/>
      <c r="W25" s="2"/>
      <c r="X25" s="2">
        <f t="shared" si="2"/>
        <v>1522</v>
      </c>
      <c r="Y25" s="2"/>
      <c r="Z25" s="19">
        <f t="shared" si="3"/>
        <v>0</v>
      </c>
    </row>
    <row r="26" spans="1:26" s="24" customFormat="1" hidden="1" outlineLevel="1" x14ac:dyDescent="0.25">
      <c r="A26" s="46"/>
      <c r="B26" s="11" t="str">
        <f>CONCATENATE("          ", "4185", " - ", "NON-TAXABLE SALES-SOFTWARE")</f>
        <v xml:space="preserve">          4185 - NON-TAXABLE SALES-SOFTWARE</v>
      </c>
      <c r="C26" s="11"/>
      <c r="D26" s="2">
        <f>--2555.94</f>
        <v>2555.94</v>
      </c>
      <c r="E26" s="2"/>
      <c r="F26" s="19"/>
      <c r="G26" s="2"/>
      <c r="H26" s="2"/>
      <c r="I26" s="2"/>
      <c r="J26" s="19"/>
      <c r="K26" s="2"/>
      <c r="L26" s="2">
        <f t="shared" si="0"/>
        <v>2555.94</v>
      </c>
      <c r="M26" s="2"/>
      <c r="N26" s="19">
        <f t="shared" si="1"/>
        <v>0</v>
      </c>
      <c r="O26" s="11"/>
      <c r="P26" s="2">
        <f>--7077.94</f>
        <v>7077.94</v>
      </c>
      <c r="Q26" s="2"/>
      <c r="R26" s="19"/>
      <c r="S26" s="2"/>
      <c r="T26" s="2"/>
      <c r="U26" s="2"/>
      <c r="V26" s="19"/>
      <c r="W26" s="2"/>
      <c r="X26" s="2">
        <f t="shared" si="2"/>
        <v>7077.94</v>
      </c>
      <c r="Y26" s="2"/>
      <c r="Z26" s="19">
        <f t="shared" si="3"/>
        <v>0</v>
      </c>
    </row>
    <row r="27" spans="1:26" s="24" customFormat="1" hidden="1" outlineLevel="1" x14ac:dyDescent="0.25">
      <c r="A27" s="46"/>
      <c r="B27" s="11" t="str">
        <f>CONCATENATE("          ", "4186", " - ", "NON-TAXABLE SALES-COMPUTER SUP")</f>
        <v xml:space="preserve">          4186 - NON-TAXABLE SALES-COMPUTER SUP</v>
      </c>
      <c r="C27" s="11"/>
      <c r="D27" s="2">
        <f>--485.86</f>
        <v>485.86</v>
      </c>
      <c r="E27" s="2"/>
      <c r="F27" s="19"/>
      <c r="G27" s="2"/>
      <c r="H27" s="2"/>
      <c r="I27" s="2"/>
      <c r="J27" s="19"/>
      <c r="K27" s="2"/>
      <c r="L27" s="2">
        <f t="shared" si="0"/>
        <v>485.86</v>
      </c>
      <c r="M27" s="2"/>
      <c r="N27" s="19">
        <f t="shared" si="1"/>
        <v>0</v>
      </c>
      <c r="O27" s="11"/>
      <c r="P27" s="2">
        <f>--760.76</f>
        <v>760.76</v>
      </c>
      <c r="Q27" s="2"/>
      <c r="R27" s="19"/>
      <c r="S27" s="2"/>
      <c r="T27" s="2"/>
      <c r="U27" s="2"/>
      <c r="V27" s="19"/>
      <c r="W27" s="2"/>
      <c r="X27" s="2">
        <f t="shared" si="2"/>
        <v>760.76</v>
      </c>
      <c r="Y27" s="2"/>
      <c r="Z27" s="19">
        <f t="shared" si="3"/>
        <v>0</v>
      </c>
    </row>
    <row r="28" spans="1:26" s="24" customFormat="1" hidden="1" outlineLevel="1" x14ac:dyDescent="0.25">
      <c r="A28" s="46"/>
      <c r="B28" s="11" t="str">
        <f>CONCATENATE("          ", "4188", " - ", "NON-TAXABLE SALES-MUSIC")</f>
        <v xml:space="preserve">          4188 - NON-TAXABLE SALES-MUSIC</v>
      </c>
      <c r="C28" s="11"/>
      <c r="D28" s="2">
        <f>--119.98</f>
        <v>119.98</v>
      </c>
      <c r="E28" s="2"/>
      <c r="F28" s="19"/>
      <c r="G28" s="2"/>
      <c r="H28" s="2"/>
      <c r="I28" s="2"/>
      <c r="J28" s="19"/>
      <c r="K28" s="2"/>
      <c r="L28" s="2">
        <f t="shared" si="0"/>
        <v>119.98</v>
      </c>
      <c r="M28" s="2"/>
      <c r="N28" s="19">
        <f t="shared" si="1"/>
        <v>0</v>
      </c>
      <c r="O28" s="11"/>
      <c r="P28" s="2">
        <f>--219.96</f>
        <v>219.96</v>
      </c>
      <c r="Q28" s="2"/>
      <c r="R28" s="19"/>
      <c r="S28" s="2"/>
      <c r="T28" s="2"/>
      <c r="U28" s="2"/>
      <c r="V28" s="19"/>
      <c r="W28" s="2"/>
      <c r="X28" s="2">
        <f t="shared" si="2"/>
        <v>219.96</v>
      </c>
      <c r="Y28" s="2"/>
      <c r="Z28" s="19">
        <f t="shared" si="3"/>
        <v>0</v>
      </c>
    </row>
    <row r="29" spans="1:26" s="24" customFormat="1" hidden="1" outlineLevel="1" x14ac:dyDescent="0.25">
      <c r="A29" s="46"/>
      <c r="B29" s="11" t="str">
        <f>CONCATENATE("          ", "4281", " - ", "SALES RETURN TAXABLE-ELECTRONI")</f>
        <v xml:space="preserve">          4281 - SALES RETURN TAXABLE-ELECTRONI</v>
      </c>
      <c r="C29" s="11"/>
      <c r="D29" s="2">
        <f>-1039.72</f>
        <v>-1039.72</v>
      </c>
      <c r="E29" s="2"/>
      <c r="F29" s="19"/>
      <c r="G29" s="2"/>
      <c r="H29" s="2"/>
      <c r="I29" s="2"/>
      <c r="J29" s="19"/>
      <c r="K29" s="2"/>
      <c r="L29" s="2">
        <f t="shared" si="0"/>
        <v>-1039.72</v>
      </c>
      <c r="M29" s="2"/>
      <c r="N29" s="19">
        <f t="shared" si="1"/>
        <v>0</v>
      </c>
      <c r="O29" s="11"/>
      <c r="P29" s="2">
        <f>-3274.47</f>
        <v>-3274.47</v>
      </c>
      <c r="Q29" s="2"/>
      <c r="R29" s="19"/>
      <c r="S29" s="2"/>
      <c r="T29" s="2"/>
      <c r="U29" s="2"/>
      <c r="V29" s="19"/>
      <c r="W29" s="2"/>
      <c r="X29" s="2">
        <f t="shared" si="2"/>
        <v>-3274.47</v>
      </c>
      <c r="Y29" s="2"/>
      <c r="Z29" s="19">
        <f t="shared" si="3"/>
        <v>0</v>
      </c>
    </row>
    <row r="30" spans="1:26" s="24" customFormat="1" hidden="1" outlineLevel="1" x14ac:dyDescent="0.25">
      <c r="A30" s="46"/>
      <c r="B30" s="11" t="str">
        <f>CONCATENATE("          ", "4282", " - ", "SALES RETURN TAXABLE-COMPUTER")</f>
        <v xml:space="preserve">          4282 - SALES RETURN TAXABLE-COMPUTER</v>
      </c>
      <c r="C30" s="11"/>
      <c r="D30" s="2">
        <f>-27457.13</f>
        <v>-27457.13</v>
      </c>
      <c r="E30" s="2"/>
      <c r="F30" s="19"/>
      <c r="G30" s="2"/>
      <c r="H30" s="2"/>
      <c r="I30" s="2"/>
      <c r="J30" s="19"/>
      <c r="K30" s="2"/>
      <c r="L30" s="2">
        <f t="shared" si="0"/>
        <v>-27457.13</v>
      </c>
      <c r="M30" s="2"/>
      <c r="N30" s="19">
        <f t="shared" si="1"/>
        <v>0</v>
      </c>
      <c r="O30" s="11"/>
      <c r="P30" s="2">
        <f>-147646.85</f>
        <v>-147646.85</v>
      </c>
      <c r="Q30" s="2"/>
      <c r="R30" s="19"/>
      <c r="S30" s="2"/>
      <c r="T30" s="2"/>
      <c r="U30" s="2"/>
      <c r="V30" s="19"/>
      <c r="W30" s="2"/>
      <c r="X30" s="2">
        <f t="shared" si="2"/>
        <v>-147646.85</v>
      </c>
      <c r="Y30" s="2"/>
      <c r="Z30" s="19">
        <f t="shared" si="3"/>
        <v>0</v>
      </c>
    </row>
    <row r="31" spans="1:26" s="24" customFormat="1" hidden="1" outlineLevel="1" x14ac:dyDescent="0.25">
      <c r="A31" s="46"/>
      <c r="B31" s="11" t="str">
        <f>CONCATENATE("          ", "4283", " - ", "SALES RETURN TAXABLE-COMPUTER")</f>
        <v xml:space="preserve">          4283 - SALES RETURN TAXABLE-COMPUTER</v>
      </c>
      <c r="C31" s="11"/>
      <c r="D31" s="2">
        <f>-553.79</f>
        <v>-553.79</v>
      </c>
      <c r="E31" s="2"/>
      <c r="F31" s="19"/>
      <c r="G31" s="2"/>
      <c r="H31" s="2"/>
      <c r="I31" s="2"/>
      <c r="J31" s="19"/>
      <c r="K31" s="2"/>
      <c r="L31" s="2">
        <f t="shared" si="0"/>
        <v>-553.79</v>
      </c>
      <c r="M31" s="2"/>
      <c r="N31" s="19">
        <f t="shared" si="1"/>
        <v>0</v>
      </c>
      <c r="O31" s="11"/>
      <c r="P31" s="2">
        <f>-1284.48</f>
        <v>-1284.48</v>
      </c>
      <c r="Q31" s="2"/>
      <c r="R31" s="19"/>
      <c r="S31" s="2"/>
      <c r="T31" s="2"/>
      <c r="U31" s="2"/>
      <c r="V31" s="19"/>
      <c r="W31" s="2"/>
      <c r="X31" s="2">
        <f t="shared" si="2"/>
        <v>-1284.48</v>
      </c>
      <c r="Y31" s="2"/>
      <c r="Z31" s="19">
        <f t="shared" si="3"/>
        <v>0</v>
      </c>
    </row>
    <row r="32" spans="1:26" s="24" customFormat="1" hidden="1" outlineLevel="1" x14ac:dyDescent="0.25">
      <c r="A32" s="46"/>
      <c r="B32" s="11" t="str">
        <f>CONCATENATE("          ", "4284", " - ", "SALES RETURN TAXABLE-SOFTWARE")</f>
        <v xml:space="preserve">          4284 - SALES RETURN TAXABLE-SOFTWARE</v>
      </c>
      <c r="C32" s="11"/>
      <c r="D32" s="2">
        <f t="shared" ref="D32:D33" si="5">0</f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-129</f>
        <v>-129</v>
      </c>
      <c r="Q32" s="2"/>
      <c r="R32" s="19"/>
      <c r="S32" s="2"/>
      <c r="T32" s="2"/>
      <c r="U32" s="2"/>
      <c r="V32" s="19"/>
      <c r="W32" s="2"/>
      <c r="X32" s="2">
        <f t="shared" si="2"/>
        <v>-129</v>
      </c>
      <c r="Y32" s="2"/>
      <c r="Z32" s="19">
        <f t="shared" si="3"/>
        <v>0</v>
      </c>
    </row>
    <row r="33" spans="1:26" s="24" customFormat="1" hidden="1" outlineLevel="1" x14ac:dyDescent="0.25">
      <c r="A33" s="46"/>
      <c r="B33" s="11" t="str">
        <f>CONCATENATE("          ", "4285", " - ", "SALES RETURN TAXABLE-SOFTWARE")</f>
        <v xml:space="preserve">          4285 - SALES RETURN TAXABLE-SOFTWARE</v>
      </c>
      <c r="C33" s="11"/>
      <c r="D33" s="2">
        <f t="shared" si="5"/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-406.99</f>
        <v>-406.99</v>
      </c>
      <c r="Q33" s="2"/>
      <c r="R33" s="19"/>
      <c r="S33" s="2"/>
      <c r="T33" s="2"/>
      <c r="U33" s="2"/>
      <c r="V33" s="19"/>
      <c r="W33" s="2"/>
      <c r="X33" s="2">
        <f t="shared" si="2"/>
        <v>-406.99</v>
      </c>
      <c r="Y33" s="2"/>
      <c r="Z33" s="19">
        <f t="shared" si="3"/>
        <v>0</v>
      </c>
    </row>
    <row r="34" spans="1:26" s="24" customFormat="1" hidden="1" outlineLevel="1" x14ac:dyDescent="0.25">
      <c r="A34" s="46"/>
      <c r="B34" s="11" t="str">
        <f>CONCATENATE("          ", "4286", " - ", "SALES RETURN TAXABLE-COMPUTER")</f>
        <v xml:space="preserve">          4286 - SALES RETURN TAXABLE-COMPUTER</v>
      </c>
      <c r="C34" s="11"/>
      <c r="D34" s="2">
        <f>-962.59</f>
        <v>-962.59</v>
      </c>
      <c r="E34" s="2"/>
      <c r="F34" s="19"/>
      <c r="G34" s="2"/>
      <c r="H34" s="2"/>
      <c r="I34" s="2"/>
      <c r="J34" s="19"/>
      <c r="K34" s="2"/>
      <c r="L34" s="2">
        <f t="shared" si="0"/>
        <v>-962.59</v>
      </c>
      <c r="M34" s="2"/>
      <c r="N34" s="19">
        <f t="shared" si="1"/>
        <v>0</v>
      </c>
      <c r="O34" s="11"/>
      <c r="P34" s="2">
        <f>-2143.74</f>
        <v>-2143.7399999999998</v>
      </c>
      <c r="Q34" s="2"/>
      <c r="R34" s="19"/>
      <c r="S34" s="2"/>
      <c r="T34" s="2"/>
      <c r="U34" s="2"/>
      <c r="V34" s="19"/>
      <c r="W34" s="2"/>
      <c r="X34" s="2">
        <f t="shared" si="2"/>
        <v>-2143.7399999999998</v>
      </c>
      <c r="Y34" s="2"/>
      <c r="Z34" s="19">
        <f t="shared" si="3"/>
        <v>0</v>
      </c>
    </row>
    <row r="35" spans="1:26" s="24" customFormat="1" hidden="1" outlineLevel="1" x14ac:dyDescent="0.25">
      <c r="A35" s="46"/>
      <c r="B35" s="11" t="str">
        <f>CONCATENATE("          ", "4381", " - ", "SALES RETURN NON TAXABLE-ELECT")</f>
        <v xml:space="preserve">          4381 - SALES RETURN NON TAXABLE-ELECT</v>
      </c>
      <c r="C35" s="11"/>
      <c r="D35" s="2">
        <f>-1279.84</f>
        <v>-1279.8399999999999</v>
      </c>
      <c r="E35" s="2"/>
      <c r="F35" s="19"/>
      <c r="G35" s="2"/>
      <c r="H35" s="2"/>
      <c r="I35" s="2"/>
      <c r="J35" s="19"/>
      <c r="K35" s="2"/>
      <c r="L35" s="2">
        <f t="shared" si="0"/>
        <v>-1279.8399999999999</v>
      </c>
      <c r="M35" s="2"/>
      <c r="N35" s="19">
        <f t="shared" si="1"/>
        <v>0</v>
      </c>
      <c r="O35" s="11"/>
      <c r="P35" s="2">
        <f>-1279.84</f>
        <v>-1279.8399999999999</v>
      </c>
      <c r="Q35" s="2"/>
      <c r="R35" s="19"/>
      <c r="S35" s="2"/>
      <c r="T35" s="2"/>
      <c r="U35" s="2"/>
      <c r="V35" s="19"/>
      <c r="W35" s="2"/>
      <c r="X35" s="2">
        <f t="shared" si="2"/>
        <v>-1279.8399999999999</v>
      </c>
      <c r="Y35" s="2"/>
      <c r="Z35" s="19">
        <f t="shared" si="3"/>
        <v>0</v>
      </c>
    </row>
    <row r="36" spans="1:26" s="24" customFormat="1" hidden="1" outlineLevel="1" x14ac:dyDescent="0.25">
      <c r="A36" s="46"/>
      <c r="B36" s="11" t="str">
        <f>CONCATENATE("          ", "4383", " - ", "SALES RETURN NON TAXABLE-COMPU")</f>
        <v xml:space="preserve">          4383 - SALES RETURN NON TAXABLE-COMPU</v>
      </c>
      <c r="C36" s="11"/>
      <c r="D36" s="2">
        <f t="shared" ref="D36:D37" si="6">0</f>
        <v>0</v>
      </c>
      <c r="E36" s="2"/>
      <c r="F36" s="19"/>
      <c r="G36" s="2"/>
      <c r="H36" s="2"/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-24.99</f>
        <v>-24.99</v>
      </c>
      <c r="Q36" s="2"/>
      <c r="R36" s="19"/>
      <c r="S36" s="2"/>
      <c r="T36" s="2"/>
      <c r="U36" s="2"/>
      <c r="V36" s="19"/>
      <c r="W36" s="2"/>
      <c r="X36" s="2">
        <f t="shared" si="2"/>
        <v>-24.99</v>
      </c>
      <c r="Y36" s="2"/>
      <c r="Z36" s="19">
        <f t="shared" si="3"/>
        <v>0</v>
      </c>
    </row>
    <row r="37" spans="1:26" s="24" customFormat="1" hidden="1" outlineLevel="1" x14ac:dyDescent="0.25">
      <c r="A37" s="46"/>
      <c r="B37" s="11" t="str">
        <f>CONCATENATE("          ", "4386", " - ", "SALES RETURN NON TAXABLE-COMPU")</f>
        <v xml:space="preserve">          4386 - SALES RETURN NON TAXABLE-COMPU</v>
      </c>
      <c r="C37" s="11"/>
      <c r="D37" s="2">
        <f t="shared" si="6"/>
        <v>0</v>
      </c>
      <c r="E37" s="2"/>
      <c r="F37" s="19"/>
      <c r="G37" s="2"/>
      <c r="H37" s="2"/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>-19.99</f>
        <v>-19.989999999999998</v>
      </c>
      <c r="Q37" s="2"/>
      <c r="R37" s="19"/>
      <c r="S37" s="2"/>
      <c r="T37" s="2"/>
      <c r="U37" s="2"/>
      <c r="V37" s="19"/>
      <c r="W37" s="2"/>
      <c r="X37" s="2">
        <f t="shared" si="2"/>
        <v>-19.989999999999998</v>
      </c>
      <c r="Y37" s="2"/>
      <c r="Z37" s="19">
        <f t="shared" si="3"/>
        <v>0</v>
      </c>
    </row>
    <row r="38" spans="1:26" x14ac:dyDescent="0.25">
      <c r="A38" s="9"/>
      <c r="B38" s="10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collapsed="1" x14ac:dyDescent="0.25">
      <c r="A39" s="10"/>
      <c r="B39" s="28" t="s">
        <v>8</v>
      </c>
      <c r="C39" s="10"/>
      <c r="D39" s="4">
        <f>SUM(OSRRefD16x_0)</f>
        <v>278765.08</v>
      </c>
      <c r="E39" s="4"/>
      <c r="F39" s="12">
        <f t="shared" ref="F39:F53" si="7">IF(D$12=0,0,D39/D$12)</f>
        <v>0.87025536297269546</v>
      </c>
      <c r="G39" s="4"/>
      <c r="H39" s="4">
        <f>SUM(OSRRefH16x_0)</f>
        <v>197533</v>
      </c>
      <c r="I39" s="4"/>
      <c r="J39" s="12">
        <f t="shared" ref="J39:J53" si="8">IF(H$12=0,0,H39/H$12)</f>
        <v>0.78096657626100086</v>
      </c>
      <c r="K39" s="4"/>
      <c r="L39" s="4">
        <f t="shared" ref="L39:L53" si="9">+D39-H39</f>
        <v>81232.080000000016</v>
      </c>
      <c r="M39" s="4"/>
      <c r="N39" s="12">
        <f t="shared" ref="N39:N53" si="10">IF(H39=0,0,L39/H39)</f>
        <v>0.41123295854363584</v>
      </c>
      <c r="O39" s="10"/>
      <c r="P39" s="4">
        <f>SUM(OSRRefP16x_0)</f>
        <v>1076160.1500000001</v>
      </c>
      <c r="Q39" s="4"/>
      <c r="R39" s="12">
        <f t="shared" ref="R39:R53" si="11">IF(P$12=0,0,P39/P$12)</f>
        <v>0.90268406042157756</v>
      </c>
      <c r="S39" s="4"/>
      <c r="T39" s="4">
        <f>SUM(OSRRefT16x_0)</f>
        <v>781395</v>
      </c>
      <c r="U39" s="4"/>
      <c r="V39" s="12">
        <f t="shared" ref="V39:V53" si="12">IF(T$12=0,0,T39/T$12)</f>
        <v>0.78096390792282655</v>
      </c>
      <c r="W39" s="4"/>
      <c r="X39" s="4">
        <f t="shared" ref="X39:X53" si="13">+P39-T39</f>
        <v>294765.15000000014</v>
      </c>
      <c r="Y39" s="4"/>
      <c r="Z39" s="12">
        <f t="shared" ref="Z39:Z53" si="14">IF(T39=0,0,X39/T39)</f>
        <v>0.37722937822740116</v>
      </c>
    </row>
    <row r="40" spans="1:26" s="24" customFormat="1" hidden="1" outlineLevel="1" x14ac:dyDescent="0.25">
      <c r="A40" s="46"/>
      <c r="B40" s="11" t="str">
        <f>CONCATENATE("          ", "5000", " - ", "PURCHASES @ COST")</f>
        <v xml:space="preserve">          5000 - PURCHASES @ COST</v>
      </c>
      <c r="C40" s="11"/>
      <c r="D40" s="2"/>
      <c r="E40" s="2"/>
      <c r="F40" s="19">
        <f t="shared" si="7"/>
        <v>0</v>
      </c>
      <c r="G40" s="2"/>
      <c r="H40" s="2">
        <v>197533</v>
      </c>
      <c r="I40" s="2"/>
      <c r="J40" s="19">
        <f t="shared" si="8"/>
        <v>0.78096657626100086</v>
      </c>
      <c r="K40" s="2"/>
      <c r="L40" s="2">
        <f t="shared" si="9"/>
        <v>-197533</v>
      </c>
      <c r="M40" s="2"/>
      <c r="N40" s="19">
        <f t="shared" si="10"/>
        <v>-1</v>
      </c>
      <c r="O40" s="11"/>
      <c r="P40" s="2"/>
      <c r="Q40" s="2"/>
      <c r="R40" s="19">
        <f t="shared" si="11"/>
        <v>0</v>
      </c>
      <c r="S40" s="2"/>
      <c r="T40" s="2">
        <v>781395</v>
      </c>
      <c r="U40" s="2"/>
      <c r="V40" s="19">
        <f t="shared" si="12"/>
        <v>0.78096390792282655</v>
      </c>
      <c r="W40" s="2"/>
      <c r="X40" s="2">
        <f t="shared" si="13"/>
        <v>-781395</v>
      </c>
      <c r="Y40" s="2"/>
      <c r="Z40" s="19">
        <f t="shared" si="14"/>
        <v>-1</v>
      </c>
    </row>
    <row r="41" spans="1:26" s="24" customFormat="1" hidden="1" outlineLevel="1" x14ac:dyDescent="0.25">
      <c r="A41" s="46"/>
      <c r="B41" s="11" t="str">
        <f>CONCATENATE("          ", "5081", " - ", "PURCHASES @ COST-ELECTRONICS")</f>
        <v xml:space="preserve">          5081 - PURCHASES @ COST-ELECTRONICS</v>
      </c>
      <c r="C41" s="11"/>
      <c r="D41" s="2">
        <v>66227.41</v>
      </c>
      <c r="E41" s="2"/>
      <c r="F41" s="19">
        <f t="shared" si="7"/>
        <v>0.20675028137775189</v>
      </c>
      <c r="G41" s="2"/>
      <c r="H41" s="2"/>
      <c r="I41" s="2"/>
      <c r="J41" s="19">
        <f t="shared" si="8"/>
        <v>0</v>
      </c>
      <c r="K41" s="2"/>
      <c r="L41" s="2">
        <f t="shared" si="9"/>
        <v>66227.41</v>
      </c>
      <c r="M41" s="2"/>
      <c r="N41" s="19">
        <f t="shared" si="10"/>
        <v>0</v>
      </c>
      <c r="O41" s="11"/>
      <c r="P41" s="2">
        <v>149686.09000000003</v>
      </c>
      <c r="Q41" s="2"/>
      <c r="R41" s="19">
        <f t="shared" si="11"/>
        <v>0.12555682117557473</v>
      </c>
      <c r="S41" s="2"/>
      <c r="T41" s="2"/>
      <c r="U41" s="2"/>
      <c r="V41" s="19">
        <f t="shared" si="12"/>
        <v>0</v>
      </c>
      <c r="W41" s="2"/>
      <c r="X41" s="2">
        <f t="shared" si="13"/>
        <v>149686.09000000003</v>
      </c>
      <c r="Y41" s="2"/>
      <c r="Z41" s="19">
        <f t="shared" si="14"/>
        <v>0</v>
      </c>
    </row>
    <row r="42" spans="1:26" s="24" customFormat="1" hidden="1" outlineLevel="1" x14ac:dyDescent="0.25">
      <c r="A42" s="46"/>
      <c r="B42" s="11" t="str">
        <f>CONCATENATE("          ", "5082", " - ", "PURCHASES @ COST-COMPUTER HARD")</f>
        <v xml:space="preserve">          5082 - PURCHASES @ COST-COMPUTER HARD</v>
      </c>
      <c r="C42" s="11"/>
      <c r="D42" s="2">
        <v>127420.07</v>
      </c>
      <c r="E42" s="2"/>
      <c r="F42" s="19">
        <f t="shared" si="7"/>
        <v>0.39778296215528952</v>
      </c>
      <c r="G42" s="2"/>
      <c r="H42" s="2"/>
      <c r="I42" s="2"/>
      <c r="J42" s="19">
        <f t="shared" si="8"/>
        <v>0</v>
      </c>
      <c r="K42" s="2"/>
      <c r="L42" s="2">
        <f t="shared" si="9"/>
        <v>127420.07</v>
      </c>
      <c r="M42" s="2"/>
      <c r="N42" s="19">
        <f t="shared" si="10"/>
        <v>0</v>
      </c>
      <c r="O42" s="11"/>
      <c r="P42" s="2">
        <v>801042.97</v>
      </c>
      <c r="Q42" s="2"/>
      <c r="R42" s="19">
        <f t="shared" si="11"/>
        <v>0.67191553295460693</v>
      </c>
      <c r="S42" s="2"/>
      <c r="T42" s="2"/>
      <c r="U42" s="2"/>
      <c r="V42" s="19">
        <f t="shared" si="12"/>
        <v>0</v>
      </c>
      <c r="W42" s="2"/>
      <c r="X42" s="2">
        <f t="shared" si="13"/>
        <v>801042.97</v>
      </c>
      <c r="Y42" s="2"/>
      <c r="Z42" s="19">
        <f t="shared" si="14"/>
        <v>0</v>
      </c>
    </row>
    <row r="43" spans="1:26" s="24" customFormat="1" hidden="1" outlineLevel="1" x14ac:dyDescent="0.25">
      <c r="A43" s="46"/>
      <c r="B43" s="11" t="str">
        <f>CONCATENATE("          ", "5083", " - ", "PURCHASES @ COST-COMPUTER EQUI")</f>
        <v xml:space="preserve">          5083 - PURCHASES @ COST-COMPUTER EQUI</v>
      </c>
      <c r="C43" s="11"/>
      <c r="D43" s="2">
        <v>10519.97</v>
      </c>
      <c r="E43" s="2"/>
      <c r="F43" s="19">
        <f t="shared" si="7"/>
        <v>3.2841489008637183E-2</v>
      </c>
      <c r="G43" s="2"/>
      <c r="H43" s="2"/>
      <c r="I43" s="2"/>
      <c r="J43" s="19">
        <f t="shared" si="8"/>
        <v>0</v>
      </c>
      <c r="K43" s="2"/>
      <c r="L43" s="2">
        <f t="shared" si="9"/>
        <v>10519.97</v>
      </c>
      <c r="M43" s="2"/>
      <c r="N43" s="19">
        <f t="shared" si="10"/>
        <v>0</v>
      </c>
      <c r="O43" s="11"/>
      <c r="P43" s="2">
        <v>27712.41</v>
      </c>
      <c r="Q43" s="2"/>
      <c r="R43" s="19">
        <f t="shared" si="11"/>
        <v>2.3245193369098017E-2</v>
      </c>
      <c r="S43" s="2"/>
      <c r="T43" s="2"/>
      <c r="U43" s="2"/>
      <c r="V43" s="19">
        <f t="shared" si="12"/>
        <v>0</v>
      </c>
      <c r="W43" s="2"/>
      <c r="X43" s="2">
        <f t="shared" si="13"/>
        <v>27712.41</v>
      </c>
      <c r="Y43" s="2"/>
      <c r="Z43" s="19">
        <f t="shared" si="14"/>
        <v>0</v>
      </c>
    </row>
    <row r="44" spans="1:26" s="24" customFormat="1" hidden="1" outlineLevel="1" x14ac:dyDescent="0.25">
      <c r="A44" s="46"/>
      <c r="B44" s="11" t="str">
        <f>CONCATENATE("          ", "5084", " - ", "PURCHASES @ COST-SOFTWARE LICE")</f>
        <v xml:space="preserve">          5084 - PURCHASES @ COST-SOFTWARE LICE</v>
      </c>
      <c r="C44" s="11"/>
      <c r="D44" s="2"/>
      <c r="E44" s="2"/>
      <c r="F44" s="19">
        <f t="shared" si="7"/>
        <v>0</v>
      </c>
      <c r="G44" s="2"/>
      <c r="H44" s="2"/>
      <c r="I44" s="2"/>
      <c r="J44" s="19">
        <f t="shared" si="8"/>
        <v>0</v>
      </c>
      <c r="K44" s="2"/>
      <c r="L44" s="2">
        <f t="shared" si="9"/>
        <v>0</v>
      </c>
      <c r="M44" s="2"/>
      <c r="N44" s="19">
        <f t="shared" si="10"/>
        <v>0</v>
      </c>
      <c r="O44" s="11"/>
      <c r="P44" s="2">
        <v>1522</v>
      </c>
      <c r="Q44" s="2"/>
      <c r="R44" s="19">
        <f t="shared" si="11"/>
        <v>1.2766549104811591E-3</v>
      </c>
      <c r="S44" s="2"/>
      <c r="T44" s="2"/>
      <c r="U44" s="2"/>
      <c r="V44" s="19">
        <f t="shared" si="12"/>
        <v>0</v>
      </c>
      <c r="W44" s="2"/>
      <c r="X44" s="2">
        <f t="shared" si="13"/>
        <v>1522</v>
      </c>
      <c r="Y44" s="2"/>
      <c r="Z44" s="19">
        <f t="shared" si="14"/>
        <v>0</v>
      </c>
    </row>
    <row r="45" spans="1:26" s="24" customFormat="1" hidden="1" outlineLevel="1" x14ac:dyDescent="0.25">
      <c r="A45" s="46"/>
      <c r="B45" s="11" t="str">
        <f>CONCATENATE("          ", "5085", " - ", "PURCHASES @ COST-SOFTWARE")</f>
        <v xml:space="preserve">          5085 - PURCHASES @ COST-SOFTWARE</v>
      </c>
      <c r="C45" s="11"/>
      <c r="D45" s="2">
        <v>3058</v>
      </c>
      <c r="E45" s="2"/>
      <c r="F45" s="19">
        <f t="shared" si="7"/>
        <v>9.5465361011877903E-3</v>
      </c>
      <c r="G45" s="2"/>
      <c r="H45" s="2"/>
      <c r="I45" s="2"/>
      <c r="J45" s="19">
        <f t="shared" si="8"/>
        <v>0</v>
      </c>
      <c r="K45" s="2"/>
      <c r="L45" s="2">
        <f t="shared" si="9"/>
        <v>3058</v>
      </c>
      <c r="M45" s="2"/>
      <c r="N45" s="19">
        <f t="shared" si="10"/>
        <v>0</v>
      </c>
      <c r="O45" s="11"/>
      <c r="P45" s="2">
        <v>6426</v>
      </c>
      <c r="Q45" s="2"/>
      <c r="R45" s="19">
        <f t="shared" si="11"/>
        <v>5.3901343329513327E-3</v>
      </c>
      <c r="S45" s="2"/>
      <c r="T45" s="2"/>
      <c r="U45" s="2"/>
      <c r="V45" s="19">
        <f t="shared" si="12"/>
        <v>0</v>
      </c>
      <c r="W45" s="2"/>
      <c r="X45" s="2">
        <f t="shared" si="13"/>
        <v>6426</v>
      </c>
      <c r="Y45" s="2"/>
      <c r="Z45" s="19">
        <f t="shared" si="14"/>
        <v>0</v>
      </c>
    </row>
    <row r="46" spans="1:26" s="24" customFormat="1" hidden="1" outlineLevel="1" x14ac:dyDescent="0.25">
      <c r="A46" s="46"/>
      <c r="B46" s="11" t="str">
        <f>CONCATENATE("          ", "5086", " - ", "PURCHASES @ COST-COMPUTER SUPP")</f>
        <v xml:space="preserve">          5086 - PURCHASES @ COST-COMPUTER SUPP</v>
      </c>
      <c r="C46" s="11"/>
      <c r="D46" s="2">
        <v>6272.87</v>
      </c>
      <c r="E46" s="2"/>
      <c r="F46" s="19">
        <f t="shared" si="7"/>
        <v>1.9582792646519898E-2</v>
      </c>
      <c r="G46" s="2"/>
      <c r="H46" s="2"/>
      <c r="I46" s="2"/>
      <c r="J46" s="19">
        <f t="shared" si="8"/>
        <v>0</v>
      </c>
      <c r="K46" s="2"/>
      <c r="L46" s="2">
        <f t="shared" si="9"/>
        <v>6272.87</v>
      </c>
      <c r="M46" s="2"/>
      <c r="N46" s="19">
        <f t="shared" si="10"/>
        <v>0</v>
      </c>
      <c r="O46" s="11"/>
      <c r="P46" s="2">
        <v>12479.75</v>
      </c>
      <c r="Q46" s="2"/>
      <c r="R46" s="19">
        <f t="shared" si="11"/>
        <v>1.0468025045385838E-2</v>
      </c>
      <c r="S46" s="2"/>
      <c r="T46" s="2"/>
      <c r="U46" s="2"/>
      <c r="V46" s="19">
        <f t="shared" si="12"/>
        <v>0</v>
      </c>
      <c r="W46" s="2"/>
      <c r="X46" s="2">
        <f t="shared" si="13"/>
        <v>12479.75</v>
      </c>
      <c r="Y46" s="2"/>
      <c r="Z46" s="19">
        <f t="shared" si="14"/>
        <v>0</v>
      </c>
    </row>
    <row r="47" spans="1:26" s="24" customFormat="1" hidden="1" outlineLevel="1" x14ac:dyDescent="0.25">
      <c r="A47" s="46"/>
      <c r="B47" s="11" t="str">
        <f>CONCATENATE("          ", "5088", " - ", "PURCHASES @ COST-MUSIC")</f>
        <v xml:space="preserve">          5088 - PURCHASES @ COST-MUSIC</v>
      </c>
      <c r="C47" s="11"/>
      <c r="D47" s="2">
        <v>6.75</v>
      </c>
      <c r="E47" s="2"/>
      <c r="F47" s="19">
        <f t="shared" si="7"/>
        <v>2.1072308267827857E-5</v>
      </c>
      <c r="G47" s="2"/>
      <c r="H47" s="2"/>
      <c r="I47" s="2"/>
      <c r="J47" s="19">
        <f t="shared" si="8"/>
        <v>0</v>
      </c>
      <c r="K47" s="2"/>
      <c r="L47" s="2">
        <f t="shared" si="9"/>
        <v>6.75</v>
      </c>
      <c r="M47" s="2"/>
      <c r="N47" s="19">
        <f t="shared" si="10"/>
        <v>0</v>
      </c>
      <c r="O47" s="11"/>
      <c r="P47" s="2">
        <v>88.75</v>
      </c>
      <c r="Q47" s="2"/>
      <c r="R47" s="19">
        <f t="shared" si="11"/>
        <v>7.4443576416033426E-5</v>
      </c>
      <c r="S47" s="2"/>
      <c r="T47" s="2"/>
      <c r="U47" s="2"/>
      <c r="V47" s="19">
        <f t="shared" si="12"/>
        <v>0</v>
      </c>
      <c r="W47" s="2"/>
      <c r="X47" s="2">
        <f t="shared" si="13"/>
        <v>88.75</v>
      </c>
      <c r="Y47" s="2"/>
      <c r="Z47" s="19">
        <f t="shared" si="14"/>
        <v>0</v>
      </c>
    </row>
    <row r="48" spans="1:26" s="24" customFormat="1" hidden="1" outlineLevel="1" x14ac:dyDescent="0.25">
      <c r="A48" s="46"/>
      <c r="B48" s="11" t="str">
        <f>CONCATENATE("          ", "5200", " - ", "PURCHASES OFFSET")</f>
        <v xml:space="preserve">          5200 - PURCHASES OFFSET</v>
      </c>
      <c r="C48" s="11"/>
      <c r="D48" s="2">
        <v>-213676</v>
      </c>
      <c r="E48" s="2"/>
      <c r="F48" s="19">
        <f t="shared" si="7"/>
        <v>-0.66705874687946443</v>
      </c>
      <c r="G48" s="2"/>
      <c r="H48" s="2"/>
      <c r="I48" s="2"/>
      <c r="J48" s="19">
        <f t="shared" si="8"/>
        <v>0</v>
      </c>
      <c r="K48" s="2"/>
      <c r="L48" s="2">
        <f t="shared" si="9"/>
        <v>-213676</v>
      </c>
      <c r="M48" s="2"/>
      <c r="N48" s="19">
        <f t="shared" si="10"/>
        <v>0</v>
      </c>
      <c r="O48" s="11"/>
      <c r="P48" s="2">
        <v>-999198</v>
      </c>
      <c r="Q48" s="2"/>
      <c r="R48" s="19">
        <f t="shared" si="11"/>
        <v>-0.8381281427351861</v>
      </c>
      <c r="S48" s="2"/>
      <c r="T48" s="2"/>
      <c r="U48" s="2"/>
      <c r="V48" s="19">
        <f t="shared" si="12"/>
        <v>0</v>
      </c>
      <c r="W48" s="2"/>
      <c r="X48" s="2">
        <f t="shared" si="13"/>
        <v>-999198</v>
      </c>
      <c r="Y48" s="2"/>
      <c r="Z48" s="19">
        <f t="shared" si="14"/>
        <v>0</v>
      </c>
    </row>
    <row r="49" spans="1:26" s="24" customFormat="1" hidden="1" outlineLevel="1" x14ac:dyDescent="0.25">
      <c r="A49" s="46"/>
      <c r="B49" s="11" t="str">
        <f>CONCATENATE("          ", "5300", " - ", "COG$ OFFSET")</f>
        <v xml:space="preserve">          5300 - COG$ OFFSET</v>
      </c>
      <c r="C49" s="11"/>
      <c r="D49" s="2">
        <v>278765</v>
      </c>
      <c r="E49" s="2"/>
      <c r="F49" s="19">
        <f t="shared" si="7"/>
        <v>0.87025511322681959</v>
      </c>
      <c r="G49" s="2"/>
      <c r="H49" s="2"/>
      <c r="I49" s="2"/>
      <c r="J49" s="19">
        <f t="shared" si="8"/>
        <v>0</v>
      </c>
      <c r="K49" s="2"/>
      <c r="L49" s="2">
        <f t="shared" si="9"/>
        <v>278765</v>
      </c>
      <c r="M49" s="2"/>
      <c r="N49" s="19">
        <f t="shared" si="10"/>
        <v>0</v>
      </c>
      <c r="O49" s="11"/>
      <c r="P49" s="2">
        <v>1076159</v>
      </c>
      <c r="Q49" s="2"/>
      <c r="R49" s="19">
        <f t="shared" si="11"/>
        <v>0.90268309580058725</v>
      </c>
      <c r="S49" s="2"/>
      <c r="T49" s="2"/>
      <c r="U49" s="2"/>
      <c r="V49" s="19">
        <f t="shared" si="12"/>
        <v>0</v>
      </c>
      <c r="W49" s="2"/>
      <c r="X49" s="2">
        <f t="shared" si="13"/>
        <v>1076159</v>
      </c>
      <c r="Y49" s="2"/>
      <c r="Z49" s="19">
        <f t="shared" si="14"/>
        <v>0</v>
      </c>
    </row>
    <row r="50" spans="1:26" s="24" customFormat="1" hidden="1" outlineLevel="1" x14ac:dyDescent="0.25">
      <c r="A50" s="46"/>
      <c r="B50" s="11" t="str">
        <f>CONCATENATE("          ", "5581", " - ", "FREIGHT-IN-ELECTRONICS")</f>
        <v xml:space="preserve">          5581 - FREIGHT-IN-ELECTRONICS</v>
      </c>
      <c r="C50" s="11"/>
      <c r="D50" s="2">
        <v>92.95</v>
      </c>
      <c r="E50" s="2"/>
      <c r="F50" s="19">
        <f t="shared" si="7"/>
        <v>2.9017348940660732E-4</v>
      </c>
      <c r="G50" s="2"/>
      <c r="H50" s="2"/>
      <c r="I50" s="2"/>
      <c r="J50" s="19">
        <f t="shared" si="8"/>
        <v>0</v>
      </c>
      <c r="K50" s="2"/>
      <c r="L50" s="2">
        <f t="shared" si="9"/>
        <v>92.95</v>
      </c>
      <c r="M50" s="2"/>
      <c r="N50" s="19">
        <f t="shared" si="10"/>
        <v>0</v>
      </c>
      <c r="O50" s="11"/>
      <c r="P50" s="2">
        <v>92.95</v>
      </c>
      <c r="Q50" s="2"/>
      <c r="R50" s="19">
        <f t="shared" si="11"/>
        <v>7.7966540032341496E-5</v>
      </c>
      <c r="S50" s="2"/>
      <c r="T50" s="2"/>
      <c r="U50" s="2"/>
      <c r="V50" s="19">
        <f t="shared" si="12"/>
        <v>0</v>
      </c>
      <c r="W50" s="2"/>
      <c r="X50" s="2">
        <f t="shared" si="13"/>
        <v>92.95</v>
      </c>
      <c r="Y50" s="2"/>
      <c r="Z50" s="19">
        <f t="shared" si="14"/>
        <v>0</v>
      </c>
    </row>
    <row r="51" spans="1:26" s="24" customFormat="1" hidden="1" outlineLevel="1" x14ac:dyDescent="0.25">
      <c r="A51" s="46"/>
      <c r="B51" s="11" t="str">
        <f>CONCATENATE("          ", "5582", " - ", "FREIGHT-IN-COMPUTER HARDWARE")</f>
        <v xml:space="preserve">          5582 - FREIGHT-IN-COMPUTER HARDWARE</v>
      </c>
      <c r="C51" s="11"/>
      <c r="D51" s="2">
        <v>4.84</v>
      </c>
      <c r="E51" s="2"/>
      <c r="F51" s="19">
        <f t="shared" si="7"/>
        <v>1.5109625483894344E-5</v>
      </c>
      <c r="G51" s="2"/>
      <c r="H51" s="2"/>
      <c r="I51" s="2"/>
      <c r="J51" s="19">
        <f t="shared" si="8"/>
        <v>0</v>
      </c>
      <c r="K51" s="2"/>
      <c r="L51" s="2">
        <f t="shared" si="9"/>
        <v>4.84</v>
      </c>
      <c r="M51" s="2"/>
      <c r="N51" s="19">
        <f t="shared" si="10"/>
        <v>0</v>
      </c>
      <c r="O51" s="11"/>
      <c r="P51" s="2">
        <v>4.84</v>
      </c>
      <c r="Q51" s="2"/>
      <c r="R51" s="19">
        <f t="shared" si="11"/>
        <v>4.0597961673645272E-6</v>
      </c>
      <c r="S51" s="2"/>
      <c r="T51" s="2"/>
      <c r="U51" s="2"/>
      <c r="V51" s="19">
        <f t="shared" si="12"/>
        <v>0</v>
      </c>
      <c r="W51" s="2"/>
      <c r="X51" s="2">
        <f t="shared" si="13"/>
        <v>4.84</v>
      </c>
      <c r="Y51" s="2"/>
      <c r="Z51" s="19">
        <f t="shared" si="14"/>
        <v>0</v>
      </c>
    </row>
    <row r="52" spans="1:26" s="24" customFormat="1" hidden="1" outlineLevel="1" x14ac:dyDescent="0.25">
      <c r="A52" s="46"/>
      <c r="B52" s="11" t="str">
        <f>CONCATENATE("          ", "5583", " - ", "FREIGHT-IN-COMPUTER EQUIPMENT")</f>
        <v xml:space="preserve">          5583 - FREIGHT-IN-COMPUTER EQUIPMENT</v>
      </c>
      <c r="C52" s="11"/>
      <c r="D52" s="2">
        <v>7.86</v>
      </c>
      <c r="E52" s="2"/>
      <c r="F52" s="19">
        <f t="shared" si="7"/>
        <v>2.4537532294092883E-5</v>
      </c>
      <c r="G52" s="2"/>
      <c r="H52" s="2"/>
      <c r="I52" s="2"/>
      <c r="J52" s="19">
        <f t="shared" si="8"/>
        <v>0</v>
      </c>
      <c r="K52" s="2"/>
      <c r="L52" s="2">
        <f t="shared" si="9"/>
        <v>7.86</v>
      </c>
      <c r="M52" s="2"/>
      <c r="N52" s="19">
        <f t="shared" si="10"/>
        <v>0</v>
      </c>
      <c r="O52" s="11"/>
      <c r="P52" s="2">
        <v>41</v>
      </c>
      <c r="Q52" s="2"/>
      <c r="R52" s="19">
        <f t="shared" si="11"/>
        <v>3.4390835302054882E-5</v>
      </c>
      <c r="S52" s="2"/>
      <c r="T52" s="2"/>
      <c r="U52" s="2"/>
      <c r="V52" s="19">
        <f t="shared" si="12"/>
        <v>0</v>
      </c>
      <c r="W52" s="2"/>
      <c r="X52" s="2">
        <f t="shared" si="13"/>
        <v>41</v>
      </c>
      <c r="Y52" s="2"/>
      <c r="Z52" s="19">
        <f t="shared" si="14"/>
        <v>0</v>
      </c>
    </row>
    <row r="53" spans="1:26" s="24" customFormat="1" hidden="1" outlineLevel="1" x14ac:dyDescent="0.25">
      <c r="A53" s="46"/>
      <c r="B53" s="11" t="str">
        <f>CONCATENATE("          ", "5586", " - ", "FREIGHT-IN-COMPUTER SUPPLIES")</f>
        <v xml:space="preserve">          5586 - FREIGHT-IN-COMPUTER SUPPLIES</v>
      </c>
      <c r="C53" s="11"/>
      <c r="D53" s="2">
        <v>65.36</v>
      </c>
      <c r="E53" s="2"/>
      <c r="F53" s="19">
        <f t="shared" si="7"/>
        <v>2.0404238050151537E-4</v>
      </c>
      <c r="G53" s="2"/>
      <c r="H53" s="2"/>
      <c r="I53" s="2"/>
      <c r="J53" s="19">
        <f t="shared" si="8"/>
        <v>0</v>
      </c>
      <c r="K53" s="2"/>
      <c r="L53" s="2">
        <f t="shared" si="9"/>
        <v>65.36</v>
      </c>
      <c r="M53" s="2"/>
      <c r="N53" s="19">
        <f t="shared" si="10"/>
        <v>0</v>
      </c>
      <c r="O53" s="11"/>
      <c r="P53" s="2">
        <v>102.39</v>
      </c>
      <c r="Q53" s="2"/>
      <c r="R53" s="19">
        <f t="shared" si="11"/>
        <v>8.5884820160424364E-5</v>
      </c>
      <c r="S53" s="2"/>
      <c r="T53" s="2"/>
      <c r="U53" s="2"/>
      <c r="V53" s="19">
        <f t="shared" si="12"/>
        <v>0</v>
      </c>
      <c r="W53" s="2"/>
      <c r="X53" s="2">
        <f t="shared" si="13"/>
        <v>102.39</v>
      </c>
      <c r="Y53" s="2"/>
      <c r="Z53" s="19">
        <f t="shared" si="14"/>
        <v>0</v>
      </c>
    </row>
    <row r="54" spans="1:26" x14ac:dyDescent="0.25">
      <c r="A54" s="9"/>
      <c r="B54" s="10"/>
      <c r="C54" s="10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O54" s="10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x14ac:dyDescent="0.25">
      <c r="A55" s="10"/>
      <c r="B55" s="29" t="s">
        <v>6</v>
      </c>
      <c r="C55" s="29"/>
      <c r="D55" s="22">
        <f>D12-D39</f>
        <v>41560.529999999912</v>
      </c>
      <c r="E55" s="14"/>
      <c r="F55" s="20">
        <f>IF(D$12=0,0,D55/D$12)</f>
        <v>0.12974463702730457</v>
      </c>
      <c r="G55" s="14"/>
      <c r="H55" s="22">
        <f>H12-H39</f>
        <v>55401</v>
      </c>
      <c r="I55" s="14"/>
      <c r="J55" s="20">
        <f>IF(H$12=0,0,H55/H$12)</f>
        <v>0.21903342373899912</v>
      </c>
      <c r="K55" s="15"/>
      <c r="L55" s="22">
        <f>+D55-H55</f>
        <v>-13840.470000000088</v>
      </c>
      <c r="M55" s="15"/>
      <c r="N55" s="20">
        <f>IF(H55=0,0,L55/H55)</f>
        <v>-0.24982346889045484</v>
      </c>
      <c r="O55" s="28"/>
      <c r="P55" s="22">
        <f>P12-P39</f>
        <v>116017.9299999997</v>
      </c>
      <c r="Q55" s="14"/>
      <c r="R55" s="20">
        <f>IF(P$12=0,0,P55/P$12)</f>
        <v>9.7315939578422481E-2</v>
      </c>
      <c r="S55" s="14"/>
      <c r="T55" s="22">
        <f>T12-T39</f>
        <v>219157</v>
      </c>
      <c r="U55" s="14"/>
      <c r="V55" s="20">
        <f>IF(T$12=0,0,T55/T$12)</f>
        <v>0.21903609207717339</v>
      </c>
      <c r="W55" s="15"/>
      <c r="X55" s="22">
        <f>+P55-T55</f>
        <v>-103139.0700000003</v>
      </c>
      <c r="Y55" s="15"/>
      <c r="Z55" s="20">
        <f>IF(T55=0,0,X55/T55)</f>
        <v>-0.47061727437408024</v>
      </c>
    </row>
    <row r="56" spans="1:26" x14ac:dyDescent="0.25">
      <c r="A56" s="9"/>
      <c r="B56" s="10"/>
      <c r="C56" s="9"/>
      <c r="D56" s="1"/>
      <c r="E56" s="1"/>
      <c r="F56" s="5"/>
      <c r="G56" s="1"/>
      <c r="H56" s="1"/>
      <c r="I56" s="1"/>
      <c r="J56" s="5"/>
      <c r="K56" s="1"/>
      <c r="L56" s="1"/>
      <c r="M56" s="1"/>
      <c r="N56" s="5"/>
      <c r="O56" s="36"/>
      <c r="P56" s="1"/>
      <c r="Q56" s="1"/>
      <c r="R56" s="5"/>
      <c r="S56" s="1"/>
      <c r="T56" s="1"/>
      <c r="U56" s="1"/>
      <c r="V56" s="5"/>
      <c r="W56" s="1"/>
      <c r="X56" s="1"/>
      <c r="Y56" s="1"/>
      <c r="Z56" s="5"/>
    </row>
    <row r="57" spans="1:26" s="23" customFormat="1" x14ac:dyDescent="0.25">
      <c r="A57" s="10"/>
      <c r="B57" s="28" t="s">
        <v>9</v>
      </c>
      <c r="C57" s="10"/>
      <c r="D57" s="21">
        <f>SUM(OSRRefD22x_0)</f>
        <v>12298.65</v>
      </c>
      <c r="E57" s="21"/>
      <c r="F57" s="33">
        <f t="shared" ref="F57:F68" si="15">IF(D$12=0,0,D57/D$12)</f>
        <v>3.8394213937499415E-2</v>
      </c>
      <c r="G57" s="21"/>
      <c r="H57" s="21">
        <f>SUM(OSRRefH22x_0)</f>
        <v>17133.879112316921</v>
      </c>
      <c r="I57" s="21"/>
      <c r="J57" s="33">
        <f t="shared" ref="J57:J68" si="16">IF(H$12=0,0,H57/H$12)</f>
        <v>6.774051377955087E-2</v>
      </c>
      <c r="K57" s="4"/>
      <c r="L57" s="21">
        <f t="shared" ref="L57:L68" si="17">+D57-H57</f>
        <v>-4835.2291123169216</v>
      </c>
      <c r="M57" s="4"/>
      <c r="N57" s="33">
        <f t="shared" ref="N57:N68" si="18">IF(H57=0,0,L57/H57)</f>
        <v>-0.28220282637812305</v>
      </c>
      <c r="O57" s="10"/>
      <c r="P57" s="21">
        <f>SUM(OSRRefP22x_0)</f>
        <v>102193.21999999999</v>
      </c>
      <c r="Q57" s="21"/>
      <c r="R57" s="33">
        <f t="shared" ref="R57:R68" si="19">IF(P$12=0,0,P57/P$12)</f>
        <v>8.5719760926991712E-2</v>
      </c>
      <c r="S57" s="21"/>
      <c r="T57" s="21">
        <f>SUM(OSRRefT22x_0)</f>
        <v>50354.932318129999</v>
      </c>
      <c r="U57" s="21"/>
      <c r="V57" s="33">
        <f t="shared" ref="V57:V68" si="20">IF(T$12=0,0,T57/T$12)</f>
        <v>5.0327151730374831E-2</v>
      </c>
      <c r="W57" s="4"/>
      <c r="X57" s="21">
        <f t="shared" ref="X57:X68" si="21">+P57-T57</f>
        <v>51838.287681869988</v>
      </c>
      <c r="Y57" s="4"/>
      <c r="Z57" s="33">
        <f t="shared" ref="Z57:Z68" si="22">IF(T57=0,0,X57/T57)</f>
        <v>1.0294579953830245</v>
      </c>
    </row>
    <row r="58" spans="1:26" s="26" customFormat="1" outlineLevel="1" collapsed="1" x14ac:dyDescent="0.25">
      <c r="A58" s="27"/>
      <c r="B58" s="13" t="str">
        <f>CONCATENATE("     ","*Benefits                                         ")</f>
        <v xml:space="preserve">     *Benefits                                         </v>
      </c>
      <c r="C58" s="13"/>
      <c r="D58" s="1">
        <f>SUM(OSRRefD22_0x_0)</f>
        <v>3779.41</v>
      </c>
      <c r="E58" s="1"/>
      <c r="F58" s="5">
        <f t="shared" si="15"/>
        <v>1.1798650754149818E-2</v>
      </c>
      <c r="G58" s="1"/>
      <c r="H58" s="1">
        <f>SUM(OSRRefH22_0x_0)</f>
        <v>2449.7177215476918</v>
      </c>
      <c r="I58" s="1"/>
      <c r="J58" s="5">
        <f t="shared" si="16"/>
        <v>9.6852053165952055E-3</v>
      </c>
      <c r="K58" s="1"/>
      <c r="L58" s="1">
        <f t="shared" si="17"/>
        <v>1329.6922784523081</v>
      </c>
      <c r="M58" s="1"/>
      <c r="N58" s="5">
        <f t="shared" si="18"/>
        <v>0.54279408062257484</v>
      </c>
      <c r="O58" s="13"/>
      <c r="P58" s="1">
        <f>SUM(OSRRefP22_0x_0)</f>
        <v>8908.9500000000007</v>
      </c>
      <c r="Q58" s="1"/>
      <c r="R58" s="5">
        <f t="shared" si="19"/>
        <v>7.472834930835167E-3</v>
      </c>
      <c r="S58" s="1"/>
      <c r="T58" s="1">
        <f>SUM(OSRRefT22_0x_0)</f>
        <v>8260.0377981299989</v>
      </c>
      <c r="U58" s="1"/>
      <c r="V58" s="5">
        <f t="shared" si="20"/>
        <v>8.2554807727434447E-3</v>
      </c>
      <c r="W58" s="1"/>
      <c r="X58" s="1">
        <f t="shared" si="21"/>
        <v>648.91220187000181</v>
      </c>
      <c r="Y58" s="1"/>
      <c r="Z58" s="5">
        <f t="shared" si="22"/>
        <v>7.8560439761778081E-2</v>
      </c>
    </row>
    <row r="59" spans="1:26" s="24" customFormat="1" hidden="1" outlineLevel="2" x14ac:dyDescent="0.25">
      <c r="A59" s="25"/>
      <c r="B59" s="11" t="str">
        <f>CONCATENATE("          ", "6111", " - ", "F.I.C.A.")</f>
        <v xml:space="preserve">          6111 - F.I.C.A.</v>
      </c>
      <c r="C59" s="11"/>
      <c r="D59" s="7">
        <v>699.16</v>
      </c>
      <c r="E59" s="2"/>
      <c r="F59" s="6">
        <f t="shared" si="15"/>
        <v>2.1826540812643737E-3</v>
      </c>
      <c r="G59" s="2"/>
      <c r="H59" s="7">
        <v>368.84942751692296</v>
      </c>
      <c r="I59" s="2"/>
      <c r="J59" s="6">
        <f t="shared" si="16"/>
        <v>1.4582832972906883E-3</v>
      </c>
      <c r="K59" s="2"/>
      <c r="L59" s="7">
        <f t="shared" si="17"/>
        <v>330.31057248307701</v>
      </c>
      <c r="M59" s="2"/>
      <c r="N59" s="6">
        <f t="shared" si="18"/>
        <v>0.89551602318244683</v>
      </c>
      <c r="O59" s="11"/>
      <c r="P59" s="7">
        <v>1774.7</v>
      </c>
      <c r="Q59" s="2"/>
      <c r="R59" s="6">
        <f t="shared" si="19"/>
        <v>1.4886198880623609E-3</v>
      </c>
      <c r="S59" s="2"/>
      <c r="T59" s="7">
        <v>1940.4794505300001</v>
      </c>
      <c r="U59" s="2"/>
      <c r="V59" s="6">
        <f t="shared" si="20"/>
        <v>1.939408896818956E-3</v>
      </c>
      <c r="W59" s="2"/>
      <c r="X59" s="7">
        <f t="shared" si="21"/>
        <v>-165.77945053000008</v>
      </c>
      <c r="Y59" s="2"/>
      <c r="Z59" s="6">
        <f t="shared" si="22"/>
        <v>-8.5432211345871756E-2</v>
      </c>
    </row>
    <row r="60" spans="1:26" s="24" customFormat="1" hidden="1" outlineLevel="2" x14ac:dyDescent="0.25">
      <c r="A60" s="25"/>
      <c r="B60" s="11" t="str">
        <f>CONCATENATE("          ", "6112", " - ", "COMPENSATION INSURANCE")</f>
        <v xml:space="preserve">          6112 - COMPENSATION INSURANCE</v>
      </c>
      <c r="C60" s="11"/>
      <c r="D60" s="7">
        <v>205.93</v>
      </c>
      <c r="E60" s="2"/>
      <c r="F60" s="6">
        <f t="shared" si="15"/>
        <v>6.4287710245833937E-4</v>
      </c>
      <c r="G60" s="2"/>
      <c r="H60" s="7">
        <v>213.04075046153801</v>
      </c>
      <c r="I60" s="2"/>
      <c r="J60" s="6">
        <f t="shared" si="16"/>
        <v>8.4227802692219322E-4</v>
      </c>
      <c r="K60" s="2"/>
      <c r="L60" s="7">
        <f t="shared" si="17"/>
        <v>-7.1107504615380037</v>
      </c>
      <c r="M60" s="2"/>
      <c r="N60" s="6">
        <f t="shared" si="18"/>
        <v>-3.3377419325331212E-2</v>
      </c>
      <c r="O60" s="11"/>
      <c r="P60" s="7">
        <v>463.57</v>
      </c>
      <c r="Q60" s="2"/>
      <c r="R60" s="6">
        <f t="shared" si="19"/>
        <v>3.888429151456971E-4</v>
      </c>
      <c r="S60" s="2"/>
      <c r="T60" s="7">
        <v>603.22721899999897</v>
      </c>
      <c r="U60" s="2"/>
      <c r="V60" s="6">
        <f t="shared" si="20"/>
        <v>6.0289442127945271E-4</v>
      </c>
      <c r="W60" s="2"/>
      <c r="X60" s="7">
        <f t="shared" si="21"/>
        <v>-139.65721899999897</v>
      </c>
      <c r="Y60" s="2"/>
      <c r="Z60" s="6">
        <f t="shared" si="22"/>
        <v>-0.2315167727867386</v>
      </c>
    </row>
    <row r="61" spans="1:26" s="24" customFormat="1" hidden="1" outlineLevel="2" x14ac:dyDescent="0.25">
      <c r="A61" s="25"/>
      <c r="B61" s="11" t="str">
        <f>CONCATENATE("          ", "6113", " - ", "GROUP INSURANCE")</f>
        <v xml:space="preserve">          6113 - GROUP INSURANCE</v>
      </c>
      <c r="C61" s="11"/>
      <c r="D61" s="7">
        <v>964.88</v>
      </c>
      <c r="E61" s="2"/>
      <c r="F61" s="6">
        <f t="shared" si="15"/>
        <v>3.0121850076239619E-3</v>
      </c>
      <c r="G61" s="2"/>
      <c r="H61" s="7">
        <v>1186.2</v>
      </c>
      <c r="I61" s="2"/>
      <c r="J61" s="6">
        <f t="shared" si="16"/>
        <v>4.6897609653111091E-3</v>
      </c>
      <c r="K61" s="2"/>
      <c r="L61" s="7">
        <f t="shared" si="17"/>
        <v>-221.32000000000005</v>
      </c>
      <c r="M61" s="2"/>
      <c r="N61" s="6">
        <f t="shared" si="18"/>
        <v>-0.1865789917383241</v>
      </c>
      <c r="O61" s="11"/>
      <c r="P61" s="7">
        <v>2894.64</v>
      </c>
      <c r="Q61" s="2"/>
      <c r="R61" s="6">
        <f t="shared" si="19"/>
        <v>2.4280265243595152E-3</v>
      </c>
      <c r="S61" s="2"/>
      <c r="T61" s="7">
        <v>3558.6</v>
      </c>
      <c r="U61" s="2"/>
      <c r="V61" s="6">
        <f t="shared" si="20"/>
        <v>3.5566367365214399E-3</v>
      </c>
      <c r="W61" s="2"/>
      <c r="X61" s="7">
        <f t="shared" si="21"/>
        <v>-663.96</v>
      </c>
      <c r="Y61" s="2"/>
      <c r="Z61" s="6">
        <f t="shared" si="22"/>
        <v>-0.18657899173832407</v>
      </c>
    </row>
    <row r="62" spans="1:26" s="24" customFormat="1" hidden="1" outlineLevel="2" x14ac:dyDescent="0.25">
      <c r="A62" s="25"/>
      <c r="B62" s="11" t="str">
        <f>CONCATENATE("          ", "6114", " - ", "STATE UNEMPLOYMENT INSURANCE")</f>
        <v xml:space="preserve">          6114 - STATE UNEMPLOYMENT INSURANCE</v>
      </c>
      <c r="C62" s="11"/>
      <c r="D62" s="7">
        <v>28.18</v>
      </c>
      <c r="E62" s="2"/>
      <c r="F62" s="6">
        <f t="shared" si="15"/>
        <v>8.797298473887244E-5</v>
      </c>
      <c r="G62" s="2"/>
      <c r="H62" s="7">
        <v>29.1529448</v>
      </c>
      <c r="I62" s="2"/>
      <c r="J62" s="6">
        <f t="shared" si="16"/>
        <v>1.1525909842093194E-4</v>
      </c>
      <c r="K62" s="2"/>
      <c r="L62" s="7">
        <f t="shared" si="17"/>
        <v>-0.9729448000000005</v>
      </c>
      <c r="M62" s="2"/>
      <c r="N62" s="6">
        <f t="shared" si="18"/>
        <v>-3.3373808604062548E-2</v>
      </c>
      <c r="O62" s="11"/>
      <c r="P62" s="7">
        <v>63.44</v>
      </c>
      <c r="Q62" s="2"/>
      <c r="R62" s="6">
        <f t="shared" si="19"/>
        <v>5.3213526623472227E-5</v>
      </c>
      <c r="S62" s="2"/>
      <c r="T62" s="7">
        <v>82.546882600000004</v>
      </c>
      <c r="U62" s="2"/>
      <c r="V62" s="6">
        <f t="shared" si="20"/>
        <v>8.2501341859293669E-5</v>
      </c>
      <c r="W62" s="2"/>
      <c r="X62" s="7">
        <f t="shared" si="21"/>
        <v>-19.106882600000006</v>
      </c>
      <c r="Y62" s="2"/>
      <c r="Z62" s="6">
        <f t="shared" si="22"/>
        <v>-0.23146704028287562</v>
      </c>
    </row>
    <row r="63" spans="1:26" s="24" customFormat="1" hidden="1" outlineLevel="2" x14ac:dyDescent="0.25">
      <c r="A63" s="25"/>
      <c r="B63" s="11" t="str">
        <f>CONCATENATE("          ", "6115", " - ", "P.E.R.S.")</f>
        <v xml:space="preserve">          6115 - P.E.R.S.</v>
      </c>
      <c r="C63" s="11"/>
      <c r="D63" s="7">
        <v>196.25</v>
      </c>
      <c r="E63" s="2"/>
      <c r="F63" s="6">
        <f t="shared" si="15"/>
        <v>6.1265785149055066E-4</v>
      </c>
      <c r="G63" s="2"/>
      <c r="H63" s="7">
        <v>294.022912615385</v>
      </c>
      <c r="I63" s="2"/>
      <c r="J63" s="6">
        <f t="shared" si="16"/>
        <v>1.1624491472691889E-3</v>
      </c>
      <c r="K63" s="2"/>
      <c r="L63" s="7">
        <f t="shared" si="17"/>
        <v>-97.772912615384996</v>
      </c>
      <c r="M63" s="2"/>
      <c r="N63" s="6">
        <f t="shared" si="18"/>
        <v>-0.33253501145770553</v>
      </c>
      <c r="O63" s="11"/>
      <c r="P63" s="7">
        <v>563.04999999999995</v>
      </c>
      <c r="Q63" s="2"/>
      <c r="R63" s="6">
        <f t="shared" si="19"/>
        <v>4.7228682480053656E-4</v>
      </c>
      <c r="S63" s="2"/>
      <c r="T63" s="7">
        <v>955.57446600000105</v>
      </c>
      <c r="U63" s="2"/>
      <c r="V63" s="6">
        <f t="shared" si="20"/>
        <v>9.5504727990149542E-4</v>
      </c>
      <c r="W63" s="2"/>
      <c r="X63" s="7">
        <f t="shared" si="21"/>
        <v>-392.5244660000011</v>
      </c>
      <c r="Y63" s="2"/>
      <c r="Z63" s="6">
        <f t="shared" si="22"/>
        <v>-0.41077328870359398</v>
      </c>
    </row>
    <row r="64" spans="1:26" s="24" customFormat="1" hidden="1" outlineLevel="2" x14ac:dyDescent="0.25">
      <c r="A64" s="25"/>
      <c r="B64" s="11" t="str">
        <f>CONCATENATE("          ", "6116", " - ", "EDUCATIONAL BENEFITS")</f>
        <v xml:space="preserve">          6116 - EDUCATIONAL BENEFITS</v>
      </c>
      <c r="C64" s="11"/>
      <c r="D64" s="7"/>
      <c r="E64" s="2"/>
      <c r="F64" s="6">
        <f t="shared" si="15"/>
        <v>0</v>
      </c>
      <c r="G64" s="2"/>
      <c r="H64" s="7">
        <v>0</v>
      </c>
      <c r="I64" s="2"/>
      <c r="J64" s="6">
        <f t="shared" si="16"/>
        <v>0</v>
      </c>
      <c r="K64" s="2"/>
      <c r="L64" s="7">
        <f t="shared" si="17"/>
        <v>0</v>
      </c>
      <c r="M64" s="2"/>
      <c r="N64" s="6">
        <f t="shared" si="18"/>
        <v>0</v>
      </c>
      <c r="O64" s="11"/>
      <c r="P64" s="7"/>
      <c r="Q64" s="2"/>
      <c r="R64" s="6">
        <f t="shared" si="19"/>
        <v>0</v>
      </c>
      <c r="S64" s="2"/>
      <c r="T64" s="7">
        <v>0</v>
      </c>
      <c r="U64" s="2"/>
      <c r="V64" s="6">
        <f t="shared" si="20"/>
        <v>0</v>
      </c>
      <c r="W64" s="2"/>
      <c r="X64" s="7">
        <f t="shared" si="21"/>
        <v>0</v>
      </c>
      <c r="Y64" s="2"/>
      <c r="Z64" s="6">
        <f t="shared" si="22"/>
        <v>0</v>
      </c>
    </row>
    <row r="65" spans="1:26" s="24" customFormat="1" hidden="1" outlineLevel="2" x14ac:dyDescent="0.25">
      <c r="A65" s="25"/>
      <c r="B65" s="11" t="str">
        <f>CONCATENATE("          ", "6117", " - ", "RETIREMENT STAFF HOURLY")</f>
        <v xml:space="preserve">          6117 - RETIREMENT STAFF HOURLY</v>
      </c>
      <c r="C65" s="11"/>
      <c r="D65" s="7">
        <v>301.07</v>
      </c>
      <c r="E65" s="2"/>
      <c r="F65" s="6">
        <f t="shared" si="15"/>
        <v>9.3988738521406413E-4</v>
      </c>
      <c r="G65" s="2"/>
      <c r="H65" s="7"/>
      <c r="I65" s="2"/>
      <c r="J65" s="6">
        <f t="shared" si="16"/>
        <v>0</v>
      </c>
      <c r="K65" s="2"/>
      <c r="L65" s="7">
        <f t="shared" si="17"/>
        <v>301.07</v>
      </c>
      <c r="M65" s="2"/>
      <c r="N65" s="6">
        <f t="shared" si="18"/>
        <v>0</v>
      </c>
      <c r="O65" s="11"/>
      <c r="P65" s="7">
        <v>552.04999999999995</v>
      </c>
      <c r="Q65" s="2"/>
      <c r="R65" s="6">
        <f t="shared" si="19"/>
        <v>4.6306001532925349E-4</v>
      </c>
      <c r="S65" s="2"/>
      <c r="T65" s="7"/>
      <c r="U65" s="2"/>
      <c r="V65" s="6">
        <f t="shared" si="20"/>
        <v>0</v>
      </c>
      <c r="W65" s="2"/>
      <c r="X65" s="7">
        <f t="shared" si="21"/>
        <v>552.04999999999995</v>
      </c>
      <c r="Y65" s="2"/>
      <c r="Z65" s="6">
        <f t="shared" si="22"/>
        <v>0</v>
      </c>
    </row>
    <row r="66" spans="1:26" s="24" customFormat="1" hidden="1" outlineLevel="2" x14ac:dyDescent="0.25">
      <c r="A66" s="25"/>
      <c r="B66" s="11" t="str">
        <f>CONCATENATE("          ", "6118", " - ", "VACATION")</f>
        <v xml:space="preserve">          6118 - VACATION</v>
      </c>
      <c r="C66" s="11"/>
      <c r="D66" s="7">
        <v>572.64</v>
      </c>
      <c r="E66" s="2"/>
      <c r="F66" s="6">
        <f t="shared" si="15"/>
        <v>1.7876809787391028E-3</v>
      </c>
      <c r="G66" s="2"/>
      <c r="H66" s="7">
        <v>170.943553846154</v>
      </c>
      <c r="I66" s="2"/>
      <c r="J66" s="6">
        <f t="shared" si="16"/>
        <v>6.7584252748208629E-4</v>
      </c>
      <c r="K66" s="2"/>
      <c r="L66" s="7">
        <f t="shared" si="17"/>
        <v>401.69644615384595</v>
      </c>
      <c r="M66" s="2"/>
      <c r="N66" s="6">
        <f t="shared" si="18"/>
        <v>2.3498777059201963</v>
      </c>
      <c r="O66" s="11"/>
      <c r="P66" s="7">
        <v>1037.27</v>
      </c>
      <c r="Q66" s="2"/>
      <c r="R66" s="6">
        <f t="shared" si="19"/>
        <v>8.7006296911615766E-4</v>
      </c>
      <c r="S66" s="2"/>
      <c r="T66" s="7">
        <v>555.56655000000001</v>
      </c>
      <c r="U66" s="2"/>
      <c r="V66" s="6">
        <f t="shared" si="20"/>
        <v>5.552600464543572E-4</v>
      </c>
      <c r="W66" s="2"/>
      <c r="X66" s="7">
        <f t="shared" si="21"/>
        <v>481.70344999999998</v>
      </c>
      <c r="Y66" s="2"/>
      <c r="Z66" s="6">
        <f t="shared" si="22"/>
        <v>0.86704905109927866</v>
      </c>
    </row>
    <row r="67" spans="1:26" s="24" customFormat="1" hidden="1" outlineLevel="2" x14ac:dyDescent="0.25">
      <c r="A67" s="25"/>
      <c r="B67" s="11" t="str">
        <f>CONCATENATE("          ", "6119", " - ", "SICK LEAVE")</f>
        <v xml:space="preserve">          6119 - SICK LEAVE</v>
      </c>
      <c r="C67" s="11"/>
      <c r="D67" s="7">
        <v>636.29999999999995</v>
      </c>
      <c r="E67" s="2"/>
      <c r="F67" s="6">
        <f t="shared" si="15"/>
        <v>1.9864162593805725E-3</v>
      </c>
      <c r="G67" s="2"/>
      <c r="H67" s="7">
        <v>187.50813230769199</v>
      </c>
      <c r="I67" s="2"/>
      <c r="J67" s="6">
        <f t="shared" si="16"/>
        <v>7.4133225389900917E-4</v>
      </c>
      <c r="K67" s="2"/>
      <c r="L67" s="7">
        <f t="shared" si="17"/>
        <v>448.79186769230796</v>
      </c>
      <c r="M67" s="2"/>
      <c r="N67" s="6">
        <f t="shared" si="18"/>
        <v>2.3934528181202386</v>
      </c>
      <c r="O67" s="11"/>
      <c r="P67" s="7">
        <v>1086.03</v>
      </c>
      <c r="Q67" s="2"/>
      <c r="R67" s="6">
        <f t="shared" si="19"/>
        <v>9.1096289909977214E-4</v>
      </c>
      <c r="S67" s="2"/>
      <c r="T67" s="7">
        <v>564.04322999999897</v>
      </c>
      <c r="U67" s="2"/>
      <c r="V67" s="6">
        <f t="shared" si="20"/>
        <v>5.637320499084495E-4</v>
      </c>
      <c r="W67" s="2"/>
      <c r="X67" s="7">
        <f t="shared" si="21"/>
        <v>521.986770000001</v>
      </c>
      <c r="Y67" s="2"/>
      <c r="Z67" s="6">
        <f t="shared" si="22"/>
        <v>0.92543752364513254</v>
      </c>
    </row>
    <row r="68" spans="1:26" s="24" customFormat="1" hidden="1" outlineLevel="2" x14ac:dyDescent="0.25">
      <c r="A68" s="25"/>
      <c r="B68" s="11" t="str">
        <f>CONCATENATE("          ", "6156", " - ", "EMPLOYEE MEALS")</f>
        <v xml:space="preserve">          6156 - EMPLOYEE MEALS</v>
      </c>
      <c r="C68" s="11"/>
      <c r="D68" s="7">
        <v>175</v>
      </c>
      <c r="E68" s="2"/>
      <c r="F68" s="6">
        <f t="shared" si="15"/>
        <v>5.4631910323998142E-4</v>
      </c>
      <c r="G68" s="2"/>
      <c r="H68" s="7"/>
      <c r="I68" s="2"/>
      <c r="J68" s="6">
        <f t="shared" si="16"/>
        <v>0</v>
      </c>
      <c r="K68" s="2"/>
      <c r="L68" s="7">
        <f t="shared" si="17"/>
        <v>175</v>
      </c>
      <c r="M68" s="2"/>
      <c r="N68" s="6">
        <f t="shared" si="18"/>
        <v>0</v>
      </c>
      <c r="O68" s="11"/>
      <c r="P68" s="7">
        <v>474.2</v>
      </c>
      <c r="Q68" s="2"/>
      <c r="R68" s="6">
        <f t="shared" si="19"/>
        <v>3.9775936829840059E-4</v>
      </c>
      <c r="S68" s="2"/>
      <c r="T68" s="7"/>
      <c r="U68" s="2"/>
      <c r="V68" s="6">
        <f t="shared" si="20"/>
        <v>0</v>
      </c>
      <c r="W68" s="2"/>
      <c r="X68" s="7">
        <f t="shared" si="21"/>
        <v>474.2</v>
      </c>
      <c r="Y68" s="2"/>
      <c r="Z68" s="6">
        <f t="shared" si="22"/>
        <v>0</v>
      </c>
    </row>
    <row r="69" spans="1:26" s="26" customFormat="1" outlineLevel="1" collapsed="1" x14ac:dyDescent="0.25">
      <c r="A69" s="27"/>
      <c r="B69" s="13" t="str">
        <f>CONCATENATE("     ","*Payroll                                          ")</f>
        <v xml:space="preserve">     *Payroll                                          </v>
      </c>
      <c r="C69" s="13"/>
      <c r="D69" s="1">
        <f>SUM(OSRRefD22_1x_0)</f>
        <v>10223.98</v>
      </c>
      <c r="E69" s="1"/>
      <c r="F69" s="5">
        <f t="shared" ref="F69:F79" si="23">IF(D$12=0,0,D69/D$12)</f>
        <v>3.1917460486534315E-2</v>
      </c>
      <c r="G69" s="1"/>
      <c r="H69" s="1">
        <f>SUM(OSRRefH22_1x_0)</f>
        <v>10939.16139076923</v>
      </c>
      <c r="I69" s="1"/>
      <c r="J69" s="5">
        <f t="shared" ref="J69:J79" si="24">IF(H$12=0,0,H69/H$12)</f>
        <v>4.3249074425617866E-2</v>
      </c>
      <c r="K69" s="1"/>
      <c r="L69" s="1">
        <f t="shared" ref="L69:L79" si="25">+D69-H69</f>
        <v>-715.18139076923035</v>
      </c>
      <c r="M69" s="1"/>
      <c r="N69" s="5">
        <f t="shared" ref="N69:N79" si="26">IF(H69=0,0,L69/H69)</f>
        <v>-6.5378082032204077E-2</v>
      </c>
      <c r="O69" s="13"/>
      <c r="P69" s="1">
        <f>SUM(OSRRefP22_1x_0)</f>
        <v>27512.059999999998</v>
      </c>
      <c r="Q69" s="1"/>
      <c r="R69" s="5">
        <f t="shared" ref="R69:R79" si="27">IF(P$12=0,0,P69/P$12)</f>
        <v>2.307713961659151E-2</v>
      </c>
      <c r="S69" s="1"/>
      <c r="T69" s="1">
        <f>SUM(OSRRefT22_1x_0)</f>
        <v>30859.894519999998</v>
      </c>
      <c r="U69" s="1"/>
      <c r="V69" s="5">
        <f t="shared" ref="V69:V79" si="28">IF(T$12=0,0,T69/T$12)</f>
        <v>3.084286925617059E-2</v>
      </c>
      <c r="W69" s="1"/>
      <c r="X69" s="1">
        <f t="shared" ref="X69:X79" si="29">+P69-T69</f>
        <v>-3347.8345200000003</v>
      </c>
      <c r="Y69" s="1"/>
      <c r="Z69" s="5">
        <f t="shared" ref="Z69:Z79" si="30">IF(T69=0,0,X69/T69)</f>
        <v>-0.10848496315599204</v>
      </c>
    </row>
    <row r="70" spans="1:26" s="24" customFormat="1" hidden="1" outlineLevel="2" x14ac:dyDescent="0.25">
      <c r="A70" s="25"/>
      <c r="B70" s="11" t="str">
        <f>CONCATENATE("          ", "6001", " - ", "ADMINISTRATIVE SALARIES")</f>
        <v xml:space="preserve">          6001 - ADMINISTRATIVE SALARIES</v>
      </c>
      <c r="C70" s="11"/>
      <c r="D70" s="7"/>
      <c r="E70" s="2"/>
      <c r="F70" s="6">
        <f t="shared" si="23"/>
        <v>0</v>
      </c>
      <c r="G70" s="2"/>
      <c r="H70" s="7">
        <v>3145.3613907692297</v>
      </c>
      <c r="I70" s="2"/>
      <c r="J70" s="6">
        <f t="shared" si="24"/>
        <v>1.2435502505670371E-2</v>
      </c>
      <c r="K70" s="2"/>
      <c r="L70" s="7">
        <f t="shared" si="25"/>
        <v>-3145.3613907692297</v>
      </c>
      <c r="M70" s="2"/>
      <c r="N70" s="6">
        <f t="shared" si="26"/>
        <v>-1</v>
      </c>
      <c r="O70" s="11"/>
      <c r="P70" s="7"/>
      <c r="Q70" s="2"/>
      <c r="R70" s="6">
        <f t="shared" si="27"/>
        <v>0</v>
      </c>
      <c r="S70" s="2"/>
      <c r="T70" s="7">
        <v>10222.424519999999</v>
      </c>
      <c r="U70" s="2"/>
      <c r="V70" s="6">
        <f t="shared" si="28"/>
        <v>1.021678485476017E-2</v>
      </c>
      <c r="W70" s="2"/>
      <c r="X70" s="7">
        <f t="shared" si="29"/>
        <v>-10222.424519999999</v>
      </c>
      <c r="Y70" s="2"/>
      <c r="Z70" s="6">
        <f t="shared" si="30"/>
        <v>-1</v>
      </c>
    </row>
    <row r="71" spans="1:26" s="24" customFormat="1" hidden="1" outlineLevel="2" x14ac:dyDescent="0.25">
      <c r="A71" s="25"/>
      <c r="B71" s="11" t="str">
        <f>CONCATENATE("          ", "6002", " - ", "STAFF SALARIES")</f>
        <v xml:space="preserve">          6002 - STAFF SALARIES</v>
      </c>
      <c r="C71" s="11"/>
      <c r="D71" s="7">
        <v>2855.56</v>
      </c>
      <c r="E71" s="2"/>
      <c r="F71" s="6">
        <f t="shared" si="23"/>
        <v>8.9145541625597798E-3</v>
      </c>
      <c r="G71" s="2"/>
      <c r="H71" s="7">
        <v>0</v>
      </c>
      <c r="I71" s="2"/>
      <c r="J71" s="6">
        <f t="shared" si="24"/>
        <v>0</v>
      </c>
      <c r="K71" s="2"/>
      <c r="L71" s="7">
        <f t="shared" si="25"/>
        <v>2855.56</v>
      </c>
      <c r="M71" s="2"/>
      <c r="N71" s="6">
        <f t="shared" si="26"/>
        <v>0</v>
      </c>
      <c r="O71" s="11"/>
      <c r="P71" s="7">
        <v>8631.64</v>
      </c>
      <c r="Q71" s="2"/>
      <c r="R71" s="6">
        <f t="shared" si="27"/>
        <v>7.2402270640641204E-3</v>
      </c>
      <c r="S71" s="2"/>
      <c r="T71" s="7">
        <v>0</v>
      </c>
      <c r="U71" s="2"/>
      <c r="V71" s="6">
        <f t="shared" si="28"/>
        <v>0</v>
      </c>
      <c r="W71" s="2"/>
      <c r="X71" s="7">
        <f t="shared" si="29"/>
        <v>8631.64</v>
      </c>
      <c r="Y71" s="2"/>
      <c r="Z71" s="6">
        <f t="shared" si="30"/>
        <v>0</v>
      </c>
    </row>
    <row r="72" spans="1:26" s="24" customFormat="1" hidden="1" outlineLevel="2" x14ac:dyDescent="0.25">
      <c r="A72" s="25"/>
      <c r="B72" s="11" t="str">
        <f>CONCATENATE("          ", "6003", " - ", "STAFF HOURLY-9 MONTH")</f>
        <v xml:space="preserve">          6003 - STAFF HOURLY-9 MONTH</v>
      </c>
      <c r="C72" s="11"/>
      <c r="D72" s="7"/>
      <c r="E72" s="2"/>
      <c r="F72" s="6">
        <f t="shared" si="23"/>
        <v>0</v>
      </c>
      <c r="G72" s="2"/>
      <c r="H72" s="7">
        <v>0</v>
      </c>
      <c r="I72" s="2"/>
      <c r="J72" s="6">
        <f t="shared" si="24"/>
        <v>0</v>
      </c>
      <c r="K72" s="2"/>
      <c r="L72" s="7">
        <f t="shared" si="25"/>
        <v>0</v>
      </c>
      <c r="M72" s="2"/>
      <c r="N72" s="6">
        <f t="shared" si="26"/>
        <v>0</v>
      </c>
      <c r="O72" s="11"/>
      <c r="P72" s="7"/>
      <c r="Q72" s="2"/>
      <c r="R72" s="6">
        <f t="shared" si="27"/>
        <v>0</v>
      </c>
      <c r="S72" s="2"/>
      <c r="T72" s="7">
        <v>0</v>
      </c>
      <c r="U72" s="2"/>
      <c r="V72" s="6">
        <f t="shared" si="28"/>
        <v>0</v>
      </c>
      <c r="W72" s="2"/>
      <c r="X72" s="7">
        <f t="shared" si="29"/>
        <v>0</v>
      </c>
      <c r="Y72" s="2"/>
      <c r="Z72" s="6">
        <f t="shared" si="30"/>
        <v>0</v>
      </c>
    </row>
    <row r="73" spans="1:26" s="24" customFormat="1" hidden="1" outlineLevel="2" x14ac:dyDescent="0.25">
      <c r="A73" s="25"/>
      <c r="B73" s="11" t="str">
        <f>CONCATENATE("          ", "6004", " - ", "STAFF HOURLY")</f>
        <v xml:space="preserve">          6004 - STAFF HOURLY</v>
      </c>
      <c r="C73" s="11"/>
      <c r="D73" s="7"/>
      <c r="E73" s="2"/>
      <c r="F73" s="6">
        <f t="shared" si="23"/>
        <v>0</v>
      </c>
      <c r="G73" s="2"/>
      <c r="H73" s="7">
        <v>1400.8</v>
      </c>
      <c r="I73" s="2"/>
      <c r="J73" s="6">
        <f t="shared" si="24"/>
        <v>5.5382036420568211E-3</v>
      </c>
      <c r="K73" s="2"/>
      <c r="L73" s="7">
        <f t="shared" si="25"/>
        <v>-1400.8</v>
      </c>
      <c r="M73" s="2"/>
      <c r="N73" s="6">
        <f t="shared" si="26"/>
        <v>-1</v>
      </c>
      <c r="O73" s="11"/>
      <c r="P73" s="7"/>
      <c r="Q73" s="2"/>
      <c r="R73" s="6">
        <f t="shared" si="27"/>
        <v>0</v>
      </c>
      <c r="S73" s="2"/>
      <c r="T73" s="7">
        <v>4865.72</v>
      </c>
      <c r="U73" s="2"/>
      <c r="V73" s="6">
        <f t="shared" si="28"/>
        <v>4.863035604346401E-3</v>
      </c>
      <c r="W73" s="2"/>
      <c r="X73" s="7">
        <f t="shared" si="29"/>
        <v>-4865.72</v>
      </c>
      <c r="Y73" s="2"/>
      <c r="Z73" s="6">
        <f t="shared" si="30"/>
        <v>-1</v>
      </c>
    </row>
    <row r="74" spans="1:26" s="24" customFormat="1" hidden="1" outlineLevel="2" x14ac:dyDescent="0.25">
      <c r="A74" s="25"/>
      <c r="B74" s="11" t="str">
        <f>CONCATENATE("          ", "6005", " - ", "TEMPORARY WAGES-HOURLY")</f>
        <v xml:space="preserve">          6005 - TEMPORARY WAGES-HOURLY</v>
      </c>
      <c r="C74" s="11"/>
      <c r="D74" s="7">
        <v>4227.2700000000004</v>
      </c>
      <c r="E74" s="2"/>
      <c r="F74" s="6">
        <f t="shared" si="23"/>
        <v>1.3196790603161581E-2</v>
      </c>
      <c r="G74" s="2"/>
      <c r="H74" s="7">
        <v>0</v>
      </c>
      <c r="I74" s="2"/>
      <c r="J74" s="6">
        <f t="shared" si="24"/>
        <v>0</v>
      </c>
      <c r="K74" s="2"/>
      <c r="L74" s="7">
        <f t="shared" si="25"/>
        <v>4227.2700000000004</v>
      </c>
      <c r="M74" s="2"/>
      <c r="N74" s="6">
        <f t="shared" si="26"/>
        <v>0</v>
      </c>
      <c r="O74" s="11"/>
      <c r="P74" s="7">
        <v>9368.14</v>
      </c>
      <c r="Q74" s="2"/>
      <c r="R74" s="6">
        <f t="shared" si="27"/>
        <v>7.8580038982095698E-3</v>
      </c>
      <c r="S74" s="2"/>
      <c r="T74" s="7">
        <v>0</v>
      </c>
      <c r="U74" s="2"/>
      <c r="V74" s="6">
        <f t="shared" si="28"/>
        <v>0</v>
      </c>
      <c r="W74" s="2"/>
      <c r="X74" s="7">
        <f t="shared" si="29"/>
        <v>9368.14</v>
      </c>
      <c r="Y74" s="2"/>
      <c r="Z74" s="6">
        <f t="shared" si="30"/>
        <v>0</v>
      </c>
    </row>
    <row r="75" spans="1:26" s="24" customFormat="1" hidden="1" outlineLevel="2" x14ac:dyDescent="0.25">
      <c r="A75" s="25"/>
      <c r="B75" s="11" t="str">
        <f>CONCATENATE("          ", "6006", " - ", "TEMPORARY PART TIME")</f>
        <v xml:space="preserve">          6006 - TEMPORARY PART TIME</v>
      </c>
      <c r="C75" s="11"/>
      <c r="D75" s="7">
        <v>2102.34</v>
      </c>
      <c r="E75" s="2"/>
      <c r="F75" s="6">
        <f t="shared" si="23"/>
        <v>6.563134305745958E-3</v>
      </c>
      <c r="G75" s="2"/>
      <c r="H75" s="7">
        <v>0</v>
      </c>
      <c r="I75" s="2"/>
      <c r="J75" s="6">
        <f t="shared" si="24"/>
        <v>0</v>
      </c>
      <c r="K75" s="2"/>
      <c r="L75" s="7">
        <f t="shared" si="25"/>
        <v>2102.34</v>
      </c>
      <c r="M75" s="2"/>
      <c r="N75" s="6">
        <f t="shared" si="26"/>
        <v>0</v>
      </c>
      <c r="O75" s="11"/>
      <c r="P75" s="7">
        <v>5054.16</v>
      </c>
      <c r="Q75" s="2"/>
      <c r="R75" s="6">
        <f t="shared" si="27"/>
        <v>4.2394337597617968E-3</v>
      </c>
      <c r="S75" s="2"/>
      <c r="T75" s="7">
        <v>0</v>
      </c>
      <c r="U75" s="2"/>
      <c r="V75" s="6">
        <f t="shared" si="28"/>
        <v>0</v>
      </c>
      <c r="W75" s="2"/>
      <c r="X75" s="7">
        <f t="shared" si="29"/>
        <v>5054.16</v>
      </c>
      <c r="Y75" s="2"/>
      <c r="Z75" s="6">
        <f t="shared" si="30"/>
        <v>0</v>
      </c>
    </row>
    <row r="76" spans="1:26" s="24" customFormat="1" hidden="1" outlineLevel="2" x14ac:dyDescent="0.25">
      <c r="A76" s="25"/>
      <c r="B76" s="11" t="str">
        <f>CONCATENATE("          ", "6007", " - ", "STUDENT HOURLY")</f>
        <v xml:space="preserve">          6007 - STUDENT HOURLY</v>
      </c>
      <c r="C76" s="11"/>
      <c r="D76" s="7">
        <v>1038.81</v>
      </c>
      <c r="E76" s="2"/>
      <c r="F76" s="6">
        <f t="shared" si="23"/>
        <v>3.2429814150670006E-3</v>
      </c>
      <c r="G76" s="2"/>
      <c r="H76" s="7">
        <v>0</v>
      </c>
      <c r="I76" s="2"/>
      <c r="J76" s="6">
        <f t="shared" si="24"/>
        <v>0</v>
      </c>
      <c r="K76" s="2"/>
      <c r="L76" s="7">
        <f t="shared" si="25"/>
        <v>1038.81</v>
      </c>
      <c r="M76" s="2"/>
      <c r="N76" s="6">
        <f t="shared" si="26"/>
        <v>0</v>
      </c>
      <c r="O76" s="11"/>
      <c r="P76" s="7">
        <v>4458.12</v>
      </c>
      <c r="Q76" s="2"/>
      <c r="R76" s="6">
        <f t="shared" si="27"/>
        <v>3.7394748945560217E-3</v>
      </c>
      <c r="S76" s="2"/>
      <c r="T76" s="7">
        <v>9378.75</v>
      </c>
      <c r="U76" s="2"/>
      <c r="V76" s="6">
        <f t="shared" si="28"/>
        <v>9.3735757861660371E-3</v>
      </c>
      <c r="W76" s="2"/>
      <c r="X76" s="7">
        <f t="shared" si="29"/>
        <v>-4920.63</v>
      </c>
      <c r="Y76" s="2"/>
      <c r="Z76" s="6">
        <f t="shared" si="30"/>
        <v>-0.52465733706517392</v>
      </c>
    </row>
    <row r="77" spans="1:26" s="24" customFormat="1" hidden="1" outlineLevel="2" x14ac:dyDescent="0.25">
      <c r="A77" s="25"/>
      <c r="B77" s="11" t="str">
        <f>CONCATENATE("          ", "6008", " - ", "STUDENT HOURLY-FICA EXEMPT")</f>
        <v xml:space="preserve">          6008 - STUDENT HOURLY-FICA EXEMPT</v>
      </c>
      <c r="C77" s="11"/>
      <c r="D77" s="7"/>
      <c r="E77" s="2"/>
      <c r="F77" s="6">
        <f t="shared" si="23"/>
        <v>0</v>
      </c>
      <c r="G77" s="2"/>
      <c r="H77" s="7">
        <v>6393</v>
      </c>
      <c r="I77" s="2"/>
      <c r="J77" s="6">
        <f t="shared" si="24"/>
        <v>2.5275368277890675E-2</v>
      </c>
      <c r="K77" s="2"/>
      <c r="L77" s="7">
        <f t="shared" si="25"/>
        <v>-6393</v>
      </c>
      <c r="M77" s="2"/>
      <c r="N77" s="6">
        <f t="shared" si="26"/>
        <v>-1</v>
      </c>
      <c r="O77" s="11"/>
      <c r="P77" s="7"/>
      <c r="Q77" s="2"/>
      <c r="R77" s="6">
        <f t="shared" si="27"/>
        <v>0</v>
      </c>
      <c r="S77" s="2"/>
      <c r="T77" s="7">
        <v>6393</v>
      </c>
      <c r="U77" s="2"/>
      <c r="V77" s="6">
        <f t="shared" si="28"/>
        <v>6.3894730108979845E-3</v>
      </c>
      <c r="W77" s="2"/>
      <c r="X77" s="7">
        <f t="shared" si="29"/>
        <v>-6393</v>
      </c>
      <c r="Y77" s="2"/>
      <c r="Z77" s="6">
        <f t="shared" si="30"/>
        <v>-1</v>
      </c>
    </row>
    <row r="78" spans="1:26" s="24" customFormat="1" hidden="1" outlineLevel="2" x14ac:dyDescent="0.25">
      <c r="A78" s="25"/>
      <c r="B78" s="11" t="str">
        <f>CONCATENATE("          ", "6009", " - ", "TEMPORARY-SEASONAL")</f>
        <v xml:space="preserve">          6009 - TEMPORARY-SEASONAL</v>
      </c>
      <c r="C78" s="11"/>
      <c r="D78" s="7"/>
      <c r="E78" s="2"/>
      <c r="F78" s="6">
        <f t="shared" si="23"/>
        <v>0</v>
      </c>
      <c r="G78" s="2"/>
      <c r="H78" s="7">
        <v>0</v>
      </c>
      <c r="I78" s="2"/>
      <c r="J78" s="6">
        <f t="shared" si="24"/>
        <v>0</v>
      </c>
      <c r="K78" s="2"/>
      <c r="L78" s="7">
        <f t="shared" si="25"/>
        <v>0</v>
      </c>
      <c r="M78" s="2"/>
      <c r="N78" s="6">
        <f t="shared" si="26"/>
        <v>0</v>
      </c>
      <c r="O78" s="11"/>
      <c r="P78" s="7"/>
      <c r="Q78" s="2"/>
      <c r="R78" s="6">
        <f t="shared" si="27"/>
        <v>0</v>
      </c>
      <c r="S78" s="2"/>
      <c r="T78" s="7">
        <v>0</v>
      </c>
      <c r="U78" s="2"/>
      <c r="V78" s="6">
        <f t="shared" si="28"/>
        <v>0</v>
      </c>
      <c r="W78" s="2"/>
      <c r="X78" s="7">
        <f t="shared" si="29"/>
        <v>0</v>
      </c>
      <c r="Y78" s="2"/>
      <c r="Z78" s="6">
        <f t="shared" si="30"/>
        <v>0</v>
      </c>
    </row>
    <row r="79" spans="1:26" s="24" customFormat="1" hidden="1" outlineLevel="2" x14ac:dyDescent="0.25">
      <c r="A79" s="25"/>
      <c r="B79" s="11" t="str">
        <f>CONCATENATE("          ", "6010", " - ", "GRATUITY")</f>
        <v xml:space="preserve">          6010 - GRATUITY</v>
      </c>
      <c r="C79" s="11"/>
      <c r="D79" s="7"/>
      <c r="E79" s="2"/>
      <c r="F79" s="6">
        <f t="shared" si="23"/>
        <v>0</v>
      </c>
      <c r="G79" s="2"/>
      <c r="H79" s="7">
        <v>0</v>
      </c>
      <c r="I79" s="2"/>
      <c r="J79" s="6">
        <f t="shared" si="24"/>
        <v>0</v>
      </c>
      <c r="K79" s="2"/>
      <c r="L79" s="7">
        <f t="shared" si="25"/>
        <v>0</v>
      </c>
      <c r="M79" s="2"/>
      <c r="N79" s="6">
        <f t="shared" si="26"/>
        <v>0</v>
      </c>
      <c r="O79" s="11"/>
      <c r="P79" s="7"/>
      <c r="Q79" s="2"/>
      <c r="R79" s="6">
        <f t="shared" si="27"/>
        <v>0</v>
      </c>
      <c r="S79" s="2"/>
      <c r="T79" s="7">
        <v>0</v>
      </c>
      <c r="U79" s="2"/>
      <c r="V79" s="6">
        <f t="shared" si="28"/>
        <v>0</v>
      </c>
      <c r="W79" s="2"/>
      <c r="X79" s="7">
        <f t="shared" si="29"/>
        <v>0</v>
      </c>
      <c r="Y79" s="2"/>
      <c r="Z79" s="6">
        <f t="shared" si="30"/>
        <v>0</v>
      </c>
    </row>
    <row r="80" spans="1:26" s="26" customFormat="1" outlineLevel="1" collapsed="1" x14ac:dyDescent="0.25">
      <c r="A80" s="27"/>
      <c r="B80" s="13" t="str">
        <f>CONCATENATE("     ","Advertising/Promo                                 ")</f>
        <v xml:space="preserve">     Advertising/Promo                                 </v>
      </c>
      <c r="C80" s="13"/>
      <c r="D80" s="1">
        <f>SUM(OSRRefD22_2x_0)</f>
        <v>98.24</v>
      </c>
      <c r="E80" s="1"/>
      <c r="F80" s="5">
        <f t="shared" ref="F80:F94" si="31">IF(D$12=0,0,D80/D$12)</f>
        <v>3.0668793544169013E-4</v>
      </c>
      <c r="G80" s="1"/>
      <c r="H80" s="1">
        <f>SUM(OSRRefH22_2x_0)</f>
        <v>250</v>
      </c>
      <c r="I80" s="1"/>
      <c r="J80" s="5">
        <f t="shared" ref="J80:J94" si="32">IF(H$12=0,0,H80/H$12)</f>
        <v>9.8840013600385874E-4</v>
      </c>
      <c r="K80" s="1"/>
      <c r="L80" s="1">
        <f t="shared" ref="L80:L94" si="33">+D80-H80</f>
        <v>-151.76</v>
      </c>
      <c r="M80" s="1"/>
      <c r="N80" s="5">
        <f t="shared" ref="N80:N94" si="34">IF(H80=0,0,L80/H80)</f>
        <v>-0.60703999999999991</v>
      </c>
      <c r="O80" s="13"/>
      <c r="P80" s="1">
        <f>SUM(OSRRefP22_2x_0)</f>
        <v>800.4</v>
      </c>
      <c r="Q80" s="1"/>
      <c r="R80" s="5">
        <f t="shared" ref="R80:R94" si="35">IF(P$12=0,0,P80/P$12)</f>
        <v>6.7137620916499327E-4</v>
      </c>
      <c r="S80" s="1"/>
      <c r="T80" s="1">
        <f>SUM(OSRRefT22_2x_0)</f>
        <v>750</v>
      </c>
      <c r="U80" s="1"/>
      <c r="V80" s="5">
        <f t="shared" ref="V80:V94" si="36">IF(T$12=0,0,T80/T$12)</f>
        <v>7.4958622840192216E-4</v>
      </c>
      <c r="W80" s="1"/>
      <c r="X80" s="1">
        <f t="shared" ref="X80:X94" si="37">+P80-T80</f>
        <v>50.399999999999977</v>
      </c>
      <c r="Y80" s="1"/>
      <c r="Z80" s="5">
        <f t="shared" ref="Z80:Z94" si="38">IF(T80=0,0,X80/T80)</f>
        <v>6.7199999999999968E-2</v>
      </c>
    </row>
    <row r="81" spans="1:26" s="24" customFormat="1" hidden="1" outlineLevel="2" x14ac:dyDescent="0.25">
      <c r="A81" s="25"/>
      <c r="B81" s="11" t="str">
        <f>CONCATENATE("          ", "6362", " - ", "ADVERTISING EXPENSE")</f>
        <v xml:space="preserve">          6362 - ADVERTISING EXPENSE</v>
      </c>
      <c r="C81" s="11"/>
      <c r="D81" s="7">
        <v>98.24</v>
      </c>
      <c r="E81" s="2"/>
      <c r="F81" s="6">
        <f t="shared" si="31"/>
        <v>3.0668793544169013E-4</v>
      </c>
      <c r="G81" s="2"/>
      <c r="H81" s="7">
        <v>250</v>
      </c>
      <c r="I81" s="2"/>
      <c r="J81" s="6">
        <f t="shared" si="32"/>
        <v>9.8840013600385874E-4</v>
      </c>
      <c r="K81" s="2"/>
      <c r="L81" s="7">
        <f t="shared" si="33"/>
        <v>-151.76</v>
      </c>
      <c r="M81" s="2"/>
      <c r="N81" s="6">
        <f t="shared" si="34"/>
        <v>-0.60703999999999991</v>
      </c>
      <c r="O81" s="11"/>
      <c r="P81" s="7">
        <v>800.4</v>
      </c>
      <c r="Q81" s="2"/>
      <c r="R81" s="6">
        <f t="shared" si="35"/>
        <v>6.7137620916499327E-4</v>
      </c>
      <c r="S81" s="2"/>
      <c r="T81" s="7">
        <v>750</v>
      </c>
      <c r="U81" s="2"/>
      <c r="V81" s="6">
        <f t="shared" si="36"/>
        <v>7.4958622840192216E-4</v>
      </c>
      <c r="W81" s="2"/>
      <c r="X81" s="7">
        <f t="shared" si="37"/>
        <v>50.399999999999977</v>
      </c>
      <c r="Y81" s="2"/>
      <c r="Z81" s="6">
        <f t="shared" si="38"/>
        <v>6.7199999999999968E-2</v>
      </c>
    </row>
    <row r="82" spans="1:26" s="26" customFormat="1" outlineLevel="1" collapsed="1" x14ac:dyDescent="0.25">
      <c r="A82" s="27"/>
      <c r="B82" s="13" t="str">
        <f>CONCATENATE("     ","Depreciation                                      ")</f>
        <v xml:space="preserve">     Depreciation                                      </v>
      </c>
      <c r="C82" s="13"/>
      <c r="D82" s="1">
        <f>SUM(OSRRefD22_3x_0)</f>
        <v>280.44</v>
      </c>
      <c r="E82" s="1"/>
      <c r="F82" s="5">
        <f t="shared" si="31"/>
        <v>8.7548416750068796E-4</v>
      </c>
      <c r="G82" s="1"/>
      <c r="H82" s="1">
        <f>SUM(OSRRefH22_3x_0)</f>
        <v>0</v>
      </c>
      <c r="I82" s="1"/>
      <c r="J82" s="5">
        <f t="shared" si="32"/>
        <v>0</v>
      </c>
      <c r="K82" s="1"/>
      <c r="L82" s="1">
        <f t="shared" si="33"/>
        <v>280.44</v>
      </c>
      <c r="M82" s="1"/>
      <c r="N82" s="5">
        <f t="shared" si="34"/>
        <v>0</v>
      </c>
      <c r="O82" s="13"/>
      <c r="P82" s="1">
        <f>SUM(OSRRefP22_3x_0)</f>
        <v>841.32</v>
      </c>
      <c r="Q82" s="1"/>
      <c r="R82" s="5">
        <f t="shared" si="35"/>
        <v>7.0569994039816619E-4</v>
      </c>
      <c r="S82" s="1"/>
      <c r="T82" s="1">
        <f>SUM(OSRRefT22_3x_0)</f>
        <v>0</v>
      </c>
      <c r="U82" s="1"/>
      <c r="V82" s="5">
        <f t="shared" si="36"/>
        <v>0</v>
      </c>
      <c r="W82" s="1"/>
      <c r="X82" s="1">
        <f t="shared" si="37"/>
        <v>841.32</v>
      </c>
      <c r="Y82" s="1"/>
      <c r="Z82" s="5">
        <f t="shared" si="38"/>
        <v>0</v>
      </c>
    </row>
    <row r="83" spans="1:26" s="24" customFormat="1" hidden="1" outlineLevel="2" x14ac:dyDescent="0.25">
      <c r="A83" s="25"/>
      <c r="B83" s="11" t="str">
        <f>CONCATENATE("          ", "6322", " - ", "EQUIPMENT DEPRECIATION EXPENSE")</f>
        <v xml:space="preserve">          6322 - EQUIPMENT DEPRECIATION EXPENSE</v>
      </c>
      <c r="C83" s="11"/>
      <c r="D83" s="7">
        <v>280.44</v>
      </c>
      <c r="E83" s="2"/>
      <c r="F83" s="6">
        <f t="shared" si="31"/>
        <v>8.7548416750068796E-4</v>
      </c>
      <c r="G83" s="2"/>
      <c r="H83" s="7"/>
      <c r="I83" s="2"/>
      <c r="J83" s="6">
        <f t="shared" si="32"/>
        <v>0</v>
      </c>
      <c r="K83" s="2"/>
      <c r="L83" s="7">
        <f t="shared" si="33"/>
        <v>280.44</v>
      </c>
      <c r="M83" s="2"/>
      <c r="N83" s="6">
        <f t="shared" si="34"/>
        <v>0</v>
      </c>
      <c r="O83" s="11"/>
      <c r="P83" s="7">
        <v>841.32</v>
      </c>
      <c r="Q83" s="2"/>
      <c r="R83" s="6">
        <f t="shared" si="35"/>
        <v>7.0569994039816619E-4</v>
      </c>
      <c r="S83" s="2"/>
      <c r="T83" s="7"/>
      <c r="U83" s="2"/>
      <c r="V83" s="6">
        <f t="shared" si="36"/>
        <v>0</v>
      </c>
      <c r="W83" s="2"/>
      <c r="X83" s="7">
        <f t="shared" si="37"/>
        <v>841.32</v>
      </c>
      <c r="Y83" s="2"/>
      <c r="Z83" s="6">
        <f t="shared" si="38"/>
        <v>0</v>
      </c>
    </row>
    <row r="84" spans="1:26" s="26" customFormat="1" outlineLevel="1" collapsed="1" x14ac:dyDescent="0.25">
      <c r="A84" s="27"/>
      <c r="B84" s="13" t="str">
        <f>CONCATENATE("     ","Discounts and Markdowns                           ")</f>
        <v xml:space="preserve">     Discounts and Markdowns                           </v>
      </c>
      <c r="C84" s="13"/>
      <c r="D84" s="1">
        <f>SUM(OSRRefD22_4x_0)</f>
        <v>-3019.66</v>
      </c>
      <c r="E84" s="1"/>
      <c r="F84" s="5">
        <f t="shared" si="31"/>
        <v>-9.4268453902265278E-3</v>
      </c>
      <c r="G84" s="1"/>
      <c r="H84" s="1">
        <f>SUM(OSRRefH22_4x_0)</f>
        <v>2500</v>
      </c>
      <c r="I84" s="1"/>
      <c r="J84" s="5">
        <f t="shared" si="32"/>
        <v>9.8840013600385874E-3</v>
      </c>
      <c r="K84" s="1"/>
      <c r="L84" s="1">
        <f t="shared" si="33"/>
        <v>-5519.66</v>
      </c>
      <c r="M84" s="1"/>
      <c r="N84" s="5">
        <f t="shared" si="34"/>
        <v>-2.2078639999999998</v>
      </c>
      <c r="O84" s="13"/>
      <c r="P84" s="1">
        <f>SUM(OSRRefP22_4x_0)</f>
        <v>66999.509999999995</v>
      </c>
      <c r="Q84" s="1"/>
      <c r="R84" s="5">
        <f t="shared" si="35"/>
        <v>5.6199246676301919E-2</v>
      </c>
      <c r="S84" s="1"/>
      <c r="T84" s="1">
        <f>SUM(OSRRefT22_4x_0)</f>
        <v>7500</v>
      </c>
      <c r="U84" s="1"/>
      <c r="V84" s="5">
        <f t="shared" si="36"/>
        <v>7.4958622840192212E-3</v>
      </c>
      <c r="W84" s="1"/>
      <c r="X84" s="1">
        <f t="shared" si="37"/>
        <v>59499.509999999995</v>
      </c>
      <c r="Y84" s="1"/>
      <c r="Z84" s="5">
        <f t="shared" si="38"/>
        <v>7.9332679999999991</v>
      </c>
    </row>
    <row r="85" spans="1:26" s="24" customFormat="1" hidden="1" outlineLevel="2" x14ac:dyDescent="0.25">
      <c r="A85" s="25"/>
      <c r="B85" s="11" t="str">
        <f>CONCATENATE("          ", "6382", " - ", "DISCOUNTS/MARK DOWNS")</f>
        <v xml:space="preserve">          6382 - DISCOUNTS/MARK DOWNS</v>
      </c>
      <c r="C85" s="11"/>
      <c r="D85" s="7">
        <v>-3019.66</v>
      </c>
      <c r="E85" s="2"/>
      <c r="F85" s="6">
        <f t="shared" si="31"/>
        <v>-9.4268453902265278E-3</v>
      </c>
      <c r="G85" s="2"/>
      <c r="H85" s="7">
        <v>2500</v>
      </c>
      <c r="I85" s="2"/>
      <c r="J85" s="6">
        <f t="shared" si="32"/>
        <v>9.8840013600385874E-3</v>
      </c>
      <c r="K85" s="2"/>
      <c r="L85" s="7">
        <f t="shared" si="33"/>
        <v>-5519.66</v>
      </c>
      <c r="M85" s="2"/>
      <c r="N85" s="6">
        <f t="shared" si="34"/>
        <v>-2.2078639999999998</v>
      </c>
      <c r="O85" s="11"/>
      <c r="P85" s="7">
        <v>66999.509999999995</v>
      </c>
      <c r="Q85" s="2"/>
      <c r="R85" s="6">
        <f t="shared" si="35"/>
        <v>5.6199246676301919E-2</v>
      </c>
      <c r="S85" s="2"/>
      <c r="T85" s="7">
        <v>7500</v>
      </c>
      <c r="U85" s="2"/>
      <c r="V85" s="6">
        <f t="shared" si="36"/>
        <v>7.4958622840192212E-3</v>
      </c>
      <c r="W85" s="2"/>
      <c r="X85" s="7">
        <f t="shared" si="37"/>
        <v>59499.509999999995</v>
      </c>
      <c r="Y85" s="2"/>
      <c r="Z85" s="6">
        <f t="shared" si="38"/>
        <v>7.9332679999999991</v>
      </c>
    </row>
    <row r="86" spans="1:26" s="26" customFormat="1" outlineLevel="1" collapsed="1" x14ac:dyDescent="0.25">
      <c r="A86" s="27"/>
      <c r="B86" s="13" t="str">
        <f>CONCATENATE("     ","Employees' Appreciation                           ")</f>
        <v xml:space="preserve">     Employees' Appreciation                           </v>
      </c>
      <c r="C86" s="13"/>
      <c r="D86" s="1">
        <f>SUM(OSRRefD22_5x_0)</f>
        <v>0</v>
      </c>
      <c r="E86" s="1"/>
      <c r="F86" s="5">
        <f t="shared" si="31"/>
        <v>0</v>
      </c>
      <c r="G86" s="1"/>
      <c r="H86" s="1">
        <f>SUM(OSRRefH22_5x_0)</f>
        <v>40</v>
      </c>
      <c r="I86" s="1"/>
      <c r="J86" s="5">
        <f t="shared" si="32"/>
        <v>1.5814402176061741E-4</v>
      </c>
      <c r="K86" s="1"/>
      <c r="L86" s="1">
        <f t="shared" si="33"/>
        <v>-40</v>
      </c>
      <c r="M86" s="1"/>
      <c r="N86" s="5">
        <f t="shared" si="34"/>
        <v>-1</v>
      </c>
      <c r="O86" s="13"/>
      <c r="P86" s="1">
        <f>SUM(OSRRefP22_5x_0)</f>
        <v>0</v>
      </c>
      <c r="Q86" s="1"/>
      <c r="R86" s="5">
        <f t="shared" si="35"/>
        <v>0</v>
      </c>
      <c r="S86" s="1"/>
      <c r="T86" s="1">
        <f>SUM(OSRRefT22_5x_0)</f>
        <v>120</v>
      </c>
      <c r="U86" s="1"/>
      <c r="V86" s="5">
        <f t="shared" si="36"/>
        <v>1.1993379654430754E-4</v>
      </c>
      <c r="W86" s="1"/>
      <c r="X86" s="1">
        <f t="shared" si="37"/>
        <v>-120</v>
      </c>
      <c r="Y86" s="1"/>
      <c r="Z86" s="5">
        <f t="shared" si="38"/>
        <v>-1</v>
      </c>
    </row>
    <row r="87" spans="1:26" s="24" customFormat="1" hidden="1" outlineLevel="2" x14ac:dyDescent="0.25">
      <c r="A87" s="25"/>
      <c r="B87" s="11" t="str">
        <f>CONCATENATE("          ", "6277", " - ", "EMPLOYEE APPRECIATION")</f>
        <v xml:space="preserve">          6277 - EMPLOYEE APPRECIATION</v>
      </c>
      <c r="C87" s="11"/>
      <c r="D87" s="7"/>
      <c r="E87" s="2"/>
      <c r="F87" s="6">
        <f t="shared" si="31"/>
        <v>0</v>
      </c>
      <c r="G87" s="2"/>
      <c r="H87" s="7">
        <v>40</v>
      </c>
      <c r="I87" s="2"/>
      <c r="J87" s="6">
        <f t="shared" si="32"/>
        <v>1.5814402176061741E-4</v>
      </c>
      <c r="K87" s="2"/>
      <c r="L87" s="7">
        <f t="shared" si="33"/>
        <v>-40</v>
      </c>
      <c r="M87" s="2"/>
      <c r="N87" s="6">
        <f t="shared" si="34"/>
        <v>-1</v>
      </c>
      <c r="O87" s="11"/>
      <c r="P87" s="7"/>
      <c r="Q87" s="2"/>
      <c r="R87" s="6">
        <f t="shared" si="35"/>
        <v>0</v>
      </c>
      <c r="S87" s="2"/>
      <c r="T87" s="7">
        <v>120</v>
      </c>
      <c r="U87" s="2"/>
      <c r="V87" s="6">
        <f t="shared" si="36"/>
        <v>1.1993379654430754E-4</v>
      </c>
      <c r="W87" s="2"/>
      <c r="X87" s="7">
        <f t="shared" si="37"/>
        <v>-120</v>
      </c>
      <c r="Y87" s="2"/>
      <c r="Z87" s="6">
        <f t="shared" si="38"/>
        <v>-1</v>
      </c>
    </row>
    <row r="88" spans="1:26" s="26" customFormat="1" outlineLevel="1" collapsed="1" x14ac:dyDescent="0.25">
      <c r="A88" s="27"/>
      <c r="B88" s="13" t="str">
        <f>CONCATENATE("     ","Freight out/Postage                               ")</f>
        <v xml:space="preserve">     Freight out/Postage                               </v>
      </c>
      <c r="C88" s="13"/>
      <c r="D88" s="1">
        <f>SUM(OSRRefD22_6x_0)</f>
        <v>5.49</v>
      </c>
      <c r="E88" s="1"/>
      <c r="F88" s="5">
        <f t="shared" si="31"/>
        <v>1.7138810724499992E-5</v>
      </c>
      <c r="G88" s="1"/>
      <c r="H88" s="1">
        <f>SUM(OSRRefH22_6x_0)</f>
        <v>25</v>
      </c>
      <c r="I88" s="1"/>
      <c r="J88" s="5">
        <f t="shared" si="32"/>
        <v>9.8840013600385868E-5</v>
      </c>
      <c r="K88" s="1"/>
      <c r="L88" s="1">
        <f t="shared" si="33"/>
        <v>-19.509999999999998</v>
      </c>
      <c r="M88" s="1"/>
      <c r="N88" s="5">
        <f t="shared" si="34"/>
        <v>-0.78039999999999987</v>
      </c>
      <c r="O88" s="13"/>
      <c r="P88" s="1">
        <f>SUM(OSRRefP22_6x_0)</f>
        <v>5.49</v>
      </c>
      <c r="Q88" s="1"/>
      <c r="R88" s="5">
        <f t="shared" si="35"/>
        <v>4.6050167270312506E-6</v>
      </c>
      <c r="S88" s="1"/>
      <c r="T88" s="1">
        <f>SUM(OSRRefT22_6x_0)</f>
        <v>75</v>
      </c>
      <c r="U88" s="1"/>
      <c r="V88" s="5">
        <f t="shared" si="36"/>
        <v>7.4958622840192219E-5</v>
      </c>
      <c r="W88" s="1"/>
      <c r="X88" s="1">
        <f t="shared" si="37"/>
        <v>-69.510000000000005</v>
      </c>
      <c r="Y88" s="1"/>
      <c r="Z88" s="5">
        <f t="shared" si="38"/>
        <v>-0.92680000000000007</v>
      </c>
    </row>
    <row r="89" spans="1:26" s="24" customFormat="1" hidden="1" outlineLevel="2" x14ac:dyDescent="0.25">
      <c r="A89" s="25"/>
      <c r="B89" s="11" t="str">
        <f>CONCATENATE("          ", "6305", " - ", "FREIGHT OUT")</f>
        <v xml:space="preserve">          6305 - FREIGHT OUT</v>
      </c>
      <c r="C89" s="11"/>
      <c r="D89" s="7">
        <v>5.49</v>
      </c>
      <c r="E89" s="2"/>
      <c r="F89" s="6">
        <f t="shared" si="31"/>
        <v>1.7138810724499992E-5</v>
      </c>
      <c r="G89" s="2"/>
      <c r="H89" s="7">
        <v>25</v>
      </c>
      <c r="I89" s="2"/>
      <c r="J89" s="6">
        <f t="shared" si="32"/>
        <v>9.8840013600385868E-5</v>
      </c>
      <c r="K89" s="2"/>
      <c r="L89" s="7">
        <f t="shared" si="33"/>
        <v>-19.509999999999998</v>
      </c>
      <c r="M89" s="2"/>
      <c r="N89" s="6">
        <f t="shared" si="34"/>
        <v>-0.78039999999999987</v>
      </c>
      <c r="O89" s="11"/>
      <c r="P89" s="7">
        <v>5.49</v>
      </c>
      <c r="Q89" s="2"/>
      <c r="R89" s="6">
        <f t="shared" si="35"/>
        <v>4.6050167270312506E-6</v>
      </c>
      <c r="S89" s="2"/>
      <c r="T89" s="7">
        <v>75</v>
      </c>
      <c r="U89" s="2"/>
      <c r="V89" s="6">
        <f t="shared" si="36"/>
        <v>7.4958622840192219E-5</v>
      </c>
      <c r="W89" s="2"/>
      <c r="X89" s="7">
        <f t="shared" si="37"/>
        <v>-69.510000000000005</v>
      </c>
      <c r="Y89" s="2"/>
      <c r="Z89" s="6">
        <f t="shared" si="38"/>
        <v>-0.92680000000000007</v>
      </c>
    </row>
    <row r="90" spans="1:26" s="26" customFormat="1" outlineLevel="1" collapsed="1" x14ac:dyDescent="0.25">
      <c r="A90" s="27"/>
      <c r="B90" s="13" t="str">
        <f>CONCATENATE("     ","Subscriptions &amp; Dues                              ")</f>
        <v xml:space="preserve">     Subscriptions &amp; Dues                              </v>
      </c>
      <c r="C90" s="13"/>
      <c r="D90" s="1">
        <f>SUM(OSRRefD22_7x_0)</f>
        <v>0</v>
      </c>
      <c r="E90" s="1"/>
      <c r="F90" s="5">
        <f t="shared" si="31"/>
        <v>0</v>
      </c>
      <c r="G90" s="1"/>
      <c r="H90" s="1">
        <f>SUM(OSRRefH22_7x_0)</f>
        <v>0</v>
      </c>
      <c r="I90" s="1"/>
      <c r="J90" s="5">
        <f t="shared" si="32"/>
        <v>0</v>
      </c>
      <c r="K90" s="1"/>
      <c r="L90" s="1">
        <f t="shared" si="33"/>
        <v>0</v>
      </c>
      <c r="M90" s="1"/>
      <c r="N90" s="5">
        <f t="shared" si="34"/>
        <v>0</v>
      </c>
      <c r="O90" s="13"/>
      <c r="P90" s="1">
        <f>SUM(OSRRefP22_7x_0)</f>
        <v>-5000</v>
      </c>
      <c r="Q90" s="1"/>
      <c r="R90" s="5">
        <f t="shared" si="35"/>
        <v>-4.194004305128644E-3</v>
      </c>
      <c r="S90" s="1"/>
      <c r="T90" s="1">
        <f>SUM(OSRRefT22_7x_0)</f>
        <v>0</v>
      </c>
      <c r="U90" s="1"/>
      <c r="V90" s="5">
        <f t="shared" si="36"/>
        <v>0</v>
      </c>
      <c r="W90" s="1"/>
      <c r="X90" s="1">
        <f t="shared" si="37"/>
        <v>-5000</v>
      </c>
      <c r="Y90" s="1"/>
      <c r="Z90" s="5">
        <f t="shared" si="38"/>
        <v>0</v>
      </c>
    </row>
    <row r="91" spans="1:26" s="24" customFormat="1" hidden="1" outlineLevel="2" x14ac:dyDescent="0.25">
      <c r="A91" s="25"/>
      <c r="B91" s="11" t="str">
        <f>CONCATENATE("          ", "6258", " - ", "MEMBERSHIP DUES")</f>
        <v xml:space="preserve">          6258 - MEMBERSHIP DUES</v>
      </c>
      <c r="C91" s="11"/>
      <c r="D91" s="7"/>
      <c r="E91" s="2"/>
      <c r="F91" s="6">
        <f t="shared" si="31"/>
        <v>0</v>
      </c>
      <c r="G91" s="2"/>
      <c r="H91" s="7"/>
      <c r="I91" s="2"/>
      <c r="J91" s="6">
        <f t="shared" si="32"/>
        <v>0</v>
      </c>
      <c r="K91" s="2"/>
      <c r="L91" s="7">
        <f t="shared" si="33"/>
        <v>0</v>
      </c>
      <c r="M91" s="2"/>
      <c r="N91" s="6">
        <f t="shared" si="34"/>
        <v>0</v>
      </c>
      <c r="O91" s="11"/>
      <c r="P91" s="7">
        <v>-5000</v>
      </c>
      <c r="Q91" s="2"/>
      <c r="R91" s="6">
        <f t="shared" si="35"/>
        <v>-4.194004305128644E-3</v>
      </c>
      <c r="S91" s="2"/>
      <c r="T91" s="7"/>
      <c r="U91" s="2"/>
      <c r="V91" s="6">
        <f t="shared" si="36"/>
        <v>0</v>
      </c>
      <c r="W91" s="2"/>
      <c r="X91" s="7">
        <f t="shared" si="37"/>
        <v>-5000</v>
      </c>
      <c r="Y91" s="2"/>
      <c r="Z91" s="6">
        <f t="shared" si="38"/>
        <v>0</v>
      </c>
    </row>
    <row r="92" spans="1:26" s="26" customFormat="1" outlineLevel="1" collapsed="1" x14ac:dyDescent="0.25">
      <c r="A92" s="27"/>
      <c r="B92" s="13" t="str">
        <f>CONCATENATE("     ","Supplies                                          ")</f>
        <v xml:space="preserve">     Supplies                                          </v>
      </c>
      <c r="C92" s="13"/>
      <c r="D92" s="1">
        <f>SUM(OSRRefD22_8x_0)</f>
        <v>600.75</v>
      </c>
      <c r="E92" s="1"/>
      <c r="F92" s="5">
        <f t="shared" si="31"/>
        <v>1.8754354358366792E-3</v>
      </c>
      <c r="G92" s="1"/>
      <c r="H92" s="1">
        <f>SUM(OSRRefH22_8x_0)</f>
        <v>275</v>
      </c>
      <c r="I92" s="1"/>
      <c r="J92" s="5">
        <f t="shared" si="32"/>
        <v>1.0872401496042445E-3</v>
      </c>
      <c r="K92" s="1"/>
      <c r="L92" s="1">
        <f t="shared" si="33"/>
        <v>325.75</v>
      </c>
      <c r="M92" s="1"/>
      <c r="N92" s="5">
        <f t="shared" si="34"/>
        <v>1.1845454545454546</v>
      </c>
      <c r="O92" s="13"/>
      <c r="P92" s="1">
        <f>SUM(OSRRefP22_8x_0)</f>
        <v>1364.19</v>
      </c>
      <c r="Q92" s="1"/>
      <c r="R92" s="5">
        <f t="shared" si="35"/>
        <v>1.144283746602689E-3</v>
      </c>
      <c r="S92" s="1"/>
      <c r="T92" s="1">
        <f>SUM(OSRRefT22_8x_0)</f>
        <v>825</v>
      </c>
      <c r="U92" s="1"/>
      <c r="V92" s="5">
        <f t="shared" si="36"/>
        <v>8.2454485124211431E-4</v>
      </c>
      <c r="W92" s="1"/>
      <c r="X92" s="1">
        <f t="shared" si="37"/>
        <v>539.19000000000005</v>
      </c>
      <c r="Y92" s="1"/>
      <c r="Z92" s="5">
        <f t="shared" si="38"/>
        <v>0.65356363636363646</v>
      </c>
    </row>
    <row r="93" spans="1:26" s="24" customFormat="1" hidden="1" outlineLevel="2" x14ac:dyDescent="0.25">
      <c r="A93" s="25"/>
      <c r="B93" s="11" t="str">
        <f>CONCATENATE("          ", "6241", " - ", "OFFICE EXPENSE")</f>
        <v xml:space="preserve">          6241 - OFFICE EXPENSE</v>
      </c>
      <c r="C93" s="11"/>
      <c r="D93" s="7">
        <v>242.54</v>
      </c>
      <c r="E93" s="2"/>
      <c r="F93" s="6">
        <f t="shared" si="31"/>
        <v>7.5716705885614348E-4</v>
      </c>
      <c r="G93" s="2"/>
      <c r="H93" s="7">
        <v>275</v>
      </c>
      <c r="I93" s="2"/>
      <c r="J93" s="6">
        <f t="shared" si="32"/>
        <v>1.0872401496042445E-3</v>
      </c>
      <c r="K93" s="2"/>
      <c r="L93" s="7">
        <f t="shared" si="33"/>
        <v>-32.460000000000008</v>
      </c>
      <c r="M93" s="2"/>
      <c r="N93" s="6">
        <f t="shared" si="34"/>
        <v>-0.11803636363636366</v>
      </c>
      <c r="O93" s="11"/>
      <c r="P93" s="7">
        <v>423.54</v>
      </c>
      <c r="Q93" s="2"/>
      <c r="R93" s="6">
        <f t="shared" si="35"/>
        <v>3.5526571667883716E-4</v>
      </c>
      <c r="S93" s="2"/>
      <c r="T93" s="7">
        <v>825</v>
      </c>
      <c r="U93" s="2"/>
      <c r="V93" s="6">
        <f t="shared" si="36"/>
        <v>8.2454485124211431E-4</v>
      </c>
      <c r="W93" s="2"/>
      <c r="X93" s="7">
        <f t="shared" si="37"/>
        <v>-401.46</v>
      </c>
      <c r="Y93" s="2"/>
      <c r="Z93" s="6">
        <f t="shared" si="38"/>
        <v>-0.48661818181818178</v>
      </c>
    </row>
    <row r="94" spans="1:26" s="24" customFormat="1" hidden="1" outlineLevel="2" x14ac:dyDescent="0.25">
      <c r="A94" s="25"/>
      <c r="B94" s="11" t="str">
        <f>CONCATENATE("          ", "6247", " - ", "STORE SUPPLIES")</f>
        <v xml:space="preserve">          6247 - STORE SUPPLIES</v>
      </c>
      <c r="C94" s="11"/>
      <c r="D94" s="7">
        <v>358.21</v>
      </c>
      <c r="E94" s="2"/>
      <c r="F94" s="6">
        <f t="shared" si="31"/>
        <v>1.1182683769805357E-3</v>
      </c>
      <c r="G94" s="2"/>
      <c r="H94" s="7"/>
      <c r="I94" s="2"/>
      <c r="J94" s="6">
        <f t="shared" si="32"/>
        <v>0</v>
      </c>
      <c r="K94" s="2"/>
      <c r="L94" s="7">
        <f t="shared" si="33"/>
        <v>358.21</v>
      </c>
      <c r="M94" s="2"/>
      <c r="N94" s="6">
        <f t="shared" si="34"/>
        <v>0</v>
      </c>
      <c r="O94" s="11"/>
      <c r="P94" s="7">
        <v>940.65</v>
      </c>
      <c r="Q94" s="2"/>
      <c r="R94" s="6">
        <f t="shared" si="35"/>
        <v>7.8901802992385175E-4</v>
      </c>
      <c r="S94" s="2"/>
      <c r="T94" s="7"/>
      <c r="U94" s="2"/>
      <c r="V94" s="6">
        <f t="shared" si="36"/>
        <v>0</v>
      </c>
      <c r="W94" s="2"/>
      <c r="X94" s="7">
        <f t="shared" si="37"/>
        <v>940.65</v>
      </c>
      <c r="Y94" s="2"/>
      <c r="Z94" s="6">
        <f t="shared" si="38"/>
        <v>0</v>
      </c>
    </row>
    <row r="95" spans="1:26" s="26" customFormat="1" outlineLevel="1" collapsed="1" x14ac:dyDescent="0.25">
      <c r="A95" s="27"/>
      <c r="B95" s="13" t="str">
        <f>CONCATENATE("     ","Telephone/Data Lines                              ")</f>
        <v xml:space="preserve">     Telephone/Data Lines                              </v>
      </c>
      <c r="C95" s="13"/>
      <c r="D95" s="1">
        <f>SUM(OSRRefD22_9x_0)</f>
        <v>330</v>
      </c>
      <c r="E95" s="1"/>
      <c r="F95" s="5">
        <f t="shared" ref="F95:F97" si="39">IF(D$12=0,0,D95/D$12)</f>
        <v>1.0302017375382509E-3</v>
      </c>
      <c r="G95" s="1"/>
      <c r="H95" s="1">
        <f>SUM(OSRRefH22_9x_0)</f>
        <v>280</v>
      </c>
      <c r="I95" s="1"/>
      <c r="J95" s="5">
        <f t="shared" ref="J95:J97" si="40">IF(H$12=0,0,H95/H$12)</f>
        <v>1.1070081523243218E-3</v>
      </c>
      <c r="K95" s="1"/>
      <c r="L95" s="1">
        <f t="shared" ref="L95:L97" si="41">+D95-H95</f>
        <v>50</v>
      </c>
      <c r="M95" s="1"/>
      <c r="N95" s="5">
        <f t="shared" ref="N95:N97" si="42">IF(H95=0,0,L95/H95)</f>
        <v>0.17857142857142858</v>
      </c>
      <c r="O95" s="13"/>
      <c r="P95" s="1">
        <f>SUM(OSRRefP22_9x_0)</f>
        <v>761.3</v>
      </c>
      <c r="Q95" s="1"/>
      <c r="R95" s="5">
        <f t="shared" ref="R95:R97" si="43">IF(P$12=0,0,P95/P$12)</f>
        <v>6.3857909549888724E-4</v>
      </c>
      <c r="S95" s="1"/>
      <c r="T95" s="1">
        <f>SUM(OSRRefT22_9x_0)</f>
        <v>840</v>
      </c>
      <c r="U95" s="1"/>
      <c r="V95" s="5">
        <f t="shared" ref="V95:V97" si="44">IF(T$12=0,0,T95/T$12)</f>
        <v>8.3953657581015281E-4</v>
      </c>
      <c r="W95" s="1"/>
      <c r="X95" s="1">
        <f t="shared" ref="X95:X97" si="45">+P95-T95</f>
        <v>-78.700000000000045</v>
      </c>
      <c r="Y95" s="1"/>
      <c r="Z95" s="5">
        <f t="shared" ref="Z95:Z97" si="46">IF(T95=0,0,X95/T95)</f>
        <v>-9.3690476190476241E-2</v>
      </c>
    </row>
    <row r="96" spans="1:26" s="24" customFormat="1" hidden="1" outlineLevel="2" x14ac:dyDescent="0.25">
      <c r="A96" s="25"/>
      <c r="B96" s="11" t="str">
        <f>CONCATENATE("          ", "6303", " - ", "DATA PHONE LINES")</f>
        <v xml:space="preserve">          6303 - DATA PHONE LINES</v>
      </c>
      <c r="C96" s="11"/>
      <c r="D96" s="7"/>
      <c r="E96" s="2"/>
      <c r="F96" s="6">
        <f t="shared" si="39"/>
        <v>0</v>
      </c>
      <c r="G96" s="2"/>
      <c r="H96" s="7">
        <v>280</v>
      </c>
      <c r="I96" s="2"/>
      <c r="J96" s="6">
        <f t="shared" si="40"/>
        <v>1.1070081523243218E-3</v>
      </c>
      <c r="K96" s="2"/>
      <c r="L96" s="7">
        <f t="shared" si="41"/>
        <v>-280</v>
      </c>
      <c r="M96" s="2"/>
      <c r="N96" s="6">
        <f t="shared" si="42"/>
        <v>-1</v>
      </c>
      <c r="O96" s="11"/>
      <c r="P96" s="7"/>
      <c r="Q96" s="2"/>
      <c r="R96" s="6">
        <f t="shared" si="43"/>
        <v>0</v>
      </c>
      <c r="S96" s="2"/>
      <c r="T96" s="7">
        <v>840</v>
      </c>
      <c r="U96" s="2"/>
      <c r="V96" s="6">
        <f t="shared" si="44"/>
        <v>8.3953657581015281E-4</v>
      </c>
      <c r="W96" s="2"/>
      <c r="X96" s="7">
        <f t="shared" si="45"/>
        <v>-840</v>
      </c>
      <c r="Y96" s="2"/>
      <c r="Z96" s="6">
        <f t="shared" si="46"/>
        <v>-1</v>
      </c>
    </row>
    <row r="97" spans="1:26" s="24" customFormat="1" hidden="1" outlineLevel="2" x14ac:dyDescent="0.25">
      <c r="A97" s="25"/>
      <c r="B97" s="11" t="str">
        <f>CONCATENATE("          ", "6309", " - ", "TELEPHONE")</f>
        <v xml:space="preserve">          6309 - TELEPHONE</v>
      </c>
      <c r="C97" s="11"/>
      <c r="D97" s="7">
        <v>330</v>
      </c>
      <c r="E97" s="2"/>
      <c r="F97" s="6">
        <f t="shared" si="39"/>
        <v>1.0302017375382509E-3</v>
      </c>
      <c r="G97" s="2"/>
      <c r="H97" s="7"/>
      <c r="I97" s="2"/>
      <c r="J97" s="6">
        <f t="shared" si="40"/>
        <v>0</v>
      </c>
      <c r="K97" s="2"/>
      <c r="L97" s="7">
        <f t="shared" si="41"/>
        <v>330</v>
      </c>
      <c r="M97" s="2"/>
      <c r="N97" s="6">
        <f t="shared" si="42"/>
        <v>0</v>
      </c>
      <c r="O97" s="11"/>
      <c r="P97" s="7">
        <v>761.3</v>
      </c>
      <c r="Q97" s="2"/>
      <c r="R97" s="6">
        <f t="shared" si="43"/>
        <v>6.3857909549888724E-4</v>
      </c>
      <c r="S97" s="2"/>
      <c r="T97" s="7"/>
      <c r="U97" s="2"/>
      <c r="V97" s="6">
        <f t="shared" si="44"/>
        <v>0</v>
      </c>
      <c r="W97" s="2"/>
      <c r="X97" s="7">
        <f t="shared" si="45"/>
        <v>761.3</v>
      </c>
      <c r="Y97" s="2"/>
      <c r="Z97" s="6">
        <f t="shared" si="46"/>
        <v>0</v>
      </c>
    </row>
    <row r="98" spans="1:26" s="26" customFormat="1" outlineLevel="1" collapsed="1" x14ac:dyDescent="0.25">
      <c r="A98" s="27"/>
      <c r="B98" s="13" t="str">
        <f>CONCATENATE("     ","Training                                          ")</f>
        <v xml:space="preserve">     Training                                          </v>
      </c>
      <c r="C98" s="13"/>
      <c r="D98" s="1">
        <f>SUM(OSRRefD22_10x_0)</f>
        <v>0</v>
      </c>
      <c r="E98" s="1"/>
      <c r="F98" s="5">
        <f t="shared" ref="F98:F99" si="47">IF(D$12=0,0,D98/D$12)</f>
        <v>0</v>
      </c>
      <c r="G98" s="1"/>
      <c r="H98" s="1">
        <f>SUM(OSRRefH22_10x_0)</f>
        <v>375</v>
      </c>
      <c r="I98" s="1"/>
      <c r="J98" s="5">
        <f t="shared" ref="J98:J99" si="48">IF(H$12=0,0,H98/H$12)</f>
        <v>1.4826002040057881E-3</v>
      </c>
      <c r="K98" s="1"/>
      <c r="L98" s="1">
        <f t="shared" ref="L98:L99" si="49">+D98-H98</f>
        <v>-375</v>
      </c>
      <c r="M98" s="1"/>
      <c r="N98" s="5">
        <f t="shared" ref="N98:N99" si="50">IF(H98=0,0,L98/H98)</f>
        <v>-1</v>
      </c>
      <c r="O98" s="13"/>
      <c r="P98" s="1">
        <f>SUM(OSRRefP22_10x_0)</f>
        <v>0</v>
      </c>
      <c r="Q98" s="1"/>
      <c r="R98" s="5">
        <f t="shared" ref="R98:R99" si="51">IF(P$12=0,0,P98/P$12)</f>
        <v>0</v>
      </c>
      <c r="S98" s="1"/>
      <c r="T98" s="1">
        <f>SUM(OSRRefT22_10x_0)</f>
        <v>1125</v>
      </c>
      <c r="U98" s="1"/>
      <c r="V98" s="5">
        <f t="shared" ref="V98:V99" si="52">IF(T$12=0,0,T98/T$12)</f>
        <v>1.1243793426028831E-3</v>
      </c>
      <c r="W98" s="1"/>
      <c r="X98" s="1">
        <f t="shared" ref="X98:X99" si="53">+P98-T98</f>
        <v>-1125</v>
      </c>
      <c r="Y98" s="1"/>
      <c r="Z98" s="5">
        <f t="shared" ref="Z98:Z99" si="54">IF(T98=0,0,X98/T98)</f>
        <v>-1</v>
      </c>
    </row>
    <row r="99" spans="1:26" s="24" customFormat="1" hidden="1" outlineLevel="2" x14ac:dyDescent="0.25">
      <c r="A99" s="25"/>
      <c r="B99" s="11" t="str">
        <f>CONCATENATE("          ", "6376", " - ", "TRAINING")</f>
        <v xml:space="preserve">          6376 - TRAINING</v>
      </c>
      <c r="C99" s="11"/>
      <c r="D99" s="7"/>
      <c r="E99" s="2"/>
      <c r="F99" s="6">
        <f t="shared" si="47"/>
        <v>0</v>
      </c>
      <c r="G99" s="2"/>
      <c r="H99" s="7">
        <v>375</v>
      </c>
      <c r="I99" s="2"/>
      <c r="J99" s="6">
        <f t="shared" si="48"/>
        <v>1.4826002040057881E-3</v>
      </c>
      <c r="K99" s="2"/>
      <c r="L99" s="7">
        <f t="shared" si="49"/>
        <v>-375</v>
      </c>
      <c r="M99" s="2"/>
      <c r="N99" s="6">
        <f t="shared" si="50"/>
        <v>-1</v>
      </c>
      <c r="O99" s="11"/>
      <c r="P99" s="7"/>
      <c r="Q99" s="2"/>
      <c r="R99" s="6">
        <f t="shared" si="51"/>
        <v>0</v>
      </c>
      <c r="S99" s="2"/>
      <c r="T99" s="7">
        <v>1125</v>
      </c>
      <c r="U99" s="2"/>
      <c r="V99" s="6">
        <f t="shared" si="52"/>
        <v>1.1243793426028831E-3</v>
      </c>
      <c r="W99" s="2"/>
      <c r="X99" s="7">
        <f t="shared" si="53"/>
        <v>-1125</v>
      </c>
      <c r="Y99" s="2"/>
      <c r="Z99" s="6">
        <f t="shared" si="54"/>
        <v>-1</v>
      </c>
    </row>
    <row r="100" spans="1:26" s="63" customFormat="1" x14ac:dyDescent="0.25">
      <c r="A100" s="36"/>
      <c r="B100" s="36"/>
      <c r="C100" s="36"/>
      <c r="D100" s="1"/>
      <c r="E100" s="1"/>
      <c r="F100" s="5"/>
      <c r="G100" s="1"/>
      <c r="H100" s="1"/>
      <c r="I100" s="1"/>
      <c r="J100" s="5"/>
      <c r="K100" s="1"/>
      <c r="L100" s="1"/>
      <c r="M100" s="1"/>
      <c r="N100" s="5"/>
      <c r="O100" s="36"/>
      <c r="P100" s="1"/>
      <c r="Q100" s="1"/>
      <c r="R100" s="5"/>
      <c r="S100" s="1"/>
      <c r="T100" s="1"/>
      <c r="U100" s="1"/>
      <c r="V100" s="5"/>
      <c r="W100" s="1"/>
      <c r="X100" s="1"/>
      <c r="Y100" s="1"/>
      <c r="Z100" s="5"/>
    </row>
    <row r="101" spans="1:26" s="23" customFormat="1" collapsed="1" x14ac:dyDescent="0.25">
      <c r="A101" s="10"/>
      <c r="B101" s="28" t="s">
        <v>0</v>
      </c>
      <c r="C101" s="10"/>
      <c r="D101" s="4">
        <f>SUM(OSRRefD25x_0)</f>
        <v>5155.6499999999996</v>
      </c>
      <c r="E101" s="4"/>
      <c r="F101" s="12">
        <f t="shared" ref="F101:F104" si="55">IF(D$12=0,0,D101/D$12)</f>
        <v>1.6095029054966917E-2</v>
      </c>
      <c r="G101" s="4"/>
      <c r="H101" s="4">
        <f>SUM(OSRRefH25x_0)</f>
        <v>2025</v>
      </c>
      <c r="I101" s="4"/>
      <c r="J101" s="12">
        <f t="shared" ref="J101:J104" si="56">IF(H$12=0,0,H101/H$12)</f>
        <v>8.0060411016312557E-3</v>
      </c>
      <c r="K101" s="4"/>
      <c r="L101" s="4">
        <f t="shared" ref="L101:L104" si="57">+D101-H101</f>
        <v>3130.6499999999996</v>
      </c>
      <c r="M101" s="4"/>
      <c r="N101" s="12">
        <f t="shared" ref="N101:N104" si="58">IF(H101=0,0,L101/H101)</f>
        <v>1.5459999999999998</v>
      </c>
      <c r="O101" s="10"/>
      <c r="P101" s="4">
        <f>SUM(OSRRefP25x_0)</f>
        <v>2146.1100000000006</v>
      </c>
      <c r="Q101" s="4"/>
      <c r="R101" s="12">
        <f t="shared" ref="R101:R104" si="59">IF(P$12=0,0,P101/P$12)</f>
        <v>1.8001589158559272E-3</v>
      </c>
      <c r="S101" s="4"/>
      <c r="T101" s="4">
        <f>SUM(OSRRefT25x_0)</f>
        <v>5400</v>
      </c>
      <c r="U101" s="4"/>
      <c r="V101" s="12">
        <f t="shared" ref="V101:V104" si="60">IF(T$12=0,0,T101/T$12)</f>
        <v>5.3970208444938392E-3</v>
      </c>
      <c r="W101" s="4"/>
      <c r="X101" s="4">
        <f t="shared" ref="X101:X104" si="61">+P101-T101</f>
        <v>-3253.8899999999994</v>
      </c>
      <c r="Y101" s="4"/>
      <c r="Z101" s="12">
        <f t="shared" ref="Z101:Z104" si="62">IF(T101=0,0,X101/T101)</f>
        <v>-0.60257222222222206</v>
      </c>
    </row>
    <row r="102" spans="1:26" s="24" customFormat="1" hidden="1" outlineLevel="1" x14ac:dyDescent="0.25">
      <c r="A102" s="46"/>
      <c r="B102" s="11" t="str">
        <f>CONCATENATE("          ", "4187", " - ", "NON-TAXABLE SALES-COMPUTER REP")</f>
        <v xml:space="preserve">          4187 - NON-TAXABLE SALES-COMPUTER REP</v>
      </c>
      <c r="C102" s="11"/>
      <c r="D102" s="2">
        <f>--4892.54</f>
        <v>4892.54</v>
      </c>
      <c r="E102" s="2"/>
      <c r="F102" s="19">
        <f t="shared" si="55"/>
        <v>1.5273646087804222E-2</v>
      </c>
      <c r="G102" s="2"/>
      <c r="H102" s="2"/>
      <c r="I102" s="2"/>
      <c r="J102" s="19">
        <f t="shared" si="56"/>
        <v>0</v>
      </c>
      <c r="K102" s="2"/>
      <c r="L102" s="2">
        <f t="shared" si="57"/>
        <v>4892.54</v>
      </c>
      <c r="M102" s="2"/>
      <c r="N102" s="19">
        <f t="shared" si="58"/>
        <v>0</v>
      </c>
      <c r="O102" s="11"/>
      <c r="P102" s="2">
        <f>--7374.8</f>
        <v>7374.8</v>
      </c>
      <c r="Q102" s="2"/>
      <c r="R102" s="19">
        <f t="shared" si="59"/>
        <v>6.1859885898925444E-3</v>
      </c>
      <c r="S102" s="2"/>
      <c r="T102" s="2"/>
      <c r="U102" s="2"/>
      <c r="V102" s="19">
        <f t="shared" si="60"/>
        <v>0</v>
      </c>
      <c r="W102" s="2"/>
      <c r="X102" s="2">
        <f t="shared" si="61"/>
        <v>7374.8</v>
      </c>
      <c r="Y102" s="2"/>
      <c r="Z102" s="19">
        <f t="shared" si="62"/>
        <v>0</v>
      </c>
    </row>
    <row r="103" spans="1:26" s="24" customFormat="1" hidden="1" outlineLevel="1" x14ac:dyDescent="0.25">
      <c r="A103" s="46"/>
      <c r="B103" s="11" t="str">
        <f>CONCATENATE("          ", "4387", " - ", "SALES RETURN NON TAXABLE-COMPU")</f>
        <v xml:space="preserve">          4387 - SALES RETURN NON TAXABLE-COMPU</v>
      </c>
      <c r="C103" s="11"/>
      <c r="D103" s="2">
        <f>-2989.2</f>
        <v>-2989.2</v>
      </c>
      <c r="E103" s="2"/>
      <c r="F103" s="19">
        <f t="shared" si="55"/>
        <v>-9.3317546480283006E-3</v>
      </c>
      <c r="G103" s="2"/>
      <c r="H103" s="2"/>
      <c r="I103" s="2"/>
      <c r="J103" s="19">
        <f t="shared" si="56"/>
        <v>0</v>
      </c>
      <c r="K103" s="2"/>
      <c r="L103" s="2">
        <f t="shared" si="57"/>
        <v>-2989.2</v>
      </c>
      <c r="M103" s="2"/>
      <c r="N103" s="19">
        <f t="shared" si="58"/>
        <v>0</v>
      </c>
      <c r="O103" s="11"/>
      <c r="P103" s="2">
        <f>-6440.7</f>
        <v>-6440.7</v>
      </c>
      <c r="Q103" s="2"/>
      <c r="R103" s="19">
        <f t="shared" si="59"/>
        <v>-5.4024647056084112E-3</v>
      </c>
      <c r="S103" s="2"/>
      <c r="T103" s="2"/>
      <c r="U103" s="2"/>
      <c r="V103" s="19">
        <f t="shared" si="60"/>
        <v>0</v>
      </c>
      <c r="W103" s="2"/>
      <c r="X103" s="2">
        <f t="shared" si="61"/>
        <v>-6440.7</v>
      </c>
      <c r="Y103" s="2"/>
      <c r="Z103" s="19">
        <f t="shared" si="62"/>
        <v>0</v>
      </c>
    </row>
    <row r="104" spans="1:26" s="24" customFormat="1" hidden="1" outlineLevel="1" x14ac:dyDescent="0.25">
      <c r="A104" s="46"/>
      <c r="B104" s="11" t="str">
        <f>CONCATENATE("          ", "9150", " - ", "MISC. INCOME")</f>
        <v xml:space="preserve">          9150 - MISC. INCOME</v>
      </c>
      <c r="C104" s="11"/>
      <c r="D104" s="2">
        <f>--3252.31</f>
        <v>3252.31</v>
      </c>
      <c r="E104" s="2"/>
      <c r="F104" s="19">
        <f t="shared" si="55"/>
        <v>1.0153137615190995E-2</v>
      </c>
      <c r="G104" s="2"/>
      <c r="H104" s="2">
        <v>2025</v>
      </c>
      <c r="I104" s="2"/>
      <c r="J104" s="19">
        <f t="shared" si="56"/>
        <v>8.0060411016312557E-3</v>
      </c>
      <c r="K104" s="2"/>
      <c r="L104" s="2">
        <f t="shared" si="57"/>
        <v>1227.31</v>
      </c>
      <c r="M104" s="2"/>
      <c r="N104" s="19">
        <f t="shared" si="58"/>
        <v>0.60607901234567896</v>
      </c>
      <c r="O104" s="11"/>
      <c r="P104" s="2">
        <f>--1212.01</f>
        <v>1212.01</v>
      </c>
      <c r="Q104" s="2"/>
      <c r="R104" s="19">
        <f t="shared" si="59"/>
        <v>1.0166350315717935E-3</v>
      </c>
      <c r="S104" s="2"/>
      <c r="T104" s="2">
        <v>5400</v>
      </c>
      <c r="U104" s="2"/>
      <c r="V104" s="19">
        <f t="shared" si="60"/>
        <v>5.3970208444938392E-3</v>
      </c>
      <c r="W104" s="2"/>
      <c r="X104" s="2">
        <f t="shared" si="61"/>
        <v>-4187.99</v>
      </c>
      <c r="Y104" s="2"/>
      <c r="Z104" s="19">
        <f t="shared" si="62"/>
        <v>-0.77555370370370369</v>
      </c>
    </row>
    <row r="105" spans="1:26" x14ac:dyDescent="0.25">
      <c r="A105" s="9"/>
      <c r="B105" s="10"/>
      <c r="C105" s="10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O105" s="10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x14ac:dyDescent="0.25">
      <c r="A106" s="10"/>
      <c r="B106" s="29" t="s">
        <v>3</v>
      </c>
      <c r="C106" s="29"/>
      <c r="D106" s="22">
        <f>+D55-D57+D101</f>
        <v>34417.529999999912</v>
      </c>
      <c r="E106" s="14"/>
      <c r="F106" s="20">
        <f>IF(D$12=0,0,D106/D$12)</f>
        <v>0.10744545214477207</v>
      </c>
      <c r="G106" s="14"/>
      <c r="H106" s="22">
        <f>+H55-H57+H101</f>
        <v>40292.120887683079</v>
      </c>
      <c r="I106" s="14"/>
      <c r="J106" s="20">
        <f>IF(H$12=0,0,H106/H$12)</f>
        <v>0.1592989510610795</v>
      </c>
      <c r="K106" s="15"/>
      <c r="L106" s="22">
        <f>+D106-H106</f>
        <v>-5874.5908876831672</v>
      </c>
      <c r="M106" s="15"/>
      <c r="N106" s="20">
        <f>IF(H106=0,0,L106/H106)</f>
        <v>-0.14579999161769056</v>
      </c>
      <c r="O106" s="28"/>
      <c r="P106" s="22">
        <f>+P55-P57+P101</f>
        <v>15970.819999999716</v>
      </c>
      <c r="Q106" s="14"/>
      <c r="R106" s="20">
        <f>IF(P$12=0,0,P106/P$12)</f>
        <v>1.3396337567286691E-2</v>
      </c>
      <c r="S106" s="14"/>
      <c r="T106" s="22">
        <f>+T55-T57+T101</f>
        <v>174202.06768187002</v>
      </c>
      <c r="U106" s="14"/>
      <c r="V106" s="20">
        <f>IF(T$12=0,0,T106/T$12)</f>
        <v>0.17410596119129243</v>
      </c>
      <c r="W106" s="15"/>
      <c r="X106" s="22">
        <f>+P106-T106</f>
        <v>-158231.2476818703</v>
      </c>
      <c r="Y106" s="15"/>
      <c r="Z106" s="20">
        <f>IF(T106=0,0,X106/T106)</f>
        <v>-0.90832014675528516</v>
      </c>
    </row>
    <row r="107" spans="1:26" x14ac:dyDescent="0.25">
      <c r="A107" s="9"/>
      <c r="B107" s="10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x14ac:dyDescent="0.25">
      <c r="A108" s="52"/>
      <c r="B108" s="10" t="s">
        <v>14</v>
      </c>
      <c r="C108" s="10"/>
      <c r="D108" s="4">
        <v>19351.62</v>
      </c>
      <c r="E108" s="4"/>
      <c r="F108" s="12">
        <f>IF(D$12=0,0,D108/D$12)</f>
        <v>6.0412341055090794E-2</v>
      </c>
      <c r="G108" s="4"/>
      <c r="H108" s="4">
        <v>5139</v>
      </c>
      <c r="I108" s="4"/>
      <c r="J108" s="12">
        <f>IF(H$12=0,0,H108/H$12)</f>
        <v>2.031755319569532E-2</v>
      </c>
      <c r="K108" s="4"/>
      <c r="L108" s="4">
        <f>+D108-H108</f>
        <v>14212.619999999999</v>
      </c>
      <c r="M108" s="4"/>
      <c r="N108" s="12">
        <f>IF(H108=0,0,L108/H108)</f>
        <v>2.7656392294220664</v>
      </c>
      <c r="O108" s="10"/>
      <c r="P108" s="4">
        <v>128055.71999999999</v>
      </c>
      <c r="Q108" s="4"/>
      <c r="R108" s="12">
        <f>IF(P$12=0,0,P108/P$12)</f>
        <v>0.10741324819526962</v>
      </c>
      <c r="S108" s="4"/>
      <c r="T108" s="4">
        <v>126553.99999999999</v>
      </c>
      <c r="U108" s="4"/>
      <c r="V108" s="12">
        <f>IF(T$12=0,0,T108/T$12)</f>
        <v>0.1264841807322358</v>
      </c>
      <c r="W108" s="4"/>
      <c r="X108" s="4">
        <f>+P108-T108</f>
        <v>1501.7200000000012</v>
      </c>
      <c r="Y108" s="4"/>
      <c r="Z108" s="12">
        <f>IF(T108=0,0,X108/T108)</f>
        <v>1.1866238917774241E-2</v>
      </c>
    </row>
    <row r="109" spans="1:26" x14ac:dyDescent="0.25">
      <c r="A109" s="9"/>
      <c r="B109" s="10"/>
      <c r="C109" s="10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O109" s="10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ht="15.75" thickBot="1" x14ac:dyDescent="0.3">
      <c r="A110" s="10"/>
      <c r="B110" s="29" t="s">
        <v>4</v>
      </c>
      <c r="C110" s="29"/>
      <c r="D110" s="35">
        <f>+D106-D108</f>
        <v>15065.909999999913</v>
      </c>
      <c r="E110" s="14"/>
      <c r="F110" s="32">
        <f>IF(D$12=0,0,D110/D$12)</f>
        <v>4.7033111089681265E-2</v>
      </c>
      <c r="G110" s="14"/>
      <c r="H110" s="35">
        <f>+H106-H108</f>
        <v>35153.120887683079</v>
      </c>
      <c r="I110" s="14"/>
      <c r="J110" s="32">
        <f>IF(H$12=0,0,H110/H$12)</f>
        <v>0.13898139786538416</v>
      </c>
      <c r="K110" s="15"/>
      <c r="L110" s="35">
        <f>D110-H110</f>
        <v>-20087.210887683166</v>
      </c>
      <c r="M110" s="15"/>
      <c r="N110" s="32">
        <f>IF(H110=0,0,L110/H110)</f>
        <v>-0.5714204139047383</v>
      </c>
      <c r="O110" s="28"/>
      <c r="P110" s="35">
        <f>+P106-P108</f>
        <v>-112084.90000000027</v>
      </c>
      <c r="Q110" s="14"/>
      <c r="R110" s="32">
        <f>IF(P$12=0,0,P110/P$12)</f>
        <v>-9.4016910627982925E-2</v>
      </c>
      <c r="S110" s="14"/>
      <c r="T110" s="35">
        <f>+T106-T108</f>
        <v>47648.06768187003</v>
      </c>
      <c r="U110" s="14"/>
      <c r="V110" s="32">
        <f>IF(T$12=0,0,T110/T$12)</f>
        <v>4.7621780459056628E-2</v>
      </c>
      <c r="W110" s="15"/>
      <c r="X110" s="35">
        <f>P110-T110</f>
        <v>-159732.9676818703</v>
      </c>
      <c r="Y110" s="15"/>
      <c r="Z110" s="32">
        <f>IF(T110=0,0,X110/T110)</f>
        <v>-3.3523493281690473</v>
      </c>
    </row>
    <row r="111" spans="1:26" ht="15.75" thickTop="1" x14ac:dyDescent="0.25">
      <c r="A111" s="9"/>
      <c r="B111" s="9"/>
      <c r="C111" s="9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x14ac:dyDescent="0.25">
      <c r="A112" s="9"/>
      <c r="B112" s="9"/>
      <c r="C112" s="9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3" customFormat="1" ht="15.75" thickBot="1" x14ac:dyDescent="0.3">
      <c r="A113" s="10"/>
      <c r="B113" s="29" t="s">
        <v>5</v>
      </c>
      <c r="C113" s="29"/>
      <c r="D113" s="30">
        <f>SUM(D110:D112)</f>
        <v>15065.909999999913</v>
      </c>
      <c r="E113" s="14"/>
      <c r="F113" s="31">
        <f>IF(D$12=0,0,D113/D$12)</f>
        <v>4.7033111089681265E-2</v>
      </c>
      <c r="G113" s="14"/>
      <c r="H113" s="30">
        <f>SUM(H110:H112)</f>
        <v>35153.120887683079</v>
      </c>
      <c r="I113" s="14"/>
      <c r="J113" s="31">
        <f>IF(H$12=0,0,H113/H$12)</f>
        <v>0.13898139786538416</v>
      </c>
      <c r="K113" s="15"/>
      <c r="L113" s="30">
        <f>+D113-H113</f>
        <v>-20087.210887683166</v>
      </c>
      <c r="M113" s="15"/>
      <c r="N113" s="31">
        <f>IF(H113=0,0,L113/H113)</f>
        <v>-0.5714204139047383</v>
      </c>
      <c r="O113" s="28"/>
      <c r="P113" s="30">
        <f>SUM(P110:P112)</f>
        <v>-112084.90000000027</v>
      </c>
      <c r="Q113" s="14"/>
      <c r="R113" s="31">
        <f>IF(P$12=0,0,P113/P$12)</f>
        <v>-9.4016910627982925E-2</v>
      </c>
      <c r="S113" s="14"/>
      <c r="T113" s="30">
        <f>SUM(T110:T112)</f>
        <v>47648.06768187003</v>
      </c>
      <c r="U113" s="14"/>
      <c r="V113" s="31">
        <f>IF(T$12=0,0,T113/T$12)</f>
        <v>4.7621780459056628E-2</v>
      </c>
      <c r="W113" s="15"/>
      <c r="X113" s="30">
        <f>+P113-T113</f>
        <v>-159732.9676818703</v>
      </c>
      <c r="Y113" s="15"/>
      <c r="Z113" s="31">
        <f>IF(T113=0,0,X113/T113)</f>
        <v>-3.3523493281690473</v>
      </c>
    </row>
    <row r="114" spans="1:26" ht="15.75" thickTop="1" x14ac:dyDescent="0.25">
      <c r="A114" s="9"/>
      <c r="C114" s="9"/>
      <c r="D114" s="18"/>
      <c r="E114" s="18"/>
      <c r="G114" s="18"/>
      <c r="H114" s="18"/>
      <c r="I114" s="18"/>
      <c r="J114" s="43"/>
      <c r="K114" s="18"/>
      <c r="L114" s="18"/>
      <c r="M114" s="18"/>
      <c r="P114" s="18"/>
      <c r="Q114" s="18"/>
      <c r="R114" s="43"/>
      <c r="S114" s="18"/>
      <c r="T114" s="18"/>
      <c r="U114" s="18"/>
      <c r="V114" s="43"/>
      <c r="W114" s="18"/>
      <c r="X114" s="18"/>
    </row>
    <row r="115" spans="1:26" x14ac:dyDescent="0.25">
      <c r="A115" s="9"/>
      <c r="B115" s="53">
        <v>43756.452390243052</v>
      </c>
      <c r="D115" s="18"/>
      <c r="E115" s="18"/>
      <c r="G115" s="18"/>
      <c r="H115" s="18"/>
      <c r="I115" s="18"/>
      <c r="J115" s="43"/>
      <c r="K115" s="18"/>
      <c r="L115" s="18"/>
      <c r="M115" s="18"/>
      <c r="P115" s="18"/>
      <c r="Q115" s="18"/>
      <c r="R115" s="43"/>
      <c r="S115" s="18"/>
      <c r="T115" s="18"/>
      <c r="U115" s="18"/>
      <c r="V115" s="43"/>
      <c r="W115" s="18"/>
      <c r="X115" s="18"/>
    </row>
    <row r="116" spans="1:26" x14ac:dyDescent="0.25">
      <c r="A116" s="9"/>
      <c r="B116" s="55" t="s">
        <v>314</v>
      </c>
      <c r="D116" s="18"/>
      <c r="E116" s="18"/>
      <c r="G116" s="18"/>
      <c r="H116" s="18"/>
      <c r="I116" s="18"/>
      <c r="J116" s="43"/>
      <c r="K116" s="18"/>
      <c r="L116" s="18"/>
      <c r="M116" s="18"/>
      <c r="P116" s="18"/>
      <c r="Q116" s="18"/>
      <c r="R116" s="43"/>
      <c r="S116" s="18"/>
      <c r="T116" s="18"/>
      <c r="U116" s="18"/>
      <c r="V116" s="43"/>
      <c r="W116" s="18"/>
      <c r="X116" s="18"/>
    </row>
    <row r="117" spans="1:26" x14ac:dyDescent="0.25">
      <c r="A117" s="9"/>
      <c r="B117" s="56"/>
      <c r="D117" s="18"/>
      <c r="E117" s="18"/>
      <c r="G117" s="18"/>
      <c r="H117" s="18"/>
      <c r="I117" s="18"/>
      <c r="J117" s="43"/>
      <c r="K117" s="18"/>
      <c r="L117" s="18"/>
      <c r="M117" s="18"/>
      <c r="P117" s="18"/>
      <c r="Q117" s="18"/>
      <c r="R117" s="43"/>
      <c r="S117" s="18"/>
      <c r="T117" s="18"/>
      <c r="U117" s="18"/>
      <c r="V117" s="43"/>
      <c r="W117" s="18"/>
      <c r="X117" s="18"/>
    </row>
    <row r="118" spans="1:26" x14ac:dyDescent="0.25">
      <c r="D118" s="18"/>
      <c r="E118" s="18"/>
      <c r="G118" s="18"/>
      <c r="H118" s="18"/>
      <c r="I118" s="18"/>
      <c r="J118" s="43"/>
      <c r="K118" s="18"/>
      <c r="L118" s="18"/>
      <c r="M118" s="18"/>
      <c r="P118" s="18"/>
      <c r="Q118" s="18"/>
      <c r="R118" s="43"/>
      <c r="S118" s="18"/>
      <c r="T118" s="18"/>
      <c r="U118" s="18"/>
      <c r="V118" s="43"/>
      <c r="W118" s="18"/>
      <c r="X118" s="18"/>
    </row>
  </sheetData>
  <pageMargins left="0.25" right="0.25" top="0.75" bottom="0.75" header="0.3" footer="0.3"/>
  <pageSetup scale="55" fitToWidth="2" orientation="landscape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2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str">
        <f>CONCATENATE("Period ",RIGHT(202003,2),", ",2020)</f>
        <v>Period 03, 2020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43736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">
        <v>307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400942.54000000004</v>
      </c>
      <c r="E12" s="4"/>
      <c r="F12" s="12"/>
      <c r="G12" s="4"/>
      <c r="H12" s="4">
        <f>SUM(OSRRefH13x_0)</f>
        <v>404788</v>
      </c>
      <c r="I12" s="4"/>
      <c r="J12" s="12"/>
      <c r="K12" s="4"/>
      <c r="L12" s="4">
        <f t="shared" ref="L12:L22" si="0">+D12-H12</f>
        <v>-3845.4599999999627</v>
      </c>
      <c r="M12" s="4"/>
      <c r="N12" s="12">
        <f t="shared" ref="N12:N22" si="1">IF(H12=0,0,L12/H12)</f>
        <v>-9.4999357688468102E-3</v>
      </c>
      <c r="O12" s="10"/>
      <c r="P12" s="4">
        <f>SUM(OSRRefP13x_0)</f>
        <v>588485.84000000008</v>
      </c>
      <c r="Q12" s="4"/>
      <c r="R12" s="12"/>
      <c r="S12" s="4"/>
      <c r="T12" s="4">
        <f>SUM(OSRRefT13x_0)</f>
        <v>603731.19999999995</v>
      </c>
      <c r="U12" s="4"/>
      <c r="V12" s="12"/>
      <c r="W12" s="4"/>
      <c r="X12" s="4">
        <f t="shared" ref="X12:X22" si="2">+P12-T12</f>
        <v>-15245.35999999987</v>
      </c>
      <c r="Y12" s="4"/>
      <c r="Z12" s="12">
        <f t="shared" ref="Z12:Z22" si="3">IF(T12=0,0,X12/T12)</f>
        <v>-2.5251900183392659E-2</v>
      </c>
    </row>
    <row r="13" spans="1:26" s="24" customFormat="1" hidden="1" outlineLevel="1" x14ac:dyDescent="0.25">
      <c r="A13" s="46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94322</v>
      </c>
      <c r="I13" s="2"/>
      <c r="J13" s="19"/>
      <c r="K13" s="2"/>
      <c r="L13" s="2">
        <f t="shared" si="0"/>
        <v>-94322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140972.19999999998</v>
      </c>
      <c r="U13" s="2"/>
      <c r="V13" s="19"/>
      <c r="W13" s="2"/>
      <c r="X13" s="2">
        <f t="shared" si="2"/>
        <v>-140972.19999999998</v>
      </c>
      <c r="Y13" s="2"/>
      <c r="Z13" s="19">
        <f t="shared" si="3"/>
        <v>-1</v>
      </c>
    </row>
    <row r="14" spans="1:26" s="24" customFormat="1" hidden="1" outlineLevel="1" x14ac:dyDescent="0.25">
      <c r="A14" s="46"/>
      <c r="B14" s="11" t="str">
        <f>CONCATENATE("          ", "4032", " - ", "TAXABLE SALES-JUICE")</f>
        <v xml:space="preserve">          4032 - TAXABLE SALES-JUICE</v>
      </c>
      <c r="C14" s="11"/>
      <c r="D14" s="2">
        <f>--47906.96</f>
        <v>47906.96</v>
      </c>
      <c r="E14" s="2"/>
      <c r="F14" s="19"/>
      <c r="G14" s="2"/>
      <c r="H14" s="2"/>
      <c r="I14" s="2"/>
      <c r="J14" s="19"/>
      <c r="K14" s="2"/>
      <c r="L14" s="2">
        <f t="shared" si="0"/>
        <v>47906.96</v>
      </c>
      <c r="M14" s="2"/>
      <c r="N14" s="19">
        <f t="shared" si="1"/>
        <v>0</v>
      </c>
      <c r="O14" s="11"/>
      <c r="P14" s="2">
        <f>--72656.34</f>
        <v>72656.34</v>
      </c>
      <c r="Q14" s="2"/>
      <c r="R14" s="19"/>
      <c r="S14" s="2"/>
      <c r="T14" s="2"/>
      <c r="U14" s="2"/>
      <c r="V14" s="19"/>
      <c r="W14" s="2"/>
      <c r="X14" s="2">
        <f t="shared" si="2"/>
        <v>72656.34</v>
      </c>
      <c r="Y14" s="2"/>
      <c r="Z14" s="19">
        <f t="shared" si="3"/>
        <v>0</v>
      </c>
    </row>
    <row r="15" spans="1:26" s="24" customFormat="1" hidden="1" outlineLevel="1" x14ac:dyDescent="0.25">
      <c r="A15" s="46"/>
      <c r="B15" s="11" t="str">
        <f>CONCATENATE("          ", "4034", " - ", "TAXABLE SALES-SODA")</f>
        <v xml:space="preserve">          4034 - TAXABLE SALES-SODA</v>
      </c>
      <c r="C15" s="11"/>
      <c r="D15" s="2">
        <f>--503.93</f>
        <v>503.93</v>
      </c>
      <c r="E15" s="2"/>
      <c r="F15" s="19"/>
      <c r="G15" s="2"/>
      <c r="H15" s="2"/>
      <c r="I15" s="2"/>
      <c r="J15" s="19"/>
      <c r="K15" s="2"/>
      <c r="L15" s="2">
        <f t="shared" si="0"/>
        <v>503.93</v>
      </c>
      <c r="M15" s="2"/>
      <c r="N15" s="19">
        <f t="shared" si="1"/>
        <v>0</v>
      </c>
      <c r="O15" s="11"/>
      <c r="P15" s="2">
        <f>--1150.33</f>
        <v>1150.33</v>
      </c>
      <c r="Q15" s="2"/>
      <c r="R15" s="19"/>
      <c r="S15" s="2"/>
      <c r="T15" s="2"/>
      <c r="U15" s="2"/>
      <c r="V15" s="19"/>
      <c r="W15" s="2"/>
      <c r="X15" s="2">
        <f t="shared" si="2"/>
        <v>1150.33</v>
      </c>
      <c r="Y15" s="2"/>
      <c r="Z15" s="19">
        <f t="shared" si="3"/>
        <v>0</v>
      </c>
    </row>
    <row r="16" spans="1:26" s="24" customFormat="1" hidden="1" outlineLevel="1" x14ac:dyDescent="0.25">
      <c r="A16" s="46"/>
      <c r="B16" s="11" t="str">
        <f>CONCATENATE("          ", "4051", " - ", "TAXABLE SALES-FOOD")</f>
        <v xml:space="preserve">          4051 - TAXABLE SALES-FOOD</v>
      </c>
      <c r="C16" s="11"/>
      <c r="D16" s="2">
        <f>--27751.99</f>
        <v>27751.99</v>
      </c>
      <c r="E16" s="2"/>
      <c r="F16" s="19"/>
      <c r="G16" s="2"/>
      <c r="H16" s="2"/>
      <c r="I16" s="2"/>
      <c r="J16" s="19"/>
      <c r="K16" s="2"/>
      <c r="L16" s="2">
        <f t="shared" si="0"/>
        <v>27751.99</v>
      </c>
      <c r="M16" s="2"/>
      <c r="N16" s="19">
        <f t="shared" si="1"/>
        <v>0</v>
      </c>
      <c r="O16" s="11"/>
      <c r="P16" s="2">
        <f>--38918.87</f>
        <v>38918.870000000003</v>
      </c>
      <c r="Q16" s="2"/>
      <c r="R16" s="19"/>
      <c r="S16" s="2"/>
      <c r="T16" s="2"/>
      <c r="U16" s="2"/>
      <c r="V16" s="19"/>
      <c r="W16" s="2"/>
      <c r="X16" s="2">
        <f t="shared" si="2"/>
        <v>38918.870000000003</v>
      </c>
      <c r="Y16" s="2"/>
      <c r="Z16" s="19">
        <f t="shared" si="3"/>
        <v>0</v>
      </c>
    </row>
    <row r="17" spans="1:26" s="24" customFormat="1" hidden="1" outlineLevel="1" x14ac:dyDescent="0.25">
      <c r="A17" s="46"/>
      <c r="B17" s="11" t="str">
        <f>CONCATENATE("          ", "4100", " - ", "NON-TAXABLE SALES")</f>
        <v xml:space="preserve">          4100 - NON-TAXABLE SALES</v>
      </c>
      <c r="C17" s="11"/>
      <c r="D17" s="2">
        <f>0</f>
        <v>0</v>
      </c>
      <c r="E17" s="2"/>
      <c r="F17" s="19"/>
      <c r="G17" s="2"/>
      <c r="H17" s="2">
        <v>310466</v>
      </c>
      <c r="I17" s="2"/>
      <c r="J17" s="19"/>
      <c r="K17" s="2"/>
      <c r="L17" s="2">
        <f t="shared" si="0"/>
        <v>-310466</v>
      </c>
      <c r="M17" s="2"/>
      <c r="N17" s="19">
        <f t="shared" si="1"/>
        <v>-1</v>
      </c>
      <c r="O17" s="11"/>
      <c r="P17" s="2">
        <f>0</f>
        <v>0</v>
      </c>
      <c r="Q17" s="2"/>
      <c r="R17" s="19"/>
      <c r="S17" s="2"/>
      <c r="T17" s="2">
        <v>462759</v>
      </c>
      <c r="U17" s="2"/>
      <c r="V17" s="19"/>
      <c r="W17" s="2"/>
      <c r="X17" s="2">
        <f t="shared" si="2"/>
        <v>-462759</v>
      </c>
      <c r="Y17" s="2"/>
      <c r="Z17" s="19">
        <f t="shared" si="3"/>
        <v>-1</v>
      </c>
    </row>
    <row r="18" spans="1:26" s="24" customFormat="1" hidden="1" outlineLevel="1" x14ac:dyDescent="0.25">
      <c r="A18" s="46"/>
      <c r="B18" s="11" t="str">
        <f>CONCATENATE("          ", "4132", " - ", "NON-TAXABLE SALES-JUICE")</f>
        <v xml:space="preserve">          4132 - NON-TAXABLE SALES-JUICE</v>
      </c>
      <c r="C18" s="11"/>
      <c r="D18" s="2">
        <f>--181943.15</f>
        <v>181943.15</v>
      </c>
      <c r="E18" s="2"/>
      <c r="F18" s="19"/>
      <c r="G18" s="2"/>
      <c r="H18" s="2"/>
      <c r="I18" s="2"/>
      <c r="J18" s="19"/>
      <c r="K18" s="2"/>
      <c r="L18" s="2">
        <f t="shared" si="0"/>
        <v>181943.15</v>
      </c>
      <c r="M18" s="2"/>
      <c r="N18" s="19">
        <f t="shared" si="1"/>
        <v>0</v>
      </c>
      <c r="O18" s="11"/>
      <c r="P18" s="2">
        <f>--275941.99</f>
        <v>275941.99</v>
      </c>
      <c r="Q18" s="2"/>
      <c r="R18" s="19"/>
      <c r="S18" s="2"/>
      <c r="T18" s="2"/>
      <c r="U18" s="2"/>
      <c r="V18" s="19"/>
      <c r="W18" s="2"/>
      <c r="X18" s="2">
        <f t="shared" si="2"/>
        <v>275941.99</v>
      </c>
      <c r="Y18" s="2"/>
      <c r="Z18" s="19">
        <f t="shared" si="3"/>
        <v>0</v>
      </c>
    </row>
    <row r="19" spans="1:26" s="24" customFormat="1" hidden="1" outlineLevel="1" x14ac:dyDescent="0.25">
      <c r="A19" s="46"/>
      <c r="B19" s="11" t="str">
        <f>CONCATENATE("          ", "4134", " - ", "NON-TAXABLE SALES-SODA")</f>
        <v xml:space="preserve">          4134 - NON-TAXABLE SALES-SODA</v>
      </c>
      <c r="C19" s="11"/>
      <c r="D19" s="2">
        <f>--3.78</f>
        <v>3.78</v>
      </c>
      <c r="E19" s="2"/>
      <c r="F19" s="19"/>
      <c r="G19" s="2"/>
      <c r="H19" s="2"/>
      <c r="I19" s="2"/>
      <c r="J19" s="19"/>
      <c r="K19" s="2"/>
      <c r="L19" s="2">
        <f t="shared" si="0"/>
        <v>3.78</v>
      </c>
      <c r="M19" s="2"/>
      <c r="N19" s="19">
        <f t="shared" si="1"/>
        <v>0</v>
      </c>
      <c r="O19" s="11"/>
      <c r="P19" s="2">
        <f>--0.39</f>
        <v>0.39</v>
      </c>
      <c r="Q19" s="2"/>
      <c r="R19" s="19"/>
      <c r="S19" s="2"/>
      <c r="T19" s="2"/>
      <c r="U19" s="2"/>
      <c r="V19" s="19"/>
      <c r="W19" s="2"/>
      <c r="X19" s="2">
        <f t="shared" si="2"/>
        <v>0.39</v>
      </c>
      <c r="Y19" s="2"/>
      <c r="Z19" s="19">
        <f t="shared" si="3"/>
        <v>0</v>
      </c>
    </row>
    <row r="20" spans="1:26" s="24" customFormat="1" hidden="1" outlineLevel="1" x14ac:dyDescent="0.25">
      <c r="A20" s="46"/>
      <c r="B20" s="11" t="str">
        <f>CONCATENATE("          ", "4137", " - ", "NON-TAXABLE SALES-WATER")</f>
        <v xml:space="preserve">          4137 - NON-TAXABLE SALES-WATER</v>
      </c>
      <c r="C20" s="11"/>
      <c r="D20" s="2">
        <f>--237.57</f>
        <v>237.57</v>
      </c>
      <c r="E20" s="2"/>
      <c r="F20" s="19"/>
      <c r="G20" s="2"/>
      <c r="H20" s="2"/>
      <c r="I20" s="2"/>
      <c r="J20" s="19"/>
      <c r="K20" s="2"/>
      <c r="L20" s="2">
        <f t="shared" si="0"/>
        <v>237.57</v>
      </c>
      <c r="M20" s="2"/>
      <c r="N20" s="19">
        <f t="shared" si="1"/>
        <v>0</v>
      </c>
      <c r="O20" s="11"/>
      <c r="P20" s="2">
        <f>--621.09</f>
        <v>621.09</v>
      </c>
      <c r="Q20" s="2"/>
      <c r="R20" s="19"/>
      <c r="S20" s="2"/>
      <c r="T20" s="2"/>
      <c r="U20" s="2"/>
      <c r="V20" s="19"/>
      <c r="W20" s="2"/>
      <c r="X20" s="2">
        <f t="shared" si="2"/>
        <v>621.09</v>
      </c>
      <c r="Y20" s="2"/>
      <c r="Z20" s="19">
        <f t="shared" si="3"/>
        <v>0</v>
      </c>
    </row>
    <row r="21" spans="1:26" s="24" customFormat="1" hidden="1" outlineLevel="1" x14ac:dyDescent="0.25">
      <c r="A21" s="46"/>
      <c r="B21" s="11" t="str">
        <f>CONCATENATE("          ", "4151", " - ", "NON-TAXABLE SALES-FOOD")</f>
        <v xml:space="preserve">          4151 - NON-TAXABLE SALES-FOOD</v>
      </c>
      <c r="C21" s="11"/>
      <c r="D21" s="2">
        <f>--140653.16</f>
        <v>140653.16</v>
      </c>
      <c r="E21" s="2"/>
      <c r="F21" s="19"/>
      <c r="G21" s="2"/>
      <c r="H21" s="2"/>
      <c r="I21" s="2"/>
      <c r="J21" s="19"/>
      <c r="K21" s="2"/>
      <c r="L21" s="2">
        <f t="shared" si="0"/>
        <v>140653.16</v>
      </c>
      <c r="M21" s="2"/>
      <c r="N21" s="19">
        <f t="shared" si="1"/>
        <v>0</v>
      </c>
      <c r="O21" s="11"/>
      <c r="P21" s="2">
        <f>--196790.33</f>
        <v>196790.33</v>
      </c>
      <c r="Q21" s="2"/>
      <c r="R21" s="19"/>
      <c r="S21" s="2"/>
      <c r="T21" s="2"/>
      <c r="U21" s="2"/>
      <c r="V21" s="19"/>
      <c r="W21" s="2"/>
      <c r="X21" s="2">
        <f t="shared" si="2"/>
        <v>196790.33</v>
      </c>
      <c r="Y21" s="2"/>
      <c r="Z21" s="19">
        <f t="shared" si="3"/>
        <v>0</v>
      </c>
    </row>
    <row r="22" spans="1:26" s="24" customFormat="1" hidden="1" outlineLevel="1" x14ac:dyDescent="0.25">
      <c r="A22" s="46"/>
      <c r="B22" s="11" t="str">
        <f>CONCATENATE("          ", "4153", " - ", "NON-TAXABLE SALES-FOOD")</f>
        <v xml:space="preserve">          4153 - NON-TAXABLE SALES-FOOD</v>
      </c>
      <c r="C22" s="11"/>
      <c r="D22" s="2">
        <f>--1942</f>
        <v>1942</v>
      </c>
      <c r="E22" s="2"/>
      <c r="F22" s="19"/>
      <c r="G22" s="2"/>
      <c r="H22" s="2"/>
      <c r="I22" s="2"/>
      <c r="J22" s="19"/>
      <c r="K22" s="2"/>
      <c r="L22" s="2">
        <f t="shared" si="0"/>
        <v>1942</v>
      </c>
      <c r="M22" s="2"/>
      <c r="N22" s="19">
        <f t="shared" si="1"/>
        <v>0</v>
      </c>
      <c r="O22" s="11"/>
      <c r="P22" s="2">
        <f>--2406.5</f>
        <v>2406.5</v>
      </c>
      <c r="Q22" s="2"/>
      <c r="R22" s="19"/>
      <c r="S22" s="2"/>
      <c r="T22" s="2"/>
      <c r="U22" s="2"/>
      <c r="V22" s="19"/>
      <c r="W22" s="2"/>
      <c r="X22" s="2">
        <f t="shared" si="2"/>
        <v>2406.5</v>
      </c>
      <c r="Y22" s="2"/>
      <c r="Z22" s="19">
        <f t="shared" si="3"/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collapsed="1" x14ac:dyDescent="0.25">
      <c r="A24" s="10"/>
      <c r="B24" s="28" t="s">
        <v>8</v>
      </c>
      <c r="C24" s="10"/>
      <c r="D24" s="4">
        <f>SUM(OSRRefD16x_0)</f>
        <v>182572.67</v>
      </c>
      <c r="E24" s="4"/>
      <c r="F24" s="12">
        <f t="shared" ref="F24:F27" si="4">IF(D$12=0,0,D24/D$12)</f>
        <v>0.4553586905495236</v>
      </c>
      <c r="G24" s="4"/>
      <c r="H24" s="4">
        <f>SUM(OSRRefH16x_0)</f>
        <v>195070</v>
      </c>
      <c r="I24" s="4"/>
      <c r="J24" s="12">
        <f t="shared" ref="J24:J27" si="5">IF(H$12=0,0,H24/H$12)</f>
        <v>0.48190657825824879</v>
      </c>
      <c r="K24" s="4"/>
      <c r="L24" s="4">
        <f t="shared" ref="L24:L27" si="6">+D24-H24</f>
        <v>-12497.329999999987</v>
      </c>
      <c r="M24" s="4"/>
      <c r="N24" s="12">
        <f t="shared" ref="N24:N27" si="7">IF(H24=0,0,L24/H24)</f>
        <v>-6.4065873788896222E-2</v>
      </c>
      <c r="O24" s="10"/>
      <c r="P24" s="4">
        <f>SUM(OSRRefP16x_0)</f>
        <v>274037.49</v>
      </c>
      <c r="Q24" s="4"/>
      <c r="R24" s="12">
        <f t="shared" ref="R24:R27" si="8">IF(P$12=0,0,P24/P$12)</f>
        <v>0.46566539307046018</v>
      </c>
      <c r="S24" s="4"/>
      <c r="T24" s="4">
        <f>SUM(OSRRefT16x_0)</f>
        <v>290842</v>
      </c>
      <c r="U24" s="4"/>
      <c r="V24" s="12">
        <f t="shared" ref="V24:V27" si="9">IF(T$12=0,0,T24/T$12)</f>
        <v>0.48174088070982585</v>
      </c>
      <c r="W24" s="4"/>
      <c r="X24" s="4">
        <f t="shared" ref="X24:X27" si="10">+P24-T24</f>
        <v>-16804.510000000009</v>
      </c>
      <c r="Y24" s="4"/>
      <c r="Z24" s="12">
        <f t="shared" ref="Z24:Z27" si="11">IF(T24=0,0,X24/T24)</f>
        <v>-5.7778828367292236E-2</v>
      </c>
    </row>
    <row r="25" spans="1:26" s="24" customFormat="1" hidden="1" outlineLevel="1" x14ac:dyDescent="0.25">
      <c r="A25" s="46"/>
      <c r="B25" s="11" t="str">
        <f>CONCATENATE("          ", "5000", " - ", "PURCHASES @ COST")</f>
        <v xml:space="preserve">          5000 - PURCHASES @ COST</v>
      </c>
      <c r="C25" s="11"/>
      <c r="D25" s="2"/>
      <c r="E25" s="2"/>
      <c r="F25" s="19">
        <f t="shared" si="4"/>
        <v>0</v>
      </c>
      <c r="G25" s="2"/>
      <c r="H25" s="2">
        <v>195070</v>
      </c>
      <c r="I25" s="2"/>
      <c r="J25" s="19">
        <f t="shared" si="5"/>
        <v>0.48190657825824879</v>
      </c>
      <c r="K25" s="2"/>
      <c r="L25" s="2">
        <f t="shared" si="6"/>
        <v>-195070</v>
      </c>
      <c r="M25" s="2"/>
      <c r="N25" s="19">
        <f t="shared" si="7"/>
        <v>-1</v>
      </c>
      <c r="O25" s="11"/>
      <c r="P25" s="2"/>
      <c r="Q25" s="2"/>
      <c r="R25" s="19">
        <f t="shared" si="8"/>
        <v>0</v>
      </c>
      <c r="S25" s="2"/>
      <c r="T25" s="2">
        <v>290842</v>
      </c>
      <c r="U25" s="2"/>
      <c r="V25" s="19">
        <f t="shared" si="9"/>
        <v>0.48174088070982585</v>
      </c>
      <c r="W25" s="2"/>
      <c r="X25" s="2">
        <f t="shared" si="10"/>
        <v>-290842</v>
      </c>
      <c r="Y25" s="2"/>
      <c r="Z25" s="19">
        <f t="shared" si="11"/>
        <v>-1</v>
      </c>
    </row>
    <row r="26" spans="1:26" s="24" customFormat="1" hidden="1" outlineLevel="1" x14ac:dyDescent="0.25">
      <c r="A26" s="46"/>
      <c r="B26" s="11" t="str">
        <f>CONCATENATE("          ", "5053", " - ", "PURCHASES @ COST-FOOD")</f>
        <v xml:space="preserve">          5053 - PURCHASES @ COST-FOOD</v>
      </c>
      <c r="C26" s="11"/>
      <c r="D26" s="2">
        <v>195283.21000000002</v>
      </c>
      <c r="E26" s="2"/>
      <c r="F26" s="19">
        <f t="shared" si="4"/>
        <v>0.48706034036697626</v>
      </c>
      <c r="G26" s="2"/>
      <c r="H26" s="2"/>
      <c r="I26" s="2"/>
      <c r="J26" s="19">
        <f t="shared" si="5"/>
        <v>0</v>
      </c>
      <c r="K26" s="2"/>
      <c r="L26" s="2">
        <f t="shared" si="6"/>
        <v>195283.21000000002</v>
      </c>
      <c r="M26" s="2"/>
      <c r="N26" s="19">
        <f t="shared" si="7"/>
        <v>0</v>
      </c>
      <c r="O26" s="11"/>
      <c r="P26" s="2">
        <v>332788.87</v>
      </c>
      <c r="Q26" s="2"/>
      <c r="R26" s="19">
        <f t="shared" si="8"/>
        <v>0.56550021662373384</v>
      </c>
      <c r="S26" s="2"/>
      <c r="T26" s="2"/>
      <c r="U26" s="2"/>
      <c r="V26" s="19">
        <f t="shared" si="9"/>
        <v>0</v>
      </c>
      <c r="W26" s="2"/>
      <c r="X26" s="2">
        <f t="shared" si="10"/>
        <v>332788.87</v>
      </c>
      <c r="Y26" s="2"/>
      <c r="Z26" s="19">
        <f t="shared" si="11"/>
        <v>0</v>
      </c>
    </row>
    <row r="27" spans="1:26" s="24" customFormat="1" hidden="1" outlineLevel="1" x14ac:dyDescent="0.25">
      <c r="A27" s="46"/>
      <c r="B27" s="11" t="str">
        <f>CONCATENATE("          ", "5059", " - ", "PURCHASES @ COST-FOOD")</f>
        <v xml:space="preserve">          5059 - PURCHASES @ COST-FOOD</v>
      </c>
      <c r="C27" s="11"/>
      <c r="D27" s="2">
        <v>-12710.54</v>
      </c>
      <c r="E27" s="2"/>
      <c r="F27" s="19">
        <f t="shared" si="4"/>
        <v>-3.1701649817452646E-2</v>
      </c>
      <c r="G27" s="2"/>
      <c r="H27" s="2"/>
      <c r="I27" s="2"/>
      <c r="J27" s="19">
        <f t="shared" si="5"/>
        <v>0</v>
      </c>
      <c r="K27" s="2"/>
      <c r="L27" s="2">
        <f t="shared" si="6"/>
        <v>-12710.54</v>
      </c>
      <c r="M27" s="2"/>
      <c r="N27" s="19">
        <f t="shared" si="7"/>
        <v>0</v>
      </c>
      <c r="O27" s="11"/>
      <c r="P27" s="2">
        <v>-58751.38</v>
      </c>
      <c r="Q27" s="2"/>
      <c r="R27" s="19">
        <f t="shared" si="8"/>
        <v>-9.9834823553273583E-2</v>
      </c>
      <c r="S27" s="2"/>
      <c r="T27" s="2"/>
      <c r="U27" s="2"/>
      <c r="V27" s="19">
        <f t="shared" si="9"/>
        <v>0</v>
      </c>
      <c r="W27" s="2"/>
      <c r="X27" s="2">
        <f t="shared" si="10"/>
        <v>-58751.38</v>
      </c>
      <c r="Y27" s="2"/>
      <c r="Z27" s="19">
        <f t="shared" si="11"/>
        <v>0</v>
      </c>
    </row>
    <row r="28" spans="1:26" x14ac:dyDescent="0.25">
      <c r="A28" s="9"/>
      <c r="B28" s="10"/>
      <c r="C28" s="10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O28" s="10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10"/>
      <c r="B29" s="29" t="s">
        <v>6</v>
      </c>
      <c r="C29" s="29"/>
      <c r="D29" s="22">
        <f>D12-D24</f>
        <v>218369.87000000002</v>
      </c>
      <c r="E29" s="14"/>
      <c r="F29" s="20">
        <f>IF(D$12=0,0,D29/D$12)</f>
        <v>0.5446413094504764</v>
      </c>
      <c r="G29" s="14"/>
      <c r="H29" s="22">
        <f>H12-H24</f>
        <v>209718</v>
      </c>
      <c r="I29" s="14"/>
      <c r="J29" s="20">
        <f>IF(H$12=0,0,H29/H$12)</f>
        <v>0.51809342174175121</v>
      </c>
      <c r="K29" s="15"/>
      <c r="L29" s="22">
        <f>+D29-H29</f>
        <v>8651.8700000000244</v>
      </c>
      <c r="M29" s="15"/>
      <c r="N29" s="20">
        <f>IF(H29=0,0,L29/H29)</f>
        <v>4.1254780228688163E-2</v>
      </c>
      <c r="O29" s="28"/>
      <c r="P29" s="22">
        <f>P12-P24</f>
        <v>314448.35000000009</v>
      </c>
      <c r="Q29" s="14"/>
      <c r="R29" s="20">
        <f>IF(P$12=0,0,P29/P$12)</f>
        <v>0.53433460692953982</v>
      </c>
      <c r="S29" s="14"/>
      <c r="T29" s="22">
        <f>T12-T24</f>
        <v>312889.19999999995</v>
      </c>
      <c r="U29" s="14"/>
      <c r="V29" s="20">
        <f>IF(T$12=0,0,T29/T$12)</f>
        <v>0.5182591192901741</v>
      </c>
      <c r="W29" s="15"/>
      <c r="X29" s="22">
        <f>+P29-T29</f>
        <v>1559.1500000001397</v>
      </c>
      <c r="Y29" s="15"/>
      <c r="Z29" s="20">
        <f>IF(T29=0,0,X29/T29)</f>
        <v>4.9830738804667596E-3</v>
      </c>
    </row>
    <row r="30" spans="1:26" x14ac:dyDescent="0.25">
      <c r="A30" s="9"/>
      <c r="B30" s="10"/>
      <c r="C30" s="9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6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x14ac:dyDescent="0.25">
      <c r="A31" s="10"/>
      <c r="B31" s="28" t="s">
        <v>9</v>
      </c>
      <c r="C31" s="10"/>
      <c r="D31" s="21">
        <f>SUM(OSRRefD22x_0)</f>
        <v>125154.67999999995</v>
      </c>
      <c r="E31" s="21"/>
      <c r="F31" s="33">
        <f t="shared" ref="F31:F41" si="12">IF(D$12=0,0,D31/D$12)</f>
        <v>0.31215116260798853</v>
      </c>
      <c r="G31" s="21"/>
      <c r="H31" s="21">
        <f>SUM(OSRRefH22x_0)</f>
        <v>119759.87265913848</v>
      </c>
      <c r="I31" s="21"/>
      <c r="J31" s="33">
        <f t="shared" ref="J31:J41" si="13">IF(H$12=0,0,H31/H$12)</f>
        <v>0.29585825829604256</v>
      </c>
      <c r="K31" s="4"/>
      <c r="L31" s="21">
        <f t="shared" ref="L31:L41" si="14">+D31-H31</f>
        <v>5394.8073408614728</v>
      </c>
      <c r="M31" s="4"/>
      <c r="N31" s="33">
        <f t="shared" ref="N31:N41" si="15">IF(H31=0,0,L31/H31)</f>
        <v>4.504686938183558E-2</v>
      </c>
      <c r="O31" s="10"/>
      <c r="P31" s="21">
        <f>SUM(OSRRefP22x_0)</f>
        <v>297624.13</v>
      </c>
      <c r="Q31" s="21"/>
      <c r="R31" s="33">
        <f t="shared" ref="R31:R41" si="16">IF(P$12=0,0,P31/P$12)</f>
        <v>0.50574560978391592</v>
      </c>
      <c r="S31" s="21"/>
      <c r="T31" s="21">
        <f>SUM(OSRRefT22x_0)</f>
        <v>272905.62763895001</v>
      </c>
      <c r="U31" s="21"/>
      <c r="V31" s="33">
        <f t="shared" ref="V31:V41" si="17">IF(T$12=0,0,T31/T$12)</f>
        <v>0.45203167840083475</v>
      </c>
      <c r="W31" s="4"/>
      <c r="X31" s="21">
        <f t="shared" ref="X31:X41" si="18">+P31-T31</f>
        <v>24718.502361049992</v>
      </c>
      <c r="Y31" s="4"/>
      <c r="Z31" s="33">
        <f t="shared" ref="Z31:Z41" si="19">IF(T31=0,0,X31/T31)</f>
        <v>9.0575275324670815E-2</v>
      </c>
    </row>
    <row r="32" spans="1:26" s="26" customFormat="1" outlineLevel="1" collapsed="1" x14ac:dyDescent="0.25">
      <c r="A32" s="27"/>
      <c r="B32" s="13" t="str">
        <f>CONCATENATE("     ","*Benefits                                         ")</f>
        <v xml:space="preserve">     *Benefits                                         </v>
      </c>
      <c r="C32" s="13"/>
      <c r="D32" s="1">
        <f>SUM(OSRRefD22_0x_0)</f>
        <v>13747.109999999999</v>
      </c>
      <c r="E32" s="1"/>
      <c r="F32" s="5">
        <f t="shared" si="12"/>
        <v>3.4286982867919175E-2</v>
      </c>
      <c r="G32" s="1"/>
      <c r="H32" s="1">
        <f>SUM(OSRRefH22_0x_0)</f>
        <v>12941.495197599997</v>
      </c>
      <c r="I32" s="1"/>
      <c r="J32" s="5">
        <f t="shared" si="13"/>
        <v>3.1971044590254648E-2</v>
      </c>
      <c r="K32" s="1"/>
      <c r="L32" s="1">
        <f t="shared" si="14"/>
        <v>805.61480240000128</v>
      </c>
      <c r="M32" s="1"/>
      <c r="N32" s="5">
        <f t="shared" si="15"/>
        <v>6.225051975056195E-2</v>
      </c>
      <c r="O32" s="13"/>
      <c r="P32" s="1">
        <f>SUM(OSRRefP22_0x_0)</f>
        <v>41935.19</v>
      </c>
      <c r="Q32" s="1"/>
      <c r="R32" s="5">
        <f t="shared" si="16"/>
        <v>7.1259471595782151E-2</v>
      </c>
      <c r="S32" s="1"/>
      <c r="T32" s="1">
        <f>SUM(OSRRefT22_0x_0)</f>
        <v>38082.503388950005</v>
      </c>
      <c r="U32" s="1"/>
      <c r="V32" s="5">
        <f t="shared" si="17"/>
        <v>6.3078574353868086E-2</v>
      </c>
      <c r="W32" s="1"/>
      <c r="X32" s="1">
        <f t="shared" si="18"/>
        <v>3852.6866110499977</v>
      </c>
      <c r="Y32" s="1"/>
      <c r="Z32" s="5">
        <f t="shared" si="19"/>
        <v>0.10116684220312815</v>
      </c>
    </row>
    <row r="33" spans="1:26" s="24" customFormat="1" hidden="1" outlineLevel="2" x14ac:dyDescent="0.25">
      <c r="A33" s="25"/>
      <c r="B33" s="11" t="str">
        <f>CONCATENATE("          ", "6111", " - ", "F.I.C.A.")</f>
        <v xml:space="preserve">          6111 - F.I.C.A.</v>
      </c>
      <c r="C33" s="11"/>
      <c r="D33" s="7">
        <v>2002.48</v>
      </c>
      <c r="E33" s="2"/>
      <c r="F33" s="6">
        <f t="shared" si="12"/>
        <v>4.9944313716374419E-3</v>
      </c>
      <c r="G33" s="2"/>
      <c r="H33" s="7">
        <v>1471.2113071384608</v>
      </c>
      <c r="I33" s="2"/>
      <c r="J33" s="6">
        <f t="shared" si="13"/>
        <v>3.6345230272104428E-3</v>
      </c>
      <c r="K33" s="2"/>
      <c r="L33" s="7">
        <f t="shared" si="14"/>
        <v>531.26869286153919</v>
      </c>
      <c r="M33" s="2"/>
      <c r="N33" s="6">
        <f t="shared" si="15"/>
        <v>0.36110971298532824</v>
      </c>
      <c r="O33" s="11"/>
      <c r="P33" s="7">
        <v>6747.54</v>
      </c>
      <c r="Q33" s="2"/>
      <c r="R33" s="6">
        <f t="shared" si="16"/>
        <v>1.1465934337519487E-2</v>
      </c>
      <c r="S33" s="2"/>
      <c r="T33" s="7">
        <v>5854.3854349499989</v>
      </c>
      <c r="U33" s="2"/>
      <c r="V33" s="6">
        <f t="shared" si="17"/>
        <v>9.6970066064997126E-3</v>
      </c>
      <c r="W33" s="2"/>
      <c r="X33" s="7">
        <f t="shared" si="18"/>
        <v>893.15456505000111</v>
      </c>
      <c r="Y33" s="2"/>
      <c r="Z33" s="6">
        <f t="shared" si="19"/>
        <v>0.15256162665990053</v>
      </c>
    </row>
    <row r="34" spans="1:26" s="24" customFormat="1" hidden="1" outlineLevel="2" x14ac:dyDescent="0.25">
      <c r="A34" s="25"/>
      <c r="B34" s="11" t="str">
        <f>CONCATENATE("          ", "6112", " - ", "COMPENSATION INSURANCE")</f>
        <v xml:space="preserve">          6112 - COMPENSATION INSURANCE</v>
      </c>
      <c r="C34" s="11"/>
      <c r="D34" s="7">
        <v>1171.1500000000001</v>
      </c>
      <c r="E34" s="2"/>
      <c r="F34" s="6">
        <f t="shared" si="12"/>
        <v>2.9209921202175255E-3</v>
      </c>
      <c r="G34" s="2"/>
      <c r="H34" s="7">
        <v>1261.7896492307689</v>
      </c>
      <c r="I34" s="2"/>
      <c r="J34" s="6">
        <f t="shared" si="13"/>
        <v>3.1171616975571629E-3</v>
      </c>
      <c r="K34" s="2"/>
      <c r="L34" s="7">
        <f t="shared" si="14"/>
        <v>-90.639649230768782</v>
      </c>
      <c r="M34" s="2"/>
      <c r="N34" s="6">
        <f t="shared" si="15"/>
        <v>-7.1834199373901883E-2</v>
      </c>
      <c r="O34" s="11"/>
      <c r="P34" s="7">
        <v>2660.27</v>
      </c>
      <c r="Q34" s="2"/>
      <c r="R34" s="6">
        <f t="shared" si="16"/>
        <v>4.5205335781741147E-3</v>
      </c>
      <c r="S34" s="2"/>
      <c r="T34" s="7">
        <v>2747.3223850000004</v>
      </c>
      <c r="U34" s="2"/>
      <c r="V34" s="6">
        <f t="shared" si="17"/>
        <v>4.5505721503212035E-3</v>
      </c>
      <c r="W34" s="2"/>
      <c r="X34" s="7">
        <f t="shared" si="18"/>
        <v>-87.052385000000413</v>
      </c>
      <c r="Y34" s="2"/>
      <c r="Z34" s="6">
        <f t="shared" si="19"/>
        <v>-3.1686264952120062E-2</v>
      </c>
    </row>
    <row r="35" spans="1:26" s="24" customFormat="1" hidden="1" outlineLevel="2" x14ac:dyDescent="0.25">
      <c r="A35" s="25"/>
      <c r="B35" s="11" t="str">
        <f>CONCATENATE("          ", "6113", " - ", "GROUP INSURANCE")</f>
        <v xml:space="preserve">          6113 - GROUP INSURANCE</v>
      </c>
      <c r="C35" s="11"/>
      <c r="D35" s="7">
        <v>6378.17</v>
      </c>
      <c r="E35" s="2"/>
      <c r="F35" s="6">
        <f t="shared" si="12"/>
        <v>1.5907940324815618E-2</v>
      </c>
      <c r="G35" s="2"/>
      <c r="H35" s="7">
        <v>5998</v>
      </c>
      <c r="I35" s="2"/>
      <c r="J35" s="6">
        <f t="shared" si="13"/>
        <v>1.4817632933782621E-2</v>
      </c>
      <c r="K35" s="2"/>
      <c r="L35" s="7">
        <f t="shared" si="14"/>
        <v>380.17000000000007</v>
      </c>
      <c r="M35" s="2"/>
      <c r="N35" s="6">
        <f t="shared" si="15"/>
        <v>6.3382794264754933E-2</v>
      </c>
      <c r="O35" s="11"/>
      <c r="P35" s="7">
        <v>19602.16</v>
      </c>
      <c r="Q35" s="2"/>
      <c r="R35" s="6">
        <f t="shared" si="16"/>
        <v>3.3309484557861237E-2</v>
      </c>
      <c r="S35" s="2"/>
      <c r="T35" s="7">
        <v>17994</v>
      </c>
      <c r="U35" s="2"/>
      <c r="V35" s="6">
        <f t="shared" si="17"/>
        <v>2.9804654786766034E-2</v>
      </c>
      <c r="W35" s="2"/>
      <c r="X35" s="7">
        <f t="shared" si="18"/>
        <v>1608.1599999999999</v>
      </c>
      <c r="Y35" s="2"/>
      <c r="Z35" s="6">
        <f t="shared" si="19"/>
        <v>8.9372012893186609E-2</v>
      </c>
    </row>
    <row r="36" spans="1:26" s="24" customFormat="1" hidden="1" outlineLevel="2" x14ac:dyDescent="0.25">
      <c r="A36" s="25"/>
      <c r="B36" s="11" t="str">
        <f>CONCATENATE("          ", "6114", " - ", "STATE UNEMPLOYMENT INSURANCE")</f>
        <v xml:space="preserve">          6114 - STATE UNEMPLOYMENT INSURANCE</v>
      </c>
      <c r="C36" s="11"/>
      <c r="D36" s="7">
        <v>160.25</v>
      </c>
      <c r="E36" s="2"/>
      <c r="F36" s="6">
        <f t="shared" si="12"/>
        <v>3.9968320647641926E-4</v>
      </c>
      <c r="G36" s="2"/>
      <c r="H36" s="7">
        <v>172.665952</v>
      </c>
      <c r="I36" s="2"/>
      <c r="J36" s="6">
        <f t="shared" si="13"/>
        <v>4.2655896913940138E-4</v>
      </c>
      <c r="K36" s="2"/>
      <c r="L36" s="7">
        <f t="shared" si="14"/>
        <v>-12.415952000000004</v>
      </c>
      <c r="M36" s="2"/>
      <c r="N36" s="6">
        <f t="shared" si="15"/>
        <v>-7.1907355539324883E-2</v>
      </c>
      <c r="O36" s="11"/>
      <c r="P36" s="7">
        <v>326.64999999999998</v>
      </c>
      <c r="Q36" s="2"/>
      <c r="R36" s="6">
        <f t="shared" si="16"/>
        <v>5.5506858074953844E-4</v>
      </c>
      <c r="S36" s="2"/>
      <c r="T36" s="7">
        <v>375.94937900000002</v>
      </c>
      <c r="U36" s="2"/>
      <c r="V36" s="6">
        <f t="shared" si="17"/>
        <v>6.2270987320184887E-4</v>
      </c>
      <c r="W36" s="2"/>
      <c r="X36" s="7">
        <f t="shared" si="18"/>
        <v>-49.299379000000044</v>
      </c>
      <c r="Y36" s="2"/>
      <c r="Z36" s="6">
        <f t="shared" si="19"/>
        <v>-0.13113302416174505</v>
      </c>
    </row>
    <row r="37" spans="1:26" s="24" customFormat="1" hidden="1" outlineLevel="2" x14ac:dyDescent="0.25">
      <c r="A37" s="25"/>
      <c r="B37" s="11" t="str">
        <f>CONCATENATE("          ", "6115", " - ", "P.E.R.S.")</f>
        <v xml:space="preserve">          6115 - P.E.R.S.</v>
      </c>
      <c r="C37" s="11"/>
      <c r="D37" s="7">
        <v>1497.9</v>
      </c>
      <c r="E37" s="2"/>
      <c r="F37" s="6">
        <f t="shared" si="12"/>
        <v>3.7359468017536877E-3</v>
      </c>
      <c r="G37" s="2"/>
      <c r="H37" s="7">
        <v>1499.133212307692</v>
      </c>
      <c r="I37" s="2"/>
      <c r="J37" s="6">
        <f t="shared" si="13"/>
        <v>3.7035021105064677E-3</v>
      </c>
      <c r="K37" s="2"/>
      <c r="L37" s="7">
        <f t="shared" si="14"/>
        <v>-1.2332123076919288</v>
      </c>
      <c r="M37" s="2"/>
      <c r="N37" s="6">
        <f t="shared" si="15"/>
        <v>-8.2261689459443193E-4</v>
      </c>
      <c r="O37" s="11"/>
      <c r="P37" s="7">
        <v>4493.7</v>
      </c>
      <c r="Q37" s="2"/>
      <c r="R37" s="6">
        <f t="shared" si="16"/>
        <v>7.6360375977780519E-3</v>
      </c>
      <c r="S37" s="2"/>
      <c r="T37" s="7">
        <v>4872.1829400000006</v>
      </c>
      <c r="U37" s="2"/>
      <c r="V37" s="6">
        <f t="shared" si="17"/>
        <v>8.0701195167650792E-3</v>
      </c>
      <c r="W37" s="2"/>
      <c r="X37" s="7">
        <f t="shared" si="18"/>
        <v>-378.48294000000078</v>
      </c>
      <c r="Y37" s="2"/>
      <c r="Z37" s="6">
        <f t="shared" si="19"/>
        <v>-7.7682415595010629E-2</v>
      </c>
    </row>
    <row r="38" spans="1:26" s="24" customFormat="1" hidden="1" outlineLevel="2" x14ac:dyDescent="0.25">
      <c r="A38" s="25"/>
      <c r="B38" s="11" t="str">
        <f>CONCATENATE("          ", "6116", " - ", "EDUCATIONAL BENEFITS")</f>
        <v xml:space="preserve">          6116 - EDUCATIONAL BENEFITS</v>
      </c>
      <c r="C38" s="11"/>
      <c r="D38" s="7"/>
      <c r="E38" s="2"/>
      <c r="F38" s="6">
        <f t="shared" si="12"/>
        <v>0</v>
      </c>
      <c r="G38" s="2"/>
      <c r="H38" s="7">
        <v>0</v>
      </c>
      <c r="I38" s="2"/>
      <c r="J38" s="6">
        <f t="shared" si="13"/>
        <v>0</v>
      </c>
      <c r="K38" s="2"/>
      <c r="L38" s="7">
        <f t="shared" si="14"/>
        <v>0</v>
      </c>
      <c r="M38" s="2"/>
      <c r="N38" s="6">
        <f t="shared" si="15"/>
        <v>0</v>
      </c>
      <c r="O38" s="11"/>
      <c r="P38" s="7"/>
      <c r="Q38" s="2"/>
      <c r="R38" s="6">
        <f t="shared" si="16"/>
        <v>0</v>
      </c>
      <c r="S38" s="2"/>
      <c r="T38" s="7">
        <v>0</v>
      </c>
      <c r="U38" s="2"/>
      <c r="V38" s="6">
        <f t="shared" si="17"/>
        <v>0</v>
      </c>
      <c r="W38" s="2"/>
      <c r="X38" s="7">
        <f t="shared" si="18"/>
        <v>0</v>
      </c>
      <c r="Y38" s="2"/>
      <c r="Z38" s="6">
        <f t="shared" si="19"/>
        <v>0</v>
      </c>
    </row>
    <row r="39" spans="1:26" s="24" customFormat="1" hidden="1" outlineLevel="2" x14ac:dyDescent="0.25">
      <c r="A39" s="25"/>
      <c r="B39" s="11" t="str">
        <f>CONCATENATE("          ", "6118", " - ", "VACATION")</f>
        <v xml:space="preserve">          6118 - VACATION</v>
      </c>
      <c r="C39" s="11"/>
      <c r="D39" s="7">
        <v>1056.98</v>
      </c>
      <c r="E39" s="2"/>
      <c r="F39" s="6">
        <f t="shared" si="12"/>
        <v>2.6362381003522347E-3</v>
      </c>
      <c r="G39" s="2"/>
      <c r="H39" s="7">
        <v>636.04729230769226</v>
      </c>
      <c r="I39" s="2"/>
      <c r="J39" s="6">
        <f t="shared" si="13"/>
        <v>1.5713096542083567E-3</v>
      </c>
      <c r="K39" s="2"/>
      <c r="L39" s="7">
        <f t="shared" si="14"/>
        <v>420.93270769230776</v>
      </c>
      <c r="M39" s="2"/>
      <c r="N39" s="6">
        <f t="shared" si="15"/>
        <v>0.6617946696464807</v>
      </c>
      <c r="O39" s="11"/>
      <c r="P39" s="7">
        <v>3479.83</v>
      </c>
      <c r="Q39" s="2"/>
      <c r="R39" s="6">
        <f t="shared" si="16"/>
        <v>5.9131924057849875E-3</v>
      </c>
      <c r="S39" s="2"/>
      <c r="T39" s="7">
        <v>2052.3217</v>
      </c>
      <c r="U39" s="2"/>
      <c r="V39" s="6">
        <f t="shared" si="17"/>
        <v>3.3993964532560189E-3</v>
      </c>
      <c r="W39" s="2"/>
      <c r="X39" s="7">
        <f t="shared" si="18"/>
        <v>1427.5083</v>
      </c>
      <c r="Y39" s="2"/>
      <c r="Z39" s="6">
        <f t="shared" si="19"/>
        <v>0.69555776757610666</v>
      </c>
    </row>
    <row r="40" spans="1:26" s="24" customFormat="1" hidden="1" outlineLevel="2" x14ac:dyDescent="0.25">
      <c r="A40" s="25"/>
      <c r="B40" s="11" t="str">
        <f>CONCATENATE("          ", "6119", " - ", "SICK LEAVE")</f>
        <v xml:space="preserve">          6119 - SICK LEAVE</v>
      </c>
      <c r="C40" s="11"/>
      <c r="D40" s="7">
        <v>788.12</v>
      </c>
      <c r="E40" s="2"/>
      <c r="F40" s="6">
        <f t="shared" si="12"/>
        <v>1.9656681977422499E-3</v>
      </c>
      <c r="G40" s="2"/>
      <c r="H40" s="7">
        <v>1902.647784615385</v>
      </c>
      <c r="I40" s="2"/>
      <c r="J40" s="6">
        <f t="shared" si="13"/>
        <v>4.7003561978501956E-3</v>
      </c>
      <c r="K40" s="2"/>
      <c r="L40" s="7">
        <f t="shared" si="14"/>
        <v>-1114.5277846153849</v>
      </c>
      <c r="M40" s="2"/>
      <c r="N40" s="6">
        <f t="shared" si="15"/>
        <v>-0.5857772487516304</v>
      </c>
      <c r="O40" s="11"/>
      <c r="P40" s="7">
        <v>2768.78</v>
      </c>
      <c r="Q40" s="2"/>
      <c r="R40" s="6">
        <f t="shared" si="16"/>
        <v>4.7049220419645094E-3</v>
      </c>
      <c r="S40" s="2"/>
      <c r="T40" s="7">
        <v>4061.341550000001</v>
      </c>
      <c r="U40" s="2"/>
      <c r="V40" s="6">
        <f t="shared" si="17"/>
        <v>6.7270691824441098E-3</v>
      </c>
      <c r="W40" s="2"/>
      <c r="X40" s="7">
        <f t="shared" si="18"/>
        <v>-1292.5615500000008</v>
      </c>
      <c r="Y40" s="2"/>
      <c r="Z40" s="6">
        <f t="shared" si="19"/>
        <v>-0.3182597508943813</v>
      </c>
    </row>
    <row r="41" spans="1:26" s="24" customFormat="1" hidden="1" outlineLevel="2" x14ac:dyDescent="0.25">
      <c r="A41" s="25"/>
      <c r="B41" s="11" t="str">
        <f>CONCATENATE("          ", "6156", " - ", "EMPLOYEE MEALS")</f>
        <v xml:space="preserve">          6156 - EMPLOYEE MEALS</v>
      </c>
      <c r="C41" s="11"/>
      <c r="D41" s="7">
        <v>692.06</v>
      </c>
      <c r="E41" s="2"/>
      <c r="F41" s="6">
        <f t="shared" si="12"/>
        <v>1.726082744923998E-3</v>
      </c>
      <c r="G41" s="2"/>
      <c r="H41" s="7"/>
      <c r="I41" s="2"/>
      <c r="J41" s="6">
        <f t="shared" si="13"/>
        <v>0</v>
      </c>
      <c r="K41" s="2"/>
      <c r="L41" s="7">
        <f t="shared" si="14"/>
        <v>692.06</v>
      </c>
      <c r="M41" s="2"/>
      <c r="N41" s="6">
        <f t="shared" si="15"/>
        <v>0</v>
      </c>
      <c r="O41" s="11"/>
      <c r="P41" s="7">
        <v>1856.26</v>
      </c>
      <c r="Q41" s="2"/>
      <c r="R41" s="6">
        <f t="shared" si="16"/>
        <v>3.1542984959502165E-3</v>
      </c>
      <c r="S41" s="2"/>
      <c r="T41" s="7">
        <v>125</v>
      </c>
      <c r="U41" s="2"/>
      <c r="V41" s="6">
        <f t="shared" si="17"/>
        <v>2.0704578461407992E-4</v>
      </c>
      <c r="W41" s="2"/>
      <c r="X41" s="7">
        <f t="shared" si="18"/>
        <v>1731.26</v>
      </c>
      <c r="Y41" s="2"/>
      <c r="Z41" s="6">
        <f t="shared" si="19"/>
        <v>13.85008</v>
      </c>
    </row>
    <row r="42" spans="1:26" s="26" customFormat="1" outlineLevel="1" collapsed="1" x14ac:dyDescent="0.25">
      <c r="A42" s="27"/>
      <c r="B42" s="13" t="str">
        <f>CONCATENATE("     ","*Payroll                                          ")</f>
        <v xml:space="preserve">     *Payroll                                          </v>
      </c>
      <c r="C42" s="13"/>
      <c r="D42" s="1">
        <f>SUM(OSRRefD22_1x_0)</f>
        <v>61301.69</v>
      </c>
      <c r="E42" s="1"/>
      <c r="F42" s="5">
        <f t="shared" ref="F42:F52" si="20">IF(D$12=0,0,D42/D$12)</f>
        <v>0.15289395333306363</v>
      </c>
      <c r="G42" s="1"/>
      <c r="H42" s="1">
        <f>SUM(OSRRefH22_1x_0)</f>
        <v>65067.377461538475</v>
      </c>
      <c r="I42" s="1"/>
      <c r="J42" s="5">
        <f t="shared" ref="J42:J52" si="21">IF(H$12=0,0,H42/H$12)</f>
        <v>0.16074433397615165</v>
      </c>
      <c r="K42" s="1"/>
      <c r="L42" s="1">
        <f t="shared" ref="L42:L52" si="22">+D42-H42</f>
        <v>-3765.6874615384731</v>
      </c>
      <c r="M42" s="1"/>
      <c r="N42" s="5">
        <f t="shared" ref="N42:N52" si="23">IF(H42=0,0,L42/H42)</f>
        <v>-5.7873662785385541E-2</v>
      </c>
      <c r="O42" s="13"/>
      <c r="P42" s="1">
        <f>SUM(OSRRefP22_1x_0)</f>
        <v>141245.05000000002</v>
      </c>
      <c r="Q42" s="1"/>
      <c r="R42" s="5">
        <f t="shared" ref="R42:R52" si="24">IF(P$12=0,0,P42/P$12)</f>
        <v>0.24001435616530722</v>
      </c>
      <c r="S42" s="1"/>
      <c r="T42" s="1">
        <f>SUM(OSRRefT22_1x_0)</f>
        <v>140675.12425000002</v>
      </c>
      <c r="U42" s="1"/>
      <c r="V42" s="5">
        <f t="shared" ref="V42:V52" si="25">IF(T$12=0,0,T42/T$12)</f>
        <v>0.2330095318081955</v>
      </c>
      <c r="W42" s="1"/>
      <c r="X42" s="1">
        <f t="shared" ref="X42:X52" si="26">+P42-T42</f>
        <v>569.92574999999488</v>
      </c>
      <c r="Y42" s="1"/>
      <c r="Z42" s="5">
        <f t="shared" ref="Z42:Z52" si="27">IF(T42=0,0,X42/T42)</f>
        <v>4.0513612697235264E-3</v>
      </c>
    </row>
    <row r="43" spans="1:26" s="24" customFormat="1" hidden="1" outlineLevel="2" x14ac:dyDescent="0.25">
      <c r="A43" s="25"/>
      <c r="B43" s="11" t="str">
        <f>CONCATENATE("          ", "6001", " - ", "ADMINISTRATIVE SALARIES")</f>
        <v xml:space="preserve">          6001 - ADMINISTRATIVE SALARIES</v>
      </c>
      <c r="C43" s="11"/>
      <c r="D43" s="7"/>
      <c r="E43" s="2"/>
      <c r="F43" s="6">
        <f t="shared" si="20"/>
        <v>0</v>
      </c>
      <c r="G43" s="2"/>
      <c r="H43" s="7">
        <v>12802.75246153847</v>
      </c>
      <c r="I43" s="2"/>
      <c r="J43" s="6">
        <f t="shared" si="21"/>
        <v>3.162829051636528E-2</v>
      </c>
      <c r="K43" s="2"/>
      <c r="L43" s="7">
        <f t="shared" si="22"/>
        <v>-12802.75246153847</v>
      </c>
      <c r="M43" s="2"/>
      <c r="N43" s="6">
        <f t="shared" si="23"/>
        <v>-1</v>
      </c>
      <c r="O43" s="11"/>
      <c r="P43" s="7"/>
      <c r="Q43" s="2"/>
      <c r="R43" s="6">
        <f t="shared" si="24"/>
        <v>0</v>
      </c>
      <c r="S43" s="2"/>
      <c r="T43" s="7">
        <v>41608.945500000023</v>
      </c>
      <c r="U43" s="2"/>
      <c r="V43" s="6">
        <f t="shared" si="25"/>
        <v>6.8919654144095954E-2</v>
      </c>
      <c r="W43" s="2"/>
      <c r="X43" s="7">
        <f t="shared" si="26"/>
        <v>-41608.945500000023</v>
      </c>
      <c r="Y43" s="2"/>
      <c r="Z43" s="6">
        <f t="shared" si="27"/>
        <v>-1</v>
      </c>
    </row>
    <row r="44" spans="1:26" s="24" customFormat="1" hidden="1" outlineLevel="2" x14ac:dyDescent="0.25">
      <c r="A44" s="25"/>
      <c r="B44" s="11" t="str">
        <f>CONCATENATE("          ", "6002", " - ", "STAFF SALARIES")</f>
        <v xml:space="preserve">          6002 - STAFF SALARIES</v>
      </c>
      <c r="C44" s="11"/>
      <c r="D44" s="7">
        <v>16145.990000000002</v>
      </c>
      <c r="E44" s="2"/>
      <c r="F44" s="6">
        <f t="shared" si="20"/>
        <v>4.0270084586185341E-2</v>
      </c>
      <c r="G44" s="2"/>
      <c r="H44" s="7">
        <v>3559.68</v>
      </c>
      <c r="I44" s="2"/>
      <c r="J44" s="6">
        <f t="shared" si="21"/>
        <v>8.7939365791476036E-3</v>
      </c>
      <c r="K44" s="2"/>
      <c r="L44" s="7">
        <f t="shared" si="22"/>
        <v>12586.310000000001</v>
      </c>
      <c r="M44" s="2"/>
      <c r="N44" s="6">
        <f t="shared" si="23"/>
        <v>3.5357981616325067</v>
      </c>
      <c r="O44" s="11"/>
      <c r="P44" s="7">
        <v>51172.689999999995</v>
      </c>
      <c r="Q44" s="2"/>
      <c r="R44" s="6">
        <f t="shared" si="24"/>
        <v>8.6956535776629706E-2</v>
      </c>
      <c r="S44" s="2"/>
      <c r="T44" s="7">
        <v>11568.96</v>
      </c>
      <c r="U44" s="2"/>
      <c r="V44" s="6">
        <f t="shared" si="25"/>
        <v>1.9162435202951248E-2</v>
      </c>
      <c r="W44" s="2"/>
      <c r="X44" s="7">
        <f t="shared" si="26"/>
        <v>39603.729999999996</v>
      </c>
      <c r="Y44" s="2"/>
      <c r="Z44" s="6">
        <f t="shared" si="27"/>
        <v>3.4232748665394297</v>
      </c>
    </row>
    <row r="45" spans="1:26" s="24" customFormat="1" hidden="1" outlineLevel="2" x14ac:dyDescent="0.25">
      <c r="A45" s="25"/>
      <c r="B45" s="11" t="str">
        <f>CONCATENATE("          ", "6003", " - ", "STAFF HOURLY-9 MONTH")</f>
        <v xml:space="preserve">          6003 - STAFF HOURLY-9 MONTH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24" customFormat="1" hidden="1" outlineLevel="2" x14ac:dyDescent="0.25">
      <c r="A46" s="25"/>
      <c r="B46" s="11" t="str">
        <f>CONCATENATE("          ", "6004", " - ", "STAFF HOURLY")</f>
        <v xml:space="preserve">          6004 - STAFF HOURLY</v>
      </c>
      <c r="C46" s="11"/>
      <c r="D46" s="7"/>
      <c r="E46" s="2"/>
      <c r="F46" s="6">
        <f t="shared" si="20"/>
        <v>0</v>
      </c>
      <c r="G46" s="2"/>
      <c r="H46" s="7">
        <v>1792.2</v>
      </c>
      <c r="I46" s="2"/>
      <c r="J46" s="6">
        <f t="shared" si="21"/>
        <v>4.4275027915847307E-3</v>
      </c>
      <c r="K46" s="2"/>
      <c r="L46" s="7">
        <f t="shared" si="22"/>
        <v>-1792.2</v>
      </c>
      <c r="M46" s="2"/>
      <c r="N46" s="6">
        <f t="shared" si="23"/>
        <v>-1</v>
      </c>
      <c r="O46" s="11"/>
      <c r="P46" s="7">
        <v>254.64</v>
      </c>
      <c r="Q46" s="2"/>
      <c r="R46" s="6">
        <f t="shared" si="24"/>
        <v>4.3270369937873092E-4</v>
      </c>
      <c r="S46" s="2"/>
      <c r="T46" s="7">
        <v>5330.25</v>
      </c>
      <c r="U46" s="2"/>
      <c r="V46" s="6">
        <f t="shared" si="25"/>
        <v>8.8288463475135956E-3</v>
      </c>
      <c r="W46" s="2"/>
      <c r="X46" s="7">
        <f t="shared" si="26"/>
        <v>-5075.6099999999997</v>
      </c>
      <c r="Y46" s="2"/>
      <c r="Z46" s="6">
        <f t="shared" si="27"/>
        <v>-0.9522273814549036</v>
      </c>
    </row>
    <row r="47" spans="1:26" s="24" customFormat="1" hidden="1" outlineLevel="2" x14ac:dyDescent="0.25">
      <c r="A47" s="25"/>
      <c r="B47" s="11" t="str">
        <f>CONCATENATE("          ", "6005", " - ", "TEMPORARY WAGES-HOURLY")</f>
        <v xml:space="preserve">          6005 - TEMPORARY WAGES-HOURLY</v>
      </c>
      <c r="C47" s="11"/>
      <c r="D47" s="7">
        <v>7700.47</v>
      </c>
      <c r="E47" s="2"/>
      <c r="F47" s="6">
        <f t="shared" si="20"/>
        <v>1.9205919132452245E-2</v>
      </c>
      <c r="G47" s="2"/>
      <c r="H47" s="7">
        <v>1480.22</v>
      </c>
      <c r="I47" s="2"/>
      <c r="J47" s="6">
        <f t="shared" si="21"/>
        <v>3.6567783629949504E-3</v>
      </c>
      <c r="K47" s="2"/>
      <c r="L47" s="7">
        <f t="shared" si="22"/>
        <v>6220.25</v>
      </c>
      <c r="M47" s="2"/>
      <c r="N47" s="6">
        <f t="shared" si="23"/>
        <v>4.202246963289241</v>
      </c>
      <c r="O47" s="11"/>
      <c r="P47" s="7">
        <v>16391.310000000001</v>
      </c>
      <c r="Q47" s="2"/>
      <c r="R47" s="6">
        <f t="shared" si="24"/>
        <v>2.7853363472602838E-2</v>
      </c>
      <c r="S47" s="2"/>
      <c r="T47" s="7">
        <v>2267.86</v>
      </c>
      <c r="U47" s="2"/>
      <c r="V47" s="6">
        <f t="shared" si="25"/>
        <v>3.7564068247590986E-3</v>
      </c>
      <c r="W47" s="2"/>
      <c r="X47" s="7">
        <f t="shared" si="26"/>
        <v>14123.45</v>
      </c>
      <c r="Y47" s="2"/>
      <c r="Z47" s="6">
        <f t="shared" si="27"/>
        <v>6.2276551462612328</v>
      </c>
    </row>
    <row r="48" spans="1:26" s="24" customFormat="1" hidden="1" outlineLevel="2" x14ac:dyDescent="0.25">
      <c r="A48" s="25"/>
      <c r="B48" s="11" t="str">
        <f>CONCATENATE("          ", "6006", " - ", "TEMPORARY PART TIME")</f>
        <v xml:space="preserve">          6006 - TEMPORARY PART TIME</v>
      </c>
      <c r="C48" s="11"/>
      <c r="D48" s="7">
        <v>2162.35</v>
      </c>
      <c r="E48" s="2"/>
      <c r="F48" s="6">
        <f t="shared" si="20"/>
        <v>5.3931668113839943E-3</v>
      </c>
      <c r="G48" s="2"/>
      <c r="H48" s="7">
        <v>0</v>
      </c>
      <c r="I48" s="2"/>
      <c r="J48" s="6">
        <f t="shared" si="21"/>
        <v>0</v>
      </c>
      <c r="K48" s="2"/>
      <c r="L48" s="7">
        <f t="shared" si="22"/>
        <v>2162.35</v>
      </c>
      <c r="M48" s="2"/>
      <c r="N48" s="6">
        <f t="shared" si="23"/>
        <v>0</v>
      </c>
      <c r="O48" s="11"/>
      <c r="P48" s="7">
        <v>3343.6</v>
      </c>
      <c r="Q48" s="2"/>
      <c r="R48" s="6">
        <f t="shared" si="24"/>
        <v>5.6817000048803206E-3</v>
      </c>
      <c r="S48" s="2"/>
      <c r="T48" s="7">
        <v>0</v>
      </c>
      <c r="U48" s="2"/>
      <c r="V48" s="6">
        <f t="shared" si="25"/>
        <v>0</v>
      </c>
      <c r="W48" s="2"/>
      <c r="X48" s="7">
        <f t="shared" si="26"/>
        <v>3343.6</v>
      </c>
      <c r="Y48" s="2"/>
      <c r="Z48" s="6">
        <f t="shared" si="27"/>
        <v>0</v>
      </c>
    </row>
    <row r="49" spans="1:26" s="24" customFormat="1" hidden="1" outlineLevel="2" x14ac:dyDescent="0.25">
      <c r="A49" s="25"/>
      <c r="B49" s="11" t="str">
        <f>CONCATENATE("          ", "6007", " - ", "STUDENT HOURLY")</f>
        <v xml:space="preserve">          6007 - STUDENT HOURLY</v>
      </c>
      <c r="C49" s="11"/>
      <c r="D49" s="7">
        <v>33496.630000000005</v>
      </c>
      <c r="E49" s="2"/>
      <c r="F49" s="6">
        <f t="shared" si="20"/>
        <v>8.3544714412194826E-2</v>
      </c>
      <c r="G49" s="2"/>
      <c r="H49" s="7">
        <v>0</v>
      </c>
      <c r="I49" s="2"/>
      <c r="J49" s="6">
        <f t="shared" si="21"/>
        <v>0</v>
      </c>
      <c r="K49" s="2"/>
      <c r="L49" s="7">
        <f t="shared" si="22"/>
        <v>33496.630000000005</v>
      </c>
      <c r="M49" s="2"/>
      <c r="N49" s="6">
        <f t="shared" si="23"/>
        <v>0</v>
      </c>
      <c r="O49" s="11"/>
      <c r="P49" s="7">
        <v>64795.020000000004</v>
      </c>
      <c r="Q49" s="2"/>
      <c r="R49" s="6">
        <f t="shared" si="24"/>
        <v>0.11010463735202192</v>
      </c>
      <c r="S49" s="2"/>
      <c r="T49" s="7">
        <v>14410.143749999999</v>
      </c>
      <c r="U49" s="2"/>
      <c r="V49" s="6">
        <f t="shared" si="25"/>
        <v>2.386847615296344E-2</v>
      </c>
      <c r="W49" s="2"/>
      <c r="X49" s="7">
        <f t="shared" si="26"/>
        <v>50384.876250000001</v>
      </c>
      <c r="Y49" s="2"/>
      <c r="Z49" s="6">
        <f t="shared" si="27"/>
        <v>3.4964867196415028</v>
      </c>
    </row>
    <row r="50" spans="1:26" s="24" customFormat="1" hidden="1" outlineLevel="2" x14ac:dyDescent="0.25">
      <c r="A50" s="25"/>
      <c r="B50" s="11" t="str">
        <f>CONCATENATE("          ", "6008", " - ", "STUDENT HOURLY-FICA EXEMPT")</f>
        <v xml:space="preserve">          6008 - STUDENT HOURLY-FICA EXEMPT</v>
      </c>
      <c r="C50" s="11"/>
      <c r="D50" s="7">
        <v>1796.25</v>
      </c>
      <c r="E50" s="2"/>
      <c r="F50" s="6">
        <f t="shared" si="20"/>
        <v>4.4800683908472264E-3</v>
      </c>
      <c r="G50" s="2"/>
      <c r="H50" s="7">
        <v>45432.525000000001</v>
      </c>
      <c r="I50" s="2"/>
      <c r="J50" s="6">
        <f t="shared" si="21"/>
        <v>0.11223782572605907</v>
      </c>
      <c r="K50" s="2"/>
      <c r="L50" s="7">
        <f t="shared" si="22"/>
        <v>-43636.275000000001</v>
      </c>
      <c r="M50" s="2"/>
      <c r="N50" s="6">
        <f t="shared" si="23"/>
        <v>-0.96046334646819653</v>
      </c>
      <c r="O50" s="11"/>
      <c r="P50" s="7">
        <v>5287.79</v>
      </c>
      <c r="Q50" s="2"/>
      <c r="R50" s="6">
        <f t="shared" si="24"/>
        <v>8.9854158597936686E-3</v>
      </c>
      <c r="S50" s="2"/>
      <c r="T50" s="7">
        <v>65488.965000000004</v>
      </c>
      <c r="U50" s="2"/>
      <c r="V50" s="6">
        <f t="shared" si="25"/>
        <v>0.10847371313591216</v>
      </c>
      <c r="W50" s="2"/>
      <c r="X50" s="7">
        <f t="shared" si="26"/>
        <v>-60201.175000000003</v>
      </c>
      <c r="Y50" s="2"/>
      <c r="Z50" s="6">
        <f t="shared" si="27"/>
        <v>-0.91925677860384569</v>
      </c>
    </row>
    <row r="51" spans="1:26" s="24" customFormat="1" hidden="1" outlineLevel="2" x14ac:dyDescent="0.25">
      <c r="A51" s="25"/>
      <c r="B51" s="11" t="str">
        <f>CONCATENATE("          ", "6009", " - ", "TEMPORARY-SEASONAL")</f>
        <v xml:space="preserve">          6009 - TEMPORARY-SEASONAL</v>
      </c>
      <c r="C51" s="11"/>
      <c r="D51" s="7"/>
      <c r="E51" s="2"/>
      <c r="F51" s="6">
        <f t="shared" si="20"/>
        <v>0</v>
      </c>
      <c r="G51" s="2"/>
      <c r="H51" s="7">
        <v>0</v>
      </c>
      <c r="I51" s="2"/>
      <c r="J51" s="6">
        <f t="shared" si="21"/>
        <v>0</v>
      </c>
      <c r="K51" s="2"/>
      <c r="L51" s="7">
        <f t="shared" si="22"/>
        <v>0</v>
      </c>
      <c r="M51" s="2"/>
      <c r="N51" s="6">
        <f t="shared" si="23"/>
        <v>0</v>
      </c>
      <c r="O51" s="11"/>
      <c r="P51" s="7"/>
      <c r="Q51" s="2"/>
      <c r="R51" s="6">
        <f t="shared" si="24"/>
        <v>0</v>
      </c>
      <c r="S51" s="2"/>
      <c r="T51" s="7">
        <v>0</v>
      </c>
      <c r="U51" s="2"/>
      <c r="V51" s="6">
        <f t="shared" si="25"/>
        <v>0</v>
      </c>
      <c r="W51" s="2"/>
      <c r="X51" s="7">
        <f t="shared" si="26"/>
        <v>0</v>
      </c>
      <c r="Y51" s="2"/>
      <c r="Z51" s="6">
        <f t="shared" si="27"/>
        <v>0</v>
      </c>
    </row>
    <row r="52" spans="1:26" s="24" customFormat="1" hidden="1" outlineLevel="2" x14ac:dyDescent="0.25">
      <c r="A52" s="25"/>
      <c r="B52" s="11" t="str">
        <f>CONCATENATE("          ", "6010", " - ", "GRATUITY")</f>
        <v xml:space="preserve">          6010 - GRATUITY</v>
      </c>
      <c r="C52" s="11"/>
      <c r="D52" s="7"/>
      <c r="E52" s="2"/>
      <c r="F52" s="6">
        <f t="shared" si="20"/>
        <v>0</v>
      </c>
      <c r="G52" s="2"/>
      <c r="H52" s="7">
        <v>0</v>
      </c>
      <c r="I52" s="2"/>
      <c r="J52" s="6">
        <f t="shared" si="21"/>
        <v>0</v>
      </c>
      <c r="K52" s="2"/>
      <c r="L52" s="7">
        <f t="shared" si="22"/>
        <v>0</v>
      </c>
      <c r="M52" s="2"/>
      <c r="N52" s="6">
        <f t="shared" si="23"/>
        <v>0</v>
      </c>
      <c r="O52" s="11"/>
      <c r="P52" s="7"/>
      <c r="Q52" s="2"/>
      <c r="R52" s="6">
        <f t="shared" si="24"/>
        <v>0</v>
      </c>
      <c r="S52" s="2"/>
      <c r="T52" s="7">
        <v>0</v>
      </c>
      <c r="U52" s="2"/>
      <c r="V52" s="6">
        <f t="shared" si="25"/>
        <v>0</v>
      </c>
      <c r="W52" s="2"/>
      <c r="X52" s="7">
        <f t="shared" si="26"/>
        <v>0</v>
      </c>
      <c r="Y52" s="2"/>
      <c r="Z52" s="6">
        <f t="shared" si="27"/>
        <v>0</v>
      </c>
    </row>
    <row r="53" spans="1:26" s="26" customFormat="1" outlineLevel="1" collapsed="1" x14ac:dyDescent="0.25">
      <c r="A53" s="27"/>
      <c r="B53" s="13" t="str">
        <f>CONCATENATE("     ","Advertising/Promo                                 ")</f>
        <v xml:space="preserve">     Advertising/Promo                                 </v>
      </c>
      <c r="C53" s="13"/>
      <c r="D53" s="1">
        <f>SUM(OSRRefD22_2x_0)</f>
        <v>26.51</v>
      </c>
      <c r="E53" s="1"/>
      <c r="F53" s="5">
        <f t="shared" ref="F53:F62" si="28">IF(D$12=0,0,D53/D$12)</f>
        <v>6.6119200023025739E-5</v>
      </c>
      <c r="G53" s="1"/>
      <c r="H53" s="1">
        <f>SUM(OSRRefH22_2x_0)</f>
        <v>75</v>
      </c>
      <c r="I53" s="1"/>
      <c r="J53" s="5">
        <f t="shared" ref="J53:J62" si="29">IF(H$12=0,0,H53/H$12)</f>
        <v>1.8528217239641493E-4</v>
      </c>
      <c r="K53" s="1"/>
      <c r="L53" s="1">
        <f t="shared" ref="L53:L62" si="30">+D53-H53</f>
        <v>-48.489999999999995</v>
      </c>
      <c r="M53" s="1"/>
      <c r="N53" s="5">
        <f t="shared" ref="N53:N62" si="31">IF(H53=0,0,L53/H53)</f>
        <v>-0.64653333333333329</v>
      </c>
      <c r="O53" s="13"/>
      <c r="P53" s="1">
        <f>SUM(OSRRefP22_2x_0)</f>
        <v>618.52</v>
      </c>
      <c r="Q53" s="1"/>
      <c r="R53" s="5">
        <f t="shared" ref="R53:R62" si="32">IF(P$12=0,0,P53/P$12)</f>
        <v>1.0510363341962484E-3</v>
      </c>
      <c r="S53" s="1"/>
      <c r="T53" s="1">
        <f>SUM(OSRRefT22_2x_0)</f>
        <v>300</v>
      </c>
      <c r="U53" s="1"/>
      <c r="V53" s="5">
        <f t="shared" ref="V53:V62" si="33">IF(T$12=0,0,T53/T$12)</f>
        <v>4.9690988307379185E-4</v>
      </c>
      <c r="W53" s="1"/>
      <c r="X53" s="1">
        <f t="shared" ref="X53:X62" si="34">+P53-T53</f>
        <v>318.52</v>
      </c>
      <c r="Y53" s="1"/>
      <c r="Z53" s="5">
        <f t="shared" ref="Z53:Z62" si="35">IF(T53=0,0,X53/T53)</f>
        <v>1.0617333333333332</v>
      </c>
    </row>
    <row r="54" spans="1:26" s="24" customFormat="1" hidden="1" outlineLevel="2" x14ac:dyDescent="0.25">
      <c r="A54" s="25"/>
      <c r="B54" s="11" t="str">
        <f>CONCATENATE("          ", "6362", " - ", "ADVERTISING EXPENSE")</f>
        <v xml:space="preserve">          6362 - ADVERTISING EXPENSE</v>
      </c>
      <c r="C54" s="11"/>
      <c r="D54" s="7">
        <v>26.51</v>
      </c>
      <c r="E54" s="2"/>
      <c r="F54" s="6">
        <f t="shared" si="28"/>
        <v>6.6119200023025739E-5</v>
      </c>
      <c r="G54" s="2"/>
      <c r="H54" s="7">
        <v>75</v>
      </c>
      <c r="I54" s="2"/>
      <c r="J54" s="6">
        <f t="shared" si="29"/>
        <v>1.8528217239641493E-4</v>
      </c>
      <c r="K54" s="2"/>
      <c r="L54" s="7">
        <f t="shared" si="30"/>
        <v>-48.489999999999995</v>
      </c>
      <c r="M54" s="2"/>
      <c r="N54" s="6">
        <f t="shared" si="31"/>
        <v>-0.64653333333333329</v>
      </c>
      <c r="O54" s="11"/>
      <c r="P54" s="7">
        <v>618.52</v>
      </c>
      <c r="Q54" s="2"/>
      <c r="R54" s="6">
        <f t="shared" si="32"/>
        <v>1.0510363341962484E-3</v>
      </c>
      <c r="S54" s="2"/>
      <c r="T54" s="7">
        <v>300</v>
      </c>
      <c r="U54" s="2"/>
      <c r="V54" s="6">
        <f t="shared" si="33"/>
        <v>4.9690988307379185E-4</v>
      </c>
      <c r="W54" s="2"/>
      <c r="X54" s="7">
        <f t="shared" si="34"/>
        <v>318.52</v>
      </c>
      <c r="Y54" s="2"/>
      <c r="Z54" s="6">
        <f t="shared" si="35"/>
        <v>1.0617333333333332</v>
      </c>
    </row>
    <row r="55" spans="1:26" s="26" customFormat="1" outlineLevel="1" collapsed="1" x14ac:dyDescent="0.25">
      <c r="A55" s="27"/>
      <c r="B55" s="13" t="str">
        <f>CONCATENATE("     ","Bad Debts/Over/Short                              ")</f>
        <v xml:space="preserve">     Bad Debts/Over/Short                              </v>
      </c>
      <c r="C55" s="13"/>
      <c r="D55" s="1">
        <f>SUM(OSRRefD22_3x_0)</f>
        <v>-129.32</v>
      </c>
      <c r="E55" s="1"/>
      <c r="F55" s="5">
        <f t="shared" si="28"/>
        <v>-3.2253998291126697E-4</v>
      </c>
      <c r="G55" s="1"/>
      <c r="H55" s="1">
        <f>SUM(OSRRefH22_3x_0)</f>
        <v>10</v>
      </c>
      <c r="I55" s="1"/>
      <c r="J55" s="5">
        <f t="shared" si="29"/>
        <v>2.4704289652855323E-5</v>
      </c>
      <c r="K55" s="1"/>
      <c r="L55" s="1">
        <f t="shared" si="30"/>
        <v>-139.32</v>
      </c>
      <c r="M55" s="1"/>
      <c r="N55" s="5">
        <f t="shared" si="31"/>
        <v>-13.931999999999999</v>
      </c>
      <c r="O55" s="13"/>
      <c r="P55" s="1">
        <f>SUM(OSRRefP22_3x_0)</f>
        <v>-136.84</v>
      </c>
      <c r="Q55" s="1"/>
      <c r="R55" s="5">
        <f t="shared" si="32"/>
        <v>-2.3252895940537835E-4</v>
      </c>
      <c r="S55" s="1"/>
      <c r="T55" s="1">
        <f>SUM(OSRRefT22_3x_0)</f>
        <v>30</v>
      </c>
      <c r="U55" s="1"/>
      <c r="V55" s="5">
        <f t="shared" si="33"/>
        <v>4.9690988307379179E-5</v>
      </c>
      <c r="W55" s="1"/>
      <c r="X55" s="1">
        <f t="shared" si="34"/>
        <v>-166.84</v>
      </c>
      <c r="Y55" s="1"/>
      <c r="Z55" s="5">
        <f t="shared" si="35"/>
        <v>-5.5613333333333337</v>
      </c>
    </row>
    <row r="56" spans="1:26" s="24" customFormat="1" hidden="1" outlineLevel="2" x14ac:dyDescent="0.25">
      <c r="A56" s="25"/>
      <c r="B56" s="11" t="str">
        <f>CONCATENATE("          ", "6272", " - ", "CASH (OVER/SHORT)")</f>
        <v xml:space="preserve">          6272 - CASH (OVER/SHORT)</v>
      </c>
      <c r="C56" s="11"/>
      <c r="D56" s="7">
        <v>-129.32</v>
      </c>
      <c r="E56" s="2"/>
      <c r="F56" s="6">
        <f t="shared" si="28"/>
        <v>-3.2253998291126697E-4</v>
      </c>
      <c r="G56" s="2"/>
      <c r="H56" s="7">
        <v>10</v>
      </c>
      <c r="I56" s="2"/>
      <c r="J56" s="6">
        <f t="shared" si="29"/>
        <v>2.4704289652855323E-5</v>
      </c>
      <c r="K56" s="2"/>
      <c r="L56" s="7">
        <f t="shared" si="30"/>
        <v>-139.32</v>
      </c>
      <c r="M56" s="2"/>
      <c r="N56" s="6">
        <f t="shared" si="31"/>
        <v>-13.931999999999999</v>
      </c>
      <c r="O56" s="11"/>
      <c r="P56" s="7">
        <v>-136.84</v>
      </c>
      <c r="Q56" s="2"/>
      <c r="R56" s="6">
        <f t="shared" si="32"/>
        <v>-2.3252895940537835E-4</v>
      </c>
      <c r="S56" s="2"/>
      <c r="T56" s="7">
        <v>30</v>
      </c>
      <c r="U56" s="2"/>
      <c r="V56" s="6">
        <f t="shared" si="33"/>
        <v>4.9690988307379179E-5</v>
      </c>
      <c r="W56" s="2"/>
      <c r="X56" s="7">
        <f t="shared" si="34"/>
        <v>-166.84</v>
      </c>
      <c r="Y56" s="2"/>
      <c r="Z56" s="6">
        <f t="shared" si="35"/>
        <v>-5.5613333333333337</v>
      </c>
    </row>
    <row r="57" spans="1:26" s="26" customFormat="1" outlineLevel="1" collapsed="1" x14ac:dyDescent="0.25">
      <c r="A57" s="27"/>
      <c r="B57" s="13" t="str">
        <f>CONCATENATE("     ","Bank/card Fees                                    ")</f>
        <v xml:space="preserve">     Bank/card Fees                                    </v>
      </c>
      <c r="C57" s="13"/>
      <c r="D57" s="1">
        <f>SUM(OSRRefD22_4x_0)</f>
        <v>13892.93</v>
      </c>
      <c r="E57" s="1"/>
      <c r="F57" s="5">
        <f t="shared" si="28"/>
        <v>3.4650675879890416E-2</v>
      </c>
      <c r="G57" s="1"/>
      <c r="H57" s="1">
        <f>SUM(OSRRefH22_4x_0)</f>
        <v>13106</v>
      </c>
      <c r="I57" s="1"/>
      <c r="J57" s="5">
        <f t="shared" si="29"/>
        <v>3.2377442019032185E-2</v>
      </c>
      <c r="K57" s="1"/>
      <c r="L57" s="1">
        <f t="shared" si="30"/>
        <v>786.93000000000029</v>
      </c>
      <c r="M57" s="1"/>
      <c r="N57" s="5">
        <f t="shared" si="31"/>
        <v>6.0043491530596696E-2</v>
      </c>
      <c r="O57" s="13"/>
      <c r="P57" s="1">
        <f>SUM(OSRRefP22_4x_0)</f>
        <v>19860.05</v>
      </c>
      <c r="Q57" s="1"/>
      <c r="R57" s="5">
        <f t="shared" si="32"/>
        <v>3.3747710904989653E-2</v>
      </c>
      <c r="S57" s="1"/>
      <c r="T57" s="1">
        <f>SUM(OSRRefT22_4x_0)</f>
        <v>19247</v>
      </c>
      <c r="U57" s="1"/>
      <c r="V57" s="5">
        <f t="shared" si="33"/>
        <v>3.1880081731737571E-2</v>
      </c>
      <c r="W57" s="1"/>
      <c r="X57" s="1">
        <f t="shared" si="34"/>
        <v>613.04999999999927</v>
      </c>
      <c r="Y57" s="1"/>
      <c r="Z57" s="5">
        <f t="shared" si="35"/>
        <v>3.1851717150724754E-2</v>
      </c>
    </row>
    <row r="58" spans="1:26" s="24" customFormat="1" hidden="1" outlineLevel="2" x14ac:dyDescent="0.25">
      <c r="A58" s="25"/>
      <c r="B58" s="11" t="str">
        <f>CONCATENATE("          ", "6381", " - ", "BANK/CREDIT CARD FEES")</f>
        <v xml:space="preserve">          6381 - BANK/CREDIT CARD FEES</v>
      </c>
      <c r="C58" s="11"/>
      <c r="D58" s="7">
        <v>13892.93</v>
      </c>
      <c r="E58" s="2"/>
      <c r="F58" s="6">
        <f t="shared" si="28"/>
        <v>3.4650675879890416E-2</v>
      </c>
      <c r="G58" s="2"/>
      <c r="H58" s="7">
        <v>13106</v>
      </c>
      <c r="I58" s="2"/>
      <c r="J58" s="6">
        <f t="shared" si="29"/>
        <v>3.2377442019032185E-2</v>
      </c>
      <c r="K58" s="2"/>
      <c r="L58" s="7">
        <f t="shared" si="30"/>
        <v>786.93000000000029</v>
      </c>
      <c r="M58" s="2"/>
      <c r="N58" s="6">
        <f t="shared" si="31"/>
        <v>6.0043491530596696E-2</v>
      </c>
      <c r="O58" s="11"/>
      <c r="P58" s="7">
        <v>19860.05</v>
      </c>
      <c r="Q58" s="2"/>
      <c r="R58" s="6">
        <f t="shared" si="32"/>
        <v>3.3747710904989653E-2</v>
      </c>
      <c r="S58" s="2"/>
      <c r="T58" s="7">
        <v>19247</v>
      </c>
      <c r="U58" s="2"/>
      <c r="V58" s="6">
        <f t="shared" si="33"/>
        <v>3.1880081731737571E-2</v>
      </c>
      <c r="W58" s="2"/>
      <c r="X58" s="7">
        <f t="shared" si="34"/>
        <v>613.04999999999927</v>
      </c>
      <c r="Y58" s="2"/>
      <c r="Z58" s="6">
        <f t="shared" si="35"/>
        <v>3.1851717150724754E-2</v>
      </c>
    </row>
    <row r="59" spans="1:26" s="26" customFormat="1" outlineLevel="1" collapsed="1" x14ac:dyDescent="0.25">
      <c r="A59" s="27"/>
      <c r="B59" s="13" t="str">
        <f>CONCATENATE("     ","Depreciation                                      ")</f>
        <v xml:space="preserve">     Depreciation                                      </v>
      </c>
      <c r="C59" s="13"/>
      <c r="D59" s="1">
        <f>SUM(OSRRefD22_5x_0)</f>
        <v>8403.48</v>
      </c>
      <c r="E59" s="1"/>
      <c r="F59" s="5">
        <f t="shared" si="28"/>
        <v>2.0959312523934223E-2</v>
      </c>
      <c r="G59" s="1"/>
      <c r="H59" s="1">
        <f>SUM(OSRRefH22_5x_0)</f>
        <v>8436</v>
      </c>
      <c r="I59" s="1"/>
      <c r="J59" s="5">
        <f t="shared" si="29"/>
        <v>2.084053875114875E-2</v>
      </c>
      <c r="K59" s="1"/>
      <c r="L59" s="1">
        <f t="shared" si="30"/>
        <v>-32.520000000000437</v>
      </c>
      <c r="M59" s="1"/>
      <c r="N59" s="5">
        <f t="shared" si="31"/>
        <v>-3.8549075391181172E-3</v>
      </c>
      <c r="O59" s="13"/>
      <c r="P59" s="1">
        <f>SUM(OSRRefP22_5x_0)</f>
        <v>25210.44</v>
      </c>
      <c r="Q59" s="1"/>
      <c r="R59" s="5">
        <f t="shared" si="32"/>
        <v>4.2839501456823491E-2</v>
      </c>
      <c r="S59" s="1"/>
      <c r="T59" s="1">
        <f>SUM(OSRRefT22_5x_0)</f>
        <v>24948</v>
      </c>
      <c r="U59" s="1"/>
      <c r="V59" s="5">
        <f t="shared" si="33"/>
        <v>4.1323025876416529E-2</v>
      </c>
      <c r="W59" s="1"/>
      <c r="X59" s="1">
        <f t="shared" si="34"/>
        <v>262.43999999999869</v>
      </c>
      <c r="Y59" s="1"/>
      <c r="Z59" s="5">
        <f t="shared" si="35"/>
        <v>1.0519480519480467E-2</v>
      </c>
    </row>
    <row r="60" spans="1:26" s="24" customFormat="1" hidden="1" outlineLevel="2" x14ac:dyDescent="0.25">
      <c r="A60" s="25"/>
      <c r="B60" s="11" t="str">
        <f>CONCATENATE("          ", "6321", " - ", "BUILDING DEPRECIATION")</f>
        <v xml:space="preserve">          6321 - BUILDING DEPRECIATION</v>
      </c>
      <c r="C60" s="11"/>
      <c r="D60" s="7">
        <v>5080.51</v>
      </c>
      <c r="E60" s="2"/>
      <c r="F60" s="6">
        <f t="shared" si="28"/>
        <v>1.267141670724189E-2</v>
      </c>
      <c r="G60" s="2"/>
      <c r="H60" s="7">
        <v>5081</v>
      </c>
      <c r="I60" s="2"/>
      <c r="J60" s="6">
        <f t="shared" si="29"/>
        <v>1.255224957261579E-2</v>
      </c>
      <c r="K60" s="2"/>
      <c r="L60" s="7">
        <f t="shared" si="30"/>
        <v>-0.48999999999978172</v>
      </c>
      <c r="M60" s="2"/>
      <c r="N60" s="6">
        <f t="shared" si="31"/>
        <v>-9.6437709112336489E-5</v>
      </c>
      <c r="O60" s="11"/>
      <c r="P60" s="7">
        <v>15241.529999999999</v>
      </c>
      <c r="Q60" s="2"/>
      <c r="R60" s="6">
        <f t="shared" si="32"/>
        <v>2.5899569648098919E-2</v>
      </c>
      <c r="S60" s="2"/>
      <c r="T60" s="7">
        <v>15243</v>
      </c>
      <c r="U60" s="2"/>
      <c r="V60" s="6">
        <f t="shared" si="33"/>
        <v>2.5247991158979362E-2</v>
      </c>
      <c r="W60" s="2"/>
      <c r="X60" s="7">
        <f t="shared" si="34"/>
        <v>-1.4700000000011642</v>
      </c>
      <c r="Y60" s="2"/>
      <c r="Z60" s="6">
        <f t="shared" si="35"/>
        <v>-9.6437709112455832E-5</v>
      </c>
    </row>
    <row r="61" spans="1:26" s="24" customFormat="1" hidden="1" outlineLevel="2" x14ac:dyDescent="0.25">
      <c r="A61" s="25"/>
      <c r="B61" s="11" t="str">
        <f>CONCATENATE("          ", "6322", " - ", "EQUIPMENT DEPRECIATION EXPENSE")</f>
        <v xml:space="preserve">          6322 - EQUIPMENT DEPRECIATION EXPENSE</v>
      </c>
      <c r="C61" s="11"/>
      <c r="D61" s="7">
        <v>3322.97</v>
      </c>
      <c r="E61" s="2"/>
      <c r="F61" s="6">
        <f t="shared" si="28"/>
        <v>8.2878958166923353E-3</v>
      </c>
      <c r="G61" s="2"/>
      <c r="H61" s="7">
        <v>3175</v>
      </c>
      <c r="I61" s="2"/>
      <c r="J61" s="6">
        <f t="shared" si="29"/>
        <v>7.843611964781564E-3</v>
      </c>
      <c r="K61" s="2"/>
      <c r="L61" s="7">
        <f t="shared" si="30"/>
        <v>147.9699999999998</v>
      </c>
      <c r="M61" s="2"/>
      <c r="N61" s="6">
        <f t="shared" si="31"/>
        <v>4.6604724409448753E-2</v>
      </c>
      <c r="O61" s="11"/>
      <c r="P61" s="7">
        <v>9968.91</v>
      </c>
      <c r="Q61" s="2"/>
      <c r="R61" s="6">
        <f t="shared" si="32"/>
        <v>1.6939931808724572E-2</v>
      </c>
      <c r="S61" s="2"/>
      <c r="T61" s="7">
        <v>9525</v>
      </c>
      <c r="U61" s="2"/>
      <c r="V61" s="6">
        <f t="shared" si="33"/>
        <v>1.577688878759289E-2</v>
      </c>
      <c r="W61" s="2"/>
      <c r="X61" s="7">
        <f t="shared" si="34"/>
        <v>443.90999999999985</v>
      </c>
      <c r="Y61" s="2"/>
      <c r="Z61" s="6">
        <f t="shared" si="35"/>
        <v>4.6604724409448801E-2</v>
      </c>
    </row>
    <row r="62" spans="1:26" s="24" customFormat="1" hidden="1" outlineLevel="2" x14ac:dyDescent="0.25">
      <c r="A62" s="25"/>
      <c r="B62" s="11" t="str">
        <f>CONCATENATE("          ", "6324", " - ", "FURNITURE + FIXT DEPRECIATION")</f>
        <v xml:space="preserve">          6324 - FURNITURE + FIXT DEPRECIATION</v>
      </c>
      <c r="C62" s="11"/>
      <c r="D62" s="7"/>
      <c r="E62" s="2"/>
      <c r="F62" s="6">
        <f t="shared" si="28"/>
        <v>0</v>
      </c>
      <c r="G62" s="2"/>
      <c r="H62" s="7">
        <v>180</v>
      </c>
      <c r="I62" s="2"/>
      <c r="J62" s="6">
        <f t="shared" si="29"/>
        <v>4.446772137513958E-4</v>
      </c>
      <c r="K62" s="2"/>
      <c r="L62" s="7">
        <f t="shared" si="30"/>
        <v>-180</v>
      </c>
      <c r="M62" s="2"/>
      <c r="N62" s="6">
        <f t="shared" si="31"/>
        <v>-1</v>
      </c>
      <c r="O62" s="11"/>
      <c r="P62" s="7"/>
      <c r="Q62" s="2"/>
      <c r="R62" s="6">
        <f t="shared" si="32"/>
        <v>0</v>
      </c>
      <c r="S62" s="2"/>
      <c r="T62" s="7">
        <v>180</v>
      </c>
      <c r="U62" s="2"/>
      <c r="V62" s="6">
        <f t="shared" si="33"/>
        <v>2.9814592984427508E-4</v>
      </c>
      <c r="W62" s="2"/>
      <c r="X62" s="7">
        <f t="shared" si="34"/>
        <v>-180</v>
      </c>
      <c r="Y62" s="2"/>
      <c r="Z62" s="6">
        <f t="shared" si="35"/>
        <v>-1</v>
      </c>
    </row>
    <row r="63" spans="1:26" s="26" customFormat="1" outlineLevel="1" collapsed="1" x14ac:dyDescent="0.25">
      <c r="A63" s="27"/>
      <c r="B63" s="13" t="str">
        <f>CONCATENATE("     ","Discounts and Markdowns                           ")</f>
        <v xml:space="preserve">     Discounts and Markdowns                           </v>
      </c>
      <c r="C63" s="13"/>
      <c r="D63" s="1">
        <f>SUM(OSRRefD22_6x_0)</f>
        <v>11.81</v>
      </c>
      <c r="E63" s="1"/>
      <c r="F63" s="5">
        <f t="shared" ref="F63:F83" si="36">IF(D$12=0,0,D63/D$12)</f>
        <v>2.9455592315048434E-5</v>
      </c>
      <c r="G63" s="1"/>
      <c r="H63" s="1">
        <f>SUM(OSRRefH22_6x_0)</f>
        <v>0</v>
      </c>
      <c r="I63" s="1"/>
      <c r="J63" s="5">
        <f t="shared" ref="J63:J83" si="37">IF(H$12=0,0,H63/H$12)</f>
        <v>0</v>
      </c>
      <c r="K63" s="1"/>
      <c r="L63" s="1">
        <f t="shared" ref="L63:L83" si="38">+D63-H63</f>
        <v>11.81</v>
      </c>
      <c r="M63" s="1"/>
      <c r="N63" s="5">
        <f t="shared" ref="N63:N83" si="39">IF(H63=0,0,L63/H63)</f>
        <v>0</v>
      </c>
      <c r="O63" s="13"/>
      <c r="P63" s="1">
        <f>SUM(OSRRefP22_6x_0)</f>
        <v>31.9</v>
      </c>
      <c r="Q63" s="1"/>
      <c r="R63" s="5">
        <f t="shared" ref="R63:R83" si="40">IF(P$12=0,0,P63/P$12)</f>
        <v>5.4206911758488522E-5</v>
      </c>
      <c r="S63" s="1"/>
      <c r="T63" s="1">
        <f>SUM(OSRRefT22_6x_0)</f>
        <v>0</v>
      </c>
      <c r="U63" s="1"/>
      <c r="V63" s="5">
        <f t="shared" ref="V63:V83" si="41">IF(T$12=0,0,T63/T$12)</f>
        <v>0</v>
      </c>
      <c r="W63" s="1"/>
      <c r="X63" s="1">
        <f t="shared" ref="X63:X83" si="42">+P63-T63</f>
        <v>31.9</v>
      </c>
      <c r="Y63" s="1"/>
      <c r="Z63" s="5">
        <f t="shared" ref="Z63:Z83" si="43">IF(T63=0,0,X63/T63)</f>
        <v>0</v>
      </c>
    </row>
    <row r="64" spans="1:26" s="24" customFormat="1" hidden="1" outlineLevel="2" x14ac:dyDescent="0.25">
      <c r="A64" s="25"/>
      <c r="B64" s="11" t="str">
        <f>CONCATENATE("          ", "6382", " - ", "DISCOUNTS/MARK DOWNS")</f>
        <v xml:space="preserve">          6382 - DISCOUNTS/MARK DOWNS</v>
      </c>
      <c r="C64" s="11"/>
      <c r="D64" s="7">
        <v>11.81</v>
      </c>
      <c r="E64" s="2"/>
      <c r="F64" s="6">
        <f t="shared" si="36"/>
        <v>2.9455592315048434E-5</v>
      </c>
      <c r="G64" s="2"/>
      <c r="H64" s="7"/>
      <c r="I64" s="2"/>
      <c r="J64" s="6">
        <f t="shared" si="37"/>
        <v>0</v>
      </c>
      <c r="K64" s="2"/>
      <c r="L64" s="7">
        <f t="shared" si="38"/>
        <v>11.81</v>
      </c>
      <c r="M64" s="2"/>
      <c r="N64" s="6">
        <f t="shared" si="39"/>
        <v>0</v>
      </c>
      <c r="O64" s="11"/>
      <c r="P64" s="7">
        <v>31.9</v>
      </c>
      <c r="Q64" s="2"/>
      <c r="R64" s="6">
        <f t="shared" si="40"/>
        <v>5.4206911758488522E-5</v>
      </c>
      <c r="S64" s="2"/>
      <c r="T64" s="7"/>
      <c r="U64" s="2"/>
      <c r="V64" s="6">
        <f t="shared" si="41"/>
        <v>0</v>
      </c>
      <c r="W64" s="2"/>
      <c r="X64" s="7">
        <f t="shared" si="42"/>
        <v>31.9</v>
      </c>
      <c r="Y64" s="2"/>
      <c r="Z64" s="6">
        <f t="shared" si="43"/>
        <v>0</v>
      </c>
    </row>
    <row r="65" spans="1:26" s="26" customFormat="1" outlineLevel="1" collapsed="1" x14ac:dyDescent="0.25">
      <c r="A65" s="27"/>
      <c r="B65" s="13" t="str">
        <f>CONCATENATE("     ","Employees' Appreciation                           ")</f>
        <v xml:space="preserve">     Employees' Appreciation                           </v>
      </c>
      <c r="C65" s="13"/>
      <c r="D65" s="1">
        <f>SUM(OSRRefD22_7x_0)</f>
        <v>0</v>
      </c>
      <c r="E65" s="1"/>
      <c r="F65" s="5">
        <f t="shared" si="36"/>
        <v>0</v>
      </c>
      <c r="G65" s="1"/>
      <c r="H65" s="1">
        <f>SUM(OSRRefH22_7x_0)</f>
        <v>25</v>
      </c>
      <c r="I65" s="1"/>
      <c r="J65" s="5">
        <f t="shared" si="37"/>
        <v>6.1760724132138304E-5</v>
      </c>
      <c r="K65" s="1"/>
      <c r="L65" s="1">
        <f t="shared" si="38"/>
        <v>-25</v>
      </c>
      <c r="M65" s="1"/>
      <c r="N65" s="5">
        <f t="shared" si="39"/>
        <v>-1</v>
      </c>
      <c r="O65" s="13"/>
      <c r="P65" s="1">
        <f>SUM(OSRRefP22_7x_0)</f>
        <v>0</v>
      </c>
      <c r="Q65" s="1"/>
      <c r="R65" s="5">
        <f t="shared" si="40"/>
        <v>0</v>
      </c>
      <c r="S65" s="1"/>
      <c r="T65" s="1">
        <f>SUM(OSRRefT22_7x_0)</f>
        <v>75</v>
      </c>
      <c r="U65" s="1"/>
      <c r="V65" s="5">
        <f t="shared" si="41"/>
        <v>1.2422747076844796E-4</v>
      </c>
      <c r="W65" s="1"/>
      <c r="X65" s="1">
        <f t="shared" si="42"/>
        <v>-75</v>
      </c>
      <c r="Y65" s="1"/>
      <c r="Z65" s="5">
        <f t="shared" si="43"/>
        <v>-1</v>
      </c>
    </row>
    <row r="66" spans="1:26" s="24" customFormat="1" hidden="1" outlineLevel="2" x14ac:dyDescent="0.25">
      <c r="A66" s="25"/>
      <c r="B66" s="11" t="str">
        <f>CONCATENATE("          ", "6277", " - ", "EMPLOYEE APPRECIATION")</f>
        <v xml:space="preserve">          6277 - EMPLOYEE APPRECIATION</v>
      </c>
      <c r="C66" s="11"/>
      <c r="D66" s="7"/>
      <c r="E66" s="2"/>
      <c r="F66" s="6">
        <f t="shared" si="36"/>
        <v>0</v>
      </c>
      <c r="G66" s="2"/>
      <c r="H66" s="7">
        <v>25</v>
      </c>
      <c r="I66" s="2"/>
      <c r="J66" s="6">
        <f t="shared" si="37"/>
        <v>6.1760724132138304E-5</v>
      </c>
      <c r="K66" s="2"/>
      <c r="L66" s="7">
        <f t="shared" si="38"/>
        <v>-25</v>
      </c>
      <c r="M66" s="2"/>
      <c r="N66" s="6">
        <f t="shared" si="39"/>
        <v>-1</v>
      </c>
      <c r="O66" s="11"/>
      <c r="P66" s="7"/>
      <c r="Q66" s="2"/>
      <c r="R66" s="6">
        <f t="shared" si="40"/>
        <v>0</v>
      </c>
      <c r="S66" s="2"/>
      <c r="T66" s="7">
        <v>75</v>
      </c>
      <c r="U66" s="2"/>
      <c r="V66" s="6">
        <f t="shared" si="41"/>
        <v>1.2422747076844796E-4</v>
      </c>
      <c r="W66" s="2"/>
      <c r="X66" s="7">
        <f t="shared" si="42"/>
        <v>-75</v>
      </c>
      <c r="Y66" s="2"/>
      <c r="Z66" s="6">
        <f t="shared" si="43"/>
        <v>-1</v>
      </c>
    </row>
    <row r="67" spans="1:26" s="26" customFormat="1" outlineLevel="1" collapsed="1" x14ac:dyDescent="0.25">
      <c r="A67" s="27"/>
      <c r="B67" s="13" t="str">
        <f>CONCATENATE("     ","Equipment Rental                                  ")</f>
        <v xml:space="preserve">     Equipment Rental                                  </v>
      </c>
      <c r="C67" s="13"/>
      <c r="D67" s="1">
        <f>SUM(OSRRefD22_8x_0)</f>
        <v>56.69</v>
      </c>
      <c r="E67" s="1"/>
      <c r="F67" s="5">
        <f t="shared" si="36"/>
        <v>1.4139183135817915E-4</v>
      </c>
      <c r="G67" s="1"/>
      <c r="H67" s="1">
        <f>SUM(OSRRefH22_8x_0)</f>
        <v>80</v>
      </c>
      <c r="I67" s="1"/>
      <c r="J67" s="5">
        <f t="shared" si="37"/>
        <v>1.9763431722284258E-4</v>
      </c>
      <c r="K67" s="1"/>
      <c r="L67" s="1">
        <f t="shared" si="38"/>
        <v>-23.310000000000002</v>
      </c>
      <c r="M67" s="1"/>
      <c r="N67" s="5">
        <f t="shared" si="39"/>
        <v>-0.29137500000000005</v>
      </c>
      <c r="O67" s="13"/>
      <c r="P67" s="1">
        <f>SUM(OSRRefP22_8x_0)</f>
        <v>349.21</v>
      </c>
      <c r="Q67" s="1"/>
      <c r="R67" s="5">
        <f t="shared" si="40"/>
        <v>5.9340425251353532E-4</v>
      </c>
      <c r="S67" s="1"/>
      <c r="T67" s="1">
        <f>SUM(OSRRefT22_8x_0)</f>
        <v>240</v>
      </c>
      <c r="U67" s="1"/>
      <c r="V67" s="5">
        <f t="shared" si="41"/>
        <v>3.9752790645903343E-4</v>
      </c>
      <c r="W67" s="1"/>
      <c r="X67" s="1">
        <f t="shared" si="42"/>
        <v>109.20999999999998</v>
      </c>
      <c r="Y67" s="1"/>
      <c r="Z67" s="5">
        <f t="shared" si="43"/>
        <v>0.45504166666666657</v>
      </c>
    </row>
    <row r="68" spans="1:26" s="24" customFormat="1" hidden="1" outlineLevel="2" x14ac:dyDescent="0.25">
      <c r="A68" s="25"/>
      <c r="B68" s="11" t="str">
        <f>CONCATENATE("          ", "6351", " - ", "EQUIPMENT RENTAL")</f>
        <v xml:space="preserve">          6351 - EQUIPMENT RENTAL</v>
      </c>
      <c r="C68" s="11"/>
      <c r="D68" s="7">
        <v>56.69</v>
      </c>
      <c r="E68" s="2"/>
      <c r="F68" s="6">
        <f t="shared" si="36"/>
        <v>1.4139183135817915E-4</v>
      </c>
      <c r="G68" s="2"/>
      <c r="H68" s="7">
        <v>80</v>
      </c>
      <c r="I68" s="2"/>
      <c r="J68" s="6">
        <f t="shared" si="37"/>
        <v>1.9763431722284258E-4</v>
      </c>
      <c r="K68" s="2"/>
      <c r="L68" s="7">
        <f t="shared" si="38"/>
        <v>-23.310000000000002</v>
      </c>
      <c r="M68" s="2"/>
      <c r="N68" s="6">
        <f t="shared" si="39"/>
        <v>-0.29137500000000005</v>
      </c>
      <c r="O68" s="11"/>
      <c r="P68" s="7">
        <v>349.21</v>
      </c>
      <c r="Q68" s="2"/>
      <c r="R68" s="6">
        <f t="shared" si="40"/>
        <v>5.9340425251353532E-4</v>
      </c>
      <c r="S68" s="2"/>
      <c r="T68" s="7">
        <v>240</v>
      </c>
      <c r="U68" s="2"/>
      <c r="V68" s="6">
        <f t="shared" si="41"/>
        <v>3.9752790645903343E-4</v>
      </c>
      <c r="W68" s="2"/>
      <c r="X68" s="7">
        <f t="shared" si="42"/>
        <v>109.20999999999998</v>
      </c>
      <c r="Y68" s="2"/>
      <c r="Z68" s="6">
        <f t="shared" si="43"/>
        <v>0.45504166666666657</v>
      </c>
    </row>
    <row r="69" spans="1:26" s="26" customFormat="1" outlineLevel="1" collapsed="1" x14ac:dyDescent="0.25">
      <c r="A69" s="27"/>
      <c r="B69" s="13" t="str">
        <f>CONCATENATE("     ","Freight out/Postage                               ")</f>
        <v xml:space="preserve">     Freight out/Postage                               </v>
      </c>
      <c r="C69" s="13"/>
      <c r="D69" s="1">
        <f>SUM(OSRRefD22_9x_0)</f>
        <v>28.87</v>
      </c>
      <c r="E69" s="1"/>
      <c r="F69" s="5">
        <f t="shared" si="36"/>
        <v>7.200533024008876E-5</v>
      </c>
      <c r="G69" s="1"/>
      <c r="H69" s="1">
        <f>SUM(OSRRefH22_9x_0)</f>
        <v>0</v>
      </c>
      <c r="I69" s="1"/>
      <c r="J69" s="5">
        <f t="shared" si="37"/>
        <v>0</v>
      </c>
      <c r="K69" s="1"/>
      <c r="L69" s="1">
        <f t="shared" si="38"/>
        <v>28.87</v>
      </c>
      <c r="M69" s="1"/>
      <c r="N69" s="5">
        <f t="shared" si="39"/>
        <v>0</v>
      </c>
      <c r="O69" s="13"/>
      <c r="P69" s="1">
        <f>SUM(OSRRefP22_9x_0)</f>
        <v>145.52000000000001</v>
      </c>
      <c r="Q69" s="1"/>
      <c r="R69" s="5">
        <f t="shared" si="40"/>
        <v>2.4727867708762541E-4</v>
      </c>
      <c r="S69" s="1"/>
      <c r="T69" s="1">
        <f>SUM(OSRRefT22_9x_0)</f>
        <v>0</v>
      </c>
      <c r="U69" s="1"/>
      <c r="V69" s="5">
        <f t="shared" si="41"/>
        <v>0</v>
      </c>
      <c r="W69" s="1"/>
      <c r="X69" s="1">
        <f t="shared" si="42"/>
        <v>145.52000000000001</v>
      </c>
      <c r="Y69" s="1"/>
      <c r="Z69" s="5">
        <f t="shared" si="43"/>
        <v>0</v>
      </c>
    </row>
    <row r="70" spans="1:26" s="24" customFormat="1" hidden="1" outlineLevel="2" x14ac:dyDescent="0.25">
      <c r="A70" s="25"/>
      <c r="B70" s="11" t="str">
        <f>CONCATENATE("          ", "6305", " - ", "FREIGHT OUT")</f>
        <v xml:space="preserve">          6305 - FREIGHT OUT</v>
      </c>
      <c r="C70" s="11"/>
      <c r="D70" s="7">
        <v>28.87</v>
      </c>
      <c r="E70" s="2"/>
      <c r="F70" s="6">
        <f t="shared" si="36"/>
        <v>7.200533024008876E-5</v>
      </c>
      <c r="G70" s="2"/>
      <c r="H70" s="7"/>
      <c r="I70" s="2"/>
      <c r="J70" s="6">
        <f t="shared" si="37"/>
        <v>0</v>
      </c>
      <c r="K70" s="2"/>
      <c r="L70" s="7">
        <f t="shared" si="38"/>
        <v>28.87</v>
      </c>
      <c r="M70" s="2"/>
      <c r="N70" s="6">
        <f t="shared" si="39"/>
        <v>0</v>
      </c>
      <c r="O70" s="11"/>
      <c r="P70" s="7">
        <v>145.52000000000001</v>
      </c>
      <c r="Q70" s="2"/>
      <c r="R70" s="6">
        <f t="shared" si="40"/>
        <v>2.4727867708762541E-4</v>
      </c>
      <c r="S70" s="2"/>
      <c r="T70" s="7"/>
      <c r="U70" s="2"/>
      <c r="V70" s="6">
        <f t="shared" si="41"/>
        <v>0</v>
      </c>
      <c r="W70" s="2"/>
      <c r="X70" s="7">
        <f t="shared" si="42"/>
        <v>145.52000000000001</v>
      </c>
      <c r="Y70" s="2"/>
      <c r="Z70" s="6">
        <f t="shared" si="43"/>
        <v>0</v>
      </c>
    </row>
    <row r="71" spans="1:26" s="26" customFormat="1" outlineLevel="1" collapsed="1" x14ac:dyDescent="0.25">
      <c r="A71" s="27"/>
      <c r="B71" s="13" t="str">
        <f>CONCATENATE("     ","General                                           ")</f>
        <v xml:space="preserve">     General                                           </v>
      </c>
      <c r="C71" s="13"/>
      <c r="D71" s="1">
        <f>SUM(OSRRefD22_10x_0)</f>
        <v>210.98</v>
      </c>
      <c r="E71" s="1"/>
      <c r="F71" s="5">
        <f t="shared" si="36"/>
        <v>5.2621006491354095E-4</v>
      </c>
      <c r="G71" s="1"/>
      <c r="H71" s="1">
        <f>SUM(OSRRefH22_10x_0)</f>
        <v>1518</v>
      </c>
      <c r="I71" s="1"/>
      <c r="J71" s="5">
        <f t="shared" si="37"/>
        <v>3.750111169303438E-3</v>
      </c>
      <c r="K71" s="1"/>
      <c r="L71" s="1">
        <f t="shared" si="38"/>
        <v>-1307.02</v>
      </c>
      <c r="M71" s="1"/>
      <c r="N71" s="5">
        <f t="shared" si="39"/>
        <v>-0.86101449275362318</v>
      </c>
      <c r="O71" s="13"/>
      <c r="P71" s="1">
        <f>SUM(OSRRefP22_10x_0)</f>
        <v>4764.5200000000004</v>
      </c>
      <c r="Q71" s="1"/>
      <c r="R71" s="5">
        <f t="shared" si="40"/>
        <v>8.0962355865690835E-3</v>
      </c>
      <c r="S71" s="1"/>
      <c r="T71" s="1">
        <f>SUM(OSRRefT22_10x_0)</f>
        <v>2616</v>
      </c>
      <c r="U71" s="1"/>
      <c r="V71" s="5">
        <f t="shared" si="41"/>
        <v>4.333054180403465E-3</v>
      </c>
      <c r="W71" s="1"/>
      <c r="X71" s="1">
        <f t="shared" si="42"/>
        <v>2148.5200000000004</v>
      </c>
      <c r="Y71" s="1"/>
      <c r="Z71" s="5">
        <f t="shared" si="43"/>
        <v>0.82129969418960258</v>
      </c>
    </row>
    <row r="72" spans="1:26" s="24" customFormat="1" hidden="1" outlineLevel="2" x14ac:dyDescent="0.25">
      <c r="A72" s="25"/>
      <c r="B72" s="11" t="str">
        <f>CONCATENATE("          ", "6279", " - ", "GENERAL EXPENSE")</f>
        <v xml:space="preserve">          6279 - GENERAL EXPENSE</v>
      </c>
      <c r="C72" s="11"/>
      <c r="D72" s="7">
        <v>210.98</v>
      </c>
      <c r="E72" s="2"/>
      <c r="F72" s="6">
        <f t="shared" si="36"/>
        <v>5.2621006491354095E-4</v>
      </c>
      <c r="G72" s="2"/>
      <c r="H72" s="7">
        <v>1518</v>
      </c>
      <c r="I72" s="2"/>
      <c r="J72" s="6">
        <f t="shared" si="37"/>
        <v>3.750111169303438E-3</v>
      </c>
      <c r="K72" s="2"/>
      <c r="L72" s="7">
        <f t="shared" si="38"/>
        <v>-1307.02</v>
      </c>
      <c r="M72" s="2"/>
      <c r="N72" s="6">
        <f t="shared" si="39"/>
        <v>-0.86101449275362318</v>
      </c>
      <c r="O72" s="11"/>
      <c r="P72" s="7">
        <v>4764.5200000000004</v>
      </c>
      <c r="Q72" s="2"/>
      <c r="R72" s="6">
        <f t="shared" si="40"/>
        <v>8.0962355865690835E-3</v>
      </c>
      <c r="S72" s="2"/>
      <c r="T72" s="7">
        <v>2616</v>
      </c>
      <c r="U72" s="2"/>
      <c r="V72" s="6">
        <f t="shared" si="41"/>
        <v>4.333054180403465E-3</v>
      </c>
      <c r="W72" s="2"/>
      <c r="X72" s="7">
        <f t="shared" si="42"/>
        <v>2148.5200000000004</v>
      </c>
      <c r="Y72" s="2"/>
      <c r="Z72" s="6">
        <f t="shared" si="43"/>
        <v>0.82129969418960258</v>
      </c>
    </row>
    <row r="73" spans="1:26" s="26" customFormat="1" outlineLevel="1" collapsed="1" x14ac:dyDescent="0.25">
      <c r="A73" s="27"/>
      <c r="B73" s="13" t="str">
        <f>CONCATENATE("     ","Insurance                                         ")</f>
        <v xml:space="preserve">     Insurance                                         </v>
      </c>
      <c r="C73" s="13"/>
      <c r="D73" s="1">
        <f>SUM(OSRRefD22_11x_0)</f>
        <v>243.54</v>
      </c>
      <c r="E73" s="1"/>
      <c r="F73" s="5">
        <f t="shared" si="36"/>
        <v>6.0741870892522395E-4</v>
      </c>
      <c r="G73" s="1"/>
      <c r="H73" s="1">
        <f>SUM(OSRRefH22_11x_0)</f>
        <v>230</v>
      </c>
      <c r="I73" s="1"/>
      <c r="J73" s="5">
        <f t="shared" si="37"/>
        <v>5.6819866201567243E-4</v>
      </c>
      <c r="K73" s="1"/>
      <c r="L73" s="1">
        <f t="shared" si="38"/>
        <v>13.539999999999992</v>
      </c>
      <c r="M73" s="1"/>
      <c r="N73" s="5">
        <f t="shared" si="39"/>
        <v>5.886956521739127E-2</v>
      </c>
      <c r="O73" s="13"/>
      <c r="P73" s="1">
        <f>SUM(OSRRefP22_11x_0)</f>
        <v>730.62</v>
      </c>
      <c r="Q73" s="1"/>
      <c r="R73" s="5">
        <f t="shared" si="40"/>
        <v>1.2415251996547613E-3</v>
      </c>
      <c r="S73" s="1"/>
      <c r="T73" s="1">
        <f>SUM(OSRRefT22_11x_0)</f>
        <v>690</v>
      </c>
      <c r="U73" s="1"/>
      <c r="V73" s="5">
        <f t="shared" si="41"/>
        <v>1.1428927310697212E-3</v>
      </c>
      <c r="W73" s="1"/>
      <c r="X73" s="1">
        <f t="shared" si="42"/>
        <v>40.620000000000005</v>
      </c>
      <c r="Y73" s="1"/>
      <c r="Z73" s="5">
        <f t="shared" si="43"/>
        <v>5.8869565217391312E-2</v>
      </c>
    </row>
    <row r="74" spans="1:26" s="24" customFormat="1" hidden="1" outlineLevel="2" x14ac:dyDescent="0.25">
      <c r="A74" s="25"/>
      <c r="B74" s="11" t="str">
        <f>CONCATENATE("          ", "6314", " - ", "LIABILITY INSURANCE")</f>
        <v xml:space="preserve">          6314 - LIABILITY INSURANCE</v>
      </c>
      <c r="C74" s="11"/>
      <c r="D74" s="7">
        <v>243.54</v>
      </c>
      <c r="E74" s="2"/>
      <c r="F74" s="6">
        <f t="shared" si="36"/>
        <v>6.0741870892522395E-4</v>
      </c>
      <c r="G74" s="2"/>
      <c r="H74" s="7">
        <v>230</v>
      </c>
      <c r="I74" s="2"/>
      <c r="J74" s="6">
        <f t="shared" si="37"/>
        <v>5.6819866201567243E-4</v>
      </c>
      <c r="K74" s="2"/>
      <c r="L74" s="7">
        <f t="shared" si="38"/>
        <v>13.539999999999992</v>
      </c>
      <c r="M74" s="2"/>
      <c r="N74" s="6">
        <f t="shared" si="39"/>
        <v>5.886956521739127E-2</v>
      </c>
      <c r="O74" s="11"/>
      <c r="P74" s="7">
        <v>730.62</v>
      </c>
      <c r="Q74" s="2"/>
      <c r="R74" s="6">
        <f t="shared" si="40"/>
        <v>1.2415251996547613E-3</v>
      </c>
      <c r="S74" s="2"/>
      <c r="T74" s="7">
        <v>690</v>
      </c>
      <c r="U74" s="2"/>
      <c r="V74" s="6">
        <f t="shared" si="41"/>
        <v>1.1428927310697212E-3</v>
      </c>
      <c r="W74" s="2"/>
      <c r="X74" s="7">
        <f t="shared" si="42"/>
        <v>40.620000000000005</v>
      </c>
      <c r="Y74" s="2"/>
      <c r="Z74" s="6">
        <f t="shared" si="43"/>
        <v>5.8869565217391312E-2</v>
      </c>
    </row>
    <row r="75" spans="1:26" s="26" customFormat="1" outlineLevel="1" collapsed="1" x14ac:dyDescent="0.25">
      <c r="A75" s="27"/>
      <c r="B75" s="13" t="str">
        <f>CONCATENATE("     ","Interest                                          ")</f>
        <v xml:space="preserve">     Interest                                          </v>
      </c>
      <c r="C75" s="13"/>
      <c r="D75" s="1">
        <f>SUM(OSRRefD22_12x_0)</f>
        <v>4110</v>
      </c>
      <c r="E75" s="1"/>
      <c r="F75" s="5">
        <f t="shared" si="36"/>
        <v>1.0250845420393654E-2</v>
      </c>
      <c r="G75" s="1"/>
      <c r="H75" s="1">
        <f>SUM(OSRRefH22_12x_0)</f>
        <v>4175</v>
      </c>
      <c r="I75" s="1"/>
      <c r="J75" s="5">
        <f t="shared" si="37"/>
        <v>1.0314040930067096E-2</v>
      </c>
      <c r="K75" s="1"/>
      <c r="L75" s="1">
        <f t="shared" si="38"/>
        <v>-65</v>
      </c>
      <c r="M75" s="1"/>
      <c r="N75" s="5">
        <f t="shared" si="39"/>
        <v>-1.5568862275449102E-2</v>
      </c>
      <c r="O75" s="13"/>
      <c r="P75" s="1">
        <f>SUM(OSRRefP22_12x_0)</f>
        <v>12330</v>
      </c>
      <c r="Q75" s="1"/>
      <c r="R75" s="5">
        <f t="shared" si="40"/>
        <v>2.0952075924205751E-2</v>
      </c>
      <c r="S75" s="1"/>
      <c r="T75" s="1">
        <f>SUM(OSRRefT22_12x_0)</f>
        <v>12525</v>
      </c>
      <c r="U75" s="1"/>
      <c r="V75" s="5">
        <f t="shared" si="41"/>
        <v>2.0745987618330807E-2</v>
      </c>
      <c r="W75" s="1"/>
      <c r="X75" s="1">
        <f t="shared" si="42"/>
        <v>-195</v>
      </c>
      <c r="Y75" s="1"/>
      <c r="Z75" s="5">
        <f t="shared" si="43"/>
        <v>-1.5568862275449102E-2</v>
      </c>
    </row>
    <row r="76" spans="1:26" s="24" customFormat="1" hidden="1" outlineLevel="2" x14ac:dyDescent="0.25">
      <c r="A76" s="25"/>
      <c r="B76" s="11" t="str">
        <f>CONCATENATE("          ", "6401", " - ", "INTEREST EXPENSE")</f>
        <v xml:space="preserve">          6401 - INTEREST EXPENSE</v>
      </c>
      <c r="C76" s="11"/>
      <c r="D76" s="7">
        <v>4110</v>
      </c>
      <c r="E76" s="2"/>
      <c r="F76" s="6">
        <f t="shared" si="36"/>
        <v>1.0250845420393654E-2</v>
      </c>
      <c r="G76" s="2"/>
      <c r="H76" s="7">
        <v>4175</v>
      </c>
      <c r="I76" s="2"/>
      <c r="J76" s="6">
        <f t="shared" si="37"/>
        <v>1.0314040930067096E-2</v>
      </c>
      <c r="K76" s="2"/>
      <c r="L76" s="7">
        <f t="shared" si="38"/>
        <v>-65</v>
      </c>
      <c r="M76" s="2"/>
      <c r="N76" s="6">
        <f t="shared" si="39"/>
        <v>-1.5568862275449102E-2</v>
      </c>
      <c r="O76" s="11"/>
      <c r="P76" s="7">
        <v>12330</v>
      </c>
      <c r="Q76" s="2"/>
      <c r="R76" s="6">
        <f t="shared" si="40"/>
        <v>2.0952075924205751E-2</v>
      </c>
      <c r="S76" s="2"/>
      <c r="T76" s="7">
        <v>12525</v>
      </c>
      <c r="U76" s="2"/>
      <c r="V76" s="6">
        <f t="shared" si="41"/>
        <v>2.0745987618330807E-2</v>
      </c>
      <c r="W76" s="2"/>
      <c r="X76" s="7">
        <f t="shared" si="42"/>
        <v>-195</v>
      </c>
      <c r="Y76" s="2"/>
      <c r="Z76" s="6">
        <f t="shared" si="43"/>
        <v>-1.5568862275449102E-2</v>
      </c>
    </row>
    <row r="77" spans="1:26" s="26" customFormat="1" outlineLevel="1" collapsed="1" x14ac:dyDescent="0.25">
      <c r="A77" s="27"/>
      <c r="B77" s="13" t="str">
        <f>CONCATENATE("     ","R/H Commissions                                   ")</f>
        <v xml:space="preserve">     R/H Commissions                                   </v>
      </c>
      <c r="C77" s="13"/>
      <c r="D77" s="1">
        <f>SUM(OSRRefD22_13x_0)</f>
        <v>0</v>
      </c>
      <c r="E77" s="1"/>
      <c r="F77" s="5">
        <f t="shared" si="36"/>
        <v>0</v>
      </c>
      <c r="G77" s="1"/>
      <c r="H77" s="1">
        <f>SUM(OSRRefH22_13x_0)</f>
        <v>0</v>
      </c>
      <c r="I77" s="1"/>
      <c r="J77" s="5">
        <f t="shared" si="37"/>
        <v>0</v>
      </c>
      <c r="K77" s="1"/>
      <c r="L77" s="1">
        <f t="shared" si="38"/>
        <v>0</v>
      </c>
      <c r="M77" s="1"/>
      <c r="N77" s="5">
        <f t="shared" si="39"/>
        <v>0</v>
      </c>
      <c r="O77" s="13"/>
      <c r="P77" s="1">
        <f>SUM(OSRRefP22_13x_0)</f>
        <v>0</v>
      </c>
      <c r="Q77" s="1"/>
      <c r="R77" s="5">
        <f t="shared" si="40"/>
        <v>0</v>
      </c>
      <c r="S77" s="1"/>
      <c r="T77" s="1">
        <f>SUM(OSRRefT22_13x_0)</f>
        <v>0</v>
      </c>
      <c r="U77" s="1"/>
      <c r="V77" s="5">
        <f t="shared" si="41"/>
        <v>0</v>
      </c>
      <c r="W77" s="1"/>
      <c r="X77" s="1">
        <f t="shared" si="42"/>
        <v>0</v>
      </c>
      <c r="Y77" s="1"/>
      <c r="Z77" s="5">
        <f t="shared" si="43"/>
        <v>0</v>
      </c>
    </row>
    <row r="78" spans="1:26" s="24" customFormat="1" hidden="1" outlineLevel="2" x14ac:dyDescent="0.25">
      <c r="A78" s="25"/>
      <c r="B78" s="11" t="str">
        <f>CONCATENATE("          ", "6387", " - ", "COMMISSION DUE HOUSING")</f>
        <v xml:space="preserve">          6387 - COMMISSION DUE HOUSING</v>
      </c>
      <c r="C78" s="11"/>
      <c r="D78" s="7"/>
      <c r="E78" s="2"/>
      <c r="F78" s="6">
        <f t="shared" si="36"/>
        <v>0</v>
      </c>
      <c r="G78" s="2"/>
      <c r="H78" s="7"/>
      <c r="I78" s="2"/>
      <c r="J78" s="6">
        <f t="shared" si="37"/>
        <v>0</v>
      </c>
      <c r="K78" s="2"/>
      <c r="L78" s="7">
        <f t="shared" si="38"/>
        <v>0</v>
      </c>
      <c r="M78" s="2"/>
      <c r="N78" s="6">
        <f t="shared" si="39"/>
        <v>0</v>
      </c>
      <c r="O78" s="11"/>
      <c r="P78" s="7"/>
      <c r="Q78" s="2"/>
      <c r="R78" s="6">
        <f t="shared" si="40"/>
        <v>0</v>
      </c>
      <c r="S78" s="2"/>
      <c r="T78" s="7">
        <v>0</v>
      </c>
      <c r="U78" s="2"/>
      <c r="V78" s="6">
        <f t="shared" si="41"/>
        <v>0</v>
      </c>
      <c r="W78" s="2"/>
      <c r="X78" s="7">
        <f t="shared" si="42"/>
        <v>0</v>
      </c>
      <c r="Y78" s="2"/>
      <c r="Z78" s="6">
        <f t="shared" si="43"/>
        <v>0</v>
      </c>
    </row>
    <row r="79" spans="1:26" s="26" customFormat="1" outlineLevel="1" collapsed="1" x14ac:dyDescent="0.25">
      <c r="A79" s="27"/>
      <c r="B79" s="13" t="str">
        <f>CONCATENATE("     ","Rent                                              ")</f>
        <v xml:space="preserve">     Rent                                              </v>
      </c>
      <c r="C79" s="13"/>
      <c r="D79" s="1">
        <f>SUM(OSRRefD22_14x_0)</f>
        <v>1150</v>
      </c>
      <c r="E79" s="1"/>
      <c r="F79" s="5">
        <f t="shared" si="36"/>
        <v>2.8682414193315579E-3</v>
      </c>
      <c r="G79" s="1"/>
      <c r="H79" s="1">
        <f>SUM(OSRRefH22_14x_0)</f>
        <v>1150</v>
      </c>
      <c r="I79" s="1"/>
      <c r="J79" s="5">
        <f t="shared" si="37"/>
        <v>2.8409933100783618E-3</v>
      </c>
      <c r="K79" s="1"/>
      <c r="L79" s="1">
        <f t="shared" si="38"/>
        <v>0</v>
      </c>
      <c r="M79" s="1"/>
      <c r="N79" s="5">
        <f t="shared" si="39"/>
        <v>0</v>
      </c>
      <c r="O79" s="13"/>
      <c r="P79" s="1">
        <f>SUM(OSRRefP22_14x_0)</f>
        <v>3450</v>
      </c>
      <c r="Q79" s="1"/>
      <c r="R79" s="5">
        <f t="shared" si="40"/>
        <v>5.8625029958239939E-3</v>
      </c>
      <c r="S79" s="1"/>
      <c r="T79" s="1">
        <f>SUM(OSRRefT22_14x_0)</f>
        <v>3450</v>
      </c>
      <c r="U79" s="1"/>
      <c r="V79" s="5">
        <f t="shared" si="41"/>
        <v>5.7144636553486056E-3</v>
      </c>
      <c r="W79" s="1"/>
      <c r="X79" s="1">
        <f t="shared" si="42"/>
        <v>0</v>
      </c>
      <c r="Y79" s="1"/>
      <c r="Z79" s="5">
        <f t="shared" si="43"/>
        <v>0</v>
      </c>
    </row>
    <row r="80" spans="1:26" s="24" customFormat="1" hidden="1" outlineLevel="2" x14ac:dyDescent="0.25">
      <c r="A80" s="25"/>
      <c r="B80" s="11" t="str">
        <f>CONCATENATE("          ", "6273", " - ", "RENT")</f>
        <v xml:space="preserve">          6273 - RENT</v>
      </c>
      <c r="C80" s="11"/>
      <c r="D80" s="7">
        <v>1150</v>
      </c>
      <c r="E80" s="2"/>
      <c r="F80" s="6">
        <f t="shared" si="36"/>
        <v>2.8682414193315579E-3</v>
      </c>
      <c r="G80" s="2"/>
      <c r="H80" s="7">
        <v>1150</v>
      </c>
      <c r="I80" s="2"/>
      <c r="J80" s="6">
        <f t="shared" si="37"/>
        <v>2.8409933100783618E-3</v>
      </c>
      <c r="K80" s="2"/>
      <c r="L80" s="7">
        <f t="shared" si="38"/>
        <v>0</v>
      </c>
      <c r="M80" s="2"/>
      <c r="N80" s="6">
        <f t="shared" si="39"/>
        <v>0</v>
      </c>
      <c r="O80" s="11"/>
      <c r="P80" s="7">
        <v>3450</v>
      </c>
      <c r="Q80" s="2"/>
      <c r="R80" s="6">
        <f t="shared" si="40"/>
        <v>5.8625029958239939E-3</v>
      </c>
      <c r="S80" s="2"/>
      <c r="T80" s="7">
        <v>3450</v>
      </c>
      <c r="U80" s="2"/>
      <c r="V80" s="6">
        <f t="shared" si="41"/>
        <v>5.7144636553486056E-3</v>
      </c>
      <c r="W80" s="2"/>
      <c r="X80" s="7">
        <f t="shared" si="42"/>
        <v>0</v>
      </c>
      <c r="Y80" s="2"/>
      <c r="Z80" s="6">
        <f t="shared" si="43"/>
        <v>0</v>
      </c>
    </row>
    <row r="81" spans="1:26" s="26" customFormat="1" outlineLevel="1" collapsed="1" x14ac:dyDescent="0.25">
      <c r="A81" s="27"/>
      <c r="B81" s="13" t="str">
        <f>CONCATENATE("     ","Repair and Maintenance                            ")</f>
        <v xml:space="preserve">     Repair and Maintenance                            </v>
      </c>
      <c r="C81" s="13"/>
      <c r="D81" s="1">
        <f>SUM(OSRRefD22_15x_0)</f>
        <v>5463.2300000000005</v>
      </c>
      <c r="E81" s="1"/>
      <c r="F81" s="5">
        <f t="shared" si="36"/>
        <v>1.3625967451595432E-2</v>
      </c>
      <c r="G81" s="1"/>
      <c r="H81" s="1">
        <f>SUM(OSRRefH22_15x_0)</f>
        <v>1442</v>
      </c>
      <c r="I81" s="1"/>
      <c r="J81" s="5">
        <f t="shared" si="37"/>
        <v>3.5623585679417373E-3</v>
      </c>
      <c r="K81" s="1"/>
      <c r="L81" s="1">
        <f t="shared" si="38"/>
        <v>4021.2300000000005</v>
      </c>
      <c r="M81" s="1"/>
      <c r="N81" s="5">
        <f t="shared" si="39"/>
        <v>2.7886477115117896</v>
      </c>
      <c r="O81" s="13"/>
      <c r="P81" s="1">
        <f>SUM(OSRRefP22_15x_0)</f>
        <v>8456.0300000000007</v>
      </c>
      <c r="Q81" s="1"/>
      <c r="R81" s="5">
        <f t="shared" si="40"/>
        <v>1.4369130784863064E-2</v>
      </c>
      <c r="S81" s="1"/>
      <c r="T81" s="1">
        <f>SUM(OSRRefT22_15x_0)</f>
        <v>5182</v>
      </c>
      <c r="U81" s="1"/>
      <c r="V81" s="5">
        <f t="shared" si="41"/>
        <v>8.5832900469612981E-3</v>
      </c>
      <c r="W81" s="1"/>
      <c r="X81" s="1">
        <f t="shared" si="42"/>
        <v>3274.0300000000007</v>
      </c>
      <c r="Y81" s="1"/>
      <c r="Z81" s="5">
        <f t="shared" si="43"/>
        <v>0.63180818216904677</v>
      </c>
    </row>
    <row r="82" spans="1:26" s="24" customFormat="1" hidden="1" outlineLevel="2" x14ac:dyDescent="0.25">
      <c r="A82" s="25"/>
      <c r="B82" s="11" t="str">
        <f>CONCATENATE("          ", "6371", " - ", "COMPUTER SOFTWARE MAINTENANCE")</f>
        <v xml:space="preserve">          6371 - COMPUTER SOFTWARE MAINTENANCE</v>
      </c>
      <c r="C82" s="11"/>
      <c r="D82" s="7">
        <v>1311.93</v>
      </c>
      <c r="E82" s="2"/>
      <c r="F82" s="6">
        <f t="shared" si="36"/>
        <v>3.2721147524031745E-3</v>
      </c>
      <c r="G82" s="2"/>
      <c r="H82" s="7"/>
      <c r="I82" s="2"/>
      <c r="J82" s="6">
        <f t="shared" si="37"/>
        <v>0</v>
      </c>
      <c r="K82" s="2"/>
      <c r="L82" s="7">
        <f t="shared" si="38"/>
        <v>1311.93</v>
      </c>
      <c r="M82" s="2"/>
      <c r="N82" s="6">
        <f t="shared" si="39"/>
        <v>0</v>
      </c>
      <c r="O82" s="11"/>
      <c r="P82" s="7">
        <v>1311.93</v>
      </c>
      <c r="Q82" s="2"/>
      <c r="R82" s="6">
        <f t="shared" si="40"/>
        <v>2.2293314653076442E-3</v>
      </c>
      <c r="S82" s="2"/>
      <c r="T82" s="7">
        <v>0</v>
      </c>
      <c r="U82" s="2"/>
      <c r="V82" s="6">
        <f t="shared" si="41"/>
        <v>0</v>
      </c>
      <c r="W82" s="2"/>
      <c r="X82" s="7">
        <f t="shared" si="42"/>
        <v>1311.93</v>
      </c>
      <c r="Y82" s="2"/>
      <c r="Z82" s="6">
        <f t="shared" si="43"/>
        <v>0</v>
      </c>
    </row>
    <row r="83" spans="1:26" s="24" customFormat="1" hidden="1" outlineLevel="2" x14ac:dyDescent="0.25">
      <c r="A83" s="25"/>
      <c r="B83" s="11" t="str">
        <f>CONCATENATE("          ", "6375", " - ", "OUTSIDE REPAIRS &amp; MAINTENANCE")</f>
        <v xml:space="preserve">          6375 - OUTSIDE REPAIRS &amp; MAINTENANCE</v>
      </c>
      <c r="C83" s="11"/>
      <c r="D83" s="7">
        <v>4151.3</v>
      </c>
      <c r="E83" s="2"/>
      <c r="F83" s="6">
        <f t="shared" si="36"/>
        <v>1.0353852699192258E-2</v>
      </c>
      <c r="G83" s="2"/>
      <c r="H83" s="7">
        <v>1442</v>
      </c>
      <c r="I83" s="2"/>
      <c r="J83" s="6">
        <f t="shared" si="37"/>
        <v>3.5623585679417373E-3</v>
      </c>
      <c r="K83" s="2"/>
      <c r="L83" s="7">
        <f t="shared" si="38"/>
        <v>2709.3</v>
      </c>
      <c r="M83" s="2"/>
      <c r="N83" s="6">
        <f t="shared" si="39"/>
        <v>1.8788488210818308</v>
      </c>
      <c r="O83" s="11"/>
      <c r="P83" s="7">
        <v>7144.1</v>
      </c>
      <c r="Q83" s="2"/>
      <c r="R83" s="6">
        <f t="shared" si="40"/>
        <v>1.213979931955542E-2</v>
      </c>
      <c r="S83" s="2"/>
      <c r="T83" s="7">
        <v>5182</v>
      </c>
      <c r="U83" s="2"/>
      <c r="V83" s="6">
        <f t="shared" si="41"/>
        <v>8.5832900469612981E-3</v>
      </c>
      <c r="W83" s="2"/>
      <c r="X83" s="7">
        <f t="shared" si="42"/>
        <v>1962.1000000000004</v>
      </c>
      <c r="Y83" s="2"/>
      <c r="Z83" s="6">
        <f t="shared" si="43"/>
        <v>0.37863759166345046</v>
      </c>
    </row>
    <row r="84" spans="1:26" s="26" customFormat="1" outlineLevel="1" collapsed="1" x14ac:dyDescent="0.25">
      <c r="A84" s="27"/>
      <c r="B84" s="13" t="str">
        <f>CONCATENATE("     ","Royalty &amp; Commissions                             ")</f>
        <v xml:space="preserve">     Royalty &amp; Commissions                             </v>
      </c>
      <c r="C84" s="13"/>
      <c r="D84" s="1">
        <f>SUM(OSRRefD22_16x_0)</f>
        <v>5673.45</v>
      </c>
      <c r="E84" s="1"/>
      <c r="F84" s="5">
        <f t="shared" ref="F84:F86" si="44">IF(D$12=0,0,D84/D$12)</f>
        <v>1.415028198304924E-2</v>
      </c>
      <c r="G84" s="1"/>
      <c r="H84" s="1">
        <f>SUM(OSRRefH22_16x_0)</f>
        <v>4137</v>
      </c>
      <c r="I84" s="1"/>
      <c r="J84" s="5">
        <f t="shared" ref="J84:J86" si="45">IF(H$12=0,0,H84/H$12)</f>
        <v>1.0220164629386247E-2</v>
      </c>
      <c r="K84" s="1"/>
      <c r="L84" s="1">
        <f t="shared" ref="L84:L86" si="46">+D84-H84</f>
        <v>1536.4499999999998</v>
      </c>
      <c r="M84" s="1"/>
      <c r="N84" s="5">
        <f t="shared" ref="N84:N86" si="47">IF(H84=0,0,L84/H84)</f>
        <v>0.37139231327048583</v>
      </c>
      <c r="O84" s="13"/>
      <c r="P84" s="1">
        <f>SUM(OSRRefP22_16x_0)</f>
        <v>5673.45</v>
      </c>
      <c r="Q84" s="1"/>
      <c r="R84" s="5">
        <f t="shared" ref="R84:R86" si="48">IF(P$12=0,0,P84/P$12)</f>
        <v>9.6407587309152564E-3</v>
      </c>
      <c r="S84" s="1"/>
      <c r="T84" s="1">
        <f>SUM(OSRRefT22_16x_0)</f>
        <v>6200</v>
      </c>
      <c r="U84" s="1"/>
      <c r="V84" s="5">
        <f t="shared" ref="V84:V86" si="49">IF(T$12=0,0,T84/T$12)</f>
        <v>1.0269470916858365E-2</v>
      </c>
      <c r="W84" s="1"/>
      <c r="X84" s="1">
        <f t="shared" ref="X84:X86" si="50">+P84-T84</f>
        <v>-526.55000000000018</v>
      </c>
      <c r="Y84" s="1"/>
      <c r="Z84" s="5">
        <f t="shared" ref="Z84:Z86" si="51">IF(T84=0,0,X84/T84)</f>
        <v>-8.4927419354838746E-2</v>
      </c>
    </row>
    <row r="85" spans="1:26" s="24" customFormat="1" hidden="1" outlineLevel="2" x14ac:dyDescent="0.25">
      <c r="A85" s="25"/>
      <c r="B85" s="11" t="str">
        <f>CONCATENATE("          ", "6254", " - ", "ROYALTY &amp; COMMISSIONS")</f>
        <v xml:space="preserve">          6254 - ROYALTY &amp; COMMISSIONS</v>
      </c>
      <c r="C85" s="11"/>
      <c r="D85" s="7">
        <v>5673.45</v>
      </c>
      <c r="E85" s="2"/>
      <c r="F85" s="6">
        <f t="shared" si="44"/>
        <v>1.415028198304924E-2</v>
      </c>
      <c r="G85" s="2"/>
      <c r="H85" s="7"/>
      <c r="I85" s="2"/>
      <c r="J85" s="6">
        <f t="shared" si="45"/>
        <v>0</v>
      </c>
      <c r="K85" s="2"/>
      <c r="L85" s="7">
        <f t="shared" si="46"/>
        <v>5673.45</v>
      </c>
      <c r="M85" s="2"/>
      <c r="N85" s="6">
        <f t="shared" si="47"/>
        <v>0</v>
      </c>
      <c r="O85" s="11"/>
      <c r="P85" s="7">
        <v>5673.45</v>
      </c>
      <c r="Q85" s="2"/>
      <c r="R85" s="6">
        <f t="shared" si="48"/>
        <v>9.6407587309152564E-3</v>
      </c>
      <c r="S85" s="2"/>
      <c r="T85" s="7"/>
      <c r="U85" s="2"/>
      <c r="V85" s="6">
        <f t="shared" si="49"/>
        <v>0</v>
      </c>
      <c r="W85" s="2"/>
      <c r="X85" s="7">
        <f t="shared" si="50"/>
        <v>5673.45</v>
      </c>
      <c r="Y85" s="2"/>
      <c r="Z85" s="6">
        <f t="shared" si="51"/>
        <v>0</v>
      </c>
    </row>
    <row r="86" spans="1:26" s="24" customFormat="1" hidden="1" outlineLevel="2" x14ac:dyDescent="0.25">
      <c r="A86" s="25"/>
      <c r="B86" s="11" t="str">
        <f>CONCATENATE("          ", "6259", " - ", "ROYALTY &amp; COMMISSIONS")</f>
        <v xml:space="preserve">          6259 - ROYALTY &amp; COMMISSIONS</v>
      </c>
      <c r="C86" s="11"/>
      <c r="D86" s="7"/>
      <c r="E86" s="2"/>
      <c r="F86" s="6">
        <f t="shared" si="44"/>
        <v>0</v>
      </c>
      <c r="G86" s="2"/>
      <c r="H86" s="7">
        <v>4137</v>
      </c>
      <c r="I86" s="2"/>
      <c r="J86" s="6">
        <f t="shared" si="45"/>
        <v>1.0220164629386247E-2</v>
      </c>
      <c r="K86" s="2"/>
      <c r="L86" s="7">
        <f t="shared" si="46"/>
        <v>-4137</v>
      </c>
      <c r="M86" s="2"/>
      <c r="N86" s="6">
        <f t="shared" si="47"/>
        <v>-1</v>
      </c>
      <c r="O86" s="11"/>
      <c r="P86" s="7"/>
      <c r="Q86" s="2"/>
      <c r="R86" s="6">
        <f t="shared" si="48"/>
        <v>0</v>
      </c>
      <c r="S86" s="2"/>
      <c r="T86" s="7">
        <v>6200</v>
      </c>
      <c r="U86" s="2"/>
      <c r="V86" s="6">
        <f t="shared" si="49"/>
        <v>1.0269470916858365E-2</v>
      </c>
      <c r="W86" s="2"/>
      <c r="X86" s="7">
        <f t="shared" si="50"/>
        <v>-6200</v>
      </c>
      <c r="Y86" s="2"/>
      <c r="Z86" s="6">
        <f t="shared" si="51"/>
        <v>-1</v>
      </c>
    </row>
    <row r="87" spans="1:26" s="26" customFormat="1" outlineLevel="1" collapsed="1" x14ac:dyDescent="0.25">
      <c r="A87" s="27"/>
      <c r="B87" s="13" t="str">
        <f>CONCATENATE("     ","Services                                          ")</f>
        <v xml:space="preserve">     Services                                          </v>
      </c>
      <c r="C87" s="13"/>
      <c r="D87" s="1">
        <f>SUM(OSRRefD22_17x_0)</f>
        <v>1508.75</v>
      </c>
      <c r="E87" s="1"/>
      <c r="F87" s="5">
        <f t="shared" ref="F87:F92" si="52">IF(D$12=0,0,D87/D$12)</f>
        <v>3.7630080360143373E-3</v>
      </c>
      <c r="G87" s="1"/>
      <c r="H87" s="1">
        <f>SUM(OSRRefH22_17x_0)</f>
        <v>1172</v>
      </c>
      <c r="I87" s="1"/>
      <c r="J87" s="5">
        <f t="shared" ref="J87:J92" si="53">IF(H$12=0,0,H87/H$12)</f>
        <v>2.8953427473146437E-3</v>
      </c>
      <c r="K87" s="1"/>
      <c r="L87" s="1">
        <f t="shared" ref="L87:L92" si="54">+D87-H87</f>
        <v>336.75</v>
      </c>
      <c r="M87" s="1"/>
      <c r="N87" s="5">
        <f t="shared" ref="N87:N92" si="55">IF(H87=0,0,L87/H87)</f>
        <v>0.28732935153583616</v>
      </c>
      <c r="O87" s="13"/>
      <c r="P87" s="1">
        <f>SUM(OSRRefP22_17x_0)</f>
        <v>4961.7700000000004</v>
      </c>
      <c r="Q87" s="1"/>
      <c r="R87" s="5">
        <f t="shared" ref="R87:R92" si="56">IF(P$12=0,0,P87/P$12)</f>
        <v>8.4314178230694547E-3</v>
      </c>
      <c r="S87" s="1"/>
      <c r="T87" s="1">
        <f>SUM(OSRRefT22_17x_0)</f>
        <v>2208</v>
      </c>
      <c r="U87" s="1"/>
      <c r="V87" s="5">
        <f t="shared" ref="V87:V92" si="57">IF(T$12=0,0,T87/T$12)</f>
        <v>3.6572567394231076E-3</v>
      </c>
      <c r="W87" s="1"/>
      <c r="X87" s="1">
        <f t="shared" ref="X87:X92" si="58">+P87-T87</f>
        <v>2753.7700000000004</v>
      </c>
      <c r="Y87" s="1"/>
      <c r="Z87" s="5">
        <f t="shared" ref="Z87:Z92" si="59">IF(T87=0,0,X87/T87)</f>
        <v>1.2471784420289858</v>
      </c>
    </row>
    <row r="88" spans="1:26" s="24" customFormat="1" hidden="1" outlineLevel="2" x14ac:dyDescent="0.25">
      <c r="A88" s="25"/>
      <c r="B88" s="11" t="str">
        <f>CONCATENATE("          ", "6281", " - ", "STORAGE FEE")</f>
        <v xml:space="preserve">          6281 - STORAGE FEE</v>
      </c>
      <c r="C88" s="11"/>
      <c r="D88" s="7"/>
      <c r="E88" s="2"/>
      <c r="F88" s="6">
        <f t="shared" si="52"/>
        <v>0</v>
      </c>
      <c r="G88" s="2"/>
      <c r="H88" s="7"/>
      <c r="I88" s="2"/>
      <c r="J88" s="6">
        <f t="shared" si="53"/>
        <v>0</v>
      </c>
      <c r="K88" s="2"/>
      <c r="L88" s="7">
        <f t="shared" si="54"/>
        <v>0</v>
      </c>
      <c r="M88" s="2"/>
      <c r="N88" s="6">
        <f t="shared" si="55"/>
        <v>0</v>
      </c>
      <c r="O88" s="11"/>
      <c r="P88" s="7"/>
      <c r="Q88" s="2"/>
      <c r="R88" s="6">
        <f t="shared" si="56"/>
        <v>0</v>
      </c>
      <c r="S88" s="2"/>
      <c r="T88" s="7">
        <v>0</v>
      </c>
      <c r="U88" s="2"/>
      <c r="V88" s="6">
        <f t="shared" si="57"/>
        <v>0</v>
      </c>
      <c r="W88" s="2"/>
      <c r="X88" s="7">
        <f t="shared" si="58"/>
        <v>0</v>
      </c>
      <c r="Y88" s="2"/>
      <c r="Z88" s="6">
        <f t="shared" si="59"/>
        <v>0</v>
      </c>
    </row>
    <row r="89" spans="1:26" s="24" customFormat="1" hidden="1" outlineLevel="2" x14ac:dyDescent="0.25">
      <c r="A89" s="25"/>
      <c r="B89" s="11" t="str">
        <f>CONCATENATE("          ", "6282", " - ", "JANITORIAL/EXTERMINATOR EXPENS")</f>
        <v xml:space="preserve">          6282 - JANITORIAL/EXTERMINATOR EXPENS</v>
      </c>
      <c r="C89" s="11"/>
      <c r="D89" s="7">
        <v>485.74</v>
      </c>
      <c r="E89" s="2"/>
      <c r="F89" s="6">
        <f t="shared" si="52"/>
        <v>1.2114952930661835E-3</v>
      </c>
      <c r="G89" s="2"/>
      <c r="H89" s="7">
        <v>656</v>
      </c>
      <c r="I89" s="2"/>
      <c r="J89" s="6">
        <f t="shared" si="53"/>
        <v>1.6206014012273091E-3</v>
      </c>
      <c r="K89" s="2"/>
      <c r="L89" s="7">
        <f t="shared" si="54"/>
        <v>-170.26</v>
      </c>
      <c r="M89" s="2"/>
      <c r="N89" s="6">
        <f t="shared" si="55"/>
        <v>-0.25954268292682925</v>
      </c>
      <c r="O89" s="11"/>
      <c r="P89" s="7">
        <v>2134.66</v>
      </c>
      <c r="Q89" s="2"/>
      <c r="R89" s="6">
        <f t="shared" si="56"/>
        <v>3.6273769985697524E-3</v>
      </c>
      <c r="S89" s="2"/>
      <c r="T89" s="7">
        <v>1164</v>
      </c>
      <c r="U89" s="2"/>
      <c r="V89" s="6">
        <f t="shared" si="57"/>
        <v>1.9280103463263122E-3</v>
      </c>
      <c r="W89" s="2"/>
      <c r="X89" s="7">
        <f t="shared" si="58"/>
        <v>970.65999999999985</v>
      </c>
      <c r="Y89" s="2"/>
      <c r="Z89" s="6">
        <f t="shared" si="59"/>
        <v>0.83390034364261156</v>
      </c>
    </row>
    <row r="90" spans="1:26" s="24" customFormat="1" hidden="1" outlineLevel="2" x14ac:dyDescent="0.25">
      <c r="A90" s="25"/>
      <c r="B90" s="11" t="str">
        <f>CONCATENATE("          ", "6284", " - ", "TRASH REMOVAL EXPENSE")</f>
        <v xml:space="preserve">          6284 - TRASH REMOVAL EXPENSE</v>
      </c>
      <c r="C90" s="11"/>
      <c r="D90" s="7">
        <v>237</v>
      </c>
      <c r="E90" s="2"/>
      <c r="F90" s="6">
        <f t="shared" si="52"/>
        <v>5.9110714467963405E-4</v>
      </c>
      <c r="G90" s="2"/>
      <c r="H90" s="7">
        <v>150</v>
      </c>
      <c r="I90" s="2"/>
      <c r="J90" s="6">
        <f t="shared" si="53"/>
        <v>3.7056434479282985E-4</v>
      </c>
      <c r="K90" s="2"/>
      <c r="L90" s="7">
        <f t="shared" si="54"/>
        <v>87</v>
      </c>
      <c r="M90" s="2"/>
      <c r="N90" s="6">
        <f t="shared" si="55"/>
        <v>0.57999999999999996</v>
      </c>
      <c r="O90" s="11"/>
      <c r="P90" s="7">
        <v>474</v>
      </c>
      <c r="Q90" s="2"/>
      <c r="R90" s="6">
        <f t="shared" si="56"/>
        <v>8.0545693333929655E-4</v>
      </c>
      <c r="S90" s="2"/>
      <c r="T90" s="7">
        <v>450</v>
      </c>
      <c r="U90" s="2"/>
      <c r="V90" s="6">
        <f t="shared" si="57"/>
        <v>7.4536482461068777E-4</v>
      </c>
      <c r="W90" s="2"/>
      <c r="X90" s="7">
        <f t="shared" si="58"/>
        <v>24</v>
      </c>
      <c r="Y90" s="2"/>
      <c r="Z90" s="6">
        <f t="shared" si="59"/>
        <v>5.3333333333333337E-2</v>
      </c>
    </row>
    <row r="91" spans="1:26" s="24" customFormat="1" hidden="1" outlineLevel="2" x14ac:dyDescent="0.25">
      <c r="A91" s="25"/>
      <c r="B91" s="11" t="str">
        <f>CONCATENATE("          ", "6285", " - ", "JANITORIAL SERVICES")</f>
        <v xml:space="preserve">          6285 - JANITORIAL SERVICES</v>
      </c>
      <c r="C91" s="11"/>
      <c r="D91" s="7">
        <v>25.23</v>
      </c>
      <c r="E91" s="2"/>
      <c r="F91" s="6">
        <f t="shared" si="52"/>
        <v>6.2926722617161042E-5</v>
      </c>
      <c r="G91" s="2"/>
      <c r="H91" s="7">
        <v>276</v>
      </c>
      <c r="I91" s="2"/>
      <c r="J91" s="6">
        <f t="shared" si="53"/>
        <v>6.818383944188069E-4</v>
      </c>
      <c r="K91" s="2"/>
      <c r="L91" s="7">
        <f t="shared" si="54"/>
        <v>-250.77</v>
      </c>
      <c r="M91" s="2"/>
      <c r="N91" s="6">
        <f t="shared" si="55"/>
        <v>-0.90858695652173915</v>
      </c>
      <c r="O91" s="11"/>
      <c r="P91" s="7">
        <v>173.08</v>
      </c>
      <c r="Q91" s="2"/>
      <c r="R91" s="6">
        <f t="shared" si="56"/>
        <v>2.9411073000499042E-4</v>
      </c>
      <c r="S91" s="2"/>
      <c r="T91" s="7">
        <v>414</v>
      </c>
      <c r="U91" s="2"/>
      <c r="V91" s="6">
        <f t="shared" si="57"/>
        <v>6.857356386418327E-4</v>
      </c>
      <c r="W91" s="2"/>
      <c r="X91" s="7">
        <f t="shared" si="58"/>
        <v>-240.92</v>
      </c>
      <c r="Y91" s="2"/>
      <c r="Z91" s="6">
        <f t="shared" si="59"/>
        <v>-0.58193236714975838</v>
      </c>
    </row>
    <row r="92" spans="1:26" s="24" customFormat="1" hidden="1" outlineLevel="2" x14ac:dyDescent="0.25">
      <c r="A92" s="25"/>
      <c r="B92" s="11" t="str">
        <f>CONCATENATE("          ", "6286", " - ", "LAUNDRY EXPENSE")</f>
        <v xml:space="preserve">          6286 - LAUNDRY EXPENSE</v>
      </c>
      <c r="C92" s="11"/>
      <c r="D92" s="7">
        <v>760.78</v>
      </c>
      <c r="E92" s="2"/>
      <c r="F92" s="6">
        <f t="shared" si="52"/>
        <v>1.8974788756513587E-3</v>
      </c>
      <c r="G92" s="2"/>
      <c r="H92" s="7">
        <v>90</v>
      </c>
      <c r="I92" s="2"/>
      <c r="J92" s="6">
        <f t="shared" si="53"/>
        <v>2.223386068756979E-4</v>
      </c>
      <c r="K92" s="2"/>
      <c r="L92" s="7">
        <f t="shared" si="54"/>
        <v>670.78</v>
      </c>
      <c r="M92" s="2"/>
      <c r="N92" s="6">
        <f t="shared" si="55"/>
        <v>7.4531111111111112</v>
      </c>
      <c r="O92" s="11"/>
      <c r="P92" s="7">
        <v>2180.0300000000002</v>
      </c>
      <c r="Q92" s="2"/>
      <c r="R92" s="6">
        <f t="shared" si="56"/>
        <v>3.7044731611554152E-3</v>
      </c>
      <c r="S92" s="2"/>
      <c r="T92" s="7">
        <v>180</v>
      </c>
      <c r="U92" s="2"/>
      <c r="V92" s="6">
        <f t="shared" si="57"/>
        <v>2.9814592984427508E-4</v>
      </c>
      <c r="W92" s="2"/>
      <c r="X92" s="7">
        <f t="shared" si="58"/>
        <v>2000.0300000000002</v>
      </c>
      <c r="Y92" s="2"/>
      <c r="Z92" s="6">
        <f t="shared" si="59"/>
        <v>11.111277777777779</v>
      </c>
    </row>
    <row r="93" spans="1:26" s="26" customFormat="1" outlineLevel="1" collapsed="1" x14ac:dyDescent="0.25">
      <c r="A93" s="27"/>
      <c r="B93" s="13" t="str">
        <f>CONCATENATE("     ","Subscriptions &amp; Dues                              ")</f>
        <v xml:space="preserve">     Subscriptions &amp; Dues                              </v>
      </c>
      <c r="C93" s="13"/>
      <c r="D93" s="1">
        <f>SUM(OSRRefD22_18x_0)</f>
        <v>176.4</v>
      </c>
      <c r="E93" s="1"/>
      <c r="F93" s="5">
        <f t="shared" ref="F93:F103" si="60">IF(D$12=0,0,D93/D$12)</f>
        <v>4.3996329249572765E-4</v>
      </c>
      <c r="G93" s="1"/>
      <c r="H93" s="1">
        <f>SUM(OSRRefH22_18x_0)</f>
        <v>180</v>
      </c>
      <c r="I93" s="1"/>
      <c r="J93" s="5">
        <f t="shared" ref="J93:J103" si="61">IF(H$12=0,0,H93/H$12)</f>
        <v>4.446772137513958E-4</v>
      </c>
      <c r="K93" s="1"/>
      <c r="L93" s="1">
        <f t="shared" ref="L93:L103" si="62">+D93-H93</f>
        <v>-3.5999999999999943</v>
      </c>
      <c r="M93" s="1"/>
      <c r="N93" s="5">
        <f t="shared" ref="N93:N103" si="63">IF(H93=0,0,L93/H93)</f>
        <v>-1.9999999999999969E-2</v>
      </c>
      <c r="O93" s="13"/>
      <c r="P93" s="1">
        <f>SUM(OSRRefP22_18x_0)</f>
        <v>529.20000000000005</v>
      </c>
      <c r="Q93" s="1"/>
      <c r="R93" s="5">
        <f t="shared" ref="R93:R103" si="64">IF(P$12=0,0,P93/P$12)</f>
        <v>8.9925698127248056E-4</v>
      </c>
      <c r="S93" s="1"/>
      <c r="T93" s="1">
        <f>SUM(OSRRefT22_18x_0)</f>
        <v>540</v>
      </c>
      <c r="U93" s="1"/>
      <c r="V93" s="5">
        <f t="shared" ref="V93:V103" si="65">IF(T$12=0,0,T93/T$12)</f>
        <v>8.9443778953282528E-4</v>
      </c>
      <c r="W93" s="1"/>
      <c r="X93" s="1">
        <f t="shared" ref="X93:X103" si="66">+P93-T93</f>
        <v>-10.799999999999955</v>
      </c>
      <c r="Y93" s="1"/>
      <c r="Z93" s="5">
        <f t="shared" ref="Z93:Z103" si="67">IF(T93=0,0,X93/T93)</f>
        <v>-1.9999999999999917E-2</v>
      </c>
    </row>
    <row r="94" spans="1:26" s="24" customFormat="1" hidden="1" outlineLevel="2" x14ac:dyDescent="0.25">
      <c r="A94" s="25"/>
      <c r="B94" s="11" t="str">
        <f>CONCATENATE("          ", "6275", " - ", "SUBSCRIPTIONS")</f>
        <v xml:space="preserve">          6275 - SUBSCRIPTIONS</v>
      </c>
      <c r="C94" s="11"/>
      <c r="D94" s="7">
        <v>176.4</v>
      </c>
      <c r="E94" s="2"/>
      <c r="F94" s="6">
        <f t="shared" si="60"/>
        <v>4.3996329249572765E-4</v>
      </c>
      <c r="G94" s="2"/>
      <c r="H94" s="7">
        <v>180</v>
      </c>
      <c r="I94" s="2"/>
      <c r="J94" s="6">
        <f t="shared" si="61"/>
        <v>4.446772137513958E-4</v>
      </c>
      <c r="K94" s="2"/>
      <c r="L94" s="7">
        <f t="shared" si="62"/>
        <v>-3.5999999999999943</v>
      </c>
      <c r="M94" s="2"/>
      <c r="N94" s="6">
        <f t="shared" si="63"/>
        <v>-1.9999999999999969E-2</v>
      </c>
      <c r="O94" s="11"/>
      <c r="P94" s="7">
        <v>529.20000000000005</v>
      </c>
      <c r="Q94" s="2"/>
      <c r="R94" s="6">
        <f t="shared" si="64"/>
        <v>8.9925698127248056E-4</v>
      </c>
      <c r="S94" s="2"/>
      <c r="T94" s="7">
        <v>540</v>
      </c>
      <c r="U94" s="2"/>
      <c r="V94" s="6">
        <f t="shared" si="65"/>
        <v>8.9443778953282528E-4</v>
      </c>
      <c r="W94" s="2"/>
      <c r="X94" s="7">
        <f t="shared" si="66"/>
        <v>-10.799999999999955</v>
      </c>
      <c r="Y94" s="2"/>
      <c r="Z94" s="6">
        <f t="shared" si="67"/>
        <v>-1.9999999999999917E-2</v>
      </c>
    </row>
    <row r="95" spans="1:26" s="26" customFormat="1" outlineLevel="1" collapsed="1" x14ac:dyDescent="0.25">
      <c r="A95" s="27"/>
      <c r="B95" s="13" t="str">
        <f>CONCATENATE("     ","Supplies                                          ")</f>
        <v xml:space="preserve">     Supplies                                          </v>
      </c>
      <c r="C95" s="13"/>
      <c r="D95" s="1">
        <f>SUM(OSRRefD22_19x_0)</f>
        <v>7755.55</v>
      </c>
      <c r="E95" s="1"/>
      <c r="F95" s="5">
        <f t="shared" si="60"/>
        <v>1.9343295425823359E-2</v>
      </c>
      <c r="G95" s="1"/>
      <c r="H95" s="1">
        <f>SUM(OSRRefH22_19x_0)</f>
        <v>4529</v>
      </c>
      <c r="I95" s="1"/>
      <c r="J95" s="5">
        <f t="shared" si="61"/>
        <v>1.1188572783778175E-2</v>
      </c>
      <c r="K95" s="1"/>
      <c r="L95" s="1">
        <f t="shared" si="62"/>
        <v>3226.55</v>
      </c>
      <c r="M95" s="1"/>
      <c r="N95" s="5">
        <f t="shared" si="63"/>
        <v>0.71241996025612719</v>
      </c>
      <c r="O95" s="13"/>
      <c r="P95" s="1">
        <f>SUM(OSRRefP22_19x_0)</f>
        <v>25308.799999999999</v>
      </c>
      <c r="Q95" s="1"/>
      <c r="R95" s="5">
        <f t="shared" si="64"/>
        <v>4.300664226687255E-2</v>
      </c>
      <c r="S95" s="1"/>
      <c r="T95" s="1">
        <f>SUM(OSRRefT22_19x_0)</f>
        <v>10408</v>
      </c>
      <c r="U95" s="1"/>
      <c r="V95" s="5">
        <f t="shared" si="65"/>
        <v>1.723946021010675E-2</v>
      </c>
      <c r="W95" s="1"/>
      <c r="X95" s="1">
        <f t="shared" si="66"/>
        <v>14900.8</v>
      </c>
      <c r="Y95" s="1"/>
      <c r="Z95" s="5">
        <f t="shared" si="67"/>
        <v>1.4316679477325134</v>
      </c>
    </row>
    <row r="96" spans="1:26" s="24" customFormat="1" hidden="1" outlineLevel="2" x14ac:dyDescent="0.25">
      <c r="A96" s="25"/>
      <c r="B96" s="11" t="str">
        <f>CONCATENATE("          ", "6234", " - ", "EXPENDABLE SUPPLIES &amp; EQUIPMEN")</f>
        <v xml:space="preserve">          6234 - EXPENDABLE SUPPLIES &amp; EQUIPMEN</v>
      </c>
      <c r="C96" s="11"/>
      <c r="D96" s="7"/>
      <c r="E96" s="2"/>
      <c r="F96" s="6">
        <f t="shared" si="60"/>
        <v>0</v>
      </c>
      <c r="G96" s="2"/>
      <c r="H96" s="7"/>
      <c r="I96" s="2"/>
      <c r="J96" s="6">
        <f t="shared" si="61"/>
        <v>0</v>
      </c>
      <c r="K96" s="2"/>
      <c r="L96" s="7">
        <f t="shared" si="62"/>
        <v>0</v>
      </c>
      <c r="M96" s="2"/>
      <c r="N96" s="6">
        <f t="shared" si="63"/>
        <v>0</v>
      </c>
      <c r="O96" s="11"/>
      <c r="P96" s="7">
        <v>1064.24</v>
      </c>
      <c r="Q96" s="2"/>
      <c r="R96" s="6">
        <f t="shared" si="64"/>
        <v>1.8084377357320948E-3</v>
      </c>
      <c r="S96" s="2"/>
      <c r="T96" s="7">
        <v>3000</v>
      </c>
      <c r="U96" s="2"/>
      <c r="V96" s="6">
        <f t="shared" si="65"/>
        <v>4.9690988307379185E-3</v>
      </c>
      <c r="W96" s="2"/>
      <c r="X96" s="7">
        <f t="shared" si="66"/>
        <v>-1935.76</v>
      </c>
      <c r="Y96" s="2"/>
      <c r="Z96" s="6">
        <f t="shared" si="67"/>
        <v>-0.64525333333333335</v>
      </c>
    </row>
    <row r="97" spans="1:26" s="24" customFormat="1" hidden="1" outlineLevel="2" x14ac:dyDescent="0.25">
      <c r="A97" s="25"/>
      <c r="B97" s="11" t="str">
        <f>CONCATENATE("          ", "6237", " - ", "JANITORIAL SUPPLIES")</f>
        <v xml:space="preserve">          6237 - JANITORIAL SUPPLIES</v>
      </c>
      <c r="C97" s="11"/>
      <c r="D97" s="7">
        <v>171.96</v>
      </c>
      <c r="E97" s="2"/>
      <c r="F97" s="6">
        <f t="shared" si="60"/>
        <v>4.288893864941345E-4</v>
      </c>
      <c r="G97" s="2"/>
      <c r="H97" s="7">
        <v>100</v>
      </c>
      <c r="I97" s="2"/>
      <c r="J97" s="6">
        <f t="shared" si="61"/>
        <v>2.4704289652855322E-4</v>
      </c>
      <c r="K97" s="2"/>
      <c r="L97" s="7">
        <f t="shared" si="62"/>
        <v>71.960000000000008</v>
      </c>
      <c r="M97" s="2"/>
      <c r="N97" s="6">
        <f t="shared" si="63"/>
        <v>0.71960000000000013</v>
      </c>
      <c r="O97" s="11"/>
      <c r="P97" s="7">
        <v>1185.9000000000001</v>
      </c>
      <c r="Q97" s="2"/>
      <c r="R97" s="6">
        <f t="shared" si="64"/>
        <v>2.0151716819558478E-3</v>
      </c>
      <c r="S97" s="2"/>
      <c r="T97" s="7">
        <v>500</v>
      </c>
      <c r="U97" s="2"/>
      <c r="V97" s="6">
        <f t="shared" si="65"/>
        <v>8.2818313845631967E-4</v>
      </c>
      <c r="W97" s="2"/>
      <c r="X97" s="7">
        <f t="shared" si="66"/>
        <v>685.90000000000009</v>
      </c>
      <c r="Y97" s="2"/>
      <c r="Z97" s="6">
        <f t="shared" si="67"/>
        <v>1.3718000000000001</v>
      </c>
    </row>
    <row r="98" spans="1:26" s="24" customFormat="1" hidden="1" outlineLevel="2" x14ac:dyDescent="0.25">
      <c r="A98" s="25"/>
      <c r="B98" s="11" t="str">
        <f>CONCATENATE("          ", "6241", " - ", "OFFICE EXPENSE")</f>
        <v xml:space="preserve">          6241 - OFFICE EXPENSE</v>
      </c>
      <c r="C98" s="11"/>
      <c r="D98" s="7">
        <v>227.69</v>
      </c>
      <c r="E98" s="2"/>
      <c r="F98" s="6">
        <f t="shared" si="60"/>
        <v>5.6788685979791513E-4</v>
      </c>
      <c r="G98" s="2"/>
      <c r="H98" s="7">
        <v>120</v>
      </c>
      <c r="I98" s="2"/>
      <c r="J98" s="6">
        <f t="shared" si="61"/>
        <v>2.9645147583426385E-4</v>
      </c>
      <c r="K98" s="2"/>
      <c r="L98" s="7">
        <f t="shared" si="62"/>
        <v>107.69</v>
      </c>
      <c r="M98" s="2"/>
      <c r="N98" s="6">
        <f t="shared" si="63"/>
        <v>0.89741666666666664</v>
      </c>
      <c r="O98" s="11"/>
      <c r="P98" s="7">
        <v>958.26</v>
      </c>
      <c r="Q98" s="2"/>
      <c r="R98" s="6">
        <f t="shared" si="64"/>
        <v>1.6283484408053045E-3</v>
      </c>
      <c r="S98" s="2"/>
      <c r="T98" s="7">
        <v>240</v>
      </c>
      <c r="U98" s="2"/>
      <c r="V98" s="6">
        <f t="shared" si="65"/>
        <v>3.9752790645903343E-4</v>
      </c>
      <c r="W98" s="2"/>
      <c r="X98" s="7">
        <f t="shared" si="66"/>
        <v>718.26</v>
      </c>
      <c r="Y98" s="2"/>
      <c r="Z98" s="6">
        <f t="shared" si="67"/>
        <v>2.99275</v>
      </c>
    </row>
    <row r="99" spans="1:26" s="24" customFormat="1" hidden="1" outlineLevel="2" x14ac:dyDescent="0.25">
      <c r="A99" s="25"/>
      <c r="B99" s="11" t="str">
        <f>CONCATENATE("          ", "6243", " - ", "PAPER SUPPLIES")</f>
        <v xml:space="preserve">          6243 - PAPER SUPPLIES</v>
      </c>
      <c r="C99" s="11"/>
      <c r="D99" s="7">
        <v>197.39</v>
      </c>
      <c r="E99" s="2"/>
      <c r="F99" s="6">
        <f t="shared" si="60"/>
        <v>4.9231493370596193E-4</v>
      </c>
      <c r="G99" s="2"/>
      <c r="H99" s="7"/>
      <c r="I99" s="2"/>
      <c r="J99" s="6">
        <f t="shared" si="61"/>
        <v>0</v>
      </c>
      <c r="K99" s="2"/>
      <c r="L99" s="7">
        <f t="shared" si="62"/>
        <v>197.39</v>
      </c>
      <c r="M99" s="2"/>
      <c r="N99" s="6">
        <f t="shared" si="63"/>
        <v>0</v>
      </c>
      <c r="O99" s="11"/>
      <c r="P99" s="7">
        <v>799.06</v>
      </c>
      <c r="Q99" s="2"/>
      <c r="R99" s="6">
        <f t="shared" si="64"/>
        <v>1.3578236648820639E-3</v>
      </c>
      <c r="S99" s="2"/>
      <c r="T99" s="7"/>
      <c r="U99" s="2"/>
      <c r="V99" s="6">
        <f t="shared" si="65"/>
        <v>0</v>
      </c>
      <c r="W99" s="2"/>
      <c r="X99" s="7">
        <f t="shared" si="66"/>
        <v>799.06</v>
      </c>
      <c r="Y99" s="2"/>
      <c r="Z99" s="6">
        <f t="shared" si="67"/>
        <v>0</v>
      </c>
    </row>
    <row r="100" spans="1:26" s="24" customFormat="1" hidden="1" outlineLevel="2" x14ac:dyDescent="0.25">
      <c r="A100" s="25"/>
      <c r="B100" s="11" t="str">
        <f>CONCATENATE("          ", "6244", " - ", "SAFETY SUPPLY EXPENSE")</f>
        <v xml:space="preserve">          6244 - SAFETY SUPPLY EXPENSE</v>
      </c>
      <c r="C100" s="11"/>
      <c r="D100" s="7"/>
      <c r="E100" s="2"/>
      <c r="F100" s="6">
        <f t="shared" si="60"/>
        <v>0</v>
      </c>
      <c r="G100" s="2"/>
      <c r="H100" s="7"/>
      <c r="I100" s="2"/>
      <c r="J100" s="6">
        <f t="shared" si="61"/>
        <v>0</v>
      </c>
      <c r="K100" s="2"/>
      <c r="L100" s="7">
        <f t="shared" si="62"/>
        <v>0</v>
      </c>
      <c r="M100" s="2"/>
      <c r="N100" s="6">
        <f t="shared" si="63"/>
        <v>0</v>
      </c>
      <c r="O100" s="11"/>
      <c r="P100" s="7"/>
      <c r="Q100" s="2"/>
      <c r="R100" s="6">
        <f t="shared" si="64"/>
        <v>0</v>
      </c>
      <c r="S100" s="2"/>
      <c r="T100" s="7">
        <v>30</v>
      </c>
      <c r="U100" s="2"/>
      <c r="V100" s="6">
        <f t="shared" si="65"/>
        <v>4.9690988307379179E-5</v>
      </c>
      <c r="W100" s="2"/>
      <c r="X100" s="7">
        <f t="shared" si="66"/>
        <v>-30</v>
      </c>
      <c r="Y100" s="2"/>
      <c r="Z100" s="6">
        <f t="shared" si="67"/>
        <v>-1</v>
      </c>
    </row>
    <row r="101" spans="1:26" s="24" customFormat="1" hidden="1" outlineLevel="2" x14ac:dyDescent="0.25">
      <c r="A101" s="25"/>
      <c r="B101" s="11" t="str">
        <f>CONCATENATE("          ", "6245", " - ", "PRINTING")</f>
        <v xml:space="preserve">          6245 - PRINTING</v>
      </c>
      <c r="C101" s="11"/>
      <c r="D101" s="7">
        <v>35.54</v>
      </c>
      <c r="E101" s="2"/>
      <c r="F101" s="6">
        <f t="shared" si="60"/>
        <v>8.8641130472211791E-5</v>
      </c>
      <c r="G101" s="2"/>
      <c r="H101" s="7"/>
      <c r="I101" s="2"/>
      <c r="J101" s="6">
        <f t="shared" si="61"/>
        <v>0</v>
      </c>
      <c r="K101" s="2"/>
      <c r="L101" s="7">
        <f t="shared" si="62"/>
        <v>35.54</v>
      </c>
      <c r="M101" s="2"/>
      <c r="N101" s="6">
        <f t="shared" si="63"/>
        <v>0</v>
      </c>
      <c r="O101" s="11"/>
      <c r="P101" s="7">
        <v>35.54</v>
      </c>
      <c r="Q101" s="2"/>
      <c r="R101" s="6">
        <f t="shared" si="64"/>
        <v>6.0392277238140506E-5</v>
      </c>
      <c r="S101" s="2"/>
      <c r="T101" s="7"/>
      <c r="U101" s="2"/>
      <c r="V101" s="6">
        <f t="shared" si="65"/>
        <v>0</v>
      </c>
      <c r="W101" s="2"/>
      <c r="X101" s="7">
        <f t="shared" si="66"/>
        <v>35.54</v>
      </c>
      <c r="Y101" s="2"/>
      <c r="Z101" s="6">
        <f t="shared" si="67"/>
        <v>0</v>
      </c>
    </row>
    <row r="102" spans="1:26" s="24" customFormat="1" hidden="1" outlineLevel="2" x14ac:dyDescent="0.25">
      <c r="A102" s="25"/>
      <c r="B102" s="11" t="str">
        <f>CONCATENATE("          ", "6247", " - ", "STORE SUPPLIES")</f>
        <v xml:space="preserve">          6247 - STORE SUPPLIES</v>
      </c>
      <c r="C102" s="11"/>
      <c r="D102" s="7">
        <v>7122.97</v>
      </c>
      <c r="E102" s="2"/>
      <c r="F102" s="6">
        <f t="shared" si="60"/>
        <v>1.7765563115353138E-2</v>
      </c>
      <c r="G102" s="2"/>
      <c r="H102" s="7">
        <v>4309</v>
      </c>
      <c r="I102" s="2"/>
      <c r="J102" s="6">
        <f t="shared" si="61"/>
        <v>1.0645078411415359E-2</v>
      </c>
      <c r="K102" s="2"/>
      <c r="L102" s="7">
        <f t="shared" si="62"/>
        <v>2813.9700000000003</v>
      </c>
      <c r="M102" s="2"/>
      <c r="N102" s="6">
        <f t="shared" si="63"/>
        <v>0.65304478997447213</v>
      </c>
      <c r="O102" s="11"/>
      <c r="P102" s="7">
        <v>21265.8</v>
      </c>
      <c r="Q102" s="2"/>
      <c r="R102" s="6">
        <f t="shared" si="64"/>
        <v>3.6136468466259099E-2</v>
      </c>
      <c r="S102" s="2"/>
      <c r="T102" s="7">
        <v>6338</v>
      </c>
      <c r="U102" s="2"/>
      <c r="V102" s="6">
        <f t="shared" si="65"/>
        <v>1.0498049463072309E-2</v>
      </c>
      <c r="W102" s="2"/>
      <c r="X102" s="7">
        <f t="shared" si="66"/>
        <v>14927.8</v>
      </c>
      <c r="Y102" s="2"/>
      <c r="Z102" s="6">
        <f t="shared" si="67"/>
        <v>2.3552855790470177</v>
      </c>
    </row>
    <row r="103" spans="1:26" s="24" customFormat="1" hidden="1" outlineLevel="2" x14ac:dyDescent="0.25">
      <c r="A103" s="25"/>
      <c r="B103" s="11" t="str">
        <f>CONCATENATE("          ", "6248", " - ", "UNIFORMS")</f>
        <v xml:space="preserve">          6248 - UNIFORMS</v>
      </c>
      <c r="C103" s="11"/>
      <c r="D103" s="7"/>
      <c r="E103" s="2"/>
      <c r="F103" s="6">
        <f t="shared" si="60"/>
        <v>0</v>
      </c>
      <c r="G103" s="2"/>
      <c r="H103" s="7"/>
      <c r="I103" s="2"/>
      <c r="J103" s="6">
        <f t="shared" si="61"/>
        <v>0</v>
      </c>
      <c r="K103" s="2"/>
      <c r="L103" s="7">
        <f t="shared" si="62"/>
        <v>0</v>
      </c>
      <c r="M103" s="2"/>
      <c r="N103" s="6">
        <f t="shared" si="63"/>
        <v>0</v>
      </c>
      <c r="O103" s="11"/>
      <c r="P103" s="7"/>
      <c r="Q103" s="2"/>
      <c r="R103" s="6">
        <f t="shared" si="64"/>
        <v>0</v>
      </c>
      <c r="S103" s="2"/>
      <c r="T103" s="7">
        <v>300</v>
      </c>
      <c r="U103" s="2"/>
      <c r="V103" s="6">
        <f t="shared" si="65"/>
        <v>4.9690988307379185E-4</v>
      </c>
      <c r="W103" s="2"/>
      <c r="X103" s="7">
        <f t="shared" si="66"/>
        <v>-300</v>
      </c>
      <c r="Y103" s="2"/>
      <c r="Z103" s="6">
        <f t="shared" si="67"/>
        <v>-1</v>
      </c>
    </row>
    <row r="104" spans="1:26" s="26" customFormat="1" outlineLevel="1" collapsed="1" x14ac:dyDescent="0.25">
      <c r="A104" s="27"/>
      <c r="B104" s="13" t="str">
        <f>CONCATENATE("     ","Telephone/Data Lines                              ")</f>
        <v xml:space="preserve">     Telephone/Data Lines                              </v>
      </c>
      <c r="C104" s="13"/>
      <c r="D104" s="1">
        <f>SUM(OSRRefD22_20x_0)</f>
        <v>428.01</v>
      </c>
      <c r="E104" s="1"/>
      <c r="F104" s="5">
        <f t="shared" ref="F104:F109" si="68">IF(D$12=0,0,D104/D$12)</f>
        <v>1.0675095738157392E-3</v>
      </c>
      <c r="G104" s="1"/>
      <c r="H104" s="1">
        <f>SUM(OSRRefH22_20x_0)</f>
        <v>340</v>
      </c>
      <c r="I104" s="1"/>
      <c r="J104" s="5">
        <f t="shared" ref="J104:J109" si="69">IF(H$12=0,0,H104/H$12)</f>
        <v>8.3994584819708097E-4</v>
      </c>
      <c r="K104" s="1"/>
      <c r="L104" s="1">
        <f t="shared" ref="L104:L109" si="70">+D104-H104</f>
        <v>88.009999999999991</v>
      </c>
      <c r="M104" s="1"/>
      <c r="N104" s="5">
        <f t="shared" ref="N104:N109" si="71">IF(H104=0,0,L104/H104)</f>
        <v>0.25885294117647056</v>
      </c>
      <c r="O104" s="13"/>
      <c r="P104" s="1">
        <f>SUM(OSRRefP22_20x_0)</f>
        <v>1009.58</v>
      </c>
      <c r="Q104" s="1"/>
      <c r="R104" s="5">
        <f t="shared" ref="R104:R109" si="72">IF(P$12=0,0,P104/P$12)</f>
        <v>1.7155552969634748E-3</v>
      </c>
      <c r="S104" s="1"/>
      <c r="T104" s="1">
        <f>SUM(OSRRefT22_20x_0)</f>
        <v>1020</v>
      </c>
      <c r="U104" s="1"/>
      <c r="V104" s="5">
        <f t="shared" ref="V104:V109" si="73">IF(T$12=0,0,T104/T$12)</f>
        <v>1.6894936024508922E-3</v>
      </c>
      <c r="W104" s="1"/>
      <c r="X104" s="1">
        <f t="shared" ref="X104:X109" si="74">+P104-T104</f>
        <v>-10.419999999999959</v>
      </c>
      <c r="Y104" s="1"/>
      <c r="Z104" s="5">
        <f t="shared" ref="Z104:Z109" si="75">IF(T104=0,0,X104/T104)</f>
        <v>-1.0215686274509764E-2</v>
      </c>
    </row>
    <row r="105" spans="1:26" s="24" customFormat="1" hidden="1" outlineLevel="2" x14ac:dyDescent="0.25">
      <c r="A105" s="25"/>
      <c r="B105" s="11" t="str">
        <f>CONCATENATE("          ", "6309", " - ", "TELEPHONE")</f>
        <v xml:space="preserve">          6309 - TELEPHONE</v>
      </c>
      <c r="C105" s="11"/>
      <c r="D105" s="7">
        <v>428.01</v>
      </c>
      <c r="E105" s="2"/>
      <c r="F105" s="6">
        <f t="shared" si="68"/>
        <v>1.0675095738157392E-3</v>
      </c>
      <c r="G105" s="2"/>
      <c r="H105" s="7">
        <v>340</v>
      </c>
      <c r="I105" s="2"/>
      <c r="J105" s="6">
        <f t="shared" si="69"/>
        <v>8.3994584819708097E-4</v>
      </c>
      <c r="K105" s="2"/>
      <c r="L105" s="7">
        <f t="shared" si="70"/>
        <v>88.009999999999991</v>
      </c>
      <c r="M105" s="2"/>
      <c r="N105" s="6">
        <f t="shared" si="71"/>
        <v>0.25885294117647056</v>
      </c>
      <c r="O105" s="11"/>
      <c r="P105" s="7">
        <v>1009.58</v>
      </c>
      <c r="Q105" s="2"/>
      <c r="R105" s="6">
        <f t="shared" si="72"/>
        <v>1.7155552969634748E-3</v>
      </c>
      <c r="S105" s="2"/>
      <c r="T105" s="7">
        <v>1020</v>
      </c>
      <c r="U105" s="2"/>
      <c r="V105" s="6">
        <f t="shared" si="73"/>
        <v>1.6894936024508922E-3</v>
      </c>
      <c r="W105" s="2"/>
      <c r="X105" s="7">
        <f t="shared" si="74"/>
        <v>-10.419999999999959</v>
      </c>
      <c r="Y105" s="2"/>
      <c r="Z105" s="6">
        <f t="shared" si="75"/>
        <v>-1.0215686274509764E-2</v>
      </c>
    </row>
    <row r="106" spans="1:26" s="26" customFormat="1" outlineLevel="1" collapsed="1" x14ac:dyDescent="0.25">
      <c r="A106" s="27"/>
      <c r="B106" s="13" t="str">
        <f>CONCATENATE("     ","Training                                          ")</f>
        <v xml:space="preserve">     Training                                          </v>
      </c>
      <c r="C106" s="13"/>
      <c r="D106" s="1">
        <f>SUM(OSRRefD22_21x_0)</f>
        <v>96</v>
      </c>
      <c r="E106" s="1"/>
      <c r="F106" s="5">
        <f t="shared" si="68"/>
        <v>2.3943580543985178E-4</v>
      </c>
      <c r="G106" s="1"/>
      <c r="H106" s="1">
        <f>SUM(OSRRefH22_21x_0)</f>
        <v>0</v>
      </c>
      <c r="I106" s="1"/>
      <c r="J106" s="5">
        <f t="shared" si="69"/>
        <v>0</v>
      </c>
      <c r="K106" s="1"/>
      <c r="L106" s="1">
        <f t="shared" si="70"/>
        <v>96</v>
      </c>
      <c r="M106" s="1"/>
      <c r="N106" s="5">
        <f t="shared" si="71"/>
        <v>0</v>
      </c>
      <c r="O106" s="13"/>
      <c r="P106" s="1">
        <f>SUM(OSRRefP22_21x_0)</f>
        <v>96</v>
      </c>
      <c r="Q106" s="1"/>
      <c r="R106" s="5">
        <f t="shared" si="72"/>
        <v>1.6313051814466765E-4</v>
      </c>
      <c r="S106" s="1"/>
      <c r="T106" s="1">
        <f>SUM(OSRRefT22_21x_0)</f>
        <v>1100</v>
      </c>
      <c r="U106" s="1"/>
      <c r="V106" s="5">
        <f t="shared" si="73"/>
        <v>1.8220029046039034E-3</v>
      </c>
      <c r="W106" s="1"/>
      <c r="X106" s="1">
        <f t="shared" si="74"/>
        <v>-1004</v>
      </c>
      <c r="Y106" s="1"/>
      <c r="Z106" s="5">
        <f t="shared" si="75"/>
        <v>-0.91272727272727272</v>
      </c>
    </row>
    <row r="107" spans="1:26" s="24" customFormat="1" hidden="1" outlineLevel="2" x14ac:dyDescent="0.25">
      <c r="A107" s="25"/>
      <c r="B107" s="11" t="str">
        <f>CONCATENATE("          ", "6376", " - ", "TRAINING")</f>
        <v xml:space="preserve">          6376 - TRAINING</v>
      </c>
      <c r="C107" s="11"/>
      <c r="D107" s="7">
        <v>96</v>
      </c>
      <c r="E107" s="2"/>
      <c r="F107" s="6">
        <f t="shared" si="68"/>
        <v>2.3943580543985178E-4</v>
      </c>
      <c r="G107" s="2"/>
      <c r="H107" s="7"/>
      <c r="I107" s="2"/>
      <c r="J107" s="6">
        <f t="shared" si="69"/>
        <v>0</v>
      </c>
      <c r="K107" s="2"/>
      <c r="L107" s="7">
        <f t="shared" si="70"/>
        <v>96</v>
      </c>
      <c r="M107" s="2"/>
      <c r="N107" s="6">
        <f t="shared" si="71"/>
        <v>0</v>
      </c>
      <c r="O107" s="11"/>
      <c r="P107" s="7">
        <v>96</v>
      </c>
      <c r="Q107" s="2"/>
      <c r="R107" s="6">
        <f t="shared" si="72"/>
        <v>1.6313051814466765E-4</v>
      </c>
      <c r="S107" s="2"/>
      <c r="T107" s="7">
        <v>1100</v>
      </c>
      <c r="U107" s="2"/>
      <c r="V107" s="6">
        <f t="shared" si="73"/>
        <v>1.8220029046039034E-3</v>
      </c>
      <c r="W107" s="2"/>
      <c r="X107" s="7">
        <f t="shared" si="74"/>
        <v>-1004</v>
      </c>
      <c r="Y107" s="2"/>
      <c r="Z107" s="6">
        <f t="shared" si="75"/>
        <v>-0.91272727272727272</v>
      </c>
    </row>
    <row r="108" spans="1:26" s="26" customFormat="1" outlineLevel="1" collapsed="1" x14ac:dyDescent="0.25">
      <c r="A108" s="27"/>
      <c r="B108" s="13" t="str">
        <f>CONCATENATE("     ","Utilities                                         ")</f>
        <v xml:space="preserve">     Utilities                                         </v>
      </c>
      <c r="C108" s="13"/>
      <c r="D108" s="1">
        <f>SUM(OSRRefD22_22x_0)</f>
        <v>999</v>
      </c>
      <c r="E108" s="1"/>
      <c r="F108" s="5">
        <f t="shared" si="68"/>
        <v>2.4916288503584578E-3</v>
      </c>
      <c r="G108" s="1"/>
      <c r="H108" s="1">
        <f>SUM(OSRRefH22_22x_0)</f>
        <v>1146</v>
      </c>
      <c r="I108" s="1"/>
      <c r="J108" s="5">
        <f t="shared" si="69"/>
        <v>2.83111159421722E-3</v>
      </c>
      <c r="K108" s="1"/>
      <c r="L108" s="1">
        <f t="shared" si="70"/>
        <v>-147</v>
      </c>
      <c r="M108" s="1"/>
      <c r="N108" s="5">
        <f t="shared" si="71"/>
        <v>-0.12827225130890052</v>
      </c>
      <c r="O108" s="13"/>
      <c r="P108" s="1">
        <f>SUM(OSRRefP22_22x_0)</f>
        <v>1055.1199999999999</v>
      </c>
      <c r="Q108" s="1"/>
      <c r="R108" s="5">
        <f t="shared" si="72"/>
        <v>1.7929403365083512E-3</v>
      </c>
      <c r="S108" s="1"/>
      <c r="T108" s="1">
        <f>SUM(OSRRefT22_22x_0)</f>
        <v>3369</v>
      </c>
      <c r="U108" s="1"/>
      <c r="V108" s="5">
        <f t="shared" si="73"/>
        <v>5.5802979869186819E-3</v>
      </c>
      <c r="W108" s="1"/>
      <c r="X108" s="1">
        <f t="shared" si="74"/>
        <v>-2313.88</v>
      </c>
      <c r="Y108" s="1"/>
      <c r="Z108" s="5">
        <f t="shared" si="75"/>
        <v>-0.68681507865835567</v>
      </c>
    </row>
    <row r="109" spans="1:26" s="24" customFormat="1" hidden="1" outlineLevel="2" x14ac:dyDescent="0.25">
      <c r="A109" s="25"/>
      <c r="B109" s="11" t="str">
        <f>CONCATENATE("          ", "6274", " - ", "UTILITIES")</f>
        <v xml:space="preserve">          6274 - UTILITIES</v>
      </c>
      <c r="C109" s="11"/>
      <c r="D109" s="7">
        <v>999</v>
      </c>
      <c r="E109" s="2"/>
      <c r="F109" s="6">
        <f t="shared" si="68"/>
        <v>2.4916288503584578E-3</v>
      </c>
      <c r="G109" s="2"/>
      <c r="H109" s="7">
        <v>1146</v>
      </c>
      <c r="I109" s="2"/>
      <c r="J109" s="6">
        <f t="shared" si="69"/>
        <v>2.83111159421722E-3</v>
      </c>
      <c r="K109" s="2"/>
      <c r="L109" s="7">
        <f t="shared" si="70"/>
        <v>-147</v>
      </c>
      <c r="M109" s="2"/>
      <c r="N109" s="6">
        <f t="shared" si="71"/>
        <v>-0.12827225130890052</v>
      </c>
      <c r="O109" s="11"/>
      <c r="P109" s="7">
        <v>1055.1199999999999</v>
      </c>
      <c r="Q109" s="2"/>
      <c r="R109" s="6">
        <f t="shared" si="72"/>
        <v>1.7929403365083512E-3</v>
      </c>
      <c r="S109" s="2"/>
      <c r="T109" s="7">
        <v>3369</v>
      </c>
      <c r="U109" s="2"/>
      <c r="V109" s="6">
        <f t="shared" si="73"/>
        <v>5.5802979869186819E-3</v>
      </c>
      <c r="W109" s="2"/>
      <c r="X109" s="7">
        <f t="shared" si="74"/>
        <v>-2313.88</v>
      </c>
      <c r="Y109" s="2"/>
      <c r="Z109" s="6">
        <f t="shared" si="75"/>
        <v>-0.68681507865835567</v>
      </c>
    </row>
    <row r="110" spans="1:26" s="63" customFormat="1" x14ac:dyDescent="0.25">
      <c r="A110" s="36"/>
      <c r="B110" s="36"/>
      <c r="C110" s="36"/>
      <c r="D110" s="1"/>
      <c r="E110" s="1"/>
      <c r="F110" s="5"/>
      <c r="G110" s="1"/>
      <c r="H110" s="1"/>
      <c r="I110" s="1"/>
      <c r="J110" s="5"/>
      <c r="K110" s="1"/>
      <c r="L110" s="1"/>
      <c r="M110" s="1"/>
      <c r="N110" s="5"/>
      <c r="O110" s="36"/>
      <c r="P110" s="1"/>
      <c r="Q110" s="1"/>
      <c r="R110" s="5"/>
      <c r="S110" s="1"/>
      <c r="T110" s="1"/>
      <c r="U110" s="1"/>
      <c r="V110" s="5"/>
      <c r="W110" s="1"/>
      <c r="X110" s="1"/>
      <c r="Y110" s="1"/>
      <c r="Z110" s="5"/>
    </row>
    <row r="111" spans="1:26" s="23" customFormat="1" x14ac:dyDescent="0.25">
      <c r="A111" s="10"/>
      <c r="B111" s="28" t="s">
        <v>0</v>
      </c>
      <c r="C111" s="10"/>
      <c r="D111" s="4">
        <f>SUM(0)</f>
        <v>0</v>
      </c>
      <c r="E111" s="4"/>
      <c r="F111" s="12">
        <f>IF(D$12=0,0,D111/D$12)</f>
        <v>0</v>
      </c>
      <c r="G111" s="4"/>
      <c r="H111" s="4">
        <f>SUM(0)</f>
        <v>0</v>
      </c>
      <c r="I111" s="4"/>
      <c r="J111" s="12">
        <f>IF(H$12=0,0,H111/H$12)</f>
        <v>0</v>
      </c>
      <c r="K111" s="4"/>
      <c r="L111" s="4">
        <f>+D111-H111</f>
        <v>0</v>
      </c>
      <c r="M111" s="4"/>
      <c r="N111" s="12">
        <f>IF(H111=0,0,L111/H111)</f>
        <v>0</v>
      </c>
      <c r="O111" s="10"/>
      <c r="P111" s="4">
        <f>SUM(0)</f>
        <v>0</v>
      </c>
      <c r="Q111" s="4"/>
      <c r="R111" s="12">
        <f>IF(P$12=0,0,P111/P$12)</f>
        <v>0</v>
      </c>
      <c r="S111" s="4"/>
      <c r="T111" s="4">
        <f>SUM(0)</f>
        <v>0</v>
      </c>
      <c r="U111" s="4"/>
      <c r="V111" s="12">
        <f>IF(T$12=0,0,T111/T$12)</f>
        <v>0</v>
      </c>
      <c r="W111" s="4"/>
      <c r="X111" s="4">
        <f>+P111-T111</f>
        <v>0</v>
      </c>
      <c r="Y111" s="4"/>
      <c r="Z111" s="12">
        <f>IF(T111=0,0,X111/T111)</f>
        <v>0</v>
      </c>
    </row>
    <row r="112" spans="1:26" x14ac:dyDescent="0.25">
      <c r="A112" s="9"/>
      <c r="B112" s="10"/>
      <c r="C112" s="10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O112" s="10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3" customFormat="1" x14ac:dyDescent="0.25">
      <c r="A113" s="10"/>
      <c r="B113" s="29" t="s">
        <v>3</v>
      </c>
      <c r="C113" s="29"/>
      <c r="D113" s="22">
        <f>+D29-D31+D111</f>
        <v>93215.190000000075</v>
      </c>
      <c r="E113" s="14"/>
      <c r="F113" s="20">
        <f>IF(D$12=0,0,D113/D$12)</f>
        <v>0.23249014684248787</v>
      </c>
      <c r="G113" s="14"/>
      <c r="H113" s="22">
        <f>+H29-H31+H111</f>
        <v>89958.127340861523</v>
      </c>
      <c r="I113" s="14"/>
      <c r="J113" s="20">
        <f>IF(H$12=0,0,H113/H$12)</f>
        <v>0.22223516344570868</v>
      </c>
      <c r="K113" s="15"/>
      <c r="L113" s="22">
        <f>+D113-H113</f>
        <v>3257.0626591385517</v>
      </c>
      <c r="M113" s="15"/>
      <c r="N113" s="20">
        <f>IF(H113=0,0,L113/H113)</f>
        <v>3.6206430207213772E-2</v>
      </c>
      <c r="O113" s="28"/>
      <c r="P113" s="22">
        <f>+P29-P31+P111</f>
        <v>16824.220000000088</v>
      </c>
      <c r="Q113" s="14"/>
      <c r="R113" s="20">
        <f>IF(P$12=0,0,P113/P$12)</f>
        <v>2.8588997145623907E-2</v>
      </c>
      <c r="S113" s="14"/>
      <c r="T113" s="22">
        <f>+T29-T31+T111</f>
        <v>39983.572361049941</v>
      </c>
      <c r="U113" s="14"/>
      <c r="V113" s="20">
        <f>IF(T$12=0,0,T113/T$12)</f>
        <v>6.6227440889339406E-2</v>
      </c>
      <c r="W113" s="15"/>
      <c r="X113" s="22">
        <f>+P113-T113</f>
        <v>-23159.352361049852</v>
      </c>
      <c r="Y113" s="15"/>
      <c r="Z113" s="20">
        <f>IF(T113=0,0,X113/T113)</f>
        <v>-0.5792216901461904</v>
      </c>
    </row>
    <row r="114" spans="1:26" x14ac:dyDescent="0.25">
      <c r="A114" s="9"/>
      <c r="B114" s="10"/>
      <c r="C114" s="9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s="23" customFormat="1" x14ac:dyDescent="0.25">
      <c r="A115" s="52"/>
      <c r="B115" s="10" t="s">
        <v>14</v>
      </c>
      <c r="C115" s="10"/>
      <c r="D115" s="4">
        <v>39827.939999999995</v>
      </c>
      <c r="E115" s="4"/>
      <c r="F115" s="12">
        <f>IF(D$12=0,0,D115/D$12)</f>
        <v>9.9335780134480092E-2</v>
      </c>
      <c r="G115" s="4"/>
      <c r="H115" s="4">
        <v>44054</v>
      </c>
      <c r="I115" s="4"/>
      <c r="J115" s="12">
        <f>IF(H$12=0,0,H115/H$12)</f>
        <v>0.10883227763668883</v>
      </c>
      <c r="K115" s="4"/>
      <c r="L115" s="4">
        <f>+D115-H115</f>
        <v>-4226.0600000000049</v>
      </c>
      <c r="M115" s="4"/>
      <c r="N115" s="12">
        <f>IF(H115=0,0,L115/H115)</f>
        <v>-9.5929087029554744E-2</v>
      </c>
      <c r="O115" s="10"/>
      <c r="P115" s="4">
        <v>63211.170000000006</v>
      </c>
      <c r="Q115" s="4"/>
      <c r="R115" s="12">
        <f>IF(P$12=0,0,P115/P$12)</f>
        <v>0.1074132386940695</v>
      </c>
      <c r="S115" s="4"/>
      <c r="T115" s="4">
        <v>76362</v>
      </c>
      <c r="U115" s="4"/>
      <c r="V115" s="12">
        <f>IF(T$12=0,0,T115/T$12)</f>
        <v>0.12648344163760297</v>
      </c>
      <c r="W115" s="4"/>
      <c r="X115" s="4">
        <f>+P115-T115</f>
        <v>-13150.829999999994</v>
      </c>
      <c r="Y115" s="4"/>
      <c r="Z115" s="12">
        <f>IF(T115=0,0,X115/T115)</f>
        <v>-0.17221694036300772</v>
      </c>
    </row>
    <row r="116" spans="1:26" x14ac:dyDescent="0.25">
      <c r="A116" s="9"/>
      <c r="B116" s="10"/>
      <c r="C116" s="10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O116" s="10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3" customFormat="1" ht="15.75" thickBot="1" x14ac:dyDescent="0.3">
      <c r="A117" s="10"/>
      <c r="B117" s="29" t="s">
        <v>4</v>
      </c>
      <c r="C117" s="29"/>
      <c r="D117" s="35">
        <f>+D113-D115</f>
        <v>53387.25000000008</v>
      </c>
      <c r="E117" s="14"/>
      <c r="F117" s="32">
        <f>IF(D$12=0,0,D117/D$12)</f>
        <v>0.13315436670800776</v>
      </c>
      <c r="G117" s="14"/>
      <c r="H117" s="35">
        <f>+H113-H115</f>
        <v>45904.127340861523</v>
      </c>
      <c r="I117" s="14"/>
      <c r="J117" s="32">
        <f>IF(H$12=0,0,H117/H$12)</f>
        <v>0.11340288580901985</v>
      </c>
      <c r="K117" s="15"/>
      <c r="L117" s="35">
        <f>D117-H117</f>
        <v>7483.1226591385566</v>
      </c>
      <c r="M117" s="15"/>
      <c r="N117" s="32">
        <f>IF(H117=0,0,L117/H117)</f>
        <v>0.16301633627783749</v>
      </c>
      <c r="O117" s="28"/>
      <c r="P117" s="35">
        <f>+P113-P115</f>
        <v>-46386.949999999917</v>
      </c>
      <c r="Q117" s="14"/>
      <c r="R117" s="32">
        <f>IF(P$12=0,0,P117/P$12)</f>
        <v>-7.8824241548445598E-2</v>
      </c>
      <c r="S117" s="14"/>
      <c r="T117" s="35">
        <f>+T113-T115</f>
        <v>-36378.427638950059</v>
      </c>
      <c r="U117" s="14"/>
      <c r="V117" s="32">
        <f>IF(T$12=0,0,T117/T$12)</f>
        <v>-6.0256000748263566E-2</v>
      </c>
      <c r="W117" s="15"/>
      <c r="X117" s="35">
        <f>P117-T117</f>
        <v>-10008.522361049858</v>
      </c>
      <c r="Y117" s="15"/>
      <c r="Z117" s="32">
        <f>IF(T117=0,0,X117/T117)</f>
        <v>0.27512245609905972</v>
      </c>
    </row>
    <row r="118" spans="1:26" ht="15.75" thickTop="1" x14ac:dyDescent="0.25">
      <c r="A118" s="9"/>
      <c r="B118" s="9"/>
      <c r="C118" s="9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x14ac:dyDescent="0.25">
      <c r="A119" s="9"/>
      <c r="B119" s="9"/>
      <c r="C119" s="9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3" customFormat="1" ht="15.75" thickBot="1" x14ac:dyDescent="0.3">
      <c r="A120" s="10"/>
      <c r="B120" s="29" t="s">
        <v>5</v>
      </c>
      <c r="C120" s="29"/>
      <c r="D120" s="30">
        <f>SUM(D117:D119)</f>
        <v>53387.25000000008</v>
      </c>
      <c r="E120" s="14"/>
      <c r="F120" s="31">
        <f>IF(D$12=0,0,D120/D$12)</f>
        <v>0.13315436670800776</v>
      </c>
      <c r="G120" s="14"/>
      <c r="H120" s="30">
        <f>SUM(H117:H119)</f>
        <v>45904.127340861523</v>
      </c>
      <c r="I120" s="14"/>
      <c r="J120" s="31">
        <f>IF(H$12=0,0,H120/H$12)</f>
        <v>0.11340288580901985</v>
      </c>
      <c r="K120" s="15"/>
      <c r="L120" s="30">
        <f>+D120-H120</f>
        <v>7483.1226591385566</v>
      </c>
      <c r="M120" s="15"/>
      <c r="N120" s="31">
        <f>IF(H120=0,0,L120/H120)</f>
        <v>0.16301633627783749</v>
      </c>
      <c r="O120" s="28"/>
      <c r="P120" s="30">
        <f>SUM(P117:P119)</f>
        <v>-46386.949999999917</v>
      </c>
      <c r="Q120" s="14"/>
      <c r="R120" s="31">
        <f>IF(P$12=0,0,P120/P$12)</f>
        <v>-7.8824241548445598E-2</v>
      </c>
      <c r="S120" s="14"/>
      <c r="T120" s="30">
        <f>SUM(T117:T119)</f>
        <v>-36378.427638950059</v>
      </c>
      <c r="U120" s="14"/>
      <c r="V120" s="31">
        <f>IF(T$12=0,0,T120/T$12)</f>
        <v>-6.0256000748263566E-2</v>
      </c>
      <c r="W120" s="15"/>
      <c r="X120" s="30">
        <f>+P120-T120</f>
        <v>-10008.522361049858</v>
      </c>
      <c r="Y120" s="15"/>
      <c r="Z120" s="31">
        <f>IF(T120=0,0,X120/T120)</f>
        <v>0.27512245609905972</v>
      </c>
    </row>
    <row r="121" spans="1:26" ht="15.75" thickTop="1" x14ac:dyDescent="0.25">
      <c r="A121" s="9"/>
      <c r="C121" s="9"/>
      <c r="D121" s="18"/>
      <c r="E121" s="18"/>
      <c r="G121" s="18"/>
      <c r="H121" s="18"/>
      <c r="I121" s="18"/>
      <c r="J121" s="43"/>
      <c r="K121" s="18"/>
      <c r="L121" s="18"/>
      <c r="M121" s="18"/>
      <c r="P121" s="18"/>
      <c r="Q121" s="18"/>
      <c r="R121" s="43"/>
      <c r="S121" s="18"/>
      <c r="T121" s="18"/>
      <c r="U121" s="18"/>
      <c r="V121" s="43"/>
      <c r="W121" s="18"/>
      <c r="X121" s="18"/>
    </row>
    <row r="122" spans="1:26" x14ac:dyDescent="0.25">
      <c r="A122" s="9"/>
      <c r="B122" s="53">
        <v>43756.451824502314</v>
      </c>
      <c r="D122" s="18"/>
      <c r="E122" s="18"/>
      <c r="G122" s="18"/>
      <c r="H122" s="18"/>
      <c r="I122" s="18"/>
      <c r="J122" s="43"/>
      <c r="K122" s="18"/>
      <c r="L122" s="18"/>
      <c r="M122" s="18"/>
      <c r="P122" s="18"/>
      <c r="Q122" s="18"/>
      <c r="R122" s="43"/>
      <c r="S122" s="18"/>
      <c r="T122" s="18"/>
      <c r="U122" s="18"/>
      <c r="V122" s="43"/>
      <c r="W122" s="18"/>
      <c r="X122" s="18"/>
    </row>
    <row r="123" spans="1:26" x14ac:dyDescent="0.25">
      <c r="A123" s="9"/>
      <c r="B123" s="55" t="s">
        <v>314</v>
      </c>
      <c r="D123" s="18"/>
      <c r="E123" s="18"/>
      <c r="G123" s="18"/>
      <c r="H123" s="18"/>
      <c r="I123" s="18"/>
      <c r="J123" s="43"/>
      <c r="K123" s="18"/>
      <c r="L123" s="18"/>
      <c r="M123" s="18"/>
      <c r="P123" s="18"/>
      <c r="Q123" s="18"/>
      <c r="R123" s="43"/>
      <c r="S123" s="18"/>
      <c r="T123" s="18"/>
      <c r="U123" s="18"/>
      <c r="V123" s="43"/>
      <c r="W123" s="18"/>
      <c r="X123" s="18"/>
    </row>
    <row r="124" spans="1:26" x14ac:dyDescent="0.25">
      <c r="A124" s="9"/>
      <c r="B124" s="56"/>
      <c r="D124" s="18"/>
      <c r="E124" s="18"/>
      <c r="G124" s="18"/>
      <c r="H124" s="18"/>
      <c r="I124" s="18"/>
      <c r="J124" s="43"/>
      <c r="K124" s="18"/>
      <c r="L124" s="18"/>
      <c r="M124" s="18"/>
      <c r="P124" s="18"/>
      <c r="Q124" s="18"/>
      <c r="R124" s="43"/>
      <c r="S124" s="18"/>
      <c r="T124" s="18"/>
      <c r="U124" s="18"/>
      <c r="V124" s="43"/>
      <c r="W124" s="18"/>
      <c r="X124" s="18"/>
    </row>
    <row r="125" spans="1:26" x14ac:dyDescent="0.25">
      <c r="D125" s="18"/>
      <c r="E125" s="18"/>
      <c r="G125" s="18"/>
      <c r="H125" s="18"/>
      <c r="I125" s="18"/>
      <c r="J125" s="43"/>
      <c r="K125" s="18"/>
      <c r="L125" s="18"/>
      <c r="M125" s="18"/>
      <c r="P125" s="18"/>
      <c r="Q125" s="18"/>
      <c r="R125" s="43"/>
      <c r="S125" s="18"/>
      <c r="T125" s="18"/>
      <c r="U125" s="18"/>
      <c r="V125" s="43"/>
      <c r="W125" s="18"/>
      <c r="X125" s="18"/>
    </row>
  </sheetData>
  <pageMargins left="0.25" right="0.25" top="0.75" bottom="0.75" header="0.3" footer="0.3"/>
  <pageSetup scale="55" fitToWidth="2" orientation="landscape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str">
        <f>CONCATENATE("Period ",RIGHT(202003,2),", ",2020)</f>
        <v>Period 03, 2020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43736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tr">
        <f>CONCATENATE("Department ","309", " - ", "Carts")</f>
        <v>Department 309 - Carts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53709.57</v>
      </c>
      <c r="E12" s="4"/>
      <c r="F12" s="12"/>
      <c r="G12" s="4"/>
      <c r="H12" s="4">
        <f>SUM(OSRRefH13x_0)</f>
        <v>55678</v>
      </c>
      <c r="I12" s="4"/>
      <c r="J12" s="12"/>
      <c r="K12" s="4"/>
      <c r="L12" s="4">
        <f t="shared" ref="L12:L15" si="0">+D12-H12</f>
        <v>-1968.4300000000003</v>
      </c>
      <c r="M12" s="4"/>
      <c r="N12" s="12">
        <f t="shared" ref="N12:N15" si="1">IF(H12=0,0,L12/H12)</f>
        <v>-3.5353820180322577E-2</v>
      </c>
      <c r="O12" s="10"/>
      <c r="P12" s="4">
        <f>SUM(OSRRefP13x_0)</f>
        <v>73597.63</v>
      </c>
      <c r="Q12" s="4"/>
      <c r="R12" s="12"/>
      <c r="S12" s="4"/>
      <c r="T12" s="4">
        <f>SUM(OSRRefT13x_0)</f>
        <v>76814</v>
      </c>
      <c r="U12" s="4"/>
      <c r="V12" s="12"/>
      <c r="W12" s="4"/>
      <c r="X12" s="4">
        <f t="shared" ref="X12:X15" si="2">+P12-T12</f>
        <v>-3216.3699999999953</v>
      </c>
      <c r="Y12" s="4"/>
      <c r="Z12" s="12">
        <f t="shared" ref="Z12:Z15" si="3">IF(T12=0,0,X12/T12)</f>
        <v>-4.1872184757986763E-2</v>
      </c>
    </row>
    <row r="13" spans="1:26" s="24" customFormat="1" hidden="1" outlineLevel="1" x14ac:dyDescent="0.25">
      <c r="A13" s="46"/>
      <c r="B13" s="11" t="str">
        <f>CONCATENATE("          ", "4051", " - ", "TAXABLE SALES-FOOD")</f>
        <v xml:space="preserve">          4051 - TAXABLE SALES-FOOD</v>
      </c>
      <c r="C13" s="11"/>
      <c r="D13" s="2">
        <f>--11973.47</f>
        <v>11973.47</v>
      </c>
      <c r="E13" s="2"/>
      <c r="F13" s="19"/>
      <c r="G13" s="2"/>
      <c r="H13" s="2"/>
      <c r="I13" s="2"/>
      <c r="J13" s="19"/>
      <c r="K13" s="2"/>
      <c r="L13" s="2">
        <f t="shared" si="0"/>
        <v>11973.47</v>
      </c>
      <c r="M13" s="2"/>
      <c r="N13" s="19">
        <f t="shared" si="1"/>
        <v>0</v>
      </c>
      <c r="O13" s="11"/>
      <c r="P13" s="2">
        <f>--15660.77</f>
        <v>15660.77</v>
      </c>
      <c r="Q13" s="2"/>
      <c r="R13" s="19"/>
      <c r="S13" s="2"/>
      <c r="T13" s="2"/>
      <c r="U13" s="2"/>
      <c r="V13" s="19"/>
      <c r="W13" s="2"/>
      <c r="X13" s="2">
        <f t="shared" si="2"/>
        <v>15660.77</v>
      </c>
      <c r="Y13" s="2"/>
      <c r="Z13" s="19">
        <f t="shared" si="3"/>
        <v>0</v>
      </c>
    </row>
    <row r="14" spans="1:26" s="24" customFormat="1" hidden="1" outlineLevel="1" x14ac:dyDescent="0.25">
      <c r="A14" s="46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55678</v>
      </c>
      <c r="I14" s="2"/>
      <c r="J14" s="19"/>
      <c r="K14" s="2"/>
      <c r="L14" s="2">
        <f t="shared" si="0"/>
        <v>-55678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76814</v>
      </c>
      <c r="U14" s="2"/>
      <c r="V14" s="19"/>
      <c r="W14" s="2"/>
      <c r="X14" s="2">
        <f t="shared" si="2"/>
        <v>-76814</v>
      </c>
      <c r="Y14" s="2"/>
      <c r="Z14" s="19">
        <f t="shared" si="3"/>
        <v>-1</v>
      </c>
    </row>
    <row r="15" spans="1:26" s="24" customFormat="1" hidden="1" outlineLevel="1" x14ac:dyDescent="0.25">
      <c r="A15" s="46"/>
      <c r="B15" s="11" t="str">
        <f>CONCATENATE("          ", "4151", " - ", "NON-TAXABLE SALES-FOOD")</f>
        <v xml:space="preserve">          4151 - NON-TAXABLE SALES-FOOD</v>
      </c>
      <c r="C15" s="11"/>
      <c r="D15" s="2">
        <f>--41736.1</f>
        <v>41736.1</v>
      </c>
      <c r="E15" s="2"/>
      <c r="F15" s="19"/>
      <c r="G15" s="2"/>
      <c r="H15" s="2"/>
      <c r="I15" s="2"/>
      <c r="J15" s="19"/>
      <c r="K15" s="2"/>
      <c r="L15" s="2">
        <f t="shared" si="0"/>
        <v>41736.1</v>
      </c>
      <c r="M15" s="2"/>
      <c r="N15" s="19">
        <f t="shared" si="1"/>
        <v>0</v>
      </c>
      <c r="O15" s="11"/>
      <c r="P15" s="2">
        <f>--57936.86</f>
        <v>57936.86</v>
      </c>
      <c r="Q15" s="2"/>
      <c r="R15" s="19"/>
      <c r="S15" s="2"/>
      <c r="T15" s="2"/>
      <c r="U15" s="2"/>
      <c r="V15" s="19"/>
      <c r="W15" s="2"/>
      <c r="X15" s="2">
        <f t="shared" si="2"/>
        <v>57936.86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24567.449999999997</v>
      </c>
      <c r="E17" s="4"/>
      <c r="F17" s="12">
        <f t="shared" ref="F17:F20" si="4">IF(D$12=0,0,D17/D$12)</f>
        <v>0.45741289680777553</v>
      </c>
      <c r="G17" s="4"/>
      <c r="H17" s="4">
        <f>SUM(OSRRefH16x_0)</f>
        <v>27560</v>
      </c>
      <c r="I17" s="4"/>
      <c r="J17" s="12">
        <f t="shared" ref="J17:J20" si="5">IF(H$12=0,0,H17/H$12)</f>
        <v>0.4949890441467007</v>
      </c>
      <c r="K17" s="4"/>
      <c r="L17" s="4">
        <f t="shared" ref="L17:L20" si="6">+D17-H17</f>
        <v>-2992.5500000000029</v>
      </c>
      <c r="M17" s="4"/>
      <c r="N17" s="12">
        <f t="shared" ref="N17:N20" si="7">IF(H17=0,0,L17/H17)</f>
        <v>-0.10858309143686513</v>
      </c>
      <c r="O17" s="10"/>
      <c r="P17" s="4">
        <f>SUM(OSRRefP16x_0)</f>
        <v>34124.639999999999</v>
      </c>
      <c r="Q17" s="4"/>
      <c r="R17" s="12">
        <f t="shared" ref="R17:R20" si="8">IF(P$12=0,0,P17/P$12)</f>
        <v>0.46366493051474617</v>
      </c>
      <c r="S17" s="4"/>
      <c r="T17" s="4">
        <f>SUM(OSRRefT16x_0)</f>
        <v>38022</v>
      </c>
      <c r="U17" s="4"/>
      <c r="V17" s="12">
        <f t="shared" ref="V17:V20" si="9">IF(T$12=0,0,T17/T$12)</f>
        <v>0.49498789283203581</v>
      </c>
      <c r="W17" s="4"/>
      <c r="X17" s="4">
        <f t="shared" ref="X17:X20" si="10">+P17-T17</f>
        <v>-3897.3600000000006</v>
      </c>
      <c r="Y17" s="4"/>
      <c r="Z17" s="12">
        <f t="shared" ref="Z17:Z20" si="11">IF(T17=0,0,X17/T17)</f>
        <v>-0.10250276155909738</v>
      </c>
    </row>
    <row r="18" spans="1:26" s="24" customFormat="1" hidden="1" outlineLevel="1" x14ac:dyDescent="0.25">
      <c r="A18" s="46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4"/>
        <v>0</v>
      </c>
      <c r="G18" s="2"/>
      <c r="H18" s="2">
        <v>27560</v>
      </c>
      <c r="I18" s="2"/>
      <c r="J18" s="19">
        <f t="shared" si="5"/>
        <v>0.4949890441467007</v>
      </c>
      <c r="K18" s="2"/>
      <c r="L18" s="2">
        <f t="shared" si="6"/>
        <v>-27560</v>
      </c>
      <c r="M18" s="2"/>
      <c r="N18" s="19">
        <f t="shared" si="7"/>
        <v>-1</v>
      </c>
      <c r="O18" s="11"/>
      <c r="P18" s="2"/>
      <c r="Q18" s="2"/>
      <c r="R18" s="19">
        <f t="shared" si="8"/>
        <v>0</v>
      </c>
      <c r="S18" s="2"/>
      <c r="T18" s="2">
        <v>38022</v>
      </c>
      <c r="U18" s="2"/>
      <c r="V18" s="19">
        <f t="shared" si="9"/>
        <v>0.49498789283203581</v>
      </c>
      <c r="W18" s="2"/>
      <c r="X18" s="2">
        <f t="shared" si="10"/>
        <v>-38022</v>
      </c>
      <c r="Y18" s="2"/>
      <c r="Z18" s="19">
        <f t="shared" si="11"/>
        <v>-1</v>
      </c>
    </row>
    <row r="19" spans="1:26" s="24" customFormat="1" hidden="1" outlineLevel="1" x14ac:dyDescent="0.25">
      <c r="A19" s="46"/>
      <c r="B19" s="11" t="str">
        <f>CONCATENATE("          ", "5053", " - ", "PURCHASES @ COST-FOOD")</f>
        <v xml:space="preserve">          5053 - PURCHASES @ COST-FOOD</v>
      </c>
      <c r="C19" s="11"/>
      <c r="D19" s="2">
        <v>25708.809999999998</v>
      </c>
      <c r="E19" s="2"/>
      <c r="F19" s="19">
        <f t="shared" si="4"/>
        <v>0.47866348585550023</v>
      </c>
      <c r="G19" s="2"/>
      <c r="H19" s="2"/>
      <c r="I19" s="2"/>
      <c r="J19" s="19">
        <f t="shared" si="5"/>
        <v>0</v>
      </c>
      <c r="K19" s="2"/>
      <c r="L19" s="2">
        <f t="shared" si="6"/>
        <v>25708.809999999998</v>
      </c>
      <c r="M19" s="2"/>
      <c r="N19" s="19">
        <f t="shared" si="7"/>
        <v>0</v>
      </c>
      <c r="O19" s="11"/>
      <c r="P19" s="2">
        <v>41151.29</v>
      </c>
      <c r="Q19" s="2"/>
      <c r="R19" s="19">
        <f t="shared" si="8"/>
        <v>0.55913879292036983</v>
      </c>
      <c r="S19" s="2"/>
      <c r="T19" s="2"/>
      <c r="U19" s="2"/>
      <c r="V19" s="19">
        <f t="shared" si="9"/>
        <v>0</v>
      </c>
      <c r="W19" s="2"/>
      <c r="X19" s="2">
        <f t="shared" si="10"/>
        <v>41151.29</v>
      </c>
      <c r="Y19" s="2"/>
      <c r="Z19" s="19">
        <f t="shared" si="11"/>
        <v>0</v>
      </c>
    </row>
    <row r="20" spans="1:26" s="24" customFormat="1" hidden="1" outlineLevel="1" x14ac:dyDescent="0.25">
      <c r="A20" s="46"/>
      <c r="B20" s="11" t="str">
        <f>CONCATENATE("          ", "5059", " - ", "PURCHASES @ COST-FOOD")</f>
        <v xml:space="preserve">          5059 - PURCHASES @ COST-FOOD</v>
      </c>
      <c r="C20" s="11"/>
      <c r="D20" s="2">
        <v>-1141.3599999999999</v>
      </c>
      <c r="E20" s="2"/>
      <c r="F20" s="19">
        <f t="shared" si="4"/>
        <v>-2.125058904772464E-2</v>
      </c>
      <c r="G20" s="2"/>
      <c r="H20" s="2"/>
      <c r="I20" s="2"/>
      <c r="J20" s="19">
        <f t="shared" si="5"/>
        <v>0</v>
      </c>
      <c r="K20" s="2"/>
      <c r="L20" s="2">
        <f t="shared" si="6"/>
        <v>-1141.3599999999999</v>
      </c>
      <c r="M20" s="2"/>
      <c r="N20" s="19">
        <f t="shared" si="7"/>
        <v>0</v>
      </c>
      <c r="O20" s="11"/>
      <c r="P20" s="2">
        <v>-7026.65</v>
      </c>
      <c r="Q20" s="2"/>
      <c r="R20" s="19">
        <f t="shared" si="8"/>
        <v>-9.5473862405623652E-2</v>
      </c>
      <c r="S20" s="2"/>
      <c r="T20" s="2"/>
      <c r="U20" s="2"/>
      <c r="V20" s="19">
        <f t="shared" si="9"/>
        <v>0</v>
      </c>
      <c r="W20" s="2"/>
      <c r="X20" s="2">
        <f t="shared" si="10"/>
        <v>-7026.65</v>
      </c>
      <c r="Y20" s="2"/>
      <c r="Z20" s="19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6</v>
      </c>
      <c r="C22" s="29"/>
      <c r="D22" s="22">
        <f>D12-D17</f>
        <v>29142.120000000003</v>
      </c>
      <c r="E22" s="14"/>
      <c r="F22" s="20">
        <f>IF(D$12=0,0,D22/D$12)</f>
        <v>0.54258710319222447</v>
      </c>
      <c r="G22" s="14"/>
      <c r="H22" s="22">
        <f>H12-H17</f>
        <v>28118</v>
      </c>
      <c r="I22" s="14"/>
      <c r="J22" s="20">
        <f>IF(H$12=0,0,H22/H$12)</f>
        <v>0.50501095585329936</v>
      </c>
      <c r="K22" s="15"/>
      <c r="L22" s="22">
        <f>+D22-H22</f>
        <v>1024.1200000000026</v>
      </c>
      <c r="M22" s="15"/>
      <c r="N22" s="20">
        <f>IF(H22=0,0,L22/H22)</f>
        <v>3.6422220641582001E-2</v>
      </c>
      <c r="O22" s="28"/>
      <c r="P22" s="22">
        <f>P12-P17</f>
        <v>39472.990000000005</v>
      </c>
      <c r="Q22" s="14"/>
      <c r="R22" s="20">
        <f>IF(P$12=0,0,P22/P$12)</f>
        <v>0.53633506948525389</v>
      </c>
      <c r="S22" s="14"/>
      <c r="T22" s="22">
        <f>T12-T17</f>
        <v>38792</v>
      </c>
      <c r="U22" s="14"/>
      <c r="V22" s="20">
        <f>IF(T$12=0,0,T22/T$12)</f>
        <v>0.50501210716796419</v>
      </c>
      <c r="W22" s="15"/>
      <c r="X22" s="22">
        <f>+P22-T22</f>
        <v>680.99000000000524</v>
      </c>
      <c r="Y22" s="15"/>
      <c r="Z22" s="20">
        <f>IF(T22=0,0,X22/T22)</f>
        <v>1.7554908228500858E-2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9</v>
      </c>
      <c r="C24" s="10"/>
      <c r="D24" s="21">
        <f>SUM(OSRRefD22x_0)</f>
        <v>18966.000000000004</v>
      </c>
      <c r="E24" s="21"/>
      <c r="F24" s="33">
        <f t="shared" ref="F24:F34" si="12">IF(D$12=0,0,D24/D$12)</f>
        <v>0.35312142696357474</v>
      </c>
      <c r="G24" s="21"/>
      <c r="H24" s="21">
        <f>SUM(OSRRefH22x_0)</f>
        <v>16142.430505384618</v>
      </c>
      <c r="I24" s="21"/>
      <c r="J24" s="33">
        <f t="shared" ref="J24:J34" si="13">IF(H$12=0,0,H24/H$12)</f>
        <v>0.2899247549370419</v>
      </c>
      <c r="K24" s="4"/>
      <c r="L24" s="21">
        <f t="shared" ref="L24:L34" si="14">+D24-H24</f>
        <v>2823.5694946153853</v>
      </c>
      <c r="M24" s="4"/>
      <c r="N24" s="33">
        <f t="shared" ref="N24:N34" si="15">IF(H24=0,0,L24/H24)</f>
        <v>0.17491600745461033</v>
      </c>
      <c r="O24" s="10"/>
      <c r="P24" s="21">
        <f>SUM(OSRRefP22x_0)</f>
        <v>44911.360000000008</v>
      </c>
      <c r="Q24" s="21"/>
      <c r="R24" s="33">
        <f t="shared" ref="R24:R34" si="16">IF(P$12=0,0,P24/P$12)</f>
        <v>0.61022834566819617</v>
      </c>
      <c r="S24" s="21"/>
      <c r="T24" s="21">
        <f>SUM(OSRRefT22x_0)</f>
        <v>30405.205792500012</v>
      </c>
      <c r="U24" s="21"/>
      <c r="V24" s="33">
        <f t="shared" ref="V24:V34" si="17">IF(T$12=0,0,T24/T$12)</f>
        <v>0.39582896076887042</v>
      </c>
      <c r="W24" s="4"/>
      <c r="X24" s="21">
        <f t="shared" ref="X24:X34" si="18">+P24-T24</f>
        <v>14506.154207499996</v>
      </c>
      <c r="Y24" s="4"/>
      <c r="Z24" s="33">
        <f t="shared" ref="Z24:Z34" si="19">IF(T24=0,0,X24/T24)</f>
        <v>0.4770944260827269</v>
      </c>
    </row>
    <row r="25" spans="1:26" s="26" customFormat="1" outlineLevel="1" collapsed="1" x14ac:dyDescent="0.25">
      <c r="A25" s="27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2029.3700000000001</v>
      </c>
      <c r="E25" s="1"/>
      <c r="F25" s="5">
        <f t="shared" si="12"/>
        <v>3.7784141634349337E-2</v>
      </c>
      <c r="G25" s="1"/>
      <c r="H25" s="1">
        <f>SUM(OSRRefH22_0x_0)</f>
        <v>1581.6958899999993</v>
      </c>
      <c r="I25" s="1"/>
      <c r="J25" s="5">
        <f t="shared" si="13"/>
        <v>2.840791497539422E-2</v>
      </c>
      <c r="K25" s="1"/>
      <c r="L25" s="1">
        <f t="shared" si="14"/>
        <v>447.67411000000084</v>
      </c>
      <c r="M25" s="1"/>
      <c r="N25" s="5">
        <f t="shared" si="15"/>
        <v>0.2830342500289364</v>
      </c>
      <c r="O25" s="13"/>
      <c r="P25" s="1">
        <f>SUM(OSRRefP22_0x_0)</f>
        <v>6032.5400000000009</v>
      </c>
      <c r="Q25" s="1"/>
      <c r="R25" s="5">
        <f t="shared" si="16"/>
        <v>8.1966498105985219E-2</v>
      </c>
      <c r="S25" s="1"/>
      <c r="T25" s="1">
        <f>SUM(OSRRefT22_0x_0)</f>
        <v>4395.8182925000001</v>
      </c>
      <c r="U25" s="1"/>
      <c r="V25" s="5">
        <f t="shared" si="17"/>
        <v>5.7226785384174764E-2</v>
      </c>
      <c r="W25" s="1"/>
      <c r="X25" s="1">
        <f t="shared" si="18"/>
        <v>1636.7217075000008</v>
      </c>
      <c r="Y25" s="1"/>
      <c r="Z25" s="5">
        <f t="shared" si="19"/>
        <v>0.37233607000828978</v>
      </c>
    </row>
    <row r="26" spans="1:26" s="24" customFormat="1" hidden="1" outlineLevel="2" x14ac:dyDescent="0.25">
      <c r="A26" s="25"/>
      <c r="B26" s="11" t="str">
        <f>CONCATENATE("          ", "6111", " - ", "F.I.C.A.")</f>
        <v xml:space="preserve">          6111 - F.I.C.A.</v>
      </c>
      <c r="C26" s="11"/>
      <c r="D26" s="7">
        <v>372.65</v>
      </c>
      <c r="E26" s="2"/>
      <c r="F26" s="6">
        <f t="shared" si="12"/>
        <v>6.9382421047124374E-3</v>
      </c>
      <c r="G26" s="2"/>
      <c r="H26" s="7">
        <v>151.34690538461498</v>
      </c>
      <c r="I26" s="2"/>
      <c r="J26" s="6">
        <f t="shared" si="13"/>
        <v>2.7182532667232116E-3</v>
      </c>
      <c r="K26" s="2"/>
      <c r="L26" s="7">
        <f t="shared" si="14"/>
        <v>221.30309461538499</v>
      </c>
      <c r="M26" s="2"/>
      <c r="N26" s="6">
        <f t="shared" si="15"/>
        <v>1.4622241138858552</v>
      </c>
      <c r="O26" s="11"/>
      <c r="P26" s="7">
        <v>1076.28</v>
      </c>
      <c r="Q26" s="2"/>
      <c r="R26" s="6">
        <f t="shared" si="16"/>
        <v>1.4623840468775963E-2</v>
      </c>
      <c r="S26" s="2"/>
      <c r="T26" s="7">
        <v>628.48349249999899</v>
      </c>
      <c r="U26" s="2"/>
      <c r="V26" s="6">
        <f t="shared" si="17"/>
        <v>8.1818873187179293E-3</v>
      </c>
      <c r="W26" s="2"/>
      <c r="X26" s="7">
        <f t="shared" si="18"/>
        <v>447.79650750000098</v>
      </c>
      <c r="Y26" s="2"/>
      <c r="Z26" s="6">
        <f t="shared" si="19"/>
        <v>0.71250321264404837</v>
      </c>
    </row>
    <row r="27" spans="1:26" s="24" customFormat="1" hidden="1" outlineLevel="2" x14ac:dyDescent="0.25">
      <c r="A27" s="25"/>
      <c r="B27" s="11" t="str">
        <f>CONCATENATE("          ", "6112", " - ", "COMPENSATION INSURANCE")</f>
        <v xml:space="preserve">          6112 - COMPENSATION INSURANCE</v>
      </c>
      <c r="C27" s="11"/>
      <c r="D27" s="7">
        <v>193.07</v>
      </c>
      <c r="E27" s="2"/>
      <c r="F27" s="6">
        <f t="shared" si="12"/>
        <v>3.5947038861044688E-3</v>
      </c>
      <c r="G27" s="2"/>
      <c r="H27" s="7">
        <v>195.23669230769201</v>
      </c>
      <c r="I27" s="2"/>
      <c r="J27" s="6">
        <f t="shared" si="13"/>
        <v>3.5065320648674883E-3</v>
      </c>
      <c r="K27" s="2"/>
      <c r="L27" s="7">
        <f t="shared" si="14"/>
        <v>-2.166692307692017</v>
      </c>
      <c r="M27" s="2"/>
      <c r="N27" s="6">
        <f t="shared" si="15"/>
        <v>-1.1097772053407466E-2</v>
      </c>
      <c r="O27" s="11"/>
      <c r="P27" s="7">
        <v>479.85</v>
      </c>
      <c r="Q27" s="2"/>
      <c r="R27" s="6">
        <f t="shared" si="16"/>
        <v>6.5199110351787139E-3</v>
      </c>
      <c r="S27" s="2"/>
      <c r="T27" s="7">
        <v>373.57324999999969</v>
      </c>
      <c r="U27" s="2"/>
      <c r="V27" s="6">
        <f t="shared" si="17"/>
        <v>4.8633484781420017E-3</v>
      </c>
      <c r="W27" s="2"/>
      <c r="X27" s="7">
        <f t="shared" si="18"/>
        <v>106.27675000000033</v>
      </c>
      <c r="Y27" s="2"/>
      <c r="Z27" s="6">
        <f t="shared" si="19"/>
        <v>0.28448704504404537</v>
      </c>
    </row>
    <row r="28" spans="1:26" s="24" customFormat="1" hidden="1" outlineLevel="2" x14ac:dyDescent="0.25">
      <c r="A28" s="25"/>
      <c r="B28" s="11" t="str">
        <f>CONCATENATE("          ", "6113", " - ", "GROUP INSURANCE")</f>
        <v xml:space="preserve">          6113 - GROUP INSURANCE</v>
      </c>
      <c r="C28" s="11"/>
      <c r="D28" s="7">
        <v>965.94</v>
      </c>
      <c r="E28" s="2"/>
      <c r="F28" s="6">
        <f t="shared" si="12"/>
        <v>1.7984504437477344E-2</v>
      </c>
      <c r="G28" s="2"/>
      <c r="H28" s="7">
        <v>690.5</v>
      </c>
      <c r="I28" s="2"/>
      <c r="J28" s="6">
        <f t="shared" si="13"/>
        <v>1.2401666726534718E-2</v>
      </c>
      <c r="K28" s="2"/>
      <c r="L28" s="7">
        <f t="shared" si="14"/>
        <v>275.44000000000005</v>
      </c>
      <c r="M28" s="2"/>
      <c r="N28" s="6">
        <f t="shared" si="15"/>
        <v>0.39889934829833462</v>
      </c>
      <c r="O28" s="11"/>
      <c r="P28" s="7">
        <v>2897.82</v>
      </c>
      <c r="Q28" s="2"/>
      <c r="R28" s="6">
        <f t="shared" si="16"/>
        <v>3.9373822227699452E-2</v>
      </c>
      <c r="S28" s="2"/>
      <c r="T28" s="7">
        <v>2071.5</v>
      </c>
      <c r="U28" s="2"/>
      <c r="V28" s="6">
        <f t="shared" si="17"/>
        <v>2.6967740255682559E-2</v>
      </c>
      <c r="W28" s="2"/>
      <c r="X28" s="7">
        <f t="shared" si="18"/>
        <v>826.32000000000016</v>
      </c>
      <c r="Y28" s="2"/>
      <c r="Z28" s="6">
        <f t="shared" si="19"/>
        <v>0.39889934829833462</v>
      </c>
    </row>
    <row r="29" spans="1:26" s="24" customFormat="1" hidden="1" outlineLevel="2" x14ac:dyDescent="0.25">
      <c r="A29" s="25"/>
      <c r="B29" s="11" t="str">
        <f>CONCATENATE("          ", "6114", " - ", "STATE UNEMPLOYMENT INSURANCE")</f>
        <v xml:space="preserve">          6114 - STATE UNEMPLOYMENT INSURANCE</v>
      </c>
      <c r="C29" s="11"/>
      <c r="D29" s="7">
        <v>26.42</v>
      </c>
      <c r="E29" s="2"/>
      <c r="F29" s="6">
        <f t="shared" si="12"/>
        <v>4.9190488771367941E-4</v>
      </c>
      <c r="G29" s="2"/>
      <c r="H29" s="7">
        <v>26.7166</v>
      </c>
      <c r="I29" s="2"/>
      <c r="J29" s="6">
        <f t="shared" si="13"/>
        <v>4.7984122992923597E-4</v>
      </c>
      <c r="K29" s="2"/>
      <c r="L29" s="7">
        <f t="shared" si="14"/>
        <v>-0.29659999999999798</v>
      </c>
      <c r="M29" s="2"/>
      <c r="N29" s="6">
        <f t="shared" si="15"/>
        <v>-1.1101712044197165E-2</v>
      </c>
      <c r="O29" s="11"/>
      <c r="P29" s="7">
        <v>53.74</v>
      </c>
      <c r="Q29" s="2"/>
      <c r="R29" s="6">
        <f t="shared" si="16"/>
        <v>7.3018655627905403E-4</v>
      </c>
      <c r="S29" s="2"/>
      <c r="T29" s="7">
        <v>51.120550000000001</v>
      </c>
      <c r="U29" s="2"/>
      <c r="V29" s="6">
        <f t="shared" si="17"/>
        <v>6.6551084437732708E-4</v>
      </c>
      <c r="W29" s="2"/>
      <c r="X29" s="7">
        <f t="shared" si="18"/>
        <v>2.6194500000000005</v>
      </c>
      <c r="Y29" s="2"/>
      <c r="Z29" s="6">
        <f t="shared" si="19"/>
        <v>5.1240645885069713E-2</v>
      </c>
    </row>
    <row r="30" spans="1:26" s="24" customFormat="1" hidden="1" outlineLevel="2" x14ac:dyDescent="0.25">
      <c r="A30" s="25"/>
      <c r="B30" s="11" t="str">
        <f>CONCATENATE("          ", "6115", " - ", "P.E.R.S.")</f>
        <v xml:space="preserve">          6115 - P.E.R.S.</v>
      </c>
      <c r="C30" s="11"/>
      <c r="D30" s="7">
        <v>134.11000000000001</v>
      </c>
      <c r="E30" s="2"/>
      <c r="F30" s="6">
        <f t="shared" si="12"/>
        <v>2.4969479368388168E-3</v>
      </c>
      <c r="G30" s="2"/>
      <c r="H30" s="7">
        <v>170.074923076923</v>
      </c>
      <c r="I30" s="2"/>
      <c r="J30" s="6">
        <f t="shared" si="13"/>
        <v>3.0546162411890332E-3</v>
      </c>
      <c r="K30" s="2"/>
      <c r="L30" s="7">
        <f t="shared" si="14"/>
        <v>-35.964923076922986</v>
      </c>
      <c r="M30" s="2"/>
      <c r="N30" s="6">
        <f t="shared" si="15"/>
        <v>-0.21146517326752781</v>
      </c>
      <c r="O30" s="11"/>
      <c r="P30" s="7">
        <v>402.33</v>
      </c>
      <c r="Q30" s="2"/>
      <c r="R30" s="6">
        <f t="shared" si="16"/>
        <v>5.4666162483764753E-3</v>
      </c>
      <c r="S30" s="2"/>
      <c r="T30" s="7">
        <v>552.74350000000004</v>
      </c>
      <c r="U30" s="2"/>
      <c r="V30" s="6">
        <f t="shared" si="17"/>
        <v>7.1958692425859875E-3</v>
      </c>
      <c r="W30" s="2"/>
      <c r="X30" s="7">
        <f t="shared" si="18"/>
        <v>-150.41350000000006</v>
      </c>
      <c r="Y30" s="2"/>
      <c r="Z30" s="6">
        <f t="shared" si="19"/>
        <v>-0.27212169840079536</v>
      </c>
    </row>
    <row r="31" spans="1:26" s="24" customFormat="1" hidden="1" outlineLevel="2" x14ac:dyDescent="0.25">
      <c r="A31" s="25"/>
      <c r="B31" s="11" t="str">
        <f>CONCATENATE("          ", "6116", " - ", "EDUCATIONAL BENEFITS")</f>
        <v xml:space="preserve">          6116 - EDUCATIONAL BENEFITS</v>
      </c>
      <c r="C31" s="11"/>
      <c r="D31" s="7"/>
      <c r="E31" s="2"/>
      <c r="F31" s="6">
        <f t="shared" si="12"/>
        <v>0</v>
      </c>
      <c r="G31" s="2"/>
      <c r="H31" s="7">
        <v>0</v>
      </c>
      <c r="I31" s="2"/>
      <c r="J31" s="6">
        <f t="shared" si="13"/>
        <v>0</v>
      </c>
      <c r="K31" s="2"/>
      <c r="L31" s="7">
        <f t="shared" si="14"/>
        <v>0</v>
      </c>
      <c r="M31" s="2"/>
      <c r="N31" s="6">
        <f t="shared" si="15"/>
        <v>0</v>
      </c>
      <c r="O31" s="11"/>
      <c r="P31" s="7"/>
      <c r="Q31" s="2"/>
      <c r="R31" s="6">
        <f t="shared" si="16"/>
        <v>0</v>
      </c>
      <c r="S31" s="2"/>
      <c r="T31" s="7">
        <v>0</v>
      </c>
      <c r="U31" s="2"/>
      <c r="V31" s="6">
        <f t="shared" si="17"/>
        <v>0</v>
      </c>
      <c r="W31" s="2"/>
      <c r="X31" s="7">
        <f t="shared" si="18"/>
        <v>0</v>
      </c>
      <c r="Y31" s="2"/>
      <c r="Z31" s="6">
        <f t="shared" si="19"/>
        <v>0</v>
      </c>
    </row>
    <row r="32" spans="1:26" s="24" customFormat="1" hidden="1" outlineLevel="2" x14ac:dyDescent="0.25">
      <c r="A32" s="25"/>
      <c r="B32" s="11" t="str">
        <f>CONCATENATE("          ", "6118", " - ", "VACATION")</f>
        <v xml:space="preserve">          6118 - VACATION</v>
      </c>
      <c r="C32" s="11"/>
      <c r="D32" s="7">
        <v>73.92</v>
      </c>
      <c r="E32" s="2"/>
      <c r="F32" s="6">
        <f t="shared" si="12"/>
        <v>1.37629104087037E-3</v>
      </c>
      <c r="G32" s="2"/>
      <c r="H32" s="7">
        <v>59.328461538461504</v>
      </c>
      <c r="I32" s="2"/>
      <c r="J32" s="6">
        <f t="shared" si="13"/>
        <v>1.0655638050659417E-3</v>
      </c>
      <c r="K32" s="2"/>
      <c r="L32" s="7">
        <f t="shared" si="14"/>
        <v>14.591538461538498</v>
      </c>
      <c r="M32" s="2"/>
      <c r="N32" s="6">
        <f t="shared" si="15"/>
        <v>0.24594499980551635</v>
      </c>
      <c r="O32" s="11"/>
      <c r="P32" s="7">
        <v>295.68</v>
      </c>
      <c r="Q32" s="2"/>
      <c r="R32" s="6">
        <f t="shared" si="16"/>
        <v>4.0175206728803627E-3</v>
      </c>
      <c r="S32" s="2"/>
      <c r="T32" s="7">
        <v>192.81749999999991</v>
      </c>
      <c r="U32" s="2"/>
      <c r="V32" s="6">
        <f t="shared" si="17"/>
        <v>2.5101869450881338E-3</v>
      </c>
      <c r="W32" s="2"/>
      <c r="X32" s="7">
        <f t="shared" si="18"/>
        <v>102.8625000000001</v>
      </c>
      <c r="Y32" s="2"/>
      <c r="Z32" s="6">
        <f t="shared" si="19"/>
        <v>0.53347076899140455</v>
      </c>
    </row>
    <row r="33" spans="1:26" s="24" customFormat="1" hidden="1" outlineLevel="2" x14ac:dyDescent="0.25">
      <c r="A33" s="25"/>
      <c r="B33" s="11" t="str">
        <f>CONCATENATE("          ", "6119", " - ", "SICK LEAVE")</f>
        <v xml:space="preserve">          6119 - SICK LEAVE</v>
      </c>
      <c r="C33" s="11"/>
      <c r="D33" s="7">
        <v>88.56</v>
      </c>
      <c r="E33" s="2"/>
      <c r="F33" s="6">
        <f t="shared" si="12"/>
        <v>1.6488681626011901E-3</v>
      </c>
      <c r="G33" s="2"/>
      <c r="H33" s="7">
        <v>288.49230769230803</v>
      </c>
      <c r="I33" s="2"/>
      <c r="J33" s="6">
        <f t="shared" si="13"/>
        <v>5.1814416410845944E-3</v>
      </c>
      <c r="K33" s="2"/>
      <c r="L33" s="7">
        <f t="shared" si="14"/>
        <v>-199.93230769230803</v>
      </c>
      <c r="M33" s="2"/>
      <c r="N33" s="6">
        <f t="shared" si="15"/>
        <v>-0.69302474402730407</v>
      </c>
      <c r="O33" s="11"/>
      <c r="P33" s="7">
        <v>354.24</v>
      </c>
      <c r="Q33" s="2"/>
      <c r="R33" s="6">
        <f t="shared" si="16"/>
        <v>4.8131984684832924E-3</v>
      </c>
      <c r="S33" s="2"/>
      <c r="T33" s="7">
        <v>525.58000000000106</v>
      </c>
      <c r="U33" s="2"/>
      <c r="V33" s="6">
        <f t="shared" si="17"/>
        <v>6.8422422995808195E-3</v>
      </c>
      <c r="W33" s="2"/>
      <c r="X33" s="7">
        <f t="shared" si="18"/>
        <v>-171.34000000000106</v>
      </c>
      <c r="Y33" s="2"/>
      <c r="Z33" s="6">
        <f t="shared" si="19"/>
        <v>-0.32600175044712643</v>
      </c>
    </row>
    <row r="34" spans="1:26" s="24" customFormat="1" hidden="1" outlineLevel="2" x14ac:dyDescent="0.25">
      <c r="A34" s="25"/>
      <c r="B34" s="11" t="str">
        <f>CONCATENATE("          ", "6156", " - ", "EMPLOYEE MEALS")</f>
        <v xml:space="preserve">          6156 - EMPLOYEE MEALS</v>
      </c>
      <c r="C34" s="11"/>
      <c r="D34" s="7">
        <v>174.7</v>
      </c>
      <c r="E34" s="2"/>
      <c r="F34" s="6">
        <f t="shared" si="12"/>
        <v>3.2526791780310284E-3</v>
      </c>
      <c r="G34" s="2"/>
      <c r="H34" s="7"/>
      <c r="I34" s="2"/>
      <c r="J34" s="6">
        <f t="shared" si="13"/>
        <v>0</v>
      </c>
      <c r="K34" s="2"/>
      <c r="L34" s="7">
        <f t="shared" si="14"/>
        <v>174.7</v>
      </c>
      <c r="M34" s="2"/>
      <c r="N34" s="6">
        <f t="shared" si="15"/>
        <v>0</v>
      </c>
      <c r="O34" s="11"/>
      <c r="P34" s="7">
        <v>472.6</v>
      </c>
      <c r="Q34" s="2"/>
      <c r="R34" s="6">
        <f t="shared" si="16"/>
        <v>6.42140242831189E-3</v>
      </c>
      <c r="S34" s="2"/>
      <c r="T34" s="7"/>
      <c r="U34" s="2"/>
      <c r="V34" s="6">
        <f t="shared" si="17"/>
        <v>0</v>
      </c>
      <c r="W34" s="2"/>
      <c r="X34" s="7">
        <f t="shared" si="18"/>
        <v>472.6</v>
      </c>
      <c r="Y34" s="2"/>
      <c r="Z34" s="6">
        <f t="shared" si="19"/>
        <v>0</v>
      </c>
    </row>
    <row r="35" spans="1:26" s="26" customFormat="1" outlineLevel="1" collapsed="1" x14ac:dyDescent="0.25">
      <c r="A35" s="27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10515.58</v>
      </c>
      <c r="E35" s="1"/>
      <c r="F35" s="5">
        <f t="shared" ref="F35:F45" si="20">IF(D$12=0,0,D35/D$12)</f>
        <v>0.19578596514550387</v>
      </c>
      <c r="G35" s="1"/>
      <c r="H35" s="1">
        <f>SUM(OSRRefH22_1x_0)</f>
        <v>10176.734615384619</v>
      </c>
      <c r="I35" s="1"/>
      <c r="J35" s="5">
        <f t="shared" ref="J35:J45" si="21">IF(H$12=0,0,H35/H$12)</f>
        <v>0.18277837952844245</v>
      </c>
      <c r="K35" s="1"/>
      <c r="L35" s="1">
        <f t="shared" ref="L35:L45" si="22">+D35-H35</f>
        <v>338.84538461538068</v>
      </c>
      <c r="M35" s="1"/>
      <c r="N35" s="5">
        <f t="shared" ref="N35:N45" si="23">IF(H35=0,0,L35/H35)</f>
        <v>3.3296081446708176E-2</v>
      </c>
      <c r="O35" s="13"/>
      <c r="P35" s="1">
        <f>SUM(OSRRefP22_1x_0)</f>
        <v>22105.699999999997</v>
      </c>
      <c r="Q35" s="1"/>
      <c r="R35" s="5">
        <f t="shared" ref="R35:R45" si="24">IF(P$12=0,0,P35/P$12)</f>
        <v>0.30035885666427026</v>
      </c>
      <c r="S35" s="1"/>
      <c r="T35" s="1">
        <f>SUM(OSRRefT22_1x_0)</f>
        <v>19340.387500000012</v>
      </c>
      <c r="U35" s="1"/>
      <c r="V35" s="5">
        <f t="shared" ref="V35:V45" si="25">IF(T$12=0,0,T35/T$12)</f>
        <v>0.25178206446741497</v>
      </c>
      <c r="W35" s="1"/>
      <c r="X35" s="1">
        <f t="shared" ref="X35:X45" si="26">+P35-T35</f>
        <v>2765.3124999999854</v>
      </c>
      <c r="Y35" s="1"/>
      <c r="Z35" s="5">
        <f t="shared" ref="Z35:Z45" si="27">IF(T35=0,0,X35/T35)</f>
        <v>0.14298123551040454</v>
      </c>
    </row>
    <row r="36" spans="1:26" s="24" customFormat="1" hidden="1" outlineLevel="2" x14ac:dyDescent="0.25">
      <c r="A36" s="25"/>
      <c r="B36" s="11" t="str">
        <f>CONCATENATE("          ", "6001", " - ", "ADMINISTRATIVE SALARIES")</f>
        <v xml:space="preserve">          6001 - ADMINISTRATIVE SALARIES</v>
      </c>
      <c r="C36" s="11"/>
      <c r="D36" s="7"/>
      <c r="E36" s="2"/>
      <c r="F36" s="6">
        <f t="shared" si="20"/>
        <v>0</v>
      </c>
      <c r="G36" s="2"/>
      <c r="H36" s="7">
        <v>1878.7346153846199</v>
      </c>
      <c r="I36" s="2"/>
      <c r="J36" s="6">
        <f t="shared" si="21"/>
        <v>3.3742853827088255E-2</v>
      </c>
      <c r="K36" s="2"/>
      <c r="L36" s="7">
        <f t="shared" si="22"/>
        <v>-1878.7346153846199</v>
      </c>
      <c r="M36" s="2"/>
      <c r="N36" s="6">
        <f t="shared" si="23"/>
        <v>-1</v>
      </c>
      <c r="O36" s="11"/>
      <c r="P36" s="7"/>
      <c r="Q36" s="2"/>
      <c r="R36" s="6">
        <f t="shared" si="24"/>
        <v>0</v>
      </c>
      <c r="S36" s="2"/>
      <c r="T36" s="7">
        <v>6105.8875000000098</v>
      </c>
      <c r="U36" s="2"/>
      <c r="V36" s="6">
        <f t="shared" si="25"/>
        <v>7.9489253261124396E-2</v>
      </c>
      <c r="W36" s="2"/>
      <c r="X36" s="7">
        <f t="shared" si="26"/>
        <v>-6105.8875000000098</v>
      </c>
      <c r="Y36" s="2"/>
      <c r="Z36" s="6">
        <f t="shared" si="27"/>
        <v>-1</v>
      </c>
    </row>
    <row r="37" spans="1:26" s="24" customFormat="1" hidden="1" outlineLevel="2" x14ac:dyDescent="0.25">
      <c r="A37" s="25"/>
      <c r="B37" s="11" t="str">
        <f>CONCATENATE("          ", "6002", " - ", "STAFF SALARIES")</f>
        <v xml:space="preserve">          6002 - STAFF SALARIES</v>
      </c>
      <c r="C37" s="11"/>
      <c r="D37" s="7">
        <v>1920</v>
      </c>
      <c r="E37" s="2"/>
      <c r="F37" s="6">
        <f t="shared" si="20"/>
        <v>3.5747819243386235E-2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1920</v>
      </c>
      <c r="M37" s="2"/>
      <c r="N37" s="6">
        <f t="shared" si="23"/>
        <v>0</v>
      </c>
      <c r="O37" s="11"/>
      <c r="P37" s="7">
        <v>5856</v>
      </c>
      <c r="Q37" s="2"/>
      <c r="R37" s="6">
        <f t="shared" si="24"/>
        <v>7.9567779560292901E-2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5856</v>
      </c>
      <c r="Y37" s="2"/>
      <c r="Z37" s="6">
        <f t="shared" si="27"/>
        <v>0</v>
      </c>
    </row>
    <row r="38" spans="1:26" s="24" customFormat="1" hidden="1" outlineLevel="2" x14ac:dyDescent="0.25">
      <c r="A38" s="25"/>
      <c r="B38" s="11" t="str">
        <f>CONCATENATE("          ", "6003", " - ", "STAFF HOURLY-9 MONTH")</f>
        <v xml:space="preserve">          6003 - STAFF HOURLY-9 MONTH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5"/>
      <c r="B39" s="11" t="str">
        <f>CONCATENATE("          ", "6004", " - ", "STAFF HOURLY")</f>
        <v xml:space="preserve">          6004 - STAFF HOURLY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5"/>
      <c r="B40" s="11" t="str">
        <f>CONCATENATE("          ", "6005", " - ", "TEMPORARY WAGES-HOURLY")</f>
        <v xml:space="preserve">          6005 - TEMPORARY WAGES-HOURLY</v>
      </c>
      <c r="C40" s="11"/>
      <c r="D40" s="7">
        <v>2951.08</v>
      </c>
      <c r="E40" s="2"/>
      <c r="F40" s="6">
        <f t="shared" si="20"/>
        <v>5.4945142923318882E-2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2951.08</v>
      </c>
      <c r="M40" s="2"/>
      <c r="N40" s="6">
        <f t="shared" si="23"/>
        <v>0</v>
      </c>
      <c r="O40" s="11"/>
      <c r="P40" s="7">
        <v>6444.08</v>
      </c>
      <c r="Q40" s="2"/>
      <c r="R40" s="6">
        <f t="shared" si="24"/>
        <v>8.7558254253567669E-2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6444.08</v>
      </c>
      <c r="Y40" s="2"/>
      <c r="Z40" s="6">
        <f t="shared" si="27"/>
        <v>0</v>
      </c>
    </row>
    <row r="41" spans="1:26" s="24" customFormat="1" hidden="1" outlineLevel="2" x14ac:dyDescent="0.25">
      <c r="A41" s="25"/>
      <c r="B41" s="11" t="str">
        <f>CONCATENATE("          ", "6006", " - ", "TEMPORARY PART TIME")</f>
        <v xml:space="preserve">          6006 - TEMPORARY PART TIME</v>
      </c>
      <c r="C41" s="11"/>
      <c r="D41" s="7">
        <v>57</v>
      </c>
      <c r="E41" s="2"/>
      <c r="F41" s="6">
        <f t="shared" si="20"/>
        <v>1.0612633837880289E-3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57</v>
      </c>
      <c r="M41" s="2"/>
      <c r="N41" s="6">
        <f t="shared" si="23"/>
        <v>0</v>
      </c>
      <c r="O41" s="11"/>
      <c r="P41" s="7">
        <v>173.63</v>
      </c>
      <c r="Q41" s="2"/>
      <c r="R41" s="6">
        <f t="shared" si="24"/>
        <v>2.3591792290050644E-3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173.63</v>
      </c>
      <c r="Y41" s="2"/>
      <c r="Z41" s="6">
        <f t="shared" si="27"/>
        <v>0</v>
      </c>
    </row>
    <row r="42" spans="1:26" s="24" customFormat="1" hidden="1" outlineLevel="2" x14ac:dyDescent="0.25">
      <c r="A42" s="25"/>
      <c r="B42" s="11" t="str">
        <f>CONCATENATE("          ", "6007", " - ", "STUDENT HOURLY")</f>
        <v xml:space="preserve">          6007 - STUDENT HOURLY</v>
      </c>
      <c r="C42" s="11"/>
      <c r="D42" s="7">
        <v>5587.5</v>
      </c>
      <c r="E42" s="2"/>
      <c r="F42" s="6">
        <f t="shared" si="20"/>
        <v>0.10403173959501072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5587.5</v>
      </c>
      <c r="M42" s="2"/>
      <c r="N42" s="6">
        <f t="shared" si="23"/>
        <v>0</v>
      </c>
      <c r="O42" s="11"/>
      <c r="P42" s="7">
        <v>9631.99</v>
      </c>
      <c r="Q42" s="2"/>
      <c r="R42" s="6">
        <f t="shared" si="24"/>
        <v>0.13087364362140463</v>
      </c>
      <c r="S42" s="2"/>
      <c r="T42" s="7">
        <v>1785</v>
      </c>
      <c r="U42" s="2"/>
      <c r="V42" s="6">
        <f t="shared" si="25"/>
        <v>2.3237951415106622E-2</v>
      </c>
      <c r="W42" s="2"/>
      <c r="X42" s="7">
        <f t="shared" si="26"/>
        <v>7846.99</v>
      </c>
      <c r="Y42" s="2"/>
      <c r="Z42" s="6">
        <f t="shared" si="27"/>
        <v>4.3960728291316524</v>
      </c>
    </row>
    <row r="43" spans="1:26" s="24" customFormat="1" hidden="1" outlineLevel="2" x14ac:dyDescent="0.25">
      <c r="A43" s="25"/>
      <c r="B43" s="11" t="str">
        <f>CONCATENATE("          ", "6008", " - ", "STUDENT HOURLY-FICA EXEMPT")</f>
        <v xml:space="preserve">          6008 - STUDENT HOURLY-FICA EXEMPT</v>
      </c>
      <c r="C43" s="11"/>
      <c r="D43" s="7"/>
      <c r="E43" s="2"/>
      <c r="F43" s="6">
        <f t="shared" si="20"/>
        <v>0</v>
      </c>
      <c r="G43" s="2"/>
      <c r="H43" s="7">
        <v>8298</v>
      </c>
      <c r="I43" s="2"/>
      <c r="J43" s="6">
        <f t="shared" si="21"/>
        <v>0.14903552570135423</v>
      </c>
      <c r="K43" s="2"/>
      <c r="L43" s="7">
        <f t="shared" si="22"/>
        <v>-8298</v>
      </c>
      <c r="M43" s="2"/>
      <c r="N43" s="6">
        <f t="shared" si="23"/>
        <v>-1</v>
      </c>
      <c r="O43" s="11"/>
      <c r="P43" s="7"/>
      <c r="Q43" s="2"/>
      <c r="R43" s="6">
        <f t="shared" si="24"/>
        <v>0</v>
      </c>
      <c r="S43" s="2"/>
      <c r="T43" s="7">
        <v>11449.5</v>
      </c>
      <c r="U43" s="2"/>
      <c r="V43" s="6">
        <f t="shared" si="25"/>
        <v>0.14905485979118391</v>
      </c>
      <c r="W43" s="2"/>
      <c r="X43" s="7">
        <f t="shared" si="26"/>
        <v>-11449.5</v>
      </c>
      <c r="Y43" s="2"/>
      <c r="Z43" s="6">
        <f t="shared" si="27"/>
        <v>-1</v>
      </c>
    </row>
    <row r="44" spans="1:26" s="24" customFormat="1" hidden="1" outlineLevel="2" x14ac:dyDescent="0.25">
      <c r="A44" s="25"/>
      <c r="B44" s="11" t="str">
        <f>CONCATENATE("          ", "6009", " - ", "TEMPORARY-SEASONAL")</f>
        <v xml:space="preserve">          6009 - TEMPORARY-SEASONAL</v>
      </c>
      <c r="C44" s="11"/>
      <c r="D44" s="7"/>
      <c r="E44" s="2"/>
      <c r="F44" s="6">
        <f t="shared" si="20"/>
        <v>0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0</v>
      </c>
      <c r="M44" s="2"/>
      <c r="N44" s="6">
        <f t="shared" si="23"/>
        <v>0</v>
      </c>
      <c r="O44" s="11"/>
      <c r="P44" s="7"/>
      <c r="Q44" s="2"/>
      <c r="R44" s="6">
        <f t="shared" si="24"/>
        <v>0</v>
      </c>
      <c r="S44" s="2"/>
      <c r="T44" s="7">
        <v>0</v>
      </c>
      <c r="U44" s="2"/>
      <c r="V44" s="6">
        <f t="shared" si="25"/>
        <v>0</v>
      </c>
      <c r="W44" s="2"/>
      <c r="X44" s="7">
        <f t="shared" si="26"/>
        <v>0</v>
      </c>
      <c r="Y44" s="2"/>
      <c r="Z44" s="6">
        <f t="shared" si="27"/>
        <v>0</v>
      </c>
    </row>
    <row r="45" spans="1:26" s="24" customFormat="1" hidden="1" outlineLevel="2" x14ac:dyDescent="0.25">
      <c r="A45" s="25"/>
      <c r="B45" s="11" t="str">
        <f>CONCATENATE("          ", "6010", " - ", "GRATUITY")</f>
        <v xml:space="preserve">          6010 - GRATUITY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26" customFormat="1" outlineLevel="1" collapsed="1" x14ac:dyDescent="0.25">
      <c r="A46" s="27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15.44</v>
      </c>
      <c r="E46" s="1"/>
      <c r="F46" s="5">
        <f t="shared" ref="F46:F62" si="28">IF(D$12=0,0,D46/D$12)</f>
        <v>2.8747204641556431E-4</v>
      </c>
      <c r="G46" s="1"/>
      <c r="H46" s="1">
        <f>SUM(OSRRefH22_2x_0)</f>
        <v>0</v>
      </c>
      <c r="I46" s="1"/>
      <c r="J46" s="5">
        <f t="shared" ref="J46:J62" si="29">IF(H$12=0,0,H46/H$12)</f>
        <v>0</v>
      </c>
      <c r="K46" s="1"/>
      <c r="L46" s="1">
        <f t="shared" ref="L46:L62" si="30">+D46-H46</f>
        <v>15.44</v>
      </c>
      <c r="M46" s="1"/>
      <c r="N46" s="5">
        <f t="shared" ref="N46:N62" si="31">IF(H46=0,0,L46/H46)</f>
        <v>0</v>
      </c>
      <c r="O46" s="13"/>
      <c r="P46" s="1">
        <f>SUM(OSRRefP22_2x_0)</f>
        <v>320.44</v>
      </c>
      <c r="Q46" s="1"/>
      <c r="R46" s="5">
        <f t="shared" ref="R46:R62" si="32">IF(P$12=0,0,P46/P$12)</f>
        <v>4.3539445495731311E-3</v>
      </c>
      <c r="S46" s="1"/>
      <c r="T46" s="1">
        <f>SUM(OSRRefT22_2x_0)</f>
        <v>0</v>
      </c>
      <c r="U46" s="1"/>
      <c r="V46" s="5">
        <f t="shared" ref="V46:V62" si="33">IF(T$12=0,0,T46/T$12)</f>
        <v>0</v>
      </c>
      <c r="W46" s="1"/>
      <c r="X46" s="1">
        <f t="shared" ref="X46:X62" si="34">+P46-T46</f>
        <v>320.44</v>
      </c>
      <c r="Y46" s="1"/>
      <c r="Z46" s="5">
        <f t="shared" ref="Z46:Z62" si="35">IF(T46=0,0,X46/T46)</f>
        <v>0</v>
      </c>
    </row>
    <row r="47" spans="1:26" s="24" customFormat="1" hidden="1" outlineLevel="2" x14ac:dyDescent="0.25">
      <c r="A47" s="25"/>
      <c r="B47" s="11" t="str">
        <f>CONCATENATE("          ", "6362", " - ", "ADVERTISING EXPENSE")</f>
        <v xml:space="preserve">          6362 - ADVERTISING EXPENSE</v>
      </c>
      <c r="C47" s="11"/>
      <c r="D47" s="7">
        <v>15.44</v>
      </c>
      <c r="E47" s="2"/>
      <c r="F47" s="6">
        <f t="shared" si="28"/>
        <v>2.8747204641556431E-4</v>
      </c>
      <c r="G47" s="2"/>
      <c r="H47" s="7">
        <v>0</v>
      </c>
      <c r="I47" s="2"/>
      <c r="J47" s="6">
        <f t="shared" si="29"/>
        <v>0</v>
      </c>
      <c r="K47" s="2"/>
      <c r="L47" s="7">
        <f t="shared" si="30"/>
        <v>15.44</v>
      </c>
      <c r="M47" s="2"/>
      <c r="N47" s="6">
        <f t="shared" si="31"/>
        <v>0</v>
      </c>
      <c r="O47" s="11"/>
      <c r="P47" s="7">
        <v>320.44</v>
      </c>
      <c r="Q47" s="2"/>
      <c r="R47" s="6">
        <f t="shared" si="32"/>
        <v>4.3539445495731311E-3</v>
      </c>
      <c r="S47" s="2"/>
      <c r="T47" s="7">
        <v>0</v>
      </c>
      <c r="U47" s="2"/>
      <c r="V47" s="6">
        <f t="shared" si="33"/>
        <v>0</v>
      </c>
      <c r="W47" s="2"/>
      <c r="X47" s="7">
        <f t="shared" si="34"/>
        <v>320.44</v>
      </c>
      <c r="Y47" s="2"/>
      <c r="Z47" s="6">
        <f t="shared" si="35"/>
        <v>0</v>
      </c>
    </row>
    <row r="48" spans="1:26" s="26" customFormat="1" outlineLevel="1" collapsed="1" x14ac:dyDescent="0.25">
      <c r="A48" s="27"/>
      <c r="B48" s="13" t="str">
        <f>CONCATENATE("     ","Bad Debts/Over/Short                              ")</f>
        <v xml:space="preserve">     Bad Debts/Over/Short                              </v>
      </c>
      <c r="C48" s="13"/>
      <c r="D48" s="1">
        <f>SUM(OSRRefD22_3x_0)</f>
        <v>-28.09</v>
      </c>
      <c r="E48" s="1"/>
      <c r="F48" s="5">
        <f t="shared" si="28"/>
        <v>-5.2299804299308294E-4</v>
      </c>
      <c r="G48" s="1"/>
      <c r="H48" s="1">
        <f>SUM(OSRRefH22_3x_0)</f>
        <v>0</v>
      </c>
      <c r="I48" s="1"/>
      <c r="J48" s="5">
        <f t="shared" si="29"/>
        <v>0</v>
      </c>
      <c r="K48" s="1"/>
      <c r="L48" s="1">
        <f t="shared" si="30"/>
        <v>-28.09</v>
      </c>
      <c r="M48" s="1"/>
      <c r="N48" s="5">
        <f t="shared" si="31"/>
        <v>0</v>
      </c>
      <c r="O48" s="13"/>
      <c r="P48" s="1">
        <f>SUM(OSRRefP22_3x_0)</f>
        <v>-3.2</v>
      </c>
      <c r="Q48" s="1"/>
      <c r="R48" s="5">
        <f t="shared" si="32"/>
        <v>-4.3479660961908694E-5</v>
      </c>
      <c r="S48" s="1"/>
      <c r="T48" s="1">
        <f>SUM(OSRRefT22_3x_0)</f>
        <v>0</v>
      </c>
      <c r="U48" s="1"/>
      <c r="V48" s="5">
        <f t="shared" si="33"/>
        <v>0</v>
      </c>
      <c r="W48" s="1"/>
      <c r="X48" s="1">
        <f t="shared" si="34"/>
        <v>-3.2</v>
      </c>
      <c r="Y48" s="1"/>
      <c r="Z48" s="5">
        <f t="shared" si="35"/>
        <v>0</v>
      </c>
    </row>
    <row r="49" spans="1:26" s="24" customFormat="1" hidden="1" outlineLevel="2" x14ac:dyDescent="0.25">
      <c r="A49" s="25"/>
      <c r="B49" s="11" t="str">
        <f>CONCATENATE("          ", "6272", " - ", "CASH (OVER/SHORT)")</f>
        <v xml:space="preserve">          6272 - CASH (OVER/SHORT)</v>
      </c>
      <c r="C49" s="11"/>
      <c r="D49" s="7">
        <v>-28.09</v>
      </c>
      <c r="E49" s="2"/>
      <c r="F49" s="6">
        <f t="shared" si="28"/>
        <v>-5.2299804299308294E-4</v>
      </c>
      <c r="G49" s="2"/>
      <c r="H49" s="7">
        <v>0</v>
      </c>
      <c r="I49" s="2"/>
      <c r="J49" s="6">
        <f t="shared" si="29"/>
        <v>0</v>
      </c>
      <c r="K49" s="2"/>
      <c r="L49" s="7">
        <f t="shared" si="30"/>
        <v>-28.09</v>
      </c>
      <c r="M49" s="2"/>
      <c r="N49" s="6">
        <f t="shared" si="31"/>
        <v>0</v>
      </c>
      <c r="O49" s="11"/>
      <c r="P49" s="7">
        <v>-3.2</v>
      </c>
      <c r="Q49" s="2"/>
      <c r="R49" s="6">
        <f t="shared" si="32"/>
        <v>-4.3479660961908694E-5</v>
      </c>
      <c r="S49" s="2"/>
      <c r="T49" s="7">
        <v>0</v>
      </c>
      <c r="U49" s="2"/>
      <c r="V49" s="6">
        <f t="shared" si="33"/>
        <v>0</v>
      </c>
      <c r="W49" s="2"/>
      <c r="X49" s="7">
        <f t="shared" si="34"/>
        <v>-3.2</v>
      </c>
      <c r="Y49" s="2"/>
      <c r="Z49" s="6">
        <f t="shared" si="35"/>
        <v>0</v>
      </c>
    </row>
    <row r="50" spans="1:26" s="26" customFormat="1" outlineLevel="1" collapsed="1" x14ac:dyDescent="0.25">
      <c r="A50" s="27"/>
      <c r="B50" s="13" t="str">
        <f>CONCATENATE("     ","Bank/card Fees                                    ")</f>
        <v xml:space="preserve">     Bank/card Fees                                    </v>
      </c>
      <c r="C50" s="13"/>
      <c r="D50" s="1">
        <f>SUM(OSRRefD22_4x_0)</f>
        <v>1814.59</v>
      </c>
      <c r="E50" s="1"/>
      <c r="F50" s="5">
        <f t="shared" si="28"/>
        <v>3.3785226729612615E-2</v>
      </c>
      <c r="G50" s="1"/>
      <c r="H50" s="1">
        <f>SUM(OSRRefH22_4x_0)</f>
        <v>1764</v>
      </c>
      <c r="I50" s="1"/>
      <c r="J50" s="5">
        <f t="shared" si="29"/>
        <v>3.168217249182801E-2</v>
      </c>
      <c r="K50" s="1"/>
      <c r="L50" s="1">
        <f t="shared" si="30"/>
        <v>50.589999999999918</v>
      </c>
      <c r="M50" s="1"/>
      <c r="N50" s="5">
        <f t="shared" si="31"/>
        <v>2.867913832199542E-2</v>
      </c>
      <c r="O50" s="13"/>
      <c r="P50" s="1">
        <f>SUM(OSRRefP22_4x_0)</f>
        <v>2413.33</v>
      </c>
      <c r="Q50" s="1"/>
      <c r="R50" s="5">
        <f t="shared" si="32"/>
        <v>3.2790865684125967E-2</v>
      </c>
      <c r="S50" s="1"/>
      <c r="T50" s="1">
        <f>SUM(OSRRefT22_4x_0)</f>
        <v>2434</v>
      </c>
      <c r="U50" s="1"/>
      <c r="V50" s="5">
        <f t="shared" si="33"/>
        <v>3.1686932069674802E-2</v>
      </c>
      <c r="W50" s="1"/>
      <c r="X50" s="1">
        <f t="shared" si="34"/>
        <v>-20.670000000000073</v>
      </c>
      <c r="Y50" s="1"/>
      <c r="Z50" s="5">
        <f t="shared" si="35"/>
        <v>-8.4921939194741464E-3</v>
      </c>
    </row>
    <row r="51" spans="1:26" s="24" customFormat="1" hidden="1" outlineLevel="2" x14ac:dyDescent="0.25">
      <c r="A51" s="25"/>
      <c r="B51" s="11" t="str">
        <f>CONCATENATE("          ", "6381", " - ", "BANK/CREDIT CARD FEES")</f>
        <v xml:space="preserve">          6381 - BANK/CREDIT CARD FEES</v>
      </c>
      <c r="C51" s="11"/>
      <c r="D51" s="7">
        <v>1814.59</v>
      </c>
      <c r="E51" s="2"/>
      <c r="F51" s="6">
        <f t="shared" si="28"/>
        <v>3.3785226729612615E-2</v>
      </c>
      <c r="G51" s="2"/>
      <c r="H51" s="7">
        <v>1764</v>
      </c>
      <c r="I51" s="2"/>
      <c r="J51" s="6">
        <f t="shared" si="29"/>
        <v>3.168217249182801E-2</v>
      </c>
      <c r="K51" s="2"/>
      <c r="L51" s="7">
        <f t="shared" si="30"/>
        <v>50.589999999999918</v>
      </c>
      <c r="M51" s="2"/>
      <c r="N51" s="6">
        <f t="shared" si="31"/>
        <v>2.867913832199542E-2</v>
      </c>
      <c r="O51" s="11"/>
      <c r="P51" s="7">
        <v>2413.33</v>
      </c>
      <c r="Q51" s="2"/>
      <c r="R51" s="6">
        <f t="shared" si="32"/>
        <v>3.2790865684125967E-2</v>
      </c>
      <c r="S51" s="2"/>
      <c r="T51" s="7">
        <v>2434</v>
      </c>
      <c r="U51" s="2"/>
      <c r="V51" s="6">
        <f t="shared" si="33"/>
        <v>3.1686932069674802E-2</v>
      </c>
      <c r="W51" s="2"/>
      <c r="X51" s="7">
        <f t="shared" si="34"/>
        <v>-20.670000000000073</v>
      </c>
      <c r="Y51" s="2"/>
      <c r="Z51" s="6">
        <f t="shared" si="35"/>
        <v>-8.4921939194741464E-3</v>
      </c>
    </row>
    <row r="52" spans="1:26" s="26" customFormat="1" outlineLevel="1" collapsed="1" x14ac:dyDescent="0.25">
      <c r="A52" s="27"/>
      <c r="B52" s="13" t="str">
        <f>CONCATENATE("     ","Depreciation                                      ")</f>
        <v xml:space="preserve">     Depreciation                                      </v>
      </c>
      <c r="C52" s="13"/>
      <c r="D52" s="1">
        <f>SUM(OSRRefD22_5x_0)</f>
        <v>155.66999999999999</v>
      </c>
      <c r="E52" s="1"/>
      <c r="F52" s="5">
        <f t="shared" si="28"/>
        <v>2.8983661570926742E-3</v>
      </c>
      <c r="G52" s="1"/>
      <c r="H52" s="1">
        <f>SUM(OSRRefH22_5x_0)</f>
        <v>0</v>
      </c>
      <c r="I52" s="1"/>
      <c r="J52" s="5">
        <f t="shared" si="29"/>
        <v>0</v>
      </c>
      <c r="K52" s="1"/>
      <c r="L52" s="1">
        <f t="shared" si="30"/>
        <v>155.66999999999999</v>
      </c>
      <c r="M52" s="1"/>
      <c r="N52" s="5">
        <f t="shared" si="31"/>
        <v>0</v>
      </c>
      <c r="O52" s="13"/>
      <c r="P52" s="1">
        <f>SUM(OSRRefP22_5x_0)</f>
        <v>467.01</v>
      </c>
      <c r="Q52" s="1"/>
      <c r="R52" s="5">
        <f t="shared" si="32"/>
        <v>6.3454488955690547E-3</v>
      </c>
      <c r="S52" s="1"/>
      <c r="T52" s="1">
        <f>SUM(OSRRefT22_5x_0)</f>
        <v>0</v>
      </c>
      <c r="U52" s="1"/>
      <c r="V52" s="5">
        <f t="shared" si="33"/>
        <v>0</v>
      </c>
      <c r="W52" s="1"/>
      <c r="X52" s="1">
        <f t="shared" si="34"/>
        <v>467.01</v>
      </c>
      <c r="Y52" s="1"/>
      <c r="Z52" s="5">
        <f t="shared" si="35"/>
        <v>0</v>
      </c>
    </row>
    <row r="53" spans="1:26" s="24" customFormat="1" hidden="1" outlineLevel="2" x14ac:dyDescent="0.25">
      <c r="A53" s="25"/>
      <c r="B53" s="11" t="str">
        <f>CONCATENATE("          ", "6322", " - ", "EQUIPMENT DEPRECIATION EXPENSE")</f>
        <v xml:space="preserve">          6322 - EQUIPMENT DEPRECIATION EXPENSE</v>
      </c>
      <c r="C53" s="11"/>
      <c r="D53" s="7">
        <v>155.66999999999999</v>
      </c>
      <c r="E53" s="2"/>
      <c r="F53" s="6">
        <f t="shared" si="28"/>
        <v>2.8983661570926742E-3</v>
      </c>
      <c r="G53" s="2"/>
      <c r="H53" s="7"/>
      <c r="I53" s="2"/>
      <c r="J53" s="6">
        <f t="shared" si="29"/>
        <v>0</v>
      </c>
      <c r="K53" s="2"/>
      <c r="L53" s="7">
        <f t="shared" si="30"/>
        <v>155.66999999999999</v>
      </c>
      <c r="M53" s="2"/>
      <c r="N53" s="6">
        <f t="shared" si="31"/>
        <v>0</v>
      </c>
      <c r="O53" s="11"/>
      <c r="P53" s="7">
        <v>467.01</v>
      </c>
      <c r="Q53" s="2"/>
      <c r="R53" s="6">
        <f t="shared" si="32"/>
        <v>6.3454488955690547E-3</v>
      </c>
      <c r="S53" s="2"/>
      <c r="T53" s="7"/>
      <c r="U53" s="2"/>
      <c r="V53" s="6">
        <f t="shared" si="33"/>
        <v>0</v>
      </c>
      <c r="W53" s="2"/>
      <c r="X53" s="7">
        <f t="shared" si="34"/>
        <v>467.01</v>
      </c>
      <c r="Y53" s="2"/>
      <c r="Z53" s="6">
        <f t="shared" si="35"/>
        <v>0</v>
      </c>
    </row>
    <row r="54" spans="1:26" s="26" customFormat="1" outlineLevel="1" collapsed="1" x14ac:dyDescent="0.25">
      <c r="A54" s="27"/>
      <c r="B54" s="13" t="str">
        <f>CONCATENATE("     ","Employees' Appreciation                           ")</f>
        <v xml:space="preserve">     Employees' Appreciation                           </v>
      </c>
      <c r="C54" s="13"/>
      <c r="D54" s="1">
        <f>SUM(OSRRefD22_6x_0)</f>
        <v>0</v>
      </c>
      <c r="E54" s="1"/>
      <c r="F54" s="5">
        <f t="shared" si="28"/>
        <v>0</v>
      </c>
      <c r="G54" s="1"/>
      <c r="H54" s="1">
        <f>SUM(OSRRefH22_6x_0)</f>
        <v>0</v>
      </c>
      <c r="I54" s="1"/>
      <c r="J54" s="5">
        <f t="shared" si="29"/>
        <v>0</v>
      </c>
      <c r="K54" s="1"/>
      <c r="L54" s="1">
        <f t="shared" si="30"/>
        <v>0</v>
      </c>
      <c r="M54" s="1"/>
      <c r="N54" s="5">
        <f t="shared" si="31"/>
        <v>0</v>
      </c>
      <c r="O54" s="13"/>
      <c r="P54" s="1">
        <f>SUM(OSRRefP22_6x_0)</f>
        <v>0</v>
      </c>
      <c r="Q54" s="1"/>
      <c r="R54" s="5">
        <f t="shared" si="32"/>
        <v>0</v>
      </c>
      <c r="S54" s="1"/>
      <c r="T54" s="1">
        <f>SUM(OSRRefT22_6x_0)</f>
        <v>0</v>
      </c>
      <c r="U54" s="1"/>
      <c r="V54" s="5">
        <f t="shared" si="33"/>
        <v>0</v>
      </c>
      <c r="W54" s="1"/>
      <c r="X54" s="1">
        <f t="shared" si="34"/>
        <v>0</v>
      </c>
      <c r="Y54" s="1"/>
      <c r="Z54" s="5">
        <f t="shared" si="35"/>
        <v>0</v>
      </c>
    </row>
    <row r="55" spans="1:26" s="24" customFormat="1" hidden="1" outlineLevel="2" x14ac:dyDescent="0.25">
      <c r="A55" s="25"/>
      <c r="B55" s="11" t="str">
        <f>CONCATENATE("          ", "6277", " - ", "EMPLOYEE APPRECIATION")</f>
        <v xml:space="preserve">          6277 - EMPLOYEE APPRECIATION</v>
      </c>
      <c r="C55" s="11"/>
      <c r="D55" s="7"/>
      <c r="E55" s="2"/>
      <c r="F55" s="6">
        <f t="shared" si="28"/>
        <v>0</v>
      </c>
      <c r="G55" s="2"/>
      <c r="H55" s="7">
        <v>0</v>
      </c>
      <c r="I55" s="2"/>
      <c r="J55" s="6">
        <f t="shared" si="29"/>
        <v>0</v>
      </c>
      <c r="K55" s="2"/>
      <c r="L55" s="7">
        <f t="shared" si="30"/>
        <v>0</v>
      </c>
      <c r="M55" s="2"/>
      <c r="N55" s="6">
        <f t="shared" si="31"/>
        <v>0</v>
      </c>
      <c r="O55" s="11"/>
      <c r="P55" s="7"/>
      <c r="Q55" s="2"/>
      <c r="R55" s="6">
        <f t="shared" si="32"/>
        <v>0</v>
      </c>
      <c r="S55" s="2"/>
      <c r="T55" s="7">
        <v>0</v>
      </c>
      <c r="U55" s="2"/>
      <c r="V55" s="6">
        <f t="shared" si="33"/>
        <v>0</v>
      </c>
      <c r="W55" s="2"/>
      <c r="X55" s="7">
        <f t="shared" si="34"/>
        <v>0</v>
      </c>
      <c r="Y55" s="2"/>
      <c r="Z55" s="6">
        <f t="shared" si="35"/>
        <v>0</v>
      </c>
    </row>
    <row r="56" spans="1:26" s="26" customFormat="1" outlineLevel="1" collapsed="1" x14ac:dyDescent="0.25">
      <c r="A56" s="27"/>
      <c r="B56" s="13" t="str">
        <f>CONCATENATE("     ","General                                           ")</f>
        <v xml:space="preserve">     General                                           </v>
      </c>
      <c r="C56" s="13"/>
      <c r="D56" s="1">
        <f>SUM(OSRRefD22_7x_0)</f>
        <v>0</v>
      </c>
      <c r="E56" s="1"/>
      <c r="F56" s="5">
        <f t="shared" si="28"/>
        <v>0</v>
      </c>
      <c r="G56" s="1"/>
      <c r="H56" s="1">
        <f>SUM(OSRRefH22_7x_0)</f>
        <v>607</v>
      </c>
      <c r="I56" s="1"/>
      <c r="J56" s="5">
        <f t="shared" si="29"/>
        <v>1.0901972053593879E-2</v>
      </c>
      <c r="K56" s="1"/>
      <c r="L56" s="1">
        <f t="shared" si="30"/>
        <v>-607</v>
      </c>
      <c r="M56" s="1"/>
      <c r="N56" s="5">
        <f t="shared" si="31"/>
        <v>-1</v>
      </c>
      <c r="O56" s="13"/>
      <c r="P56" s="1">
        <f>SUM(OSRRefP22_7x_0)</f>
        <v>1477.84</v>
      </c>
      <c r="Q56" s="1"/>
      <c r="R56" s="5">
        <f t="shared" si="32"/>
        <v>2.0079994423733479E-2</v>
      </c>
      <c r="S56" s="1"/>
      <c r="T56" s="1">
        <f>SUM(OSRRefT22_7x_0)</f>
        <v>837</v>
      </c>
      <c r="U56" s="1"/>
      <c r="V56" s="5">
        <f t="shared" si="33"/>
        <v>1.0896451167755878E-2</v>
      </c>
      <c r="W56" s="1"/>
      <c r="X56" s="1">
        <f t="shared" si="34"/>
        <v>640.83999999999992</v>
      </c>
      <c r="Y56" s="1"/>
      <c r="Z56" s="5">
        <f t="shared" si="35"/>
        <v>0.76563918757467131</v>
      </c>
    </row>
    <row r="57" spans="1:26" s="24" customFormat="1" hidden="1" outlineLevel="2" x14ac:dyDescent="0.25">
      <c r="A57" s="25"/>
      <c r="B57" s="11" t="str">
        <f>CONCATENATE("          ", "6279", " - ", "GENERAL EXPENSE")</f>
        <v xml:space="preserve">          6279 - GENERAL EXPENSE</v>
      </c>
      <c r="C57" s="11"/>
      <c r="D57" s="7"/>
      <c r="E57" s="2"/>
      <c r="F57" s="6">
        <f t="shared" si="28"/>
        <v>0</v>
      </c>
      <c r="G57" s="2"/>
      <c r="H57" s="7">
        <v>607</v>
      </c>
      <c r="I57" s="2"/>
      <c r="J57" s="6">
        <f t="shared" si="29"/>
        <v>1.0901972053593879E-2</v>
      </c>
      <c r="K57" s="2"/>
      <c r="L57" s="7">
        <f t="shared" si="30"/>
        <v>-607</v>
      </c>
      <c r="M57" s="2"/>
      <c r="N57" s="6">
        <f t="shared" si="31"/>
        <v>-1</v>
      </c>
      <c r="O57" s="11"/>
      <c r="P57" s="7">
        <v>1477.84</v>
      </c>
      <c r="Q57" s="2"/>
      <c r="R57" s="6">
        <f t="shared" si="32"/>
        <v>2.0079994423733479E-2</v>
      </c>
      <c r="S57" s="2"/>
      <c r="T57" s="7">
        <v>837</v>
      </c>
      <c r="U57" s="2"/>
      <c r="V57" s="6">
        <f t="shared" si="33"/>
        <v>1.0896451167755878E-2</v>
      </c>
      <c r="W57" s="2"/>
      <c r="X57" s="7">
        <f t="shared" si="34"/>
        <v>640.83999999999992</v>
      </c>
      <c r="Y57" s="2"/>
      <c r="Z57" s="6">
        <f t="shared" si="35"/>
        <v>0.76563918757467131</v>
      </c>
    </row>
    <row r="58" spans="1:26" s="26" customFormat="1" outlineLevel="1" collapsed="1" x14ac:dyDescent="0.25">
      <c r="A58" s="27"/>
      <c r="B58" s="13" t="str">
        <f>CONCATENATE("     ","Repair and Maintenance                            ")</f>
        <v xml:space="preserve">     Repair and Maintenance                            </v>
      </c>
      <c r="C58" s="13"/>
      <c r="D58" s="1">
        <f>SUM(OSRRefD22_8x_0)</f>
        <v>3633.36</v>
      </c>
      <c r="E58" s="1"/>
      <c r="F58" s="5">
        <f t="shared" si="28"/>
        <v>6.7648279440703035E-2</v>
      </c>
      <c r="G58" s="1"/>
      <c r="H58" s="1">
        <f>SUM(OSRRefH22_8x_0)</f>
        <v>607</v>
      </c>
      <c r="I58" s="1"/>
      <c r="J58" s="5">
        <f t="shared" si="29"/>
        <v>1.0901972053593879E-2</v>
      </c>
      <c r="K58" s="1"/>
      <c r="L58" s="1">
        <f t="shared" si="30"/>
        <v>3026.36</v>
      </c>
      <c r="M58" s="1"/>
      <c r="N58" s="5">
        <f t="shared" si="31"/>
        <v>4.9857660626029654</v>
      </c>
      <c r="O58" s="13"/>
      <c r="P58" s="1">
        <f>SUM(OSRRefP22_8x_0)</f>
        <v>5293.76</v>
      </c>
      <c r="Q58" s="1"/>
      <c r="R58" s="5">
        <f t="shared" si="32"/>
        <v>7.1928403129285542E-2</v>
      </c>
      <c r="S58" s="1"/>
      <c r="T58" s="1">
        <f>SUM(OSRRefT22_8x_0)</f>
        <v>837</v>
      </c>
      <c r="U58" s="1"/>
      <c r="V58" s="5">
        <f t="shared" si="33"/>
        <v>1.0896451167755878E-2</v>
      </c>
      <c r="W58" s="1"/>
      <c r="X58" s="1">
        <f t="shared" si="34"/>
        <v>4456.76</v>
      </c>
      <c r="Y58" s="1"/>
      <c r="Z58" s="5">
        <f t="shared" si="35"/>
        <v>5.3246833930704902</v>
      </c>
    </row>
    <row r="59" spans="1:26" s="24" customFormat="1" hidden="1" outlineLevel="2" x14ac:dyDescent="0.25">
      <c r="A59" s="25"/>
      <c r="B59" s="11" t="str">
        <f>CONCATENATE("          ", "6375", " - ", "OUTSIDE REPAIRS &amp; MAINTENANCE")</f>
        <v xml:space="preserve">          6375 - OUTSIDE REPAIRS &amp; MAINTENANCE</v>
      </c>
      <c r="C59" s="11"/>
      <c r="D59" s="7">
        <v>3633.36</v>
      </c>
      <c r="E59" s="2"/>
      <c r="F59" s="6">
        <f t="shared" si="28"/>
        <v>6.7648279440703035E-2</v>
      </c>
      <c r="G59" s="2"/>
      <c r="H59" s="7">
        <v>607</v>
      </c>
      <c r="I59" s="2"/>
      <c r="J59" s="6">
        <f t="shared" si="29"/>
        <v>1.0901972053593879E-2</v>
      </c>
      <c r="K59" s="2"/>
      <c r="L59" s="7">
        <f t="shared" si="30"/>
        <v>3026.36</v>
      </c>
      <c r="M59" s="2"/>
      <c r="N59" s="6">
        <f t="shared" si="31"/>
        <v>4.9857660626029654</v>
      </c>
      <c r="O59" s="11"/>
      <c r="P59" s="7">
        <v>5293.76</v>
      </c>
      <c r="Q59" s="2"/>
      <c r="R59" s="6">
        <f t="shared" si="32"/>
        <v>7.1928403129285542E-2</v>
      </c>
      <c r="S59" s="2"/>
      <c r="T59" s="7">
        <v>837</v>
      </c>
      <c r="U59" s="2"/>
      <c r="V59" s="6">
        <f t="shared" si="33"/>
        <v>1.0896451167755878E-2</v>
      </c>
      <c r="W59" s="2"/>
      <c r="X59" s="7">
        <f t="shared" si="34"/>
        <v>4456.76</v>
      </c>
      <c r="Y59" s="2"/>
      <c r="Z59" s="6">
        <f t="shared" si="35"/>
        <v>5.3246833930704902</v>
      </c>
    </row>
    <row r="60" spans="1:26" s="26" customFormat="1" outlineLevel="1" collapsed="1" x14ac:dyDescent="0.25">
      <c r="A60" s="27"/>
      <c r="B60" s="13" t="str">
        <f>CONCATENATE("     ","Services                                          ")</f>
        <v xml:space="preserve">     Services                                          </v>
      </c>
      <c r="C60" s="13"/>
      <c r="D60" s="1">
        <f>SUM(OSRRefD22_9x_0)</f>
        <v>354.86</v>
      </c>
      <c r="E60" s="1"/>
      <c r="F60" s="5">
        <f t="shared" si="28"/>
        <v>6.6070162170354376E-3</v>
      </c>
      <c r="G60" s="1"/>
      <c r="H60" s="1">
        <f>SUM(OSRRefH22_9x_0)</f>
        <v>496</v>
      </c>
      <c r="I60" s="1"/>
      <c r="J60" s="5">
        <f t="shared" si="29"/>
        <v>8.9083659614210275E-3</v>
      </c>
      <c r="K60" s="1"/>
      <c r="L60" s="1">
        <f t="shared" si="30"/>
        <v>-141.13999999999999</v>
      </c>
      <c r="M60" s="1"/>
      <c r="N60" s="5">
        <f t="shared" si="31"/>
        <v>-0.28455645161290322</v>
      </c>
      <c r="O60" s="13"/>
      <c r="P60" s="1">
        <f>SUM(OSRRefP22_9x_0)</f>
        <v>1365.58</v>
      </c>
      <c r="Q60" s="1"/>
      <c r="R60" s="5">
        <f t="shared" si="32"/>
        <v>1.8554673567613519E-2</v>
      </c>
      <c r="S60" s="1"/>
      <c r="T60" s="1">
        <f>SUM(OSRRefT22_9x_0)</f>
        <v>684</v>
      </c>
      <c r="U60" s="1"/>
      <c r="V60" s="5">
        <f t="shared" si="33"/>
        <v>8.9046267607467387E-3</v>
      </c>
      <c r="W60" s="1"/>
      <c r="X60" s="1">
        <f t="shared" si="34"/>
        <v>681.57999999999993</v>
      </c>
      <c r="Y60" s="1"/>
      <c r="Z60" s="5">
        <f t="shared" si="35"/>
        <v>0.99646198830409349</v>
      </c>
    </row>
    <row r="61" spans="1:26" s="24" customFormat="1" hidden="1" outlineLevel="2" x14ac:dyDescent="0.25">
      <c r="A61" s="25"/>
      <c r="B61" s="11" t="str">
        <f>CONCATENATE("          ", "6282", " - ", "JANITORIAL/EXTERMINATOR EXPENS")</f>
        <v xml:space="preserve">          6282 - JANITORIAL/EXTERMINATOR EXPENS</v>
      </c>
      <c r="C61" s="11"/>
      <c r="D61" s="7">
        <v>327.93</v>
      </c>
      <c r="E61" s="2"/>
      <c r="F61" s="6">
        <f t="shared" si="28"/>
        <v>6.1056158148352331E-3</v>
      </c>
      <c r="G61" s="2"/>
      <c r="H61" s="7">
        <v>496</v>
      </c>
      <c r="I61" s="2"/>
      <c r="J61" s="6">
        <f t="shared" si="29"/>
        <v>8.9083659614210275E-3</v>
      </c>
      <c r="K61" s="2"/>
      <c r="L61" s="7">
        <f t="shared" si="30"/>
        <v>-168.07</v>
      </c>
      <c r="M61" s="2"/>
      <c r="N61" s="6">
        <f t="shared" si="31"/>
        <v>-0.33885080645161286</v>
      </c>
      <c r="O61" s="11"/>
      <c r="P61" s="7">
        <v>1311.72</v>
      </c>
      <c r="Q61" s="2"/>
      <c r="R61" s="6">
        <f t="shared" si="32"/>
        <v>1.7822856524048396E-2</v>
      </c>
      <c r="S61" s="2"/>
      <c r="T61" s="7">
        <v>684</v>
      </c>
      <c r="U61" s="2"/>
      <c r="V61" s="6">
        <f t="shared" si="33"/>
        <v>8.9046267607467387E-3</v>
      </c>
      <c r="W61" s="2"/>
      <c r="X61" s="7">
        <f t="shared" si="34"/>
        <v>627.72</v>
      </c>
      <c r="Y61" s="2"/>
      <c r="Z61" s="6">
        <f t="shared" si="35"/>
        <v>0.91771929824561405</v>
      </c>
    </row>
    <row r="62" spans="1:26" s="24" customFormat="1" hidden="1" outlineLevel="2" x14ac:dyDescent="0.25">
      <c r="A62" s="25"/>
      <c r="B62" s="11" t="str">
        <f>CONCATENATE("          ", "6285", " - ", "JANITORIAL SERVICES")</f>
        <v xml:space="preserve">          6285 - JANITORIAL SERVICES</v>
      </c>
      <c r="C62" s="11"/>
      <c r="D62" s="7">
        <v>26.93</v>
      </c>
      <c r="E62" s="2"/>
      <c r="F62" s="6">
        <f t="shared" si="28"/>
        <v>5.0140040220020385E-4</v>
      </c>
      <c r="G62" s="2"/>
      <c r="H62" s="7"/>
      <c r="I62" s="2"/>
      <c r="J62" s="6">
        <f t="shared" si="29"/>
        <v>0</v>
      </c>
      <c r="K62" s="2"/>
      <c r="L62" s="7">
        <f t="shared" si="30"/>
        <v>26.93</v>
      </c>
      <c r="M62" s="2"/>
      <c r="N62" s="6">
        <f t="shared" si="31"/>
        <v>0</v>
      </c>
      <c r="O62" s="11"/>
      <c r="P62" s="7">
        <v>53.86</v>
      </c>
      <c r="Q62" s="2"/>
      <c r="R62" s="6">
        <f t="shared" si="32"/>
        <v>7.3181704356512563E-4</v>
      </c>
      <c r="S62" s="2"/>
      <c r="T62" s="7"/>
      <c r="U62" s="2"/>
      <c r="V62" s="6">
        <f t="shared" si="33"/>
        <v>0</v>
      </c>
      <c r="W62" s="2"/>
      <c r="X62" s="7">
        <f t="shared" si="34"/>
        <v>53.86</v>
      </c>
      <c r="Y62" s="2"/>
      <c r="Z62" s="6">
        <f t="shared" si="35"/>
        <v>0</v>
      </c>
    </row>
    <row r="63" spans="1:26" s="26" customFormat="1" outlineLevel="1" collapsed="1" x14ac:dyDescent="0.25">
      <c r="A63" s="27"/>
      <c r="B63" s="13" t="str">
        <f>CONCATENATE("     ","Supplies                                          ")</f>
        <v xml:space="preserve">     Supplies                                          </v>
      </c>
      <c r="C63" s="13"/>
      <c r="D63" s="1">
        <f>SUM(OSRRefD22_10x_0)</f>
        <v>362.21</v>
      </c>
      <c r="E63" s="1"/>
      <c r="F63" s="5">
        <f t="shared" ref="F63:F66" si="36">IF(D$12=0,0,D63/D$12)</f>
        <v>6.743863337576525E-3</v>
      </c>
      <c r="G63" s="1"/>
      <c r="H63" s="1">
        <f>SUM(OSRRefH22_10x_0)</f>
        <v>835</v>
      </c>
      <c r="I63" s="1"/>
      <c r="J63" s="5">
        <f t="shared" ref="J63:J66" si="37">IF(H$12=0,0,H63/H$12)</f>
        <v>1.4996946729408383E-2</v>
      </c>
      <c r="K63" s="1"/>
      <c r="L63" s="1">
        <f t="shared" ref="L63:L66" si="38">+D63-H63</f>
        <v>-472.79</v>
      </c>
      <c r="M63" s="1"/>
      <c r="N63" s="5">
        <f t="shared" ref="N63:N66" si="39">IF(H63=0,0,L63/H63)</f>
        <v>-0.56621556886227542</v>
      </c>
      <c r="O63" s="13"/>
      <c r="P63" s="1">
        <f>SUM(OSRRefP22_10x_0)</f>
        <v>5165.33</v>
      </c>
      <c r="Q63" s="1"/>
      <c r="R63" s="5">
        <f t="shared" ref="R63:R66" si="40">IF(P$12=0,0,P63/P$12)</f>
        <v>7.0183374111367436E-2</v>
      </c>
      <c r="S63" s="1"/>
      <c r="T63" s="1">
        <f>SUM(OSRRefT22_10x_0)</f>
        <v>1152</v>
      </c>
      <c r="U63" s="1"/>
      <c r="V63" s="5">
        <f t="shared" ref="V63:V66" si="41">IF(T$12=0,0,T63/T$12)</f>
        <v>1.4997266123362928E-2</v>
      </c>
      <c r="W63" s="1"/>
      <c r="X63" s="1">
        <f t="shared" ref="X63:X66" si="42">+P63-T63</f>
        <v>4013.33</v>
      </c>
      <c r="Y63" s="1"/>
      <c r="Z63" s="5">
        <f t="shared" ref="Z63:Z66" si="43">IF(T63=0,0,X63/T63)</f>
        <v>3.4837934027777777</v>
      </c>
    </row>
    <row r="64" spans="1:26" s="24" customFormat="1" hidden="1" outlineLevel="2" x14ac:dyDescent="0.25">
      <c r="A64" s="25"/>
      <c r="B64" s="11" t="str">
        <f>CONCATENATE("          ", "6237", " - ", "JANITORIAL SUPPLIES")</f>
        <v xml:space="preserve">          6237 - JANITORIAL SUPPLIES</v>
      </c>
      <c r="C64" s="11"/>
      <c r="D64" s="7">
        <v>64.33</v>
      </c>
      <c r="E64" s="2"/>
      <c r="F64" s="6">
        <f t="shared" si="36"/>
        <v>1.1977381312119981E-3</v>
      </c>
      <c r="G64" s="2"/>
      <c r="H64" s="7"/>
      <c r="I64" s="2"/>
      <c r="J64" s="6">
        <f t="shared" si="37"/>
        <v>0</v>
      </c>
      <c r="K64" s="2"/>
      <c r="L64" s="7">
        <f t="shared" si="38"/>
        <v>64.33</v>
      </c>
      <c r="M64" s="2"/>
      <c r="N64" s="6">
        <f t="shared" si="39"/>
        <v>0</v>
      </c>
      <c r="O64" s="11"/>
      <c r="P64" s="7">
        <v>474.32</v>
      </c>
      <c r="Q64" s="2"/>
      <c r="R64" s="6">
        <f t="shared" si="40"/>
        <v>6.4447727460789153E-3</v>
      </c>
      <c r="S64" s="2"/>
      <c r="T64" s="7"/>
      <c r="U64" s="2"/>
      <c r="V64" s="6">
        <f t="shared" si="41"/>
        <v>0</v>
      </c>
      <c r="W64" s="2"/>
      <c r="X64" s="7">
        <f t="shared" si="42"/>
        <v>474.32</v>
      </c>
      <c r="Y64" s="2"/>
      <c r="Z64" s="6">
        <f t="shared" si="43"/>
        <v>0</v>
      </c>
    </row>
    <row r="65" spans="1:26" s="24" customFormat="1" hidden="1" outlineLevel="2" x14ac:dyDescent="0.25">
      <c r="A65" s="25"/>
      <c r="B65" s="11" t="str">
        <f>CONCATENATE("          ", "6243", " - ", "PAPER SUPPLIES")</f>
        <v xml:space="preserve">          6243 - PAPER SUPPLIES</v>
      </c>
      <c r="C65" s="11"/>
      <c r="D65" s="7"/>
      <c r="E65" s="2"/>
      <c r="F65" s="6">
        <f t="shared" si="36"/>
        <v>0</v>
      </c>
      <c r="G65" s="2"/>
      <c r="H65" s="7"/>
      <c r="I65" s="2"/>
      <c r="J65" s="6">
        <f t="shared" si="37"/>
        <v>0</v>
      </c>
      <c r="K65" s="2"/>
      <c r="L65" s="7">
        <f t="shared" si="38"/>
        <v>0</v>
      </c>
      <c r="M65" s="2"/>
      <c r="N65" s="6">
        <f t="shared" si="39"/>
        <v>0</v>
      </c>
      <c r="O65" s="11"/>
      <c r="P65" s="7">
        <v>298.33</v>
      </c>
      <c r="Q65" s="2"/>
      <c r="R65" s="6">
        <f t="shared" si="40"/>
        <v>4.0535272671144429E-3</v>
      </c>
      <c r="S65" s="2"/>
      <c r="T65" s="7"/>
      <c r="U65" s="2"/>
      <c r="V65" s="6">
        <f t="shared" si="41"/>
        <v>0</v>
      </c>
      <c r="W65" s="2"/>
      <c r="X65" s="7">
        <f t="shared" si="42"/>
        <v>298.33</v>
      </c>
      <c r="Y65" s="2"/>
      <c r="Z65" s="6">
        <f t="shared" si="43"/>
        <v>0</v>
      </c>
    </row>
    <row r="66" spans="1:26" s="24" customFormat="1" hidden="1" outlineLevel="2" x14ac:dyDescent="0.25">
      <c r="A66" s="25"/>
      <c r="B66" s="11" t="str">
        <f>CONCATENATE("          ", "6247", " - ", "STORE SUPPLIES")</f>
        <v xml:space="preserve">          6247 - STORE SUPPLIES</v>
      </c>
      <c r="C66" s="11"/>
      <c r="D66" s="7">
        <v>297.88</v>
      </c>
      <c r="E66" s="2"/>
      <c r="F66" s="6">
        <f t="shared" si="36"/>
        <v>5.5461252063645269E-3</v>
      </c>
      <c r="G66" s="2"/>
      <c r="H66" s="7">
        <v>835</v>
      </c>
      <c r="I66" s="2"/>
      <c r="J66" s="6">
        <f t="shared" si="37"/>
        <v>1.4996946729408383E-2</v>
      </c>
      <c r="K66" s="2"/>
      <c r="L66" s="7">
        <f t="shared" si="38"/>
        <v>-537.12</v>
      </c>
      <c r="M66" s="2"/>
      <c r="N66" s="6">
        <f t="shared" si="39"/>
        <v>-0.64325748502994018</v>
      </c>
      <c r="O66" s="11"/>
      <c r="P66" s="7">
        <v>4392.68</v>
      </c>
      <c r="Q66" s="2"/>
      <c r="R66" s="6">
        <f t="shared" si="40"/>
        <v>5.9685074098174085E-2</v>
      </c>
      <c r="S66" s="2"/>
      <c r="T66" s="7">
        <v>1152</v>
      </c>
      <c r="U66" s="2"/>
      <c r="V66" s="6">
        <f t="shared" si="41"/>
        <v>1.4997266123362928E-2</v>
      </c>
      <c r="W66" s="2"/>
      <c r="X66" s="7">
        <f t="shared" si="42"/>
        <v>3240.6800000000003</v>
      </c>
      <c r="Y66" s="2"/>
      <c r="Z66" s="6">
        <f t="shared" si="43"/>
        <v>2.813090277777778</v>
      </c>
    </row>
    <row r="67" spans="1:26" s="26" customFormat="1" outlineLevel="1" collapsed="1" x14ac:dyDescent="0.25">
      <c r="A67" s="27"/>
      <c r="B67" s="13" t="str">
        <f>CONCATENATE("     ","Telephone/Data Lines                              ")</f>
        <v xml:space="preserve">     Telephone/Data Lines                              </v>
      </c>
      <c r="C67" s="13"/>
      <c r="D67" s="1">
        <f>SUM(OSRRefD22_11x_0)</f>
        <v>113.01</v>
      </c>
      <c r="E67" s="1"/>
      <c r="F67" s="5">
        <f t="shared" ref="F67:F70" si="44">IF(D$12=0,0,D67/D$12)</f>
        <v>2.1040942982786868E-3</v>
      </c>
      <c r="G67" s="1"/>
      <c r="H67" s="1">
        <f>SUM(OSRRefH22_11x_0)</f>
        <v>75</v>
      </c>
      <c r="I67" s="1"/>
      <c r="J67" s="5">
        <f t="shared" ref="J67:J70" si="45">IF(H$12=0,0,H67/H$12)</f>
        <v>1.3470311433600344E-3</v>
      </c>
      <c r="K67" s="1"/>
      <c r="L67" s="1">
        <f t="shared" ref="L67:L70" si="46">+D67-H67</f>
        <v>38.010000000000005</v>
      </c>
      <c r="M67" s="1"/>
      <c r="N67" s="5">
        <f t="shared" ref="N67:N70" si="47">IF(H67=0,0,L67/H67)</f>
        <v>0.50680000000000003</v>
      </c>
      <c r="O67" s="13"/>
      <c r="P67" s="1">
        <f>SUM(OSRRefP22_11x_0)</f>
        <v>273.02999999999997</v>
      </c>
      <c r="Q67" s="1"/>
      <c r="R67" s="5">
        <f t="shared" ref="R67:R70" si="48">IF(P$12=0,0,P67/P$12)</f>
        <v>3.7097661976343527E-3</v>
      </c>
      <c r="S67" s="1"/>
      <c r="T67" s="1">
        <f>SUM(OSRRefT22_11x_0)</f>
        <v>225</v>
      </c>
      <c r="U67" s="1"/>
      <c r="V67" s="5">
        <f t="shared" ref="V67:V70" si="49">IF(T$12=0,0,T67/T$12)</f>
        <v>2.9291535397193221E-3</v>
      </c>
      <c r="W67" s="1"/>
      <c r="X67" s="1">
        <f t="shared" ref="X67:X70" si="50">+P67-T67</f>
        <v>48.029999999999973</v>
      </c>
      <c r="Y67" s="1"/>
      <c r="Z67" s="5">
        <f t="shared" ref="Z67:Z70" si="51">IF(T67=0,0,X67/T67)</f>
        <v>0.21346666666666655</v>
      </c>
    </row>
    <row r="68" spans="1:26" s="24" customFormat="1" hidden="1" outlineLevel="2" x14ac:dyDescent="0.25">
      <c r="A68" s="25"/>
      <c r="B68" s="11" t="str">
        <f>CONCATENATE("          ", "6309", " - ", "TELEPHONE")</f>
        <v xml:space="preserve">          6309 - TELEPHONE</v>
      </c>
      <c r="C68" s="11"/>
      <c r="D68" s="7">
        <v>113.01</v>
      </c>
      <c r="E68" s="2"/>
      <c r="F68" s="6">
        <f t="shared" si="44"/>
        <v>2.1040942982786868E-3</v>
      </c>
      <c r="G68" s="2"/>
      <c r="H68" s="7">
        <v>75</v>
      </c>
      <c r="I68" s="2"/>
      <c r="J68" s="6">
        <f t="shared" si="45"/>
        <v>1.3470311433600344E-3</v>
      </c>
      <c r="K68" s="2"/>
      <c r="L68" s="7">
        <f t="shared" si="46"/>
        <v>38.010000000000005</v>
      </c>
      <c r="M68" s="2"/>
      <c r="N68" s="6">
        <f t="shared" si="47"/>
        <v>0.50680000000000003</v>
      </c>
      <c r="O68" s="11"/>
      <c r="P68" s="7">
        <v>273.02999999999997</v>
      </c>
      <c r="Q68" s="2"/>
      <c r="R68" s="6">
        <f t="shared" si="48"/>
        <v>3.7097661976343527E-3</v>
      </c>
      <c r="S68" s="2"/>
      <c r="T68" s="7">
        <v>225</v>
      </c>
      <c r="U68" s="2"/>
      <c r="V68" s="6">
        <f t="shared" si="49"/>
        <v>2.9291535397193221E-3</v>
      </c>
      <c r="W68" s="2"/>
      <c r="X68" s="7">
        <f t="shared" si="50"/>
        <v>48.029999999999973</v>
      </c>
      <c r="Y68" s="2"/>
      <c r="Z68" s="6">
        <f t="shared" si="51"/>
        <v>0.21346666666666655</v>
      </c>
    </row>
    <row r="69" spans="1:26" s="26" customFormat="1" outlineLevel="1" collapsed="1" x14ac:dyDescent="0.25">
      <c r="A69" s="27"/>
      <c r="B69" s="13" t="str">
        <f>CONCATENATE("     ","Training                                          ")</f>
        <v xml:space="preserve">     Training                                          </v>
      </c>
      <c r="C69" s="13"/>
      <c r="D69" s="1">
        <f>SUM(OSRRefD22_12x_0)</f>
        <v>0</v>
      </c>
      <c r="E69" s="1"/>
      <c r="F69" s="5">
        <f t="shared" si="44"/>
        <v>0</v>
      </c>
      <c r="G69" s="1"/>
      <c r="H69" s="1">
        <f>SUM(OSRRefH22_12x_0)</f>
        <v>0</v>
      </c>
      <c r="I69" s="1"/>
      <c r="J69" s="5">
        <f t="shared" si="45"/>
        <v>0</v>
      </c>
      <c r="K69" s="1"/>
      <c r="L69" s="1">
        <f t="shared" si="46"/>
        <v>0</v>
      </c>
      <c r="M69" s="1"/>
      <c r="N69" s="5">
        <f t="shared" si="47"/>
        <v>0</v>
      </c>
      <c r="O69" s="13"/>
      <c r="P69" s="1">
        <f>SUM(OSRRefP22_12x_0)</f>
        <v>0</v>
      </c>
      <c r="Q69" s="1"/>
      <c r="R69" s="5">
        <f t="shared" si="48"/>
        <v>0</v>
      </c>
      <c r="S69" s="1"/>
      <c r="T69" s="1">
        <f>SUM(OSRRefT22_12x_0)</f>
        <v>500</v>
      </c>
      <c r="U69" s="1"/>
      <c r="V69" s="5">
        <f t="shared" si="49"/>
        <v>6.5092300882651603E-3</v>
      </c>
      <c r="W69" s="1"/>
      <c r="X69" s="1">
        <f t="shared" si="50"/>
        <v>-500</v>
      </c>
      <c r="Y69" s="1"/>
      <c r="Z69" s="5">
        <f t="shared" si="51"/>
        <v>-1</v>
      </c>
    </row>
    <row r="70" spans="1:26" s="24" customFormat="1" hidden="1" outlineLevel="2" x14ac:dyDescent="0.25">
      <c r="A70" s="25"/>
      <c r="B70" s="11" t="str">
        <f>CONCATENATE("          ", "6376", " - ", "TRAINING")</f>
        <v xml:space="preserve">          6376 - TRAINING</v>
      </c>
      <c r="C70" s="11"/>
      <c r="D70" s="7"/>
      <c r="E70" s="2"/>
      <c r="F70" s="6">
        <f t="shared" si="44"/>
        <v>0</v>
      </c>
      <c r="G70" s="2"/>
      <c r="H70" s="7"/>
      <c r="I70" s="2"/>
      <c r="J70" s="6">
        <f t="shared" si="45"/>
        <v>0</v>
      </c>
      <c r="K70" s="2"/>
      <c r="L70" s="7">
        <f t="shared" si="46"/>
        <v>0</v>
      </c>
      <c r="M70" s="2"/>
      <c r="N70" s="6">
        <f t="shared" si="47"/>
        <v>0</v>
      </c>
      <c r="O70" s="11"/>
      <c r="P70" s="7"/>
      <c r="Q70" s="2"/>
      <c r="R70" s="6">
        <f t="shared" si="48"/>
        <v>0</v>
      </c>
      <c r="S70" s="2"/>
      <c r="T70" s="7">
        <v>500</v>
      </c>
      <c r="U70" s="2"/>
      <c r="V70" s="6">
        <f t="shared" si="49"/>
        <v>6.5092300882651603E-3</v>
      </c>
      <c r="W70" s="2"/>
      <c r="X70" s="7">
        <f t="shared" si="50"/>
        <v>-500</v>
      </c>
      <c r="Y70" s="2"/>
      <c r="Z70" s="6">
        <f t="shared" si="51"/>
        <v>-1</v>
      </c>
    </row>
    <row r="71" spans="1:26" s="63" customFormat="1" x14ac:dyDescent="0.25">
      <c r="A71" s="36"/>
      <c r="B71" s="36"/>
      <c r="C71" s="36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6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x14ac:dyDescent="0.25">
      <c r="A72" s="10"/>
      <c r="B72" s="28" t="s">
        <v>0</v>
      </c>
      <c r="C72" s="10"/>
      <c r="D72" s="4">
        <f>SUM(0)</f>
        <v>0</v>
      </c>
      <c r="E72" s="4"/>
      <c r="F72" s="12">
        <f>IF(D$12=0,0,D72/D$12)</f>
        <v>0</v>
      </c>
      <c r="G72" s="4"/>
      <c r="H72" s="4">
        <f>SUM(0)</f>
        <v>0</v>
      </c>
      <c r="I72" s="4"/>
      <c r="J72" s="12">
        <f>IF(H$12=0,0,H72/H$12)</f>
        <v>0</v>
      </c>
      <c r="K72" s="4"/>
      <c r="L72" s="4">
        <f>+D72-H72</f>
        <v>0</v>
      </c>
      <c r="M72" s="4"/>
      <c r="N72" s="12">
        <f>IF(H72=0,0,L72/H72)</f>
        <v>0</v>
      </c>
      <c r="O72" s="10"/>
      <c r="P72" s="4">
        <f>SUM(0)</f>
        <v>0</v>
      </c>
      <c r="Q72" s="4"/>
      <c r="R72" s="12">
        <f>IF(P$12=0,0,P72/P$12)</f>
        <v>0</v>
      </c>
      <c r="S72" s="4"/>
      <c r="T72" s="4">
        <f>SUM(0)</f>
        <v>0</v>
      </c>
      <c r="U72" s="4"/>
      <c r="V72" s="12">
        <f>IF(T$12=0,0,T72/T$12)</f>
        <v>0</v>
      </c>
      <c r="W72" s="4"/>
      <c r="X72" s="4">
        <f>+P72-T72</f>
        <v>0</v>
      </c>
      <c r="Y72" s="4"/>
      <c r="Z72" s="12">
        <f>IF(T72=0,0,X72/T72)</f>
        <v>0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25">
      <c r="A74" s="10"/>
      <c r="B74" s="29" t="s">
        <v>3</v>
      </c>
      <c r="C74" s="29"/>
      <c r="D74" s="22">
        <f>+D22-D24+D72</f>
        <v>10176.119999999999</v>
      </c>
      <c r="E74" s="14"/>
      <c r="F74" s="20">
        <f>IF(D$12=0,0,D74/D$12)</f>
        <v>0.18946567622864974</v>
      </c>
      <c r="G74" s="14"/>
      <c r="H74" s="22">
        <f>+H22-H24+H72</f>
        <v>11975.569494615382</v>
      </c>
      <c r="I74" s="14"/>
      <c r="J74" s="20">
        <f>IF(H$12=0,0,H74/H$12)</f>
        <v>0.21508620091625744</v>
      </c>
      <c r="K74" s="15"/>
      <c r="L74" s="22">
        <f>+D74-H74</f>
        <v>-1799.4494946153827</v>
      </c>
      <c r="M74" s="15"/>
      <c r="N74" s="20">
        <f>IF(H74=0,0,L74/H74)</f>
        <v>-0.15026003526800755</v>
      </c>
      <c r="O74" s="28"/>
      <c r="P74" s="22">
        <f>+P22-P24+P72</f>
        <v>-5438.3700000000026</v>
      </c>
      <c r="Q74" s="14"/>
      <c r="R74" s="20">
        <f>IF(P$12=0,0,P74/P$12)</f>
        <v>-7.3893276182942336E-2</v>
      </c>
      <c r="S74" s="14"/>
      <c r="T74" s="22">
        <f>+T22-T24+T72</f>
        <v>8386.7942074999883</v>
      </c>
      <c r="U74" s="14"/>
      <c r="V74" s="20">
        <f>IF(T$12=0,0,T74/T$12)</f>
        <v>0.10918314639909377</v>
      </c>
      <c r="W74" s="15"/>
      <c r="X74" s="22">
        <f>+P74-T74</f>
        <v>-13825.164207499991</v>
      </c>
      <c r="Y74" s="15"/>
      <c r="Z74" s="20">
        <f>IF(T74=0,0,X74/T74)</f>
        <v>-1.6484444312627435</v>
      </c>
    </row>
    <row r="75" spans="1:26" x14ac:dyDescent="0.25">
      <c r="A75" s="9"/>
      <c r="B75" s="10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52"/>
      <c r="B76" s="10" t="s">
        <v>14</v>
      </c>
      <c r="C76" s="10"/>
      <c r="D76" s="4">
        <v>5425.68</v>
      </c>
      <c r="E76" s="4"/>
      <c r="F76" s="12">
        <f>IF(D$12=0,0,D76/D$12)</f>
        <v>0.10101886870440407</v>
      </c>
      <c r="G76" s="4"/>
      <c r="H76" s="4">
        <v>6283</v>
      </c>
      <c r="I76" s="4"/>
      <c r="J76" s="12">
        <f>IF(H$12=0,0,H76/H$12)</f>
        <v>0.11284528898308128</v>
      </c>
      <c r="K76" s="4"/>
      <c r="L76" s="4">
        <f>+D76-H76</f>
        <v>-857.31999999999971</v>
      </c>
      <c r="M76" s="4"/>
      <c r="N76" s="12">
        <f>IF(H76=0,0,L76/H76)</f>
        <v>-0.13645074009231253</v>
      </c>
      <c r="O76" s="10"/>
      <c r="P76" s="4">
        <v>7905.36</v>
      </c>
      <c r="Q76" s="4"/>
      <c r="R76" s="12">
        <f>IF(P$12=0,0,P76/P$12)</f>
        <v>0.10741324143182326</v>
      </c>
      <c r="S76" s="4"/>
      <c r="T76" s="4">
        <v>9715</v>
      </c>
      <c r="U76" s="4"/>
      <c r="V76" s="12">
        <f>IF(T$12=0,0,T76/T$12)</f>
        <v>0.12647434061499205</v>
      </c>
      <c r="W76" s="4"/>
      <c r="X76" s="4">
        <f>+P76-T76</f>
        <v>-1809.6400000000003</v>
      </c>
      <c r="Y76" s="4"/>
      <c r="Z76" s="12">
        <f>IF(T76=0,0,X76/T76)</f>
        <v>-0.18627277406073087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9" t="s">
        <v>4</v>
      </c>
      <c r="C78" s="29"/>
      <c r="D78" s="35">
        <f>+D74-D76</f>
        <v>4750.4399999999987</v>
      </c>
      <c r="E78" s="14"/>
      <c r="F78" s="32">
        <f>IF(D$12=0,0,D78/D$12)</f>
        <v>8.8446807524245649E-2</v>
      </c>
      <c r="G78" s="14"/>
      <c r="H78" s="35">
        <f>+H74-H76</f>
        <v>5692.5694946153817</v>
      </c>
      <c r="I78" s="14"/>
      <c r="J78" s="32">
        <f>IF(H$12=0,0,H78/H$12)</f>
        <v>0.10224091193317615</v>
      </c>
      <c r="K78" s="15"/>
      <c r="L78" s="35">
        <f>D78-H78</f>
        <v>-942.12949461538301</v>
      </c>
      <c r="M78" s="15"/>
      <c r="N78" s="32">
        <f>IF(H78=0,0,L78/H78)</f>
        <v>-0.16550162374065808</v>
      </c>
      <c r="O78" s="28"/>
      <c r="P78" s="35">
        <f>+P74-P76</f>
        <v>-13343.730000000003</v>
      </c>
      <c r="Q78" s="14"/>
      <c r="R78" s="32">
        <f>IF(P$12=0,0,P78/P$12)</f>
        <v>-0.18130651761476563</v>
      </c>
      <c r="S78" s="14"/>
      <c r="T78" s="35">
        <f>+T74-T76</f>
        <v>-1328.2057925000117</v>
      </c>
      <c r="U78" s="14"/>
      <c r="V78" s="32">
        <f>IF(T$12=0,0,T78/T$12)</f>
        <v>-1.7291194215898295E-2</v>
      </c>
      <c r="W78" s="15"/>
      <c r="X78" s="35">
        <f>P78-T78</f>
        <v>-12015.524207499991</v>
      </c>
      <c r="Y78" s="15"/>
      <c r="Z78" s="32">
        <f>IF(T78=0,0,X78/T78)</f>
        <v>9.0464326201166489</v>
      </c>
    </row>
    <row r="79" spans="1:26" ht="15.75" thickTop="1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9" t="s">
        <v>5</v>
      </c>
      <c r="C81" s="29"/>
      <c r="D81" s="30">
        <f>SUM(D78:D80)</f>
        <v>4750.4399999999987</v>
      </c>
      <c r="E81" s="14"/>
      <c r="F81" s="31">
        <f>IF(D$12=0,0,D81/D$12)</f>
        <v>8.8446807524245649E-2</v>
      </c>
      <c r="G81" s="14"/>
      <c r="H81" s="30">
        <f>SUM(H78:H80)</f>
        <v>5692.5694946153817</v>
      </c>
      <c r="I81" s="14"/>
      <c r="J81" s="31">
        <f>IF(H$12=0,0,H81/H$12)</f>
        <v>0.10224091193317615</v>
      </c>
      <c r="K81" s="15"/>
      <c r="L81" s="30">
        <f>+D81-H81</f>
        <v>-942.12949461538301</v>
      </c>
      <c r="M81" s="15"/>
      <c r="N81" s="31">
        <f>IF(H81=0,0,L81/H81)</f>
        <v>-0.16550162374065808</v>
      </c>
      <c r="O81" s="28"/>
      <c r="P81" s="30">
        <f>SUM(P78:P80)</f>
        <v>-13343.730000000003</v>
      </c>
      <c r="Q81" s="14"/>
      <c r="R81" s="31">
        <f>IF(P$12=0,0,P81/P$12)</f>
        <v>-0.18130651761476563</v>
      </c>
      <c r="S81" s="14"/>
      <c r="T81" s="30">
        <f>SUM(T78:T80)</f>
        <v>-1328.2057925000117</v>
      </c>
      <c r="U81" s="14"/>
      <c r="V81" s="31">
        <f>IF(T$12=0,0,T81/T$12)</f>
        <v>-1.7291194215898295E-2</v>
      </c>
      <c r="W81" s="15"/>
      <c r="X81" s="30">
        <f>+P81-T81</f>
        <v>-12015.524207499991</v>
      </c>
      <c r="Y81" s="15"/>
      <c r="Z81" s="31">
        <f>IF(T81=0,0,X81/T81)</f>
        <v>9.0464326201166489</v>
      </c>
    </row>
    <row r="82" spans="1:26" ht="15.75" thickTop="1" x14ac:dyDescent="0.25">
      <c r="A82" s="9"/>
      <c r="C82" s="9"/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6" x14ac:dyDescent="0.25">
      <c r="A83" s="9"/>
      <c r="B83" s="53">
        <v>43756.452276932869</v>
      </c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6" x14ac:dyDescent="0.25">
      <c r="A84" s="9"/>
      <c r="B84" s="55" t="s">
        <v>314</v>
      </c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6" x14ac:dyDescent="0.25">
      <c r="A85" s="9"/>
      <c r="B85" s="56"/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  <row r="86" spans="1:26" x14ac:dyDescent="0.25"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</sheetData>
  <pageMargins left="0.25" right="0.25" top="0.75" bottom="0.75" header="0.3" footer="0.3"/>
  <pageSetup scale="55" fitToWidth="2" orientation="landscape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str">
        <f>CONCATENATE("Period ",RIGHT(202003,2),", ",2020)</f>
        <v>Period 03, 2020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43736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tr">
        <f>CONCATENATE("Department ","313", " - ", "Convenience Store")</f>
        <v>Department 313 - Convenience Store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84266.830000000016</v>
      </c>
      <c r="E12" s="4"/>
      <c r="F12" s="12"/>
      <c r="G12" s="4"/>
      <c r="H12" s="4">
        <f>SUM(OSRRefH13x_0)</f>
        <v>87306</v>
      </c>
      <c r="I12" s="4"/>
      <c r="J12" s="12"/>
      <c r="K12" s="4"/>
      <c r="L12" s="4">
        <f t="shared" ref="L12:L18" si="0">+D12-H12</f>
        <v>-3039.1699999999837</v>
      </c>
      <c r="M12" s="4"/>
      <c r="N12" s="12">
        <f t="shared" ref="N12:N18" si="1">IF(H12=0,0,L12/H12)</f>
        <v>-3.4810551393947536E-2</v>
      </c>
      <c r="O12" s="10"/>
      <c r="P12" s="4">
        <f>SUM(OSRRefP13x_0)</f>
        <v>135517.78</v>
      </c>
      <c r="Q12" s="4"/>
      <c r="R12" s="12"/>
      <c r="S12" s="4"/>
      <c r="T12" s="4">
        <f>SUM(OSRRefT13x_0)</f>
        <v>138160</v>
      </c>
      <c r="U12" s="4"/>
      <c r="V12" s="12"/>
      <c r="W12" s="4"/>
      <c r="X12" s="4">
        <f t="shared" ref="X12:X18" si="2">+P12-T12</f>
        <v>-2642.2200000000012</v>
      </c>
      <c r="Y12" s="4"/>
      <c r="Z12" s="12">
        <f t="shared" ref="Z12:Z18" si="3">IF(T12=0,0,X12/T12)</f>
        <v>-1.912434858135496E-2</v>
      </c>
    </row>
    <row r="13" spans="1:26" s="24" customFormat="1" hidden="1" outlineLevel="1" x14ac:dyDescent="0.25">
      <c r="A13" s="46"/>
      <c r="B13" s="11" t="str">
        <f>CONCATENATE("          ", "4032", " - ", "TAXABLE SALES-JUICE")</f>
        <v xml:space="preserve">          4032 - TAXABLE SALES-JUICE</v>
      </c>
      <c r="C13" s="11"/>
      <c r="D13" s="2">
        <f>--17893.59</f>
        <v>17893.59</v>
      </c>
      <c r="E13" s="2"/>
      <c r="F13" s="19"/>
      <c r="G13" s="2"/>
      <c r="H13" s="2"/>
      <c r="I13" s="2"/>
      <c r="J13" s="19"/>
      <c r="K13" s="2"/>
      <c r="L13" s="2">
        <f t="shared" si="0"/>
        <v>17893.59</v>
      </c>
      <c r="M13" s="2"/>
      <c r="N13" s="19">
        <f t="shared" si="1"/>
        <v>0</v>
      </c>
      <c r="O13" s="11"/>
      <c r="P13" s="2">
        <f>--28161.94</f>
        <v>28161.94</v>
      </c>
      <c r="Q13" s="2"/>
      <c r="R13" s="19"/>
      <c r="S13" s="2"/>
      <c r="T13" s="2"/>
      <c r="U13" s="2"/>
      <c r="V13" s="19"/>
      <c r="W13" s="2"/>
      <c r="X13" s="2">
        <f t="shared" si="2"/>
        <v>28161.94</v>
      </c>
      <c r="Y13" s="2"/>
      <c r="Z13" s="19">
        <f t="shared" si="3"/>
        <v>0</v>
      </c>
    </row>
    <row r="14" spans="1:26" s="24" customFormat="1" hidden="1" outlineLevel="1" x14ac:dyDescent="0.25">
      <c r="A14" s="46"/>
      <c r="B14" s="11" t="str">
        <f>CONCATENATE("          ", "4034", " - ", "TAXABLE SALES-SODA")</f>
        <v xml:space="preserve">          4034 - TAXABLE SALES-SODA</v>
      </c>
      <c r="C14" s="11"/>
      <c r="D14" s="2">
        <f>--503.93</f>
        <v>503.93</v>
      </c>
      <c r="E14" s="2"/>
      <c r="F14" s="19"/>
      <c r="G14" s="2"/>
      <c r="H14" s="2"/>
      <c r="I14" s="2"/>
      <c r="J14" s="19"/>
      <c r="K14" s="2"/>
      <c r="L14" s="2">
        <f t="shared" si="0"/>
        <v>503.93</v>
      </c>
      <c r="M14" s="2"/>
      <c r="N14" s="19">
        <f t="shared" si="1"/>
        <v>0</v>
      </c>
      <c r="O14" s="11"/>
      <c r="P14" s="2">
        <f>--1150.33</f>
        <v>1150.33</v>
      </c>
      <c r="Q14" s="2"/>
      <c r="R14" s="19"/>
      <c r="S14" s="2"/>
      <c r="T14" s="2"/>
      <c r="U14" s="2"/>
      <c r="V14" s="19"/>
      <c r="W14" s="2"/>
      <c r="X14" s="2">
        <f t="shared" si="2"/>
        <v>1150.33</v>
      </c>
      <c r="Y14" s="2"/>
      <c r="Z14" s="19">
        <f t="shared" si="3"/>
        <v>0</v>
      </c>
    </row>
    <row r="15" spans="1:26" s="24" customFormat="1" hidden="1" outlineLevel="1" x14ac:dyDescent="0.25">
      <c r="A15" s="46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87306</v>
      </c>
      <c r="I15" s="2"/>
      <c r="J15" s="19"/>
      <c r="K15" s="2"/>
      <c r="L15" s="2">
        <f t="shared" si="0"/>
        <v>-87306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138160</v>
      </c>
      <c r="U15" s="2"/>
      <c r="V15" s="19"/>
      <c r="W15" s="2"/>
      <c r="X15" s="2">
        <f t="shared" si="2"/>
        <v>-138160</v>
      </c>
      <c r="Y15" s="2"/>
      <c r="Z15" s="19">
        <f t="shared" si="3"/>
        <v>-1</v>
      </c>
    </row>
    <row r="16" spans="1:26" s="24" customFormat="1" hidden="1" outlineLevel="1" x14ac:dyDescent="0.25">
      <c r="A16" s="46"/>
      <c r="B16" s="11" t="str">
        <f>CONCATENATE("          ", "4132", " - ", "NON-TAXABLE SALES-JUICE")</f>
        <v xml:space="preserve">          4132 - NON-TAXABLE SALES-JUICE</v>
      </c>
      <c r="C16" s="11"/>
      <c r="D16" s="2">
        <f>--65627.96</f>
        <v>65627.960000000006</v>
      </c>
      <c r="E16" s="2"/>
      <c r="F16" s="19"/>
      <c r="G16" s="2"/>
      <c r="H16" s="2"/>
      <c r="I16" s="2"/>
      <c r="J16" s="19"/>
      <c r="K16" s="2"/>
      <c r="L16" s="2">
        <f t="shared" si="0"/>
        <v>65627.960000000006</v>
      </c>
      <c r="M16" s="2"/>
      <c r="N16" s="19">
        <f t="shared" si="1"/>
        <v>0</v>
      </c>
      <c r="O16" s="11"/>
      <c r="P16" s="2">
        <f>--105584.03</f>
        <v>105584.03</v>
      </c>
      <c r="Q16" s="2"/>
      <c r="R16" s="19"/>
      <c r="S16" s="2"/>
      <c r="T16" s="2"/>
      <c r="U16" s="2"/>
      <c r="V16" s="19"/>
      <c r="W16" s="2"/>
      <c r="X16" s="2">
        <f t="shared" si="2"/>
        <v>105584.03</v>
      </c>
      <c r="Y16" s="2"/>
      <c r="Z16" s="19">
        <f t="shared" si="3"/>
        <v>0</v>
      </c>
    </row>
    <row r="17" spans="1:26" s="24" customFormat="1" hidden="1" outlineLevel="1" x14ac:dyDescent="0.25">
      <c r="A17" s="46"/>
      <c r="B17" s="11" t="str">
        <f>CONCATENATE("          ", "4134", " - ", "NON-TAXABLE SALES-SODA")</f>
        <v xml:space="preserve">          4134 - NON-TAXABLE SALES-SODA</v>
      </c>
      <c r="C17" s="11"/>
      <c r="D17" s="2">
        <f>--3.78</f>
        <v>3.78</v>
      </c>
      <c r="E17" s="2"/>
      <c r="F17" s="19"/>
      <c r="G17" s="2"/>
      <c r="H17" s="2"/>
      <c r="I17" s="2"/>
      <c r="J17" s="19"/>
      <c r="K17" s="2"/>
      <c r="L17" s="2">
        <f t="shared" si="0"/>
        <v>3.78</v>
      </c>
      <c r="M17" s="2"/>
      <c r="N17" s="19">
        <f t="shared" si="1"/>
        <v>0</v>
      </c>
      <c r="O17" s="11"/>
      <c r="P17" s="2">
        <f>--0.39</f>
        <v>0.39</v>
      </c>
      <c r="Q17" s="2"/>
      <c r="R17" s="19"/>
      <c r="S17" s="2"/>
      <c r="T17" s="2"/>
      <c r="U17" s="2"/>
      <c r="V17" s="19"/>
      <c r="W17" s="2"/>
      <c r="X17" s="2">
        <f t="shared" si="2"/>
        <v>0.39</v>
      </c>
      <c r="Y17" s="2"/>
      <c r="Z17" s="19">
        <f t="shared" si="3"/>
        <v>0</v>
      </c>
    </row>
    <row r="18" spans="1:26" s="24" customFormat="1" hidden="1" outlineLevel="1" x14ac:dyDescent="0.25">
      <c r="A18" s="46"/>
      <c r="B18" s="11" t="str">
        <f>CONCATENATE("          ", "4137", " - ", "NON-TAXABLE SALES-WATER")</f>
        <v xml:space="preserve">          4137 - NON-TAXABLE SALES-WATER</v>
      </c>
      <c r="C18" s="11"/>
      <c r="D18" s="2">
        <f>--237.57</f>
        <v>237.57</v>
      </c>
      <c r="E18" s="2"/>
      <c r="F18" s="19"/>
      <c r="G18" s="2"/>
      <c r="H18" s="2"/>
      <c r="I18" s="2"/>
      <c r="J18" s="19"/>
      <c r="K18" s="2"/>
      <c r="L18" s="2">
        <f t="shared" si="0"/>
        <v>237.57</v>
      </c>
      <c r="M18" s="2"/>
      <c r="N18" s="19">
        <f t="shared" si="1"/>
        <v>0</v>
      </c>
      <c r="O18" s="11"/>
      <c r="P18" s="2">
        <f>--621.09</f>
        <v>621.09</v>
      </c>
      <c r="Q18" s="2"/>
      <c r="R18" s="19"/>
      <c r="S18" s="2"/>
      <c r="T18" s="2"/>
      <c r="U18" s="2"/>
      <c r="V18" s="19"/>
      <c r="W18" s="2"/>
      <c r="X18" s="2">
        <f t="shared" si="2"/>
        <v>621.09</v>
      </c>
      <c r="Y18" s="2"/>
      <c r="Z18" s="19">
        <f t="shared" si="3"/>
        <v>0</v>
      </c>
    </row>
    <row r="19" spans="1:26" x14ac:dyDescent="0.25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25">
      <c r="A20" s="10"/>
      <c r="B20" s="28" t="s">
        <v>8</v>
      </c>
      <c r="C20" s="10"/>
      <c r="D20" s="4">
        <f>SUM(OSRRefD16x_0)</f>
        <v>38777.630000000005</v>
      </c>
      <c r="E20" s="4"/>
      <c r="F20" s="12">
        <f t="shared" ref="F20:F23" si="4">IF(D$12=0,0,D20/D$12)</f>
        <v>0.46017667924615174</v>
      </c>
      <c r="G20" s="4"/>
      <c r="H20" s="4">
        <f>SUM(OSRRefH16x_0)</f>
        <v>41907</v>
      </c>
      <c r="I20" s="4"/>
      <c r="J20" s="12">
        <f t="shared" ref="J20:J23" si="5">IF(H$12=0,0,H20/H$12)</f>
        <v>0.48000137447598101</v>
      </c>
      <c r="K20" s="4"/>
      <c r="L20" s="4">
        <f t="shared" ref="L20:L23" si="6">+D20-H20</f>
        <v>-3129.3699999999953</v>
      </c>
      <c r="M20" s="4"/>
      <c r="N20" s="12">
        <f t="shared" ref="N20:N23" si="7">IF(H20=0,0,L20/H20)</f>
        <v>-7.467415944830208E-2</v>
      </c>
      <c r="O20" s="10"/>
      <c r="P20" s="4">
        <f>SUM(OSRRefP16x_0)</f>
        <v>62653.169999999991</v>
      </c>
      <c r="Q20" s="4"/>
      <c r="R20" s="12">
        <f t="shared" ref="R20:R23" si="8">IF(P$12=0,0,P20/P$12)</f>
        <v>0.46232435330625982</v>
      </c>
      <c r="S20" s="4"/>
      <c r="T20" s="4">
        <f>SUM(OSRRefT16x_0)</f>
        <v>66317</v>
      </c>
      <c r="U20" s="4"/>
      <c r="V20" s="12">
        <f t="shared" ref="V20:V23" si="9">IF(T$12=0,0,T20/T$12)</f>
        <v>0.48000144759698898</v>
      </c>
      <c r="W20" s="4"/>
      <c r="X20" s="4">
        <f t="shared" ref="X20:X23" si="10">+P20-T20</f>
        <v>-3663.830000000009</v>
      </c>
      <c r="Y20" s="4"/>
      <c r="Z20" s="12">
        <f t="shared" ref="Z20:Z23" si="11">IF(T20=0,0,X20/T20)</f>
        <v>-5.5247221677699673E-2</v>
      </c>
    </row>
    <row r="21" spans="1:26" s="24" customFormat="1" hidden="1" outlineLevel="1" x14ac:dyDescent="0.25">
      <c r="A21" s="46"/>
      <c r="B21" s="11" t="str">
        <f>CONCATENATE("          ", "5000", " - ", "PURCHASES @ COST")</f>
        <v xml:space="preserve">          5000 - PURCHASES @ COST</v>
      </c>
      <c r="C21" s="11"/>
      <c r="D21" s="2"/>
      <c r="E21" s="2"/>
      <c r="F21" s="19">
        <f t="shared" si="4"/>
        <v>0</v>
      </c>
      <c r="G21" s="2"/>
      <c r="H21" s="2">
        <v>41907</v>
      </c>
      <c r="I21" s="2"/>
      <c r="J21" s="19">
        <f t="shared" si="5"/>
        <v>0.48000137447598101</v>
      </c>
      <c r="K21" s="2"/>
      <c r="L21" s="2">
        <f t="shared" si="6"/>
        <v>-41907</v>
      </c>
      <c r="M21" s="2"/>
      <c r="N21" s="19">
        <f t="shared" si="7"/>
        <v>-1</v>
      </c>
      <c r="O21" s="11"/>
      <c r="P21" s="2"/>
      <c r="Q21" s="2"/>
      <c r="R21" s="19">
        <f t="shared" si="8"/>
        <v>0</v>
      </c>
      <c r="S21" s="2"/>
      <c r="T21" s="2">
        <v>66317</v>
      </c>
      <c r="U21" s="2"/>
      <c r="V21" s="19">
        <f t="shared" si="9"/>
        <v>0.48000144759698898</v>
      </c>
      <c r="W21" s="2"/>
      <c r="X21" s="2">
        <f t="shared" si="10"/>
        <v>-66317</v>
      </c>
      <c r="Y21" s="2"/>
      <c r="Z21" s="19">
        <f t="shared" si="11"/>
        <v>-1</v>
      </c>
    </row>
    <row r="22" spans="1:26" s="24" customFormat="1" hidden="1" outlineLevel="1" x14ac:dyDescent="0.25">
      <c r="A22" s="46"/>
      <c r="B22" s="11" t="str">
        <f>CONCATENATE("          ", "5053", " - ", "PURCHASES @ COST-FOOD")</f>
        <v xml:space="preserve">          5053 - PURCHASES @ COST-FOOD</v>
      </c>
      <c r="C22" s="11"/>
      <c r="D22" s="2">
        <v>41057.33</v>
      </c>
      <c r="E22" s="2"/>
      <c r="F22" s="19">
        <f t="shared" si="4"/>
        <v>0.48723002870761833</v>
      </c>
      <c r="G22" s="2"/>
      <c r="H22" s="2"/>
      <c r="I22" s="2"/>
      <c r="J22" s="19">
        <f t="shared" si="5"/>
        <v>0</v>
      </c>
      <c r="K22" s="2"/>
      <c r="L22" s="2">
        <f t="shared" si="6"/>
        <v>41057.33</v>
      </c>
      <c r="M22" s="2"/>
      <c r="N22" s="19">
        <f t="shared" si="7"/>
        <v>0</v>
      </c>
      <c r="O22" s="11"/>
      <c r="P22" s="2">
        <v>77642.399999999994</v>
      </c>
      <c r="Q22" s="2"/>
      <c r="R22" s="19">
        <f t="shared" si="8"/>
        <v>0.57293146331057077</v>
      </c>
      <c r="S22" s="2"/>
      <c r="T22" s="2"/>
      <c r="U22" s="2"/>
      <c r="V22" s="19">
        <f t="shared" si="9"/>
        <v>0</v>
      </c>
      <c r="W22" s="2"/>
      <c r="X22" s="2">
        <f t="shared" si="10"/>
        <v>77642.399999999994</v>
      </c>
      <c r="Y22" s="2"/>
      <c r="Z22" s="19">
        <f t="shared" si="11"/>
        <v>0</v>
      </c>
    </row>
    <row r="23" spans="1:26" s="24" customFormat="1" hidden="1" outlineLevel="1" x14ac:dyDescent="0.25">
      <c r="A23" s="46"/>
      <c r="B23" s="11" t="str">
        <f>CONCATENATE("          ", "5059", " - ", "PURCHASES @ COST-FOOD")</f>
        <v xml:space="preserve">          5059 - PURCHASES @ COST-FOOD</v>
      </c>
      <c r="C23" s="11"/>
      <c r="D23" s="2">
        <v>-2279.6999999999998</v>
      </c>
      <c r="E23" s="2"/>
      <c r="F23" s="19">
        <f t="shared" si="4"/>
        <v>-2.7053349461466623E-2</v>
      </c>
      <c r="G23" s="2"/>
      <c r="H23" s="2"/>
      <c r="I23" s="2"/>
      <c r="J23" s="19">
        <f t="shared" si="5"/>
        <v>0</v>
      </c>
      <c r="K23" s="2"/>
      <c r="L23" s="2">
        <f t="shared" si="6"/>
        <v>-2279.6999999999998</v>
      </c>
      <c r="M23" s="2"/>
      <c r="N23" s="19">
        <f t="shared" si="7"/>
        <v>0</v>
      </c>
      <c r="O23" s="11"/>
      <c r="P23" s="2">
        <v>-14989.230000000001</v>
      </c>
      <c r="Q23" s="2"/>
      <c r="R23" s="19">
        <f t="shared" si="8"/>
        <v>-0.11060711000431088</v>
      </c>
      <c r="S23" s="2"/>
      <c r="T23" s="2"/>
      <c r="U23" s="2"/>
      <c r="V23" s="19">
        <f t="shared" si="9"/>
        <v>0</v>
      </c>
      <c r="W23" s="2"/>
      <c r="X23" s="2">
        <f t="shared" si="10"/>
        <v>-14989.230000000001</v>
      </c>
      <c r="Y23" s="2"/>
      <c r="Z23" s="19">
        <f t="shared" si="11"/>
        <v>0</v>
      </c>
    </row>
    <row r="24" spans="1:26" x14ac:dyDescent="0.25">
      <c r="A24" s="9"/>
      <c r="B24" s="10"/>
      <c r="C24" s="10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O24" s="10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25">
      <c r="A25" s="10"/>
      <c r="B25" s="29" t="s">
        <v>6</v>
      </c>
      <c r="C25" s="29"/>
      <c r="D25" s="22">
        <f>D12-D20</f>
        <v>45489.200000000012</v>
      </c>
      <c r="E25" s="14"/>
      <c r="F25" s="20">
        <f>IF(D$12=0,0,D25/D$12)</f>
        <v>0.5398233207538482</v>
      </c>
      <c r="G25" s="14"/>
      <c r="H25" s="22">
        <f>H12-H20</f>
        <v>45399</v>
      </c>
      <c r="I25" s="14"/>
      <c r="J25" s="20">
        <f>IF(H$12=0,0,H25/H$12)</f>
        <v>0.51999862552401899</v>
      </c>
      <c r="K25" s="15"/>
      <c r="L25" s="22">
        <f>+D25-H25</f>
        <v>90.200000000011642</v>
      </c>
      <c r="M25" s="15"/>
      <c r="N25" s="20">
        <f>IF(H25=0,0,L25/H25)</f>
        <v>1.9868279036985756E-3</v>
      </c>
      <c r="O25" s="28"/>
      <c r="P25" s="22">
        <f>P12-P20</f>
        <v>72864.610000000015</v>
      </c>
      <c r="Q25" s="14"/>
      <c r="R25" s="20">
        <f>IF(P$12=0,0,P25/P$12)</f>
        <v>0.53767564669374024</v>
      </c>
      <c r="S25" s="14"/>
      <c r="T25" s="22">
        <f>T12-T20</f>
        <v>71843</v>
      </c>
      <c r="U25" s="14"/>
      <c r="V25" s="20">
        <f>IF(T$12=0,0,T25/T$12)</f>
        <v>0.51999855240301096</v>
      </c>
      <c r="W25" s="15"/>
      <c r="X25" s="22">
        <f>+P25-T25</f>
        <v>1021.6100000000151</v>
      </c>
      <c r="Y25" s="15"/>
      <c r="Z25" s="20">
        <f>IF(T25=0,0,X25/T25)</f>
        <v>1.4220035354871249E-2</v>
      </c>
    </row>
    <row r="26" spans="1:26" x14ac:dyDescent="0.25">
      <c r="A26" s="9"/>
      <c r="B26" s="10"/>
      <c r="C26" s="9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6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25">
      <c r="A27" s="10"/>
      <c r="B27" s="28" t="s">
        <v>9</v>
      </c>
      <c r="C27" s="10"/>
      <c r="D27" s="21">
        <f>SUM(OSRRefD22x_0)</f>
        <v>20070.79</v>
      </c>
      <c r="E27" s="21"/>
      <c r="F27" s="33">
        <f t="shared" ref="F27:F37" si="12">IF(D$12=0,0,D27/D$12)</f>
        <v>0.23818138168956868</v>
      </c>
      <c r="G27" s="21"/>
      <c r="H27" s="21">
        <f>SUM(OSRRefH22x_0)</f>
        <v>21384.436861599999</v>
      </c>
      <c r="I27" s="21"/>
      <c r="J27" s="33">
        <f t="shared" ref="J27:J37" si="13">IF(H$12=0,0,H27/H$12)</f>
        <v>0.24493662361807894</v>
      </c>
      <c r="K27" s="4"/>
      <c r="L27" s="21">
        <f t="shared" ref="L27:L37" si="14">+D27-H27</f>
        <v>-1313.6468615999984</v>
      </c>
      <c r="M27" s="4"/>
      <c r="N27" s="33">
        <f t="shared" ref="N27:N37" si="15">IF(H27=0,0,L27/H27)</f>
        <v>-6.1430042329471489E-2</v>
      </c>
      <c r="O27" s="10"/>
      <c r="P27" s="21">
        <f>SUM(OSRRefP22x_0)</f>
        <v>54154.529999999992</v>
      </c>
      <c r="Q27" s="21"/>
      <c r="R27" s="33">
        <f t="shared" ref="R27:R37" si="16">IF(P$12=0,0,P27/P$12)</f>
        <v>0.39961199187294827</v>
      </c>
      <c r="S27" s="21"/>
      <c r="T27" s="21">
        <f>SUM(OSRRefT22x_0)</f>
        <v>53727.8901157</v>
      </c>
      <c r="U27" s="21"/>
      <c r="V27" s="33">
        <f t="shared" ref="V27:V37" si="17">IF(T$12=0,0,T27/T$12)</f>
        <v>0.38888165978358424</v>
      </c>
      <c r="W27" s="4"/>
      <c r="X27" s="21">
        <f t="shared" ref="X27:X37" si="18">+P27-T27</f>
        <v>426.63988429999154</v>
      </c>
      <c r="Y27" s="4"/>
      <c r="Z27" s="33">
        <f t="shared" ref="Z27:Z37" si="19">IF(T27=0,0,X27/T27)</f>
        <v>7.9407526217993383E-3</v>
      </c>
    </row>
    <row r="28" spans="1:26" s="26" customFormat="1" outlineLevel="1" collapsed="1" x14ac:dyDescent="0.25">
      <c r="A28" s="27"/>
      <c r="B28" s="13" t="str">
        <f>CONCATENATE("     ","*Benefits                                         ")</f>
        <v xml:space="preserve">     *Benefits                                         </v>
      </c>
      <c r="C28" s="13"/>
      <c r="D28" s="1">
        <f>SUM(OSRRefD22_0x_0)</f>
        <v>4110.2599999999993</v>
      </c>
      <c r="E28" s="1"/>
      <c r="F28" s="5">
        <f t="shared" si="12"/>
        <v>4.8776725076759127E-2</v>
      </c>
      <c r="G28" s="1"/>
      <c r="H28" s="1">
        <f>SUM(OSRRefH22_0x_0)</f>
        <v>3861.9228616</v>
      </c>
      <c r="I28" s="1"/>
      <c r="J28" s="5">
        <f t="shared" si="13"/>
        <v>4.4234335115570525E-2</v>
      </c>
      <c r="K28" s="1"/>
      <c r="L28" s="1">
        <f t="shared" si="14"/>
        <v>248.33713839999928</v>
      </c>
      <c r="M28" s="1"/>
      <c r="N28" s="5">
        <f t="shared" si="15"/>
        <v>6.4304013130162013E-2</v>
      </c>
      <c r="O28" s="13"/>
      <c r="P28" s="1">
        <f>SUM(OSRRefP22_0x_0)</f>
        <v>12872.19</v>
      </c>
      <c r="Q28" s="1"/>
      <c r="R28" s="5">
        <f t="shared" si="16"/>
        <v>9.4985248430132202E-2</v>
      </c>
      <c r="S28" s="1"/>
      <c r="T28" s="1">
        <f>SUM(OSRRefT22_0x_0)</f>
        <v>11746.494615699999</v>
      </c>
      <c r="U28" s="1"/>
      <c r="V28" s="5">
        <f t="shared" si="17"/>
        <v>8.5020951184858126E-2</v>
      </c>
      <c r="W28" s="1"/>
      <c r="X28" s="1">
        <f t="shared" si="18"/>
        <v>1125.695384300001</v>
      </c>
      <c r="Y28" s="1"/>
      <c r="Z28" s="5">
        <f t="shared" si="19"/>
        <v>9.5832452244555708E-2</v>
      </c>
    </row>
    <row r="29" spans="1:26" s="24" customFormat="1" hidden="1" outlineLevel="2" x14ac:dyDescent="0.25">
      <c r="A29" s="25"/>
      <c r="B29" s="11" t="str">
        <f>CONCATENATE("          ", "6111", " - ", "F.I.C.A.")</f>
        <v xml:space="preserve">          6111 - F.I.C.A.</v>
      </c>
      <c r="C29" s="11"/>
      <c r="D29" s="7">
        <v>453.12</v>
      </c>
      <c r="E29" s="2"/>
      <c r="F29" s="6">
        <f t="shared" si="12"/>
        <v>5.3772047672850628E-3</v>
      </c>
      <c r="G29" s="2"/>
      <c r="H29" s="7">
        <v>563.13222959999996</v>
      </c>
      <c r="I29" s="2"/>
      <c r="J29" s="6">
        <f t="shared" si="13"/>
        <v>6.4500976977527316E-3</v>
      </c>
      <c r="K29" s="2"/>
      <c r="L29" s="7">
        <f t="shared" si="14"/>
        <v>-110.01222959999996</v>
      </c>
      <c r="M29" s="2"/>
      <c r="N29" s="6">
        <f t="shared" si="15"/>
        <v>-0.19535772207203103</v>
      </c>
      <c r="O29" s="11"/>
      <c r="P29" s="7">
        <v>1357.22</v>
      </c>
      <c r="Q29" s="2"/>
      <c r="R29" s="6">
        <f t="shared" si="16"/>
        <v>1.001506960931621E-2</v>
      </c>
      <c r="S29" s="2"/>
      <c r="T29" s="7">
        <v>2011.8887517000001</v>
      </c>
      <c r="U29" s="2"/>
      <c r="V29" s="6">
        <f t="shared" si="17"/>
        <v>1.4562020495801969E-2</v>
      </c>
      <c r="W29" s="2"/>
      <c r="X29" s="7">
        <f t="shared" si="18"/>
        <v>-654.66875170000003</v>
      </c>
      <c r="Y29" s="2"/>
      <c r="Z29" s="6">
        <f t="shared" si="19"/>
        <v>-0.32540007549961192</v>
      </c>
    </row>
    <row r="30" spans="1:26" s="24" customFormat="1" hidden="1" outlineLevel="2" x14ac:dyDescent="0.25">
      <c r="A30" s="25"/>
      <c r="B30" s="11" t="str">
        <f>CONCATENATE("          ", "6112", " - ", "COMPENSATION INSURANCE")</f>
        <v xml:space="preserve">          6112 - COMPENSATION INSURANCE</v>
      </c>
      <c r="C30" s="11"/>
      <c r="D30" s="7">
        <v>203.11</v>
      </c>
      <c r="E30" s="2"/>
      <c r="F30" s="6">
        <f t="shared" si="12"/>
        <v>2.4103196951872994E-3</v>
      </c>
      <c r="G30" s="2"/>
      <c r="H30" s="7">
        <v>269.45458000000002</v>
      </c>
      <c r="I30" s="2"/>
      <c r="J30" s="6">
        <f t="shared" si="13"/>
        <v>3.0863237349093992E-3</v>
      </c>
      <c r="K30" s="2"/>
      <c r="L30" s="7">
        <f t="shared" si="14"/>
        <v>-66.344580000000008</v>
      </c>
      <c r="M30" s="2"/>
      <c r="N30" s="6">
        <f t="shared" si="15"/>
        <v>-0.24621804535666086</v>
      </c>
      <c r="O30" s="11"/>
      <c r="P30" s="7">
        <v>501.61</v>
      </c>
      <c r="Q30" s="2"/>
      <c r="R30" s="6">
        <f t="shared" si="16"/>
        <v>3.7014331256016741E-3</v>
      </c>
      <c r="S30" s="2"/>
      <c r="T30" s="7">
        <v>694.48590999999999</v>
      </c>
      <c r="U30" s="2"/>
      <c r="V30" s="6">
        <f t="shared" si="17"/>
        <v>5.0266785610885928E-3</v>
      </c>
      <c r="W30" s="2"/>
      <c r="X30" s="7">
        <f t="shared" si="18"/>
        <v>-192.87590999999998</v>
      </c>
      <c r="Y30" s="2"/>
      <c r="Z30" s="6">
        <f t="shared" si="19"/>
        <v>-0.27772472734544029</v>
      </c>
    </row>
    <row r="31" spans="1:26" s="24" customFormat="1" hidden="1" outlineLevel="2" x14ac:dyDescent="0.25">
      <c r="A31" s="25"/>
      <c r="B31" s="11" t="str">
        <f>CONCATENATE("          ", "6113", " - ", "GROUP INSURANCE")</f>
        <v xml:space="preserve">          6113 - GROUP INSURANCE</v>
      </c>
      <c r="C31" s="11"/>
      <c r="D31" s="7">
        <v>2019.97</v>
      </c>
      <c r="E31" s="2"/>
      <c r="F31" s="6">
        <f t="shared" si="12"/>
        <v>2.3971116511680806E-2</v>
      </c>
      <c r="G31" s="2"/>
      <c r="H31" s="7">
        <v>1977</v>
      </c>
      <c r="I31" s="2"/>
      <c r="J31" s="6">
        <f t="shared" si="13"/>
        <v>2.2644491787506014E-2</v>
      </c>
      <c r="K31" s="2"/>
      <c r="L31" s="7">
        <f t="shared" si="14"/>
        <v>42.970000000000027</v>
      </c>
      <c r="M31" s="2"/>
      <c r="N31" s="6">
        <f t="shared" si="15"/>
        <v>2.1734951947395057E-2</v>
      </c>
      <c r="O31" s="11"/>
      <c r="P31" s="7">
        <v>6059.91</v>
      </c>
      <c r="Q31" s="2"/>
      <c r="R31" s="6">
        <f t="shared" si="16"/>
        <v>4.47167154007393E-2</v>
      </c>
      <c r="S31" s="2"/>
      <c r="T31" s="7">
        <v>5931</v>
      </c>
      <c r="U31" s="2"/>
      <c r="V31" s="6">
        <f t="shared" si="17"/>
        <v>4.2928488708743488E-2</v>
      </c>
      <c r="W31" s="2"/>
      <c r="X31" s="7">
        <f t="shared" si="18"/>
        <v>128.90999999999985</v>
      </c>
      <c r="Y31" s="2"/>
      <c r="Z31" s="6">
        <f t="shared" si="19"/>
        <v>2.1734951947395019E-2</v>
      </c>
    </row>
    <row r="32" spans="1:26" s="24" customFormat="1" hidden="1" outlineLevel="2" x14ac:dyDescent="0.25">
      <c r="A32" s="25"/>
      <c r="B32" s="11" t="str">
        <f>CONCATENATE("          ", "6114", " - ", "STATE UNEMPLOYMENT INSURANCE")</f>
        <v xml:space="preserve">          6114 - STATE UNEMPLOYMENT INSURANCE</v>
      </c>
      <c r="C32" s="11"/>
      <c r="D32" s="7">
        <v>27.79</v>
      </c>
      <c r="E32" s="2"/>
      <c r="F32" s="6">
        <f t="shared" si="12"/>
        <v>3.2978575318426E-4</v>
      </c>
      <c r="G32" s="2"/>
      <c r="H32" s="7">
        <v>36.872731999999999</v>
      </c>
      <c r="I32" s="2"/>
      <c r="J32" s="6">
        <f t="shared" si="13"/>
        <v>4.2233903740865461E-4</v>
      </c>
      <c r="K32" s="2"/>
      <c r="L32" s="7">
        <f t="shared" si="14"/>
        <v>-9.082732</v>
      </c>
      <c r="M32" s="2"/>
      <c r="N32" s="6">
        <f t="shared" si="15"/>
        <v>-0.24632652660508042</v>
      </c>
      <c r="O32" s="11"/>
      <c r="P32" s="7">
        <v>68.290000000000006</v>
      </c>
      <c r="Q32" s="2"/>
      <c r="R32" s="6">
        <f t="shared" si="16"/>
        <v>5.0391911673877785E-4</v>
      </c>
      <c r="S32" s="2"/>
      <c r="T32" s="7">
        <v>95.034914000000001</v>
      </c>
      <c r="U32" s="2"/>
      <c r="V32" s="6">
        <f t="shared" si="17"/>
        <v>6.8786127678054435E-4</v>
      </c>
      <c r="W32" s="2"/>
      <c r="X32" s="7">
        <f t="shared" si="18"/>
        <v>-26.744913999999994</v>
      </c>
      <c r="Y32" s="2"/>
      <c r="Z32" s="6">
        <f t="shared" si="19"/>
        <v>-0.28142198350387304</v>
      </c>
    </row>
    <row r="33" spans="1:26" s="24" customFormat="1" hidden="1" outlineLevel="2" x14ac:dyDescent="0.25">
      <c r="A33" s="25"/>
      <c r="B33" s="11" t="str">
        <f>CONCATENATE("          ", "6115", " - ", "P.E.R.S.")</f>
        <v xml:space="preserve">          6115 - P.E.R.S.</v>
      </c>
      <c r="C33" s="11"/>
      <c r="D33" s="7">
        <v>568.97</v>
      </c>
      <c r="E33" s="2"/>
      <c r="F33" s="6">
        <f t="shared" si="12"/>
        <v>6.752004317713149E-3</v>
      </c>
      <c r="G33" s="2"/>
      <c r="H33" s="7">
        <v>478.68632000000002</v>
      </c>
      <c r="I33" s="2"/>
      <c r="J33" s="6">
        <f t="shared" si="13"/>
        <v>5.4828570774059062E-3</v>
      </c>
      <c r="K33" s="2"/>
      <c r="L33" s="7">
        <f t="shared" si="14"/>
        <v>90.283680000000004</v>
      </c>
      <c r="M33" s="2"/>
      <c r="N33" s="6">
        <f t="shared" si="15"/>
        <v>0.18860718643474081</v>
      </c>
      <c r="O33" s="11"/>
      <c r="P33" s="7">
        <v>1706.91</v>
      </c>
      <c r="Q33" s="2"/>
      <c r="R33" s="6">
        <f t="shared" si="16"/>
        <v>1.2595469022588771E-2</v>
      </c>
      <c r="S33" s="2"/>
      <c r="T33" s="7">
        <v>1555.73054</v>
      </c>
      <c r="U33" s="2"/>
      <c r="V33" s="6">
        <f t="shared" si="17"/>
        <v>1.1260354226983208E-2</v>
      </c>
      <c r="W33" s="2"/>
      <c r="X33" s="7">
        <f t="shared" si="18"/>
        <v>151.17946000000006</v>
      </c>
      <c r="Y33" s="2"/>
      <c r="Z33" s="6">
        <f t="shared" si="19"/>
        <v>9.7175864401299245E-2</v>
      </c>
    </row>
    <row r="34" spans="1:26" s="24" customFormat="1" hidden="1" outlineLevel="2" x14ac:dyDescent="0.25">
      <c r="A34" s="25"/>
      <c r="B34" s="11" t="str">
        <f>CONCATENATE("          ", "6116", " - ", "EDUCATIONAL BENEFITS")</f>
        <v xml:space="preserve">          6116 - EDUCATIONAL BENEFITS</v>
      </c>
      <c r="C34" s="11"/>
      <c r="D34" s="7"/>
      <c r="E34" s="2"/>
      <c r="F34" s="6">
        <f t="shared" si="12"/>
        <v>0</v>
      </c>
      <c r="G34" s="2"/>
      <c r="H34" s="7">
        <v>0</v>
      </c>
      <c r="I34" s="2"/>
      <c r="J34" s="6">
        <f t="shared" si="13"/>
        <v>0</v>
      </c>
      <c r="K34" s="2"/>
      <c r="L34" s="7">
        <f t="shared" si="14"/>
        <v>0</v>
      </c>
      <c r="M34" s="2"/>
      <c r="N34" s="6">
        <f t="shared" si="15"/>
        <v>0</v>
      </c>
      <c r="O34" s="11"/>
      <c r="P34" s="7"/>
      <c r="Q34" s="2"/>
      <c r="R34" s="6">
        <f t="shared" si="16"/>
        <v>0</v>
      </c>
      <c r="S34" s="2"/>
      <c r="T34" s="7">
        <v>0</v>
      </c>
      <c r="U34" s="2"/>
      <c r="V34" s="6">
        <f t="shared" si="17"/>
        <v>0</v>
      </c>
      <c r="W34" s="2"/>
      <c r="X34" s="7">
        <f t="shared" si="18"/>
        <v>0</v>
      </c>
      <c r="Y34" s="2"/>
      <c r="Z34" s="6">
        <f t="shared" si="19"/>
        <v>0</v>
      </c>
    </row>
    <row r="35" spans="1:26" s="24" customFormat="1" hidden="1" outlineLevel="2" x14ac:dyDescent="0.25">
      <c r="A35" s="25"/>
      <c r="B35" s="11" t="str">
        <f>CONCATENATE("          ", "6118", " - ", "VACATION")</f>
        <v xml:space="preserve">          6118 - VACATION</v>
      </c>
      <c r="C35" s="11"/>
      <c r="D35" s="7">
        <v>407.06</v>
      </c>
      <c r="E35" s="2"/>
      <c r="F35" s="6">
        <f t="shared" si="12"/>
        <v>4.8306077254834422E-3</v>
      </c>
      <c r="G35" s="2"/>
      <c r="H35" s="7">
        <v>220.74959999999999</v>
      </c>
      <c r="I35" s="2"/>
      <c r="J35" s="6">
        <f t="shared" si="13"/>
        <v>2.5284585251872721E-3</v>
      </c>
      <c r="K35" s="2"/>
      <c r="L35" s="7">
        <f t="shared" si="14"/>
        <v>186.31040000000002</v>
      </c>
      <c r="M35" s="2"/>
      <c r="N35" s="6">
        <f t="shared" si="15"/>
        <v>0.84398975128380771</v>
      </c>
      <c r="O35" s="11"/>
      <c r="P35" s="7">
        <v>1530.07</v>
      </c>
      <c r="Q35" s="2"/>
      <c r="R35" s="6">
        <f t="shared" si="16"/>
        <v>1.1290548000417362E-2</v>
      </c>
      <c r="S35" s="2"/>
      <c r="T35" s="7">
        <v>702.60419999999999</v>
      </c>
      <c r="U35" s="2"/>
      <c r="V35" s="6">
        <f t="shared" si="17"/>
        <v>5.0854386218876666E-3</v>
      </c>
      <c r="W35" s="2"/>
      <c r="X35" s="7">
        <f t="shared" si="18"/>
        <v>827.46579999999994</v>
      </c>
      <c r="Y35" s="2"/>
      <c r="Z35" s="6">
        <f t="shared" si="19"/>
        <v>1.1777125727401003</v>
      </c>
    </row>
    <row r="36" spans="1:26" s="24" customFormat="1" hidden="1" outlineLevel="2" x14ac:dyDescent="0.25">
      <c r="A36" s="25"/>
      <c r="B36" s="11" t="str">
        <f>CONCATENATE("          ", "6119", " - ", "SICK LEAVE")</f>
        <v xml:space="preserve">          6119 - SICK LEAVE</v>
      </c>
      <c r="C36" s="11"/>
      <c r="D36" s="7">
        <v>256.76</v>
      </c>
      <c r="E36" s="2"/>
      <c r="F36" s="6">
        <f t="shared" si="12"/>
        <v>3.0469877649366892E-3</v>
      </c>
      <c r="G36" s="2"/>
      <c r="H36" s="7">
        <v>316.0274</v>
      </c>
      <c r="I36" s="2"/>
      <c r="J36" s="6">
        <f t="shared" si="13"/>
        <v>3.6197672554005452E-3</v>
      </c>
      <c r="K36" s="2"/>
      <c r="L36" s="7">
        <f t="shared" si="14"/>
        <v>-59.267400000000009</v>
      </c>
      <c r="M36" s="2"/>
      <c r="N36" s="6">
        <f t="shared" si="15"/>
        <v>-0.18753880201526832</v>
      </c>
      <c r="O36" s="11"/>
      <c r="P36" s="7">
        <v>1174.7</v>
      </c>
      <c r="Q36" s="2"/>
      <c r="R36" s="6">
        <f t="shared" si="16"/>
        <v>8.6682352677264936E-3</v>
      </c>
      <c r="S36" s="2"/>
      <c r="T36" s="7">
        <v>755.75030000000004</v>
      </c>
      <c r="U36" s="2"/>
      <c r="V36" s="6">
        <f t="shared" si="17"/>
        <v>5.4701092935726696E-3</v>
      </c>
      <c r="W36" s="2"/>
      <c r="X36" s="7">
        <f t="shared" si="18"/>
        <v>418.94970000000001</v>
      </c>
      <c r="Y36" s="2"/>
      <c r="Z36" s="6">
        <f t="shared" si="19"/>
        <v>0.55434936645079724</v>
      </c>
    </row>
    <row r="37" spans="1:26" s="24" customFormat="1" hidden="1" outlineLevel="2" x14ac:dyDescent="0.25">
      <c r="A37" s="25"/>
      <c r="B37" s="11" t="str">
        <f>CONCATENATE("          ", "6156", " - ", "EMPLOYEE MEALS")</f>
        <v xml:space="preserve">          6156 - EMPLOYEE MEALS</v>
      </c>
      <c r="C37" s="11"/>
      <c r="D37" s="7">
        <v>173.48</v>
      </c>
      <c r="E37" s="2"/>
      <c r="F37" s="6">
        <f t="shared" si="12"/>
        <v>2.058698541288428E-3</v>
      </c>
      <c r="G37" s="2"/>
      <c r="H37" s="7"/>
      <c r="I37" s="2"/>
      <c r="J37" s="6">
        <f t="shared" si="13"/>
        <v>0</v>
      </c>
      <c r="K37" s="2"/>
      <c r="L37" s="7">
        <f t="shared" si="14"/>
        <v>173.48</v>
      </c>
      <c r="M37" s="2"/>
      <c r="N37" s="6">
        <f t="shared" si="15"/>
        <v>0</v>
      </c>
      <c r="O37" s="11"/>
      <c r="P37" s="7">
        <v>473.48</v>
      </c>
      <c r="Q37" s="2"/>
      <c r="R37" s="6">
        <f t="shared" si="16"/>
        <v>3.4938588870036097E-3</v>
      </c>
      <c r="S37" s="2"/>
      <c r="T37" s="7"/>
      <c r="U37" s="2"/>
      <c r="V37" s="6">
        <f t="shared" si="17"/>
        <v>0</v>
      </c>
      <c r="W37" s="2"/>
      <c r="X37" s="7">
        <f t="shared" si="18"/>
        <v>473.48</v>
      </c>
      <c r="Y37" s="2"/>
      <c r="Z37" s="6">
        <f t="shared" si="19"/>
        <v>0</v>
      </c>
    </row>
    <row r="38" spans="1:26" s="26" customFormat="1" outlineLevel="1" collapsed="1" x14ac:dyDescent="0.25">
      <c r="A38" s="27"/>
      <c r="B38" s="13" t="str">
        <f>CONCATENATE("     ","*Payroll                                          ")</f>
        <v xml:space="preserve">     *Payroll                                          </v>
      </c>
      <c r="C38" s="13"/>
      <c r="D38" s="1">
        <f>SUM(OSRRefD22_1x_0)</f>
        <v>11891.64</v>
      </c>
      <c r="E38" s="1"/>
      <c r="F38" s="5">
        <f t="shared" ref="F38:F48" si="20">IF(D$12=0,0,D38/D$12)</f>
        <v>0.14111887204016096</v>
      </c>
      <c r="G38" s="1"/>
      <c r="H38" s="1">
        <f>SUM(OSRRefH22_1x_0)</f>
        <v>13903.513999999999</v>
      </c>
      <c r="I38" s="1"/>
      <c r="J38" s="5">
        <f t="shared" ref="J38:J48" si="21">IF(H$12=0,0,H38/H$12)</f>
        <v>0.15925038370787803</v>
      </c>
      <c r="K38" s="1"/>
      <c r="L38" s="1">
        <f t="shared" ref="L38:L48" si="22">+D38-H38</f>
        <v>-2011.8739999999998</v>
      </c>
      <c r="M38" s="1"/>
      <c r="N38" s="5">
        <f t="shared" ref="N38:N48" si="23">IF(H38=0,0,L38/H38)</f>
        <v>-0.1447025550519099</v>
      </c>
      <c r="O38" s="13"/>
      <c r="P38" s="1">
        <f>SUM(OSRRefP22_1x_0)</f>
        <v>31128.699999999997</v>
      </c>
      <c r="Q38" s="1"/>
      <c r="R38" s="5">
        <f t="shared" ref="R38:R48" si="24">IF(P$12=0,0,P38/P$12)</f>
        <v>0.22970196235505036</v>
      </c>
      <c r="S38" s="1"/>
      <c r="T38" s="1">
        <f>SUM(OSRRefT22_1x_0)</f>
        <v>35647.395499999999</v>
      </c>
      <c r="U38" s="1"/>
      <c r="V38" s="5">
        <f t="shared" ref="V38:V48" si="25">IF(T$12=0,0,T38/T$12)</f>
        <v>0.25801531195715111</v>
      </c>
      <c r="W38" s="1"/>
      <c r="X38" s="1">
        <f t="shared" ref="X38:X48" si="26">+P38-T38</f>
        <v>-4518.6955000000016</v>
      </c>
      <c r="Y38" s="1"/>
      <c r="Z38" s="5">
        <f t="shared" ref="Z38:Z48" si="27">IF(T38=0,0,X38/T38)</f>
        <v>-0.12676088776247346</v>
      </c>
    </row>
    <row r="39" spans="1:26" s="24" customFormat="1" hidden="1" outlineLevel="2" x14ac:dyDescent="0.25">
      <c r="A39" s="25"/>
      <c r="B39" s="11" t="str">
        <f>CONCATENATE("          ", "6001", " - ", "ADMINISTRATIVE SALARIES")</f>
        <v xml:space="preserve">          6001 - ADMINISTRATIVE SALARIES</v>
      </c>
      <c r="C39" s="11"/>
      <c r="D39" s="7"/>
      <c r="E39" s="2"/>
      <c r="F39" s="6">
        <f t="shared" si="20"/>
        <v>0</v>
      </c>
      <c r="G39" s="2"/>
      <c r="H39" s="7">
        <v>5287.8140000000003</v>
      </c>
      <c r="I39" s="2"/>
      <c r="J39" s="6">
        <f t="shared" si="21"/>
        <v>6.0566444459716401E-2</v>
      </c>
      <c r="K39" s="2"/>
      <c r="L39" s="7">
        <f t="shared" si="22"/>
        <v>-5287.8140000000003</v>
      </c>
      <c r="M39" s="2"/>
      <c r="N39" s="6">
        <f t="shared" si="23"/>
        <v>-1</v>
      </c>
      <c r="O39" s="11"/>
      <c r="P39" s="7"/>
      <c r="Q39" s="2"/>
      <c r="R39" s="6">
        <f t="shared" si="24"/>
        <v>0</v>
      </c>
      <c r="S39" s="2"/>
      <c r="T39" s="7">
        <v>17185.395499999999</v>
      </c>
      <c r="U39" s="2"/>
      <c r="V39" s="6">
        <f t="shared" si="25"/>
        <v>0.12438763390272148</v>
      </c>
      <c r="W39" s="2"/>
      <c r="X39" s="7">
        <f t="shared" si="26"/>
        <v>-17185.395499999999</v>
      </c>
      <c r="Y39" s="2"/>
      <c r="Z39" s="6">
        <f t="shared" si="27"/>
        <v>-1</v>
      </c>
    </row>
    <row r="40" spans="1:26" s="24" customFormat="1" hidden="1" outlineLevel="2" x14ac:dyDescent="0.25">
      <c r="A40" s="25"/>
      <c r="B40" s="11" t="str">
        <f>CONCATENATE("          ", "6002", " - ", "STAFF SALARIES")</f>
        <v xml:space="preserve">          6002 - STAFF SALARIES</v>
      </c>
      <c r="C40" s="11"/>
      <c r="D40" s="7">
        <v>5009.99</v>
      </c>
      <c r="E40" s="2"/>
      <c r="F40" s="6">
        <f t="shared" si="20"/>
        <v>5.9453880014235717E-2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5009.99</v>
      </c>
      <c r="M40" s="2"/>
      <c r="N40" s="6">
        <f t="shared" si="23"/>
        <v>0</v>
      </c>
      <c r="O40" s="11"/>
      <c r="P40" s="7">
        <v>16804.689999999999</v>
      </c>
      <c r="Q40" s="2"/>
      <c r="R40" s="6">
        <f t="shared" si="24"/>
        <v>0.12400358093233227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16804.689999999999</v>
      </c>
      <c r="Y40" s="2"/>
      <c r="Z40" s="6">
        <f t="shared" si="27"/>
        <v>0</v>
      </c>
    </row>
    <row r="41" spans="1:26" s="24" customFormat="1" hidden="1" outlineLevel="2" x14ac:dyDescent="0.25">
      <c r="A41" s="25"/>
      <c r="B41" s="11" t="str">
        <f>CONCATENATE("          ", "6003", " - ", "STAFF HOURLY-9 MONTH")</f>
        <v xml:space="preserve">          6003 - STAFF HOURLY-9 MONTH</v>
      </c>
      <c r="C41" s="11"/>
      <c r="D41" s="7"/>
      <c r="E41" s="2"/>
      <c r="F41" s="6">
        <f t="shared" si="20"/>
        <v>0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0</v>
      </c>
      <c r="M41" s="2"/>
      <c r="N41" s="6">
        <f t="shared" si="23"/>
        <v>0</v>
      </c>
      <c r="O41" s="11"/>
      <c r="P41" s="7"/>
      <c r="Q41" s="2"/>
      <c r="R41" s="6">
        <f t="shared" si="24"/>
        <v>0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0</v>
      </c>
      <c r="Y41" s="2"/>
      <c r="Z41" s="6">
        <f t="shared" si="27"/>
        <v>0</v>
      </c>
    </row>
    <row r="42" spans="1:26" s="24" customFormat="1" hidden="1" outlineLevel="2" x14ac:dyDescent="0.25">
      <c r="A42" s="25"/>
      <c r="B42" s="11" t="str">
        <f>CONCATENATE("          ", "6004", " - ", "STAFF HOURLY")</f>
        <v xml:space="preserve">          6004 - STAFF HOURLY</v>
      </c>
      <c r="C42" s="11"/>
      <c r="D42" s="7"/>
      <c r="E42" s="2"/>
      <c r="F42" s="6">
        <f t="shared" si="20"/>
        <v>0</v>
      </c>
      <c r="G42" s="2"/>
      <c r="H42" s="7">
        <v>1792.2</v>
      </c>
      <c r="I42" s="2"/>
      <c r="J42" s="6">
        <f t="shared" si="21"/>
        <v>2.0527798776716379E-2</v>
      </c>
      <c r="K42" s="2"/>
      <c r="L42" s="7">
        <f t="shared" si="22"/>
        <v>-1792.2</v>
      </c>
      <c r="M42" s="2"/>
      <c r="N42" s="6">
        <f t="shared" si="23"/>
        <v>-1</v>
      </c>
      <c r="O42" s="11"/>
      <c r="P42" s="7"/>
      <c r="Q42" s="2"/>
      <c r="R42" s="6">
        <f t="shared" si="24"/>
        <v>0</v>
      </c>
      <c r="S42" s="2"/>
      <c r="T42" s="7">
        <v>5330.25</v>
      </c>
      <c r="U42" s="2"/>
      <c r="V42" s="6">
        <f t="shared" si="25"/>
        <v>3.858026925303995E-2</v>
      </c>
      <c r="W42" s="2"/>
      <c r="X42" s="7">
        <f t="shared" si="26"/>
        <v>-5330.25</v>
      </c>
      <c r="Y42" s="2"/>
      <c r="Z42" s="6">
        <f t="shared" si="27"/>
        <v>-1</v>
      </c>
    </row>
    <row r="43" spans="1:26" s="24" customFormat="1" hidden="1" outlineLevel="2" x14ac:dyDescent="0.25">
      <c r="A43" s="25"/>
      <c r="B43" s="11" t="str">
        <f>CONCATENATE("          ", "6005", " - ", "TEMPORARY WAGES-HOURLY")</f>
        <v xml:space="preserve">          6005 - TEMPORARY WAGES-HOURLY</v>
      </c>
      <c r="C43" s="11"/>
      <c r="D43" s="7">
        <v>358.7</v>
      </c>
      <c r="E43" s="2"/>
      <c r="F43" s="6">
        <f t="shared" si="20"/>
        <v>4.2567164327885591E-3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358.7</v>
      </c>
      <c r="M43" s="2"/>
      <c r="N43" s="6">
        <f t="shared" si="23"/>
        <v>0</v>
      </c>
      <c r="O43" s="11"/>
      <c r="P43" s="7">
        <v>517.32000000000005</v>
      </c>
      <c r="Q43" s="2"/>
      <c r="R43" s="6">
        <f t="shared" si="24"/>
        <v>3.8173588734998465E-3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517.32000000000005</v>
      </c>
      <c r="Y43" s="2"/>
      <c r="Z43" s="6">
        <f t="shared" si="27"/>
        <v>0</v>
      </c>
    </row>
    <row r="44" spans="1:26" s="24" customFormat="1" hidden="1" outlineLevel="2" x14ac:dyDescent="0.25">
      <c r="A44" s="25"/>
      <c r="B44" s="11" t="str">
        <f>CONCATENATE("          ", "6006", " - ", "TEMPORARY PART TIME")</f>
        <v xml:space="preserve">          6006 - TEMPORARY PART TIME</v>
      </c>
      <c r="C44" s="11"/>
      <c r="D44" s="7">
        <v>714</v>
      </c>
      <c r="E44" s="2"/>
      <c r="F44" s="6">
        <f t="shared" si="20"/>
        <v>8.4730848425175111E-3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714</v>
      </c>
      <c r="M44" s="2"/>
      <c r="N44" s="6">
        <f t="shared" si="23"/>
        <v>0</v>
      </c>
      <c r="O44" s="11"/>
      <c r="P44" s="7">
        <v>870.19</v>
      </c>
      <c r="Q44" s="2"/>
      <c r="R44" s="6">
        <f t="shared" si="24"/>
        <v>6.4212238423622349E-3</v>
      </c>
      <c r="S44" s="2"/>
      <c r="T44" s="7">
        <v>0</v>
      </c>
      <c r="U44" s="2"/>
      <c r="V44" s="6">
        <f t="shared" si="25"/>
        <v>0</v>
      </c>
      <c r="W44" s="2"/>
      <c r="X44" s="7">
        <f t="shared" si="26"/>
        <v>870.19</v>
      </c>
      <c r="Y44" s="2"/>
      <c r="Z44" s="6">
        <f t="shared" si="27"/>
        <v>0</v>
      </c>
    </row>
    <row r="45" spans="1:26" s="24" customFormat="1" hidden="1" outlineLevel="2" x14ac:dyDescent="0.25">
      <c r="A45" s="25"/>
      <c r="B45" s="11" t="str">
        <f>CONCATENATE("          ", "6007", " - ", "STUDENT HOURLY")</f>
        <v xml:space="preserve">          6007 - STUDENT HOURLY</v>
      </c>
      <c r="C45" s="11"/>
      <c r="D45" s="7">
        <v>5725.7</v>
      </c>
      <c r="E45" s="2"/>
      <c r="F45" s="6">
        <f t="shared" si="20"/>
        <v>6.7947257538939085E-2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5725.7</v>
      </c>
      <c r="M45" s="2"/>
      <c r="N45" s="6">
        <f t="shared" si="23"/>
        <v>0</v>
      </c>
      <c r="O45" s="11"/>
      <c r="P45" s="7">
        <v>9543.02</v>
      </c>
      <c r="Q45" s="2"/>
      <c r="R45" s="6">
        <f t="shared" si="24"/>
        <v>7.0418951668187013E-2</v>
      </c>
      <c r="S45" s="2"/>
      <c r="T45" s="7">
        <v>2868.75</v>
      </c>
      <c r="U45" s="2"/>
      <c r="V45" s="6">
        <f t="shared" si="25"/>
        <v>2.0763969310943833E-2</v>
      </c>
      <c r="W45" s="2"/>
      <c r="X45" s="7">
        <f t="shared" si="26"/>
        <v>6674.27</v>
      </c>
      <c r="Y45" s="2"/>
      <c r="Z45" s="6">
        <f t="shared" si="27"/>
        <v>2.3265429193899783</v>
      </c>
    </row>
    <row r="46" spans="1:26" s="24" customFormat="1" hidden="1" outlineLevel="2" x14ac:dyDescent="0.25">
      <c r="A46" s="25"/>
      <c r="B46" s="11" t="str">
        <f>CONCATENATE("          ", "6008", " - ", "STUDENT HOURLY-FICA EXEMPT")</f>
        <v xml:space="preserve">          6008 - STUDENT HOURLY-FICA EXEMPT</v>
      </c>
      <c r="C46" s="11"/>
      <c r="D46" s="7">
        <v>83.25</v>
      </c>
      <c r="E46" s="2"/>
      <c r="F46" s="6">
        <f t="shared" si="20"/>
        <v>9.8793321168008782E-4</v>
      </c>
      <c r="G46" s="2"/>
      <c r="H46" s="7">
        <v>6823.5</v>
      </c>
      <c r="I46" s="2"/>
      <c r="J46" s="6">
        <f t="shared" si="21"/>
        <v>7.8156140471445257E-2</v>
      </c>
      <c r="K46" s="2"/>
      <c r="L46" s="7">
        <f t="shared" si="22"/>
        <v>-6740.25</v>
      </c>
      <c r="M46" s="2"/>
      <c r="N46" s="6">
        <f t="shared" si="23"/>
        <v>-0.98779951637722574</v>
      </c>
      <c r="O46" s="11"/>
      <c r="P46" s="7">
        <v>3393.48</v>
      </c>
      <c r="Q46" s="2"/>
      <c r="R46" s="6">
        <f t="shared" si="24"/>
        <v>2.5040847038669021E-2</v>
      </c>
      <c r="S46" s="2"/>
      <c r="T46" s="7">
        <v>10263</v>
      </c>
      <c r="U46" s="2"/>
      <c r="V46" s="6">
        <f t="shared" si="25"/>
        <v>7.4283439490445857E-2</v>
      </c>
      <c r="W46" s="2"/>
      <c r="X46" s="7">
        <f t="shared" si="26"/>
        <v>-6869.52</v>
      </c>
      <c r="Y46" s="2"/>
      <c r="Z46" s="6">
        <f t="shared" si="27"/>
        <v>-0.66934814381759722</v>
      </c>
    </row>
    <row r="47" spans="1:26" s="24" customFormat="1" hidden="1" outlineLevel="2" x14ac:dyDescent="0.25">
      <c r="A47" s="25"/>
      <c r="B47" s="11" t="str">
        <f>CONCATENATE("          ", "6009", " - ", "TEMPORARY-SEASONAL")</f>
        <v xml:space="preserve">          6009 - TEMPORARY-SEASONAL</v>
      </c>
      <c r="C47" s="11"/>
      <c r="D47" s="7"/>
      <c r="E47" s="2"/>
      <c r="F47" s="6">
        <f t="shared" si="20"/>
        <v>0</v>
      </c>
      <c r="G47" s="2"/>
      <c r="H47" s="7">
        <v>0</v>
      </c>
      <c r="I47" s="2"/>
      <c r="J47" s="6">
        <f t="shared" si="21"/>
        <v>0</v>
      </c>
      <c r="K47" s="2"/>
      <c r="L47" s="7">
        <f t="shared" si="22"/>
        <v>0</v>
      </c>
      <c r="M47" s="2"/>
      <c r="N47" s="6">
        <f t="shared" si="23"/>
        <v>0</v>
      </c>
      <c r="O47" s="11"/>
      <c r="P47" s="7"/>
      <c r="Q47" s="2"/>
      <c r="R47" s="6">
        <f t="shared" si="24"/>
        <v>0</v>
      </c>
      <c r="S47" s="2"/>
      <c r="T47" s="7">
        <v>0</v>
      </c>
      <c r="U47" s="2"/>
      <c r="V47" s="6">
        <f t="shared" si="25"/>
        <v>0</v>
      </c>
      <c r="W47" s="2"/>
      <c r="X47" s="7">
        <f t="shared" si="26"/>
        <v>0</v>
      </c>
      <c r="Y47" s="2"/>
      <c r="Z47" s="6">
        <f t="shared" si="27"/>
        <v>0</v>
      </c>
    </row>
    <row r="48" spans="1:26" s="24" customFormat="1" hidden="1" outlineLevel="2" x14ac:dyDescent="0.25">
      <c r="A48" s="25"/>
      <c r="B48" s="11" t="str">
        <f>CONCATENATE("          ", "6010", " - ", "GRATUITY")</f>
        <v xml:space="preserve">          6010 - GRATUITY</v>
      </c>
      <c r="C48" s="11"/>
      <c r="D48" s="7"/>
      <c r="E48" s="2"/>
      <c r="F48" s="6">
        <f t="shared" si="20"/>
        <v>0</v>
      </c>
      <c r="G48" s="2"/>
      <c r="H48" s="7">
        <v>0</v>
      </c>
      <c r="I48" s="2"/>
      <c r="J48" s="6">
        <f t="shared" si="21"/>
        <v>0</v>
      </c>
      <c r="K48" s="2"/>
      <c r="L48" s="7">
        <f t="shared" si="22"/>
        <v>0</v>
      </c>
      <c r="M48" s="2"/>
      <c r="N48" s="6">
        <f t="shared" si="23"/>
        <v>0</v>
      </c>
      <c r="O48" s="11"/>
      <c r="P48" s="7"/>
      <c r="Q48" s="2"/>
      <c r="R48" s="6">
        <f t="shared" si="24"/>
        <v>0</v>
      </c>
      <c r="S48" s="2"/>
      <c r="T48" s="7">
        <v>0</v>
      </c>
      <c r="U48" s="2"/>
      <c r="V48" s="6">
        <f t="shared" si="25"/>
        <v>0</v>
      </c>
      <c r="W48" s="2"/>
      <c r="X48" s="7">
        <f t="shared" si="26"/>
        <v>0</v>
      </c>
      <c r="Y48" s="2"/>
      <c r="Z48" s="6">
        <f t="shared" si="27"/>
        <v>0</v>
      </c>
    </row>
    <row r="49" spans="1:26" s="26" customFormat="1" outlineLevel="1" collapsed="1" x14ac:dyDescent="0.25">
      <c r="A49" s="27"/>
      <c r="B49" s="13" t="str">
        <f>CONCATENATE("     ","Advertising/Promo                                 ")</f>
        <v xml:space="preserve">     Advertising/Promo                                 </v>
      </c>
      <c r="C49" s="13"/>
      <c r="D49" s="1">
        <f>SUM(OSRRefD22_2x_0)</f>
        <v>11.07</v>
      </c>
      <c r="E49" s="1"/>
      <c r="F49" s="5">
        <f t="shared" ref="F49:F65" si="28">IF(D$12=0,0,D49/D$12)</f>
        <v>1.3136841625583872E-4</v>
      </c>
      <c r="G49" s="1"/>
      <c r="H49" s="1">
        <f>SUM(OSRRefH22_2x_0)</f>
        <v>0</v>
      </c>
      <c r="I49" s="1"/>
      <c r="J49" s="5">
        <f t="shared" ref="J49:J65" si="29">IF(H$12=0,0,H49/H$12)</f>
        <v>0</v>
      </c>
      <c r="K49" s="1"/>
      <c r="L49" s="1">
        <f t="shared" ref="L49:L65" si="30">+D49-H49</f>
        <v>11.07</v>
      </c>
      <c r="M49" s="1"/>
      <c r="N49" s="5">
        <f t="shared" ref="N49:N65" si="31">IF(H49=0,0,L49/H49)</f>
        <v>0</v>
      </c>
      <c r="O49" s="13"/>
      <c r="P49" s="1">
        <f>SUM(OSRRefP22_2x_0)</f>
        <v>158.30000000000001</v>
      </c>
      <c r="Q49" s="1"/>
      <c r="R49" s="5">
        <f t="shared" ref="R49:R65" si="32">IF(P$12=0,0,P49/P$12)</f>
        <v>1.1681124056193955E-3</v>
      </c>
      <c r="S49" s="1"/>
      <c r="T49" s="1">
        <f>SUM(OSRRefT22_2x_0)</f>
        <v>0</v>
      </c>
      <c r="U49" s="1"/>
      <c r="V49" s="5">
        <f t="shared" ref="V49:V65" si="33">IF(T$12=0,0,T49/T$12)</f>
        <v>0</v>
      </c>
      <c r="W49" s="1"/>
      <c r="X49" s="1">
        <f t="shared" ref="X49:X65" si="34">+P49-T49</f>
        <v>158.30000000000001</v>
      </c>
      <c r="Y49" s="1"/>
      <c r="Z49" s="5">
        <f t="shared" ref="Z49:Z65" si="35">IF(T49=0,0,X49/T49)</f>
        <v>0</v>
      </c>
    </row>
    <row r="50" spans="1:26" s="24" customFormat="1" hidden="1" outlineLevel="2" x14ac:dyDescent="0.25">
      <c r="A50" s="25"/>
      <c r="B50" s="11" t="str">
        <f>CONCATENATE("          ", "6362", " - ", "ADVERTISING EXPENSE")</f>
        <v xml:space="preserve">          6362 - ADVERTISING EXPENSE</v>
      </c>
      <c r="C50" s="11"/>
      <c r="D50" s="7">
        <v>11.07</v>
      </c>
      <c r="E50" s="2"/>
      <c r="F50" s="6">
        <f t="shared" si="28"/>
        <v>1.3136841625583872E-4</v>
      </c>
      <c r="G50" s="2"/>
      <c r="H50" s="7">
        <v>0</v>
      </c>
      <c r="I50" s="2"/>
      <c r="J50" s="6">
        <f t="shared" si="29"/>
        <v>0</v>
      </c>
      <c r="K50" s="2"/>
      <c r="L50" s="7">
        <f t="shared" si="30"/>
        <v>11.07</v>
      </c>
      <c r="M50" s="2"/>
      <c r="N50" s="6">
        <f t="shared" si="31"/>
        <v>0</v>
      </c>
      <c r="O50" s="11"/>
      <c r="P50" s="7">
        <v>158.30000000000001</v>
      </c>
      <c r="Q50" s="2"/>
      <c r="R50" s="6">
        <f t="shared" si="32"/>
        <v>1.1681124056193955E-3</v>
      </c>
      <c r="S50" s="2"/>
      <c r="T50" s="7">
        <v>0</v>
      </c>
      <c r="U50" s="2"/>
      <c r="V50" s="6">
        <f t="shared" si="33"/>
        <v>0</v>
      </c>
      <c r="W50" s="2"/>
      <c r="X50" s="7">
        <f t="shared" si="34"/>
        <v>158.30000000000001</v>
      </c>
      <c r="Y50" s="2"/>
      <c r="Z50" s="6">
        <f t="shared" si="35"/>
        <v>0</v>
      </c>
    </row>
    <row r="51" spans="1:26" s="26" customFormat="1" outlineLevel="1" collapsed="1" x14ac:dyDescent="0.25">
      <c r="A51" s="27"/>
      <c r="B51" s="13" t="str">
        <f>CONCATENATE("     ","Bad Debts/Over/Short                              ")</f>
        <v xml:space="preserve">     Bad Debts/Over/Short                              </v>
      </c>
      <c r="C51" s="13"/>
      <c r="D51" s="1">
        <f>SUM(OSRRefD22_3x_0)</f>
        <v>-47.45</v>
      </c>
      <c r="E51" s="1"/>
      <c r="F51" s="5">
        <f t="shared" si="28"/>
        <v>-5.6309226299363572E-4</v>
      </c>
      <c r="G51" s="1"/>
      <c r="H51" s="1">
        <f>SUM(OSRRefH22_3x_0)</f>
        <v>0</v>
      </c>
      <c r="I51" s="1"/>
      <c r="J51" s="5">
        <f t="shared" si="29"/>
        <v>0</v>
      </c>
      <c r="K51" s="1"/>
      <c r="L51" s="1">
        <f t="shared" si="30"/>
        <v>-47.45</v>
      </c>
      <c r="M51" s="1"/>
      <c r="N51" s="5">
        <f t="shared" si="31"/>
        <v>0</v>
      </c>
      <c r="O51" s="13"/>
      <c r="P51" s="1">
        <f>SUM(OSRRefP22_3x_0)</f>
        <v>-60.18</v>
      </c>
      <c r="Q51" s="1"/>
      <c r="R51" s="5">
        <f t="shared" si="32"/>
        <v>-4.4407457087918646E-4</v>
      </c>
      <c r="S51" s="1"/>
      <c r="T51" s="1">
        <f>SUM(OSRRefT22_3x_0)</f>
        <v>0</v>
      </c>
      <c r="U51" s="1"/>
      <c r="V51" s="5">
        <f t="shared" si="33"/>
        <v>0</v>
      </c>
      <c r="W51" s="1"/>
      <c r="X51" s="1">
        <f t="shared" si="34"/>
        <v>-60.18</v>
      </c>
      <c r="Y51" s="1"/>
      <c r="Z51" s="5">
        <f t="shared" si="35"/>
        <v>0</v>
      </c>
    </row>
    <row r="52" spans="1:26" s="24" customFormat="1" hidden="1" outlineLevel="2" x14ac:dyDescent="0.25">
      <c r="A52" s="25"/>
      <c r="B52" s="11" t="str">
        <f>CONCATENATE("          ", "6272", " - ", "CASH (OVER/SHORT)")</f>
        <v xml:space="preserve">          6272 - CASH (OVER/SHORT)</v>
      </c>
      <c r="C52" s="11"/>
      <c r="D52" s="7">
        <v>-47.45</v>
      </c>
      <c r="E52" s="2"/>
      <c r="F52" s="6">
        <f t="shared" si="28"/>
        <v>-5.6309226299363572E-4</v>
      </c>
      <c r="G52" s="2"/>
      <c r="H52" s="7">
        <v>0</v>
      </c>
      <c r="I52" s="2"/>
      <c r="J52" s="6">
        <f t="shared" si="29"/>
        <v>0</v>
      </c>
      <c r="K52" s="2"/>
      <c r="L52" s="7">
        <f t="shared" si="30"/>
        <v>-47.45</v>
      </c>
      <c r="M52" s="2"/>
      <c r="N52" s="6">
        <f t="shared" si="31"/>
        <v>0</v>
      </c>
      <c r="O52" s="11"/>
      <c r="P52" s="7">
        <v>-60.18</v>
      </c>
      <c r="Q52" s="2"/>
      <c r="R52" s="6">
        <f t="shared" si="32"/>
        <v>-4.4407457087918646E-4</v>
      </c>
      <c r="S52" s="2"/>
      <c r="T52" s="7">
        <v>0</v>
      </c>
      <c r="U52" s="2"/>
      <c r="V52" s="6">
        <f t="shared" si="33"/>
        <v>0</v>
      </c>
      <c r="W52" s="2"/>
      <c r="X52" s="7">
        <f t="shared" si="34"/>
        <v>-60.18</v>
      </c>
      <c r="Y52" s="2"/>
      <c r="Z52" s="6">
        <f t="shared" si="35"/>
        <v>0</v>
      </c>
    </row>
    <row r="53" spans="1:26" s="26" customFormat="1" outlineLevel="1" collapsed="1" x14ac:dyDescent="0.25">
      <c r="A53" s="27"/>
      <c r="B53" s="13" t="str">
        <f>CONCATENATE("     ","Bank/card Fees                                    ")</f>
        <v xml:space="preserve">     Bank/card Fees                                    </v>
      </c>
      <c r="C53" s="13"/>
      <c r="D53" s="1">
        <f>SUM(OSRRefD22_4x_0)</f>
        <v>2835.26</v>
      </c>
      <c r="E53" s="1"/>
      <c r="F53" s="5">
        <f t="shared" si="28"/>
        <v>3.3646216429406441E-2</v>
      </c>
      <c r="G53" s="1"/>
      <c r="H53" s="1">
        <f>SUM(OSRRefH22_4x_0)</f>
        <v>2767</v>
      </c>
      <c r="I53" s="1"/>
      <c r="J53" s="5">
        <f t="shared" si="29"/>
        <v>3.169312532930154E-2</v>
      </c>
      <c r="K53" s="1"/>
      <c r="L53" s="1">
        <f t="shared" si="30"/>
        <v>68.260000000000218</v>
      </c>
      <c r="M53" s="1"/>
      <c r="N53" s="5">
        <f t="shared" si="31"/>
        <v>2.4669316949765166E-2</v>
      </c>
      <c r="O53" s="13"/>
      <c r="P53" s="1">
        <f>SUM(OSRRefP22_4x_0)</f>
        <v>4394.16</v>
      </c>
      <c r="Q53" s="1"/>
      <c r="R53" s="5">
        <f t="shared" si="32"/>
        <v>3.2424970361822632E-2</v>
      </c>
      <c r="S53" s="1"/>
      <c r="T53" s="1">
        <f>SUM(OSRRefT22_4x_0)</f>
        <v>4379</v>
      </c>
      <c r="U53" s="1"/>
      <c r="V53" s="5">
        <f t="shared" si="33"/>
        <v>3.1695136074116968E-2</v>
      </c>
      <c r="W53" s="1"/>
      <c r="X53" s="1">
        <f t="shared" si="34"/>
        <v>15.159999999999854</v>
      </c>
      <c r="Y53" s="1"/>
      <c r="Z53" s="5">
        <f t="shared" si="35"/>
        <v>3.4619776204612594E-3</v>
      </c>
    </row>
    <row r="54" spans="1:26" s="24" customFormat="1" hidden="1" outlineLevel="2" x14ac:dyDescent="0.25">
      <c r="A54" s="25"/>
      <c r="B54" s="11" t="str">
        <f>CONCATENATE("          ", "6381", " - ", "BANK/CREDIT CARD FEES")</f>
        <v xml:space="preserve">          6381 - BANK/CREDIT CARD FEES</v>
      </c>
      <c r="C54" s="11"/>
      <c r="D54" s="7">
        <v>2835.26</v>
      </c>
      <c r="E54" s="2"/>
      <c r="F54" s="6">
        <f t="shared" si="28"/>
        <v>3.3646216429406441E-2</v>
      </c>
      <c r="G54" s="2"/>
      <c r="H54" s="7">
        <v>2767</v>
      </c>
      <c r="I54" s="2"/>
      <c r="J54" s="6">
        <f t="shared" si="29"/>
        <v>3.169312532930154E-2</v>
      </c>
      <c r="K54" s="2"/>
      <c r="L54" s="7">
        <f t="shared" si="30"/>
        <v>68.260000000000218</v>
      </c>
      <c r="M54" s="2"/>
      <c r="N54" s="6">
        <f t="shared" si="31"/>
        <v>2.4669316949765166E-2</v>
      </c>
      <c r="O54" s="11"/>
      <c r="P54" s="7">
        <v>4394.16</v>
      </c>
      <c r="Q54" s="2"/>
      <c r="R54" s="6">
        <f t="shared" si="32"/>
        <v>3.2424970361822632E-2</v>
      </c>
      <c r="S54" s="2"/>
      <c r="T54" s="7">
        <v>4379</v>
      </c>
      <c r="U54" s="2"/>
      <c r="V54" s="6">
        <f t="shared" si="33"/>
        <v>3.1695136074116968E-2</v>
      </c>
      <c r="W54" s="2"/>
      <c r="X54" s="7">
        <f t="shared" si="34"/>
        <v>15.159999999999854</v>
      </c>
      <c r="Y54" s="2"/>
      <c r="Z54" s="6">
        <f t="shared" si="35"/>
        <v>3.4619776204612594E-3</v>
      </c>
    </row>
    <row r="55" spans="1:26" s="26" customFormat="1" outlineLevel="1" collapsed="1" x14ac:dyDescent="0.25">
      <c r="A55" s="27"/>
      <c r="B55" s="13" t="str">
        <f>CONCATENATE("     ","Discounts and Markdowns                           ")</f>
        <v xml:space="preserve">     Discounts and Markdowns                           </v>
      </c>
      <c r="C55" s="13"/>
      <c r="D55" s="1">
        <f>SUM(OSRRefD22_5x_0)</f>
        <v>11.81</v>
      </c>
      <c r="E55" s="1"/>
      <c r="F55" s="5">
        <f t="shared" si="28"/>
        <v>1.4015004480410616E-4</v>
      </c>
      <c r="G55" s="1"/>
      <c r="H55" s="1">
        <f>SUM(OSRRefH22_5x_0)</f>
        <v>0</v>
      </c>
      <c r="I55" s="1"/>
      <c r="J55" s="5">
        <f t="shared" si="29"/>
        <v>0</v>
      </c>
      <c r="K55" s="1"/>
      <c r="L55" s="1">
        <f t="shared" si="30"/>
        <v>11.81</v>
      </c>
      <c r="M55" s="1"/>
      <c r="N55" s="5">
        <f t="shared" si="31"/>
        <v>0</v>
      </c>
      <c r="O55" s="13"/>
      <c r="P55" s="1">
        <f>SUM(OSRRefP22_5x_0)</f>
        <v>31.9</v>
      </c>
      <c r="Q55" s="1"/>
      <c r="R55" s="5">
        <f t="shared" si="32"/>
        <v>2.3539346645141322E-4</v>
      </c>
      <c r="S55" s="1"/>
      <c r="T55" s="1">
        <f>SUM(OSRRefT22_5x_0)</f>
        <v>0</v>
      </c>
      <c r="U55" s="1"/>
      <c r="V55" s="5">
        <f t="shared" si="33"/>
        <v>0</v>
      </c>
      <c r="W55" s="1"/>
      <c r="X55" s="1">
        <f t="shared" si="34"/>
        <v>31.9</v>
      </c>
      <c r="Y55" s="1"/>
      <c r="Z55" s="5">
        <f t="shared" si="35"/>
        <v>0</v>
      </c>
    </row>
    <row r="56" spans="1:26" s="24" customFormat="1" hidden="1" outlineLevel="2" x14ac:dyDescent="0.25">
      <c r="A56" s="25"/>
      <c r="B56" s="11" t="str">
        <f>CONCATENATE("          ", "6382", " - ", "DISCOUNTS/MARK DOWNS")</f>
        <v xml:space="preserve">          6382 - DISCOUNTS/MARK DOWNS</v>
      </c>
      <c r="C56" s="11"/>
      <c r="D56" s="7">
        <v>11.81</v>
      </c>
      <c r="E56" s="2"/>
      <c r="F56" s="6">
        <f t="shared" si="28"/>
        <v>1.4015004480410616E-4</v>
      </c>
      <c r="G56" s="2"/>
      <c r="H56" s="7"/>
      <c r="I56" s="2"/>
      <c r="J56" s="6">
        <f t="shared" si="29"/>
        <v>0</v>
      </c>
      <c r="K56" s="2"/>
      <c r="L56" s="7">
        <f t="shared" si="30"/>
        <v>11.81</v>
      </c>
      <c r="M56" s="2"/>
      <c r="N56" s="6">
        <f t="shared" si="31"/>
        <v>0</v>
      </c>
      <c r="O56" s="11"/>
      <c r="P56" s="7">
        <v>31.9</v>
      </c>
      <c r="Q56" s="2"/>
      <c r="R56" s="6">
        <f t="shared" si="32"/>
        <v>2.3539346645141322E-4</v>
      </c>
      <c r="S56" s="2"/>
      <c r="T56" s="7"/>
      <c r="U56" s="2"/>
      <c r="V56" s="6">
        <f t="shared" si="33"/>
        <v>0</v>
      </c>
      <c r="W56" s="2"/>
      <c r="X56" s="7">
        <f t="shared" si="34"/>
        <v>31.9</v>
      </c>
      <c r="Y56" s="2"/>
      <c r="Z56" s="6">
        <f t="shared" si="35"/>
        <v>0</v>
      </c>
    </row>
    <row r="57" spans="1:26" s="26" customFormat="1" outlineLevel="1" collapsed="1" x14ac:dyDescent="0.25">
      <c r="A57" s="27"/>
      <c r="B57" s="13" t="str">
        <f>CONCATENATE("     ","Employees' Appreciation                           ")</f>
        <v xml:space="preserve">     Employees' Appreciation                           </v>
      </c>
      <c r="C57" s="13"/>
      <c r="D57" s="1">
        <f>SUM(OSRRefD22_6x_0)</f>
        <v>0</v>
      </c>
      <c r="E57" s="1"/>
      <c r="F57" s="5">
        <f t="shared" si="28"/>
        <v>0</v>
      </c>
      <c r="G57" s="1"/>
      <c r="H57" s="1">
        <f>SUM(OSRRefH22_6x_0)</f>
        <v>0</v>
      </c>
      <c r="I57" s="1"/>
      <c r="J57" s="5">
        <f t="shared" si="29"/>
        <v>0</v>
      </c>
      <c r="K57" s="1"/>
      <c r="L57" s="1">
        <f t="shared" si="30"/>
        <v>0</v>
      </c>
      <c r="M57" s="1"/>
      <c r="N57" s="5">
        <f t="shared" si="31"/>
        <v>0</v>
      </c>
      <c r="O57" s="13"/>
      <c r="P57" s="1">
        <f>SUM(OSRRefP22_6x_0)</f>
        <v>0</v>
      </c>
      <c r="Q57" s="1"/>
      <c r="R57" s="5">
        <f t="shared" si="32"/>
        <v>0</v>
      </c>
      <c r="S57" s="1"/>
      <c r="T57" s="1">
        <f>SUM(OSRRefT22_6x_0)</f>
        <v>0</v>
      </c>
      <c r="U57" s="1"/>
      <c r="V57" s="5">
        <f t="shared" si="33"/>
        <v>0</v>
      </c>
      <c r="W57" s="1"/>
      <c r="X57" s="1">
        <f t="shared" si="34"/>
        <v>0</v>
      </c>
      <c r="Y57" s="1"/>
      <c r="Z57" s="5">
        <f t="shared" si="35"/>
        <v>0</v>
      </c>
    </row>
    <row r="58" spans="1:26" s="24" customFormat="1" hidden="1" outlineLevel="2" x14ac:dyDescent="0.25">
      <c r="A58" s="25"/>
      <c r="B58" s="11" t="str">
        <f>CONCATENATE("          ", "6277", " - ", "EMPLOYEE APPRECIATION")</f>
        <v xml:space="preserve">          6277 - EMPLOYEE APPRECIATION</v>
      </c>
      <c r="C58" s="11"/>
      <c r="D58" s="7"/>
      <c r="E58" s="2"/>
      <c r="F58" s="6">
        <f t="shared" si="28"/>
        <v>0</v>
      </c>
      <c r="G58" s="2"/>
      <c r="H58" s="7">
        <v>0</v>
      </c>
      <c r="I58" s="2"/>
      <c r="J58" s="6">
        <f t="shared" si="29"/>
        <v>0</v>
      </c>
      <c r="K58" s="2"/>
      <c r="L58" s="7">
        <f t="shared" si="30"/>
        <v>0</v>
      </c>
      <c r="M58" s="2"/>
      <c r="N58" s="6">
        <f t="shared" si="31"/>
        <v>0</v>
      </c>
      <c r="O58" s="11"/>
      <c r="P58" s="7"/>
      <c r="Q58" s="2"/>
      <c r="R58" s="6">
        <f t="shared" si="32"/>
        <v>0</v>
      </c>
      <c r="S58" s="2"/>
      <c r="T58" s="7">
        <v>0</v>
      </c>
      <c r="U58" s="2"/>
      <c r="V58" s="6">
        <f t="shared" si="33"/>
        <v>0</v>
      </c>
      <c r="W58" s="2"/>
      <c r="X58" s="7">
        <f t="shared" si="34"/>
        <v>0</v>
      </c>
      <c r="Y58" s="2"/>
      <c r="Z58" s="6">
        <f t="shared" si="35"/>
        <v>0</v>
      </c>
    </row>
    <row r="59" spans="1:26" s="26" customFormat="1" outlineLevel="1" collapsed="1" x14ac:dyDescent="0.25">
      <c r="A59" s="27"/>
      <c r="B59" s="13" t="str">
        <f>CONCATENATE("     ","Freight out/Postage                               ")</f>
        <v xml:space="preserve">     Freight out/Postage                               </v>
      </c>
      <c r="C59" s="13"/>
      <c r="D59" s="1">
        <f>SUM(OSRRefD22_7x_0)</f>
        <v>28.87</v>
      </c>
      <c r="E59" s="1"/>
      <c r="F59" s="5">
        <f t="shared" si="28"/>
        <v>3.4260218403848818E-4</v>
      </c>
      <c r="G59" s="1"/>
      <c r="H59" s="1">
        <f>SUM(OSRRefH22_7x_0)</f>
        <v>0</v>
      </c>
      <c r="I59" s="1"/>
      <c r="J59" s="5">
        <f t="shared" si="29"/>
        <v>0</v>
      </c>
      <c r="K59" s="1"/>
      <c r="L59" s="1">
        <f t="shared" si="30"/>
        <v>28.87</v>
      </c>
      <c r="M59" s="1"/>
      <c r="N59" s="5">
        <f t="shared" si="31"/>
        <v>0</v>
      </c>
      <c r="O59" s="13"/>
      <c r="P59" s="1">
        <f>SUM(OSRRefP22_7x_0)</f>
        <v>145.52000000000001</v>
      </c>
      <c r="Q59" s="1"/>
      <c r="R59" s="5">
        <f t="shared" si="32"/>
        <v>1.0738074369282024E-3</v>
      </c>
      <c r="S59" s="1"/>
      <c r="T59" s="1">
        <f>SUM(OSRRefT22_7x_0)</f>
        <v>0</v>
      </c>
      <c r="U59" s="1"/>
      <c r="V59" s="5">
        <f t="shared" si="33"/>
        <v>0</v>
      </c>
      <c r="W59" s="1"/>
      <c r="X59" s="1">
        <f t="shared" si="34"/>
        <v>145.52000000000001</v>
      </c>
      <c r="Y59" s="1"/>
      <c r="Z59" s="5">
        <f t="shared" si="35"/>
        <v>0</v>
      </c>
    </row>
    <row r="60" spans="1:26" s="24" customFormat="1" hidden="1" outlineLevel="2" x14ac:dyDescent="0.25">
      <c r="A60" s="25"/>
      <c r="B60" s="11" t="str">
        <f>CONCATENATE("          ", "6305", " - ", "FREIGHT OUT")</f>
        <v xml:space="preserve">          6305 - FREIGHT OUT</v>
      </c>
      <c r="C60" s="11"/>
      <c r="D60" s="7">
        <v>28.87</v>
      </c>
      <c r="E60" s="2"/>
      <c r="F60" s="6">
        <f t="shared" si="28"/>
        <v>3.4260218403848818E-4</v>
      </c>
      <c r="G60" s="2"/>
      <c r="H60" s="7"/>
      <c r="I60" s="2"/>
      <c r="J60" s="6">
        <f t="shared" si="29"/>
        <v>0</v>
      </c>
      <c r="K60" s="2"/>
      <c r="L60" s="7">
        <f t="shared" si="30"/>
        <v>28.87</v>
      </c>
      <c r="M60" s="2"/>
      <c r="N60" s="6">
        <f t="shared" si="31"/>
        <v>0</v>
      </c>
      <c r="O60" s="11"/>
      <c r="P60" s="7">
        <v>145.52000000000001</v>
      </c>
      <c r="Q60" s="2"/>
      <c r="R60" s="6">
        <f t="shared" si="32"/>
        <v>1.0738074369282024E-3</v>
      </c>
      <c r="S60" s="2"/>
      <c r="T60" s="7"/>
      <c r="U60" s="2"/>
      <c r="V60" s="6">
        <f t="shared" si="33"/>
        <v>0</v>
      </c>
      <c r="W60" s="2"/>
      <c r="X60" s="7">
        <f t="shared" si="34"/>
        <v>145.52000000000001</v>
      </c>
      <c r="Y60" s="2"/>
      <c r="Z60" s="6">
        <f t="shared" si="35"/>
        <v>0</v>
      </c>
    </row>
    <row r="61" spans="1:26" s="26" customFormat="1" outlineLevel="1" collapsed="1" x14ac:dyDescent="0.25">
      <c r="A61" s="27"/>
      <c r="B61" s="13" t="str">
        <f>CONCATENATE("     ","General                                           ")</f>
        <v xml:space="preserve">     General                                           </v>
      </c>
      <c r="C61" s="13"/>
      <c r="D61" s="1">
        <f>SUM(OSRRefD22_8x_0)</f>
        <v>50.8</v>
      </c>
      <c r="E61" s="1"/>
      <c r="F61" s="5">
        <f t="shared" si="28"/>
        <v>6.0284693277295456E-4</v>
      </c>
      <c r="G61" s="1"/>
      <c r="H61" s="1">
        <f>SUM(OSRRefH22_8x_0)</f>
        <v>259</v>
      </c>
      <c r="I61" s="1"/>
      <c r="J61" s="5">
        <f t="shared" si="29"/>
        <v>2.9665773257278997E-3</v>
      </c>
      <c r="K61" s="1"/>
      <c r="L61" s="1">
        <f t="shared" si="30"/>
        <v>-208.2</v>
      </c>
      <c r="M61" s="1"/>
      <c r="N61" s="5">
        <f t="shared" si="31"/>
        <v>-0.80386100386100379</v>
      </c>
      <c r="O61" s="13"/>
      <c r="P61" s="1">
        <f>SUM(OSRRefP22_8x_0)</f>
        <v>860.6</v>
      </c>
      <c r="Q61" s="1"/>
      <c r="R61" s="5">
        <f t="shared" si="32"/>
        <v>6.3504582203161835E-3</v>
      </c>
      <c r="S61" s="1"/>
      <c r="T61" s="1">
        <f>SUM(OSRRefT22_8x_0)</f>
        <v>410</v>
      </c>
      <c r="U61" s="1"/>
      <c r="V61" s="5">
        <f t="shared" si="33"/>
        <v>2.9675738274464389E-3</v>
      </c>
      <c r="W61" s="1"/>
      <c r="X61" s="1">
        <f t="shared" si="34"/>
        <v>450.6</v>
      </c>
      <c r="Y61" s="1"/>
      <c r="Z61" s="5">
        <f t="shared" si="35"/>
        <v>1.0990243902439025</v>
      </c>
    </row>
    <row r="62" spans="1:26" s="24" customFormat="1" hidden="1" outlineLevel="2" x14ac:dyDescent="0.25">
      <c r="A62" s="25"/>
      <c r="B62" s="11" t="str">
        <f>CONCATENATE("          ", "6279", " - ", "GENERAL EXPENSE")</f>
        <v xml:space="preserve">          6279 - GENERAL EXPENSE</v>
      </c>
      <c r="C62" s="11"/>
      <c r="D62" s="7">
        <v>50.8</v>
      </c>
      <c r="E62" s="2"/>
      <c r="F62" s="6">
        <f t="shared" si="28"/>
        <v>6.0284693277295456E-4</v>
      </c>
      <c r="G62" s="2"/>
      <c r="H62" s="7">
        <v>259</v>
      </c>
      <c r="I62" s="2"/>
      <c r="J62" s="6">
        <f t="shared" si="29"/>
        <v>2.9665773257278997E-3</v>
      </c>
      <c r="K62" s="2"/>
      <c r="L62" s="7">
        <f t="shared" si="30"/>
        <v>-208.2</v>
      </c>
      <c r="M62" s="2"/>
      <c r="N62" s="6">
        <f t="shared" si="31"/>
        <v>-0.80386100386100379</v>
      </c>
      <c r="O62" s="11"/>
      <c r="P62" s="7">
        <v>860.6</v>
      </c>
      <c r="Q62" s="2"/>
      <c r="R62" s="6">
        <f t="shared" si="32"/>
        <v>6.3504582203161835E-3</v>
      </c>
      <c r="S62" s="2"/>
      <c r="T62" s="7">
        <v>410</v>
      </c>
      <c r="U62" s="2"/>
      <c r="V62" s="6">
        <f t="shared" si="33"/>
        <v>2.9675738274464389E-3</v>
      </c>
      <c r="W62" s="2"/>
      <c r="X62" s="7">
        <f t="shared" si="34"/>
        <v>450.6</v>
      </c>
      <c r="Y62" s="2"/>
      <c r="Z62" s="6">
        <f t="shared" si="35"/>
        <v>1.0990243902439025</v>
      </c>
    </row>
    <row r="63" spans="1:26" s="26" customFormat="1" outlineLevel="1" collapsed="1" x14ac:dyDescent="0.25">
      <c r="A63" s="27"/>
      <c r="B63" s="13" t="str">
        <f>CONCATENATE("     ","Repair and Maintenance                            ")</f>
        <v xml:space="preserve">     Repair and Maintenance                            </v>
      </c>
      <c r="C63" s="13"/>
      <c r="D63" s="1">
        <f>SUM(OSRRefD22_9x_0)</f>
        <v>437.31</v>
      </c>
      <c r="E63" s="1"/>
      <c r="F63" s="5">
        <f t="shared" si="28"/>
        <v>5.1895864600578889E-3</v>
      </c>
      <c r="G63" s="1"/>
      <c r="H63" s="1">
        <f>SUM(OSRRefH22_9x_0)</f>
        <v>86</v>
      </c>
      <c r="I63" s="1"/>
      <c r="J63" s="5">
        <f t="shared" si="29"/>
        <v>9.8504111973976593E-4</v>
      </c>
      <c r="K63" s="1"/>
      <c r="L63" s="1">
        <f t="shared" si="30"/>
        <v>351.31</v>
      </c>
      <c r="M63" s="1"/>
      <c r="N63" s="5">
        <f t="shared" si="31"/>
        <v>4.085</v>
      </c>
      <c r="O63" s="13"/>
      <c r="P63" s="1">
        <f>SUM(OSRRefP22_9x_0)</f>
        <v>1017.8900000000001</v>
      </c>
      <c r="Q63" s="1"/>
      <c r="R63" s="5">
        <f t="shared" si="32"/>
        <v>7.5111177293488733E-3</v>
      </c>
      <c r="S63" s="1"/>
      <c r="T63" s="1">
        <f>SUM(OSRRefT22_9x_0)</f>
        <v>136</v>
      </c>
      <c r="U63" s="1"/>
      <c r="V63" s="5">
        <f t="shared" si="33"/>
        <v>9.8436595251881866E-4</v>
      </c>
      <c r="W63" s="1"/>
      <c r="X63" s="1">
        <f t="shared" si="34"/>
        <v>881.8900000000001</v>
      </c>
      <c r="Y63" s="1"/>
      <c r="Z63" s="5">
        <f t="shared" si="35"/>
        <v>6.4844852941176478</v>
      </c>
    </row>
    <row r="64" spans="1:26" s="24" customFormat="1" hidden="1" outlineLevel="2" x14ac:dyDescent="0.25">
      <c r="A64" s="25"/>
      <c r="B64" s="11" t="str">
        <f>CONCATENATE("          ", "6371", " - ", "COMPUTER SOFTWARE MAINTENANCE")</f>
        <v xml:space="preserve">          6371 - COMPUTER SOFTWARE MAINTENANCE</v>
      </c>
      <c r="C64" s="11"/>
      <c r="D64" s="7">
        <v>437.31</v>
      </c>
      <c r="E64" s="2"/>
      <c r="F64" s="6">
        <f t="shared" si="28"/>
        <v>5.1895864600578889E-3</v>
      </c>
      <c r="G64" s="2"/>
      <c r="H64" s="7"/>
      <c r="I64" s="2"/>
      <c r="J64" s="6">
        <f t="shared" si="29"/>
        <v>0</v>
      </c>
      <c r="K64" s="2"/>
      <c r="L64" s="7">
        <f t="shared" si="30"/>
        <v>437.31</v>
      </c>
      <c r="M64" s="2"/>
      <c r="N64" s="6">
        <f t="shared" si="31"/>
        <v>0</v>
      </c>
      <c r="O64" s="11"/>
      <c r="P64" s="7">
        <v>437.31</v>
      </c>
      <c r="Q64" s="2"/>
      <c r="R64" s="6">
        <f t="shared" si="32"/>
        <v>3.2269566399331512E-3</v>
      </c>
      <c r="S64" s="2"/>
      <c r="T64" s="7">
        <v>0</v>
      </c>
      <c r="U64" s="2"/>
      <c r="V64" s="6">
        <f t="shared" si="33"/>
        <v>0</v>
      </c>
      <c r="W64" s="2"/>
      <c r="X64" s="7">
        <f t="shared" si="34"/>
        <v>437.31</v>
      </c>
      <c r="Y64" s="2"/>
      <c r="Z64" s="6">
        <f t="shared" si="35"/>
        <v>0</v>
      </c>
    </row>
    <row r="65" spans="1:26" s="24" customFormat="1" hidden="1" outlineLevel="2" x14ac:dyDescent="0.25">
      <c r="A65" s="25"/>
      <c r="B65" s="11" t="str">
        <f>CONCATENATE("          ", "6375", " - ", "OUTSIDE REPAIRS &amp; MAINTENANCE")</f>
        <v xml:space="preserve">          6375 - OUTSIDE REPAIRS &amp; MAINTENANCE</v>
      </c>
      <c r="C65" s="11"/>
      <c r="D65" s="7"/>
      <c r="E65" s="2"/>
      <c r="F65" s="6">
        <f t="shared" si="28"/>
        <v>0</v>
      </c>
      <c r="G65" s="2"/>
      <c r="H65" s="7">
        <v>86</v>
      </c>
      <c r="I65" s="2"/>
      <c r="J65" s="6">
        <f t="shared" si="29"/>
        <v>9.8504111973976593E-4</v>
      </c>
      <c r="K65" s="2"/>
      <c r="L65" s="7">
        <f t="shared" si="30"/>
        <v>-86</v>
      </c>
      <c r="M65" s="2"/>
      <c r="N65" s="6">
        <f t="shared" si="31"/>
        <v>-1</v>
      </c>
      <c r="O65" s="11"/>
      <c r="P65" s="7">
        <v>580.58000000000004</v>
      </c>
      <c r="Q65" s="2"/>
      <c r="R65" s="6">
        <f t="shared" si="32"/>
        <v>4.2841610894157212E-3</v>
      </c>
      <c r="S65" s="2"/>
      <c r="T65" s="7">
        <v>136</v>
      </c>
      <c r="U65" s="2"/>
      <c r="V65" s="6">
        <f t="shared" si="33"/>
        <v>9.8436595251881866E-4</v>
      </c>
      <c r="W65" s="2"/>
      <c r="X65" s="7">
        <f t="shared" si="34"/>
        <v>444.58000000000004</v>
      </c>
      <c r="Y65" s="2"/>
      <c r="Z65" s="6">
        <f t="shared" si="35"/>
        <v>3.2689705882352946</v>
      </c>
    </row>
    <row r="66" spans="1:26" s="26" customFormat="1" outlineLevel="1" collapsed="1" x14ac:dyDescent="0.25">
      <c r="A66" s="27"/>
      <c r="B66" s="13" t="str">
        <f>CONCATENATE("     ","Services                                          ")</f>
        <v xml:space="preserve">     Services                                          </v>
      </c>
      <c r="C66" s="13"/>
      <c r="D66" s="1">
        <f>SUM(OSRRefD22_10x_0)</f>
        <v>137.80000000000001</v>
      </c>
      <c r="E66" s="1"/>
      <c r="F66" s="5">
        <f t="shared" ref="F66:F73" si="36">IF(D$12=0,0,D66/D$12)</f>
        <v>1.6352816404746682E-3</v>
      </c>
      <c r="G66" s="1"/>
      <c r="H66" s="1">
        <f>SUM(OSRRefH22_10x_0)</f>
        <v>0</v>
      </c>
      <c r="I66" s="1"/>
      <c r="J66" s="5">
        <f t="shared" ref="J66:J73" si="37">IF(H$12=0,0,H66/H$12)</f>
        <v>0</v>
      </c>
      <c r="K66" s="1"/>
      <c r="L66" s="1">
        <f t="shared" ref="L66:L73" si="38">+D66-H66</f>
        <v>137.80000000000001</v>
      </c>
      <c r="M66" s="1"/>
      <c r="N66" s="5">
        <f t="shared" ref="N66:N73" si="39">IF(H66=0,0,L66/H66)</f>
        <v>0</v>
      </c>
      <c r="O66" s="13"/>
      <c r="P66" s="1">
        <f>SUM(OSRRefP22_10x_0)</f>
        <v>456.86</v>
      </c>
      <c r="Q66" s="1"/>
      <c r="R66" s="5">
        <f t="shared" ref="R66:R73" si="40">IF(P$12=0,0,P66/P$12)</f>
        <v>3.3712181530718699E-3</v>
      </c>
      <c r="S66" s="1"/>
      <c r="T66" s="1">
        <f>SUM(OSRRefT22_10x_0)</f>
        <v>0</v>
      </c>
      <c r="U66" s="1"/>
      <c r="V66" s="5">
        <f t="shared" ref="V66:V73" si="41">IF(T$12=0,0,T66/T$12)</f>
        <v>0</v>
      </c>
      <c r="W66" s="1"/>
      <c r="X66" s="1">
        <f t="shared" ref="X66:X73" si="42">+P66-T66</f>
        <v>456.86</v>
      </c>
      <c r="Y66" s="1"/>
      <c r="Z66" s="5">
        <f t="shared" ref="Z66:Z73" si="43">IF(T66=0,0,X66/T66)</f>
        <v>0</v>
      </c>
    </row>
    <row r="67" spans="1:26" s="24" customFormat="1" hidden="1" outlineLevel="2" x14ac:dyDescent="0.25">
      <c r="A67" s="25"/>
      <c r="B67" s="11" t="str">
        <f>CONCATENATE("          ", "6286", " - ", "LAUNDRY EXPENSE")</f>
        <v xml:space="preserve">          6286 - LAUNDRY EXPENSE</v>
      </c>
      <c r="C67" s="11"/>
      <c r="D67" s="7">
        <v>137.80000000000001</v>
      </c>
      <c r="E67" s="2"/>
      <c r="F67" s="6">
        <f t="shared" si="36"/>
        <v>1.6352816404746682E-3</v>
      </c>
      <c r="G67" s="2"/>
      <c r="H67" s="7"/>
      <c r="I67" s="2"/>
      <c r="J67" s="6">
        <f t="shared" si="37"/>
        <v>0</v>
      </c>
      <c r="K67" s="2"/>
      <c r="L67" s="7">
        <f t="shared" si="38"/>
        <v>137.80000000000001</v>
      </c>
      <c r="M67" s="2"/>
      <c r="N67" s="6">
        <f t="shared" si="39"/>
        <v>0</v>
      </c>
      <c r="O67" s="11"/>
      <c r="P67" s="7">
        <v>456.86</v>
      </c>
      <c r="Q67" s="2"/>
      <c r="R67" s="6">
        <f t="shared" si="40"/>
        <v>3.3712181530718699E-3</v>
      </c>
      <c r="S67" s="2"/>
      <c r="T67" s="7"/>
      <c r="U67" s="2"/>
      <c r="V67" s="6">
        <f t="shared" si="41"/>
        <v>0</v>
      </c>
      <c r="W67" s="2"/>
      <c r="X67" s="7">
        <f t="shared" si="42"/>
        <v>456.86</v>
      </c>
      <c r="Y67" s="2"/>
      <c r="Z67" s="6">
        <f t="shared" si="43"/>
        <v>0</v>
      </c>
    </row>
    <row r="68" spans="1:26" s="26" customFormat="1" outlineLevel="1" collapsed="1" x14ac:dyDescent="0.25">
      <c r="A68" s="27"/>
      <c r="B68" s="13" t="str">
        <f>CONCATENATE("     ","Supplies                                          ")</f>
        <v xml:space="preserve">     Supplies                                          </v>
      </c>
      <c r="C68" s="13"/>
      <c r="D68" s="1">
        <f>SUM(OSRRefD22_11x_0)</f>
        <v>382.42</v>
      </c>
      <c r="E68" s="1"/>
      <c r="F68" s="5">
        <f t="shared" si="36"/>
        <v>4.5382032289573481E-3</v>
      </c>
      <c r="G68" s="1"/>
      <c r="H68" s="1">
        <f>SUM(OSRRefH22_11x_0)</f>
        <v>432</v>
      </c>
      <c r="I68" s="1"/>
      <c r="J68" s="5">
        <f t="shared" si="37"/>
        <v>4.9481135317160337E-3</v>
      </c>
      <c r="K68" s="1"/>
      <c r="L68" s="1">
        <f t="shared" si="38"/>
        <v>-49.579999999999984</v>
      </c>
      <c r="M68" s="1"/>
      <c r="N68" s="5">
        <f t="shared" si="39"/>
        <v>-0.11476851851851848</v>
      </c>
      <c r="O68" s="13"/>
      <c r="P68" s="1">
        <f>SUM(OSRRefP22_11x_0)</f>
        <v>2728.99</v>
      </c>
      <c r="Q68" s="1"/>
      <c r="R68" s="5">
        <f t="shared" si="40"/>
        <v>2.0137505204114173E-2</v>
      </c>
      <c r="S68" s="1"/>
      <c r="T68" s="1">
        <f>SUM(OSRRefT22_11x_0)</f>
        <v>684</v>
      </c>
      <c r="U68" s="1"/>
      <c r="V68" s="5">
        <f t="shared" si="41"/>
        <v>4.9507817023740587E-3</v>
      </c>
      <c r="W68" s="1"/>
      <c r="X68" s="1">
        <f t="shared" si="42"/>
        <v>2044.9899999999998</v>
      </c>
      <c r="Y68" s="1"/>
      <c r="Z68" s="5">
        <f t="shared" si="43"/>
        <v>2.9897514619883037</v>
      </c>
    </row>
    <row r="69" spans="1:26" s="24" customFormat="1" hidden="1" outlineLevel="2" x14ac:dyDescent="0.25">
      <c r="A69" s="25"/>
      <c r="B69" s="11" t="str">
        <f>CONCATENATE("          ", "6234", " - ", "EXPENDABLE SUPPLIES &amp; EQUIPMEN")</f>
        <v xml:space="preserve">          6234 - EXPENDABLE SUPPLIES &amp; EQUIPMEN</v>
      </c>
      <c r="C69" s="11"/>
      <c r="D69" s="7"/>
      <c r="E69" s="2"/>
      <c r="F69" s="6">
        <f t="shared" si="36"/>
        <v>0</v>
      </c>
      <c r="G69" s="2"/>
      <c r="H69" s="7"/>
      <c r="I69" s="2"/>
      <c r="J69" s="6">
        <f t="shared" si="37"/>
        <v>0</v>
      </c>
      <c r="K69" s="2"/>
      <c r="L69" s="7">
        <f t="shared" si="38"/>
        <v>0</v>
      </c>
      <c r="M69" s="2"/>
      <c r="N69" s="6">
        <f t="shared" si="39"/>
        <v>0</v>
      </c>
      <c r="O69" s="11"/>
      <c r="P69" s="7">
        <v>354.82</v>
      </c>
      <c r="Q69" s="2"/>
      <c r="R69" s="6">
        <f t="shared" si="40"/>
        <v>2.6182542246486031E-3</v>
      </c>
      <c r="S69" s="2"/>
      <c r="T69" s="7"/>
      <c r="U69" s="2"/>
      <c r="V69" s="6">
        <f t="shared" si="41"/>
        <v>0</v>
      </c>
      <c r="W69" s="2"/>
      <c r="X69" s="7">
        <f t="shared" si="42"/>
        <v>354.82</v>
      </c>
      <c r="Y69" s="2"/>
      <c r="Z69" s="6">
        <f t="shared" si="43"/>
        <v>0</v>
      </c>
    </row>
    <row r="70" spans="1:26" s="24" customFormat="1" hidden="1" outlineLevel="2" x14ac:dyDescent="0.25">
      <c r="A70" s="25"/>
      <c r="B70" s="11" t="str">
        <f>CONCATENATE("          ", "6237", " - ", "JANITORIAL SUPPLIES")</f>
        <v xml:space="preserve">          6237 - JANITORIAL SUPPLIES</v>
      </c>
      <c r="C70" s="11"/>
      <c r="D70" s="7"/>
      <c r="E70" s="2"/>
      <c r="F70" s="6">
        <f t="shared" si="36"/>
        <v>0</v>
      </c>
      <c r="G70" s="2"/>
      <c r="H70" s="7"/>
      <c r="I70" s="2"/>
      <c r="J70" s="6">
        <f t="shared" si="37"/>
        <v>0</v>
      </c>
      <c r="K70" s="2"/>
      <c r="L70" s="7">
        <f t="shared" si="38"/>
        <v>0</v>
      </c>
      <c r="M70" s="2"/>
      <c r="N70" s="6">
        <f t="shared" si="39"/>
        <v>0</v>
      </c>
      <c r="O70" s="11"/>
      <c r="P70" s="7">
        <v>111.27</v>
      </c>
      <c r="Q70" s="2"/>
      <c r="R70" s="6">
        <f t="shared" si="40"/>
        <v>8.2107307247801726E-4</v>
      </c>
      <c r="S70" s="2"/>
      <c r="T70" s="7"/>
      <c r="U70" s="2"/>
      <c r="V70" s="6">
        <f t="shared" si="41"/>
        <v>0</v>
      </c>
      <c r="W70" s="2"/>
      <c r="X70" s="7">
        <f t="shared" si="42"/>
        <v>111.27</v>
      </c>
      <c r="Y70" s="2"/>
      <c r="Z70" s="6">
        <f t="shared" si="43"/>
        <v>0</v>
      </c>
    </row>
    <row r="71" spans="1:26" s="24" customFormat="1" hidden="1" outlineLevel="2" x14ac:dyDescent="0.25">
      <c r="A71" s="25"/>
      <c r="B71" s="11" t="str">
        <f>CONCATENATE("          ", "6241", " - ", "OFFICE EXPENSE")</f>
        <v xml:space="preserve">          6241 - OFFICE EXPENSE</v>
      </c>
      <c r="C71" s="11"/>
      <c r="D71" s="7">
        <v>22.45</v>
      </c>
      <c r="E71" s="2"/>
      <c r="F71" s="6">
        <f t="shared" si="36"/>
        <v>2.6641562284946514E-4</v>
      </c>
      <c r="G71" s="2"/>
      <c r="H71" s="7"/>
      <c r="I71" s="2"/>
      <c r="J71" s="6">
        <f t="shared" si="37"/>
        <v>0</v>
      </c>
      <c r="K71" s="2"/>
      <c r="L71" s="7">
        <f t="shared" si="38"/>
        <v>22.45</v>
      </c>
      <c r="M71" s="2"/>
      <c r="N71" s="6">
        <f t="shared" si="39"/>
        <v>0</v>
      </c>
      <c r="O71" s="11"/>
      <c r="P71" s="7">
        <v>130.19</v>
      </c>
      <c r="Q71" s="2"/>
      <c r="R71" s="6">
        <f t="shared" si="40"/>
        <v>9.6068574913195891E-4</v>
      </c>
      <c r="S71" s="2"/>
      <c r="T71" s="7"/>
      <c r="U71" s="2"/>
      <c r="V71" s="6">
        <f t="shared" si="41"/>
        <v>0</v>
      </c>
      <c r="W71" s="2"/>
      <c r="X71" s="7">
        <f t="shared" si="42"/>
        <v>130.19</v>
      </c>
      <c r="Y71" s="2"/>
      <c r="Z71" s="6">
        <f t="shared" si="43"/>
        <v>0</v>
      </c>
    </row>
    <row r="72" spans="1:26" s="24" customFormat="1" hidden="1" outlineLevel="2" x14ac:dyDescent="0.25">
      <c r="A72" s="25"/>
      <c r="B72" s="11" t="str">
        <f>CONCATENATE("          ", "6245", " - ", "PRINTING")</f>
        <v xml:space="preserve">          6245 - PRINTING</v>
      </c>
      <c r="C72" s="11"/>
      <c r="D72" s="7">
        <v>35.54</v>
      </c>
      <c r="E72" s="2"/>
      <c r="F72" s="6">
        <f t="shared" si="36"/>
        <v>4.2175551162895286E-4</v>
      </c>
      <c r="G72" s="2"/>
      <c r="H72" s="7"/>
      <c r="I72" s="2"/>
      <c r="J72" s="6">
        <f t="shared" si="37"/>
        <v>0</v>
      </c>
      <c r="K72" s="2"/>
      <c r="L72" s="7">
        <f t="shared" si="38"/>
        <v>35.54</v>
      </c>
      <c r="M72" s="2"/>
      <c r="N72" s="6">
        <f t="shared" si="39"/>
        <v>0</v>
      </c>
      <c r="O72" s="11"/>
      <c r="P72" s="7">
        <v>35.54</v>
      </c>
      <c r="Q72" s="2"/>
      <c r="R72" s="6">
        <f t="shared" si="40"/>
        <v>2.6225341058568107E-4</v>
      </c>
      <c r="S72" s="2"/>
      <c r="T72" s="7"/>
      <c r="U72" s="2"/>
      <c r="V72" s="6">
        <f t="shared" si="41"/>
        <v>0</v>
      </c>
      <c r="W72" s="2"/>
      <c r="X72" s="7">
        <f t="shared" si="42"/>
        <v>35.54</v>
      </c>
      <c r="Y72" s="2"/>
      <c r="Z72" s="6">
        <f t="shared" si="43"/>
        <v>0</v>
      </c>
    </row>
    <row r="73" spans="1:26" s="24" customFormat="1" hidden="1" outlineLevel="2" x14ac:dyDescent="0.25">
      <c r="A73" s="25"/>
      <c r="B73" s="11" t="str">
        <f>CONCATENATE("          ", "6247", " - ", "STORE SUPPLIES")</f>
        <v xml:space="preserve">          6247 - STORE SUPPLIES</v>
      </c>
      <c r="C73" s="11"/>
      <c r="D73" s="7">
        <v>324.43</v>
      </c>
      <c r="E73" s="2"/>
      <c r="F73" s="6">
        <f t="shared" si="36"/>
        <v>3.8500320944789301E-3</v>
      </c>
      <c r="G73" s="2"/>
      <c r="H73" s="7">
        <v>432</v>
      </c>
      <c r="I73" s="2"/>
      <c r="J73" s="6">
        <f t="shared" si="37"/>
        <v>4.9481135317160337E-3</v>
      </c>
      <c r="K73" s="2"/>
      <c r="L73" s="7">
        <f t="shared" si="38"/>
        <v>-107.57</v>
      </c>
      <c r="M73" s="2"/>
      <c r="N73" s="6">
        <f t="shared" si="39"/>
        <v>-0.2490046296296296</v>
      </c>
      <c r="O73" s="11"/>
      <c r="P73" s="7">
        <v>2097.17</v>
      </c>
      <c r="Q73" s="2"/>
      <c r="R73" s="6">
        <f t="shared" si="40"/>
        <v>1.5475238747269917E-2</v>
      </c>
      <c r="S73" s="2"/>
      <c r="T73" s="7">
        <v>684</v>
      </c>
      <c r="U73" s="2"/>
      <c r="V73" s="6">
        <f t="shared" si="41"/>
        <v>4.9507817023740587E-3</v>
      </c>
      <c r="W73" s="2"/>
      <c r="X73" s="7">
        <f t="shared" si="42"/>
        <v>1413.17</v>
      </c>
      <c r="Y73" s="2"/>
      <c r="Z73" s="6">
        <f t="shared" si="43"/>
        <v>2.0660380116959067</v>
      </c>
    </row>
    <row r="74" spans="1:26" s="26" customFormat="1" outlineLevel="1" collapsed="1" x14ac:dyDescent="0.25">
      <c r="A74" s="27"/>
      <c r="B74" s="13" t="str">
        <f>CONCATENATE("     ","Telephone/Data Lines                              ")</f>
        <v xml:space="preserve">     Telephone/Data Lines                              </v>
      </c>
      <c r="C74" s="13"/>
      <c r="D74" s="1">
        <f>SUM(OSRRefD22_12x_0)</f>
        <v>125</v>
      </c>
      <c r="E74" s="1"/>
      <c r="F74" s="5">
        <f t="shared" ref="F74:F77" si="44">IF(D$12=0,0,D74/D$12)</f>
        <v>1.4833832007208527E-3</v>
      </c>
      <c r="G74" s="1"/>
      <c r="H74" s="1">
        <f>SUM(OSRRefH22_12x_0)</f>
        <v>75</v>
      </c>
      <c r="I74" s="1"/>
      <c r="J74" s="5">
        <f t="shared" ref="J74:J77" si="45">IF(H$12=0,0,H74/H$12)</f>
        <v>8.5904748814514468E-4</v>
      </c>
      <c r="K74" s="1"/>
      <c r="L74" s="1">
        <f t="shared" ref="L74:L77" si="46">+D74-H74</f>
        <v>50</v>
      </c>
      <c r="M74" s="1"/>
      <c r="N74" s="5">
        <f t="shared" ref="N74:N77" si="47">IF(H74=0,0,L74/H74)</f>
        <v>0.66666666666666663</v>
      </c>
      <c r="O74" s="13"/>
      <c r="P74" s="1">
        <f>SUM(OSRRefP22_12x_0)</f>
        <v>323.60000000000002</v>
      </c>
      <c r="Q74" s="1"/>
      <c r="R74" s="5">
        <f t="shared" ref="R74:R77" si="48">IF(P$12=0,0,P74/P$12)</f>
        <v>2.387878549958537E-3</v>
      </c>
      <c r="S74" s="1"/>
      <c r="T74" s="1">
        <f>SUM(OSRRefT22_12x_0)</f>
        <v>225</v>
      </c>
      <c r="U74" s="1"/>
      <c r="V74" s="5">
        <f t="shared" ref="V74:V77" si="49">IF(T$12=0,0,T74/T$12)</f>
        <v>1.6285466126230456E-3</v>
      </c>
      <c r="W74" s="1"/>
      <c r="X74" s="1">
        <f t="shared" ref="X74:X77" si="50">+P74-T74</f>
        <v>98.600000000000023</v>
      </c>
      <c r="Y74" s="1"/>
      <c r="Z74" s="5">
        <f t="shared" ref="Z74:Z77" si="51">IF(T74=0,0,X74/T74)</f>
        <v>0.43822222222222235</v>
      </c>
    </row>
    <row r="75" spans="1:26" s="24" customFormat="1" hidden="1" outlineLevel="2" x14ac:dyDescent="0.25">
      <c r="A75" s="25"/>
      <c r="B75" s="11" t="str">
        <f>CONCATENATE("          ", "6309", " - ", "TELEPHONE")</f>
        <v xml:space="preserve">          6309 - TELEPHONE</v>
      </c>
      <c r="C75" s="11"/>
      <c r="D75" s="7">
        <v>125</v>
      </c>
      <c r="E75" s="2"/>
      <c r="F75" s="6">
        <f t="shared" si="44"/>
        <v>1.4833832007208527E-3</v>
      </c>
      <c r="G75" s="2"/>
      <c r="H75" s="7">
        <v>75</v>
      </c>
      <c r="I75" s="2"/>
      <c r="J75" s="6">
        <f t="shared" si="45"/>
        <v>8.5904748814514468E-4</v>
      </c>
      <c r="K75" s="2"/>
      <c r="L75" s="7">
        <f t="shared" si="46"/>
        <v>50</v>
      </c>
      <c r="M75" s="2"/>
      <c r="N75" s="6">
        <f t="shared" si="47"/>
        <v>0.66666666666666663</v>
      </c>
      <c r="O75" s="11"/>
      <c r="P75" s="7">
        <v>323.60000000000002</v>
      </c>
      <c r="Q75" s="2"/>
      <c r="R75" s="6">
        <f t="shared" si="48"/>
        <v>2.387878549958537E-3</v>
      </c>
      <c r="S75" s="2"/>
      <c r="T75" s="7">
        <v>225</v>
      </c>
      <c r="U75" s="2"/>
      <c r="V75" s="6">
        <f t="shared" si="49"/>
        <v>1.6285466126230456E-3</v>
      </c>
      <c r="W75" s="2"/>
      <c r="X75" s="7">
        <f t="shared" si="50"/>
        <v>98.600000000000023</v>
      </c>
      <c r="Y75" s="2"/>
      <c r="Z75" s="6">
        <f t="shared" si="51"/>
        <v>0.43822222222222235</v>
      </c>
    </row>
    <row r="76" spans="1:26" s="26" customFormat="1" outlineLevel="1" collapsed="1" x14ac:dyDescent="0.25">
      <c r="A76" s="27"/>
      <c r="B76" s="13" t="str">
        <f>CONCATENATE("     ","Training                                          ")</f>
        <v xml:space="preserve">     Training                                          </v>
      </c>
      <c r="C76" s="13"/>
      <c r="D76" s="1">
        <f>SUM(OSRRefD22_13x_0)</f>
        <v>96</v>
      </c>
      <c r="E76" s="1"/>
      <c r="F76" s="5">
        <f t="shared" si="44"/>
        <v>1.139238298153615E-3</v>
      </c>
      <c r="G76" s="1"/>
      <c r="H76" s="1">
        <f>SUM(OSRRefH22_13x_0)</f>
        <v>0</v>
      </c>
      <c r="I76" s="1"/>
      <c r="J76" s="5">
        <f t="shared" si="45"/>
        <v>0</v>
      </c>
      <c r="K76" s="1"/>
      <c r="L76" s="1">
        <f t="shared" si="46"/>
        <v>96</v>
      </c>
      <c r="M76" s="1"/>
      <c r="N76" s="5">
        <f t="shared" si="47"/>
        <v>0</v>
      </c>
      <c r="O76" s="13"/>
      <c r="P76" s="1">
        <f>SUM(OSRRefP22_13x_0)</f>
        <v>96</v>
      </c>
      <c r="Q76" s="1"/>
      <c r="R76" s="5">
        <f t="shared" si="48"/>
        <v>7.0839413101365738E-4</v>
      </c>
      <c r="S76" s="1"/>
      <c r="T76" s="1">
        <f>SUM(OSRRefT22_13x_0)</f>
        <v>500</v>
      </c>
      <c r="U76" s="1"/>
      <c r="V76" s="5">
        <f t="shared" si="49"/>
        <v>3.6189924724956573E-3</v>
      </c>
      <c r="W76" s="1"/>
      <c r="X76" s="1">
        <f t="shared" si="50"/>
        <v>-404</v>
      </c>
      <c r="Y76" s="1"/>
      <c r="Z76" s="5">
        <f t="shared" si="51"/>
        <v>-0.80800000000000005</v>
      </c>
    </row>
    <row r="77" spans="1:26" s="24" customFormat="1" hidden="1" outlineLevel="2" x14ac:dyDescent="0.25">
      <c r="A77" s="25"/>
      <c r="B77" s="11" t="str">
        <f>CONCATENATE("          ", "6376", " - ", "TRAINING")</f>
        <v xml:space="preserve">          6376 - TRAINING</v>
      </c>
      <c r="C77" s="11"/>
      <c r="D77" s="7">
        <v>96</v>
      </c>
      <c r="E77" s="2"/>
      <c r="F77" s="6">
        <f t="shared" si="44"/>
        <v>1.139238298153615E-3</v>
      </c>
      <c r="G77" s="2"/>
      <c r="H77" s="7"/>
      <c r="I77" s="2"/>
      <c r="J77" s="6">
        <f t="shared" si="45"/>
        <v>0</v>
      </c>
      <c r="K77" s="2"/>
      <c r="L77" s="7">
        <f t="shared" si="46"/>
        <v>96</v>
      </c>
      <c r="M77" s="2"/>
      <c r="N77" s="6">
        <f t="shared" si="47"/>
        <v>0</v>
      </c>
      <c r="O77" s="11"/>
      <c r="P77" s="7">
        <v>96</v>
      </c>
      <c r="Q77" s="2"/>
      <c r="R77" s="6">
        <f t="shared" si="48"/>
        <v>7.0839413101365738E-4</v>
      </c>
      <c r="S77" s="2"/>
      <c r="T77" s="7">
        <v>500</v>
      </c>
      <c r="U77" s="2"/>
      <c r="V77" s="6">
        <f t="shared" si="49"/>
        <v>3.6189924724956573E-3</v>
      </c>
      <c r="W77" s="2"/>
      <c r="X77" s="7">
        <f t="shared" si="50"/>
        <v>-404</v>
      </c>
      <c r="Y77" s="2"/>
      <c r="Z77" s="6">
        <f t="shared" si="51"/>
        <v>-0.80800000000000005</v>
      </c>
    </row>
    <row r="78" spans="1:26" s="63" customFormat="1" x14ac:dyDescent="0.25">
      <c r="A78" s="36"/>
      <c r="B78" s="36"/>
      <c r="C78" s="36"/>
      <c r="D78" s="1"/>
      <c r="E78" s="1"/>
      <c r="F78" s="5"/>
      <c r="G78" s="1"/>
      <c r="H78" s="1"/>
      <c r="I78" s="1"/>
      <c r="J78" s="5"/>
      <c r="K78" s="1"/>
      <c r="L78" s="1"/>
      <c r="M78" s="1"/>
      <c r="N78" s="5"/>
      <c r="O78" s="36"/>
      <c r="P78" s="1"/>
      <c r="Q78" s="1"/>
      <c r="R78" s="5"/>
      <c r="S78" s="1"/>
      <c r="T78" s="1"/>
      <c r="U78" s="1"/>
      <c r="V78" s="5"/>
      <c r="W78" s="1"/>
      <c r="X78" s="1"/>
      <c r="Y78" s="1"/>
      <c r="Z78" s="5"/>
    </row>
    <row r="79" spans="1:26" s="23" customFormat="1" x14ac:dyDescent="0.25">
      <c r="A79" s="10"/>
      <c r="B79" s="28" t="s">
        <v>0</v>
      </c>
      <c r="C79" s="10"/>
      <c r="D79" s="4">
        <f>SUM(0)</f>
        <v>0</v>
      </c>
      <c r="E79" s="4"/>
      <c r="F79" s="12">
        <f>IF(D$12=0,0,D79/D$12)</f>
        <v>0</v>
      </c>
      <c r="G79" s="4"/>
      <c r="H79" s="4">
        <f>SUM(0)</f>
        <v>0</v>
      </c>
      <c r="I79" s="4"/>
      <c r="J79" s="12">
        <f>IF(H$12=0,0,H79/H$12)</f>
        <v>0</v>
      </c>
      <c r="K79" s="4"/>
      <c r="L79" s="4">
        <f>+D79-H79</f>
        <v>0</v>
      </c>
      <c r="M79" s="4"/>
      <c r="N79" s="12">
        <f>IF(H79=0,0,L79/H79)</f>
        <v>0</v>
      </c>
      <c r="O79" s="10"/>
      <c r="P79" s="4">
        <f>SUM(0)</f>
        <v>0</v>
      </c>
      <c r="Q79" s="4"/>
      <c r="R79" s="12">
        <f>IF(P$12=0,0,P79/P$12)</f>
        <v>0</v>
      </c>
      <c r="S79" s="4"/>
      <c r="T79" s="4">
        <f>SUM(0)</f>
        <v>0</v>
      </c>
      <c r="U79" s="4"/>
      <c r="V79" s="12">
        <f>IF(T$12=0,0,T79/T$12)</f>
        <v>0</v>
      </c>
      <c r="W79" s="4"/>
      <c r="X79" s="4">
        <f>+P79-T79</f>
        <v>0</v>
      </c>
      <c r="Y79" s="4"/>
      <c r="Z79" s="12">
        <f>IF(T79=0,0,X79/T79)</f>
        <v>0</v>
      </c>
    </row>
    <row r="80" spans="1:26" x14ac:dyDescent="0.25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25">
      <c r="A81" s="10"/>
      <c r="B81" s="29" t="s">
        <v>3</v>
      </c>
      <c r="C81" s="29"/>
      <c r="D81" s="22">
        <f>+D25-D27+D79</f>
        <v>25418.410000000011</v>
      </c>
      <c r="E81" s="14"/>
      <c r="F81" s="20">
        <f>IF(D$12=0,0,D81/D$12)</f>
        <v>0.30164193906427955</v>
      </c>
      <c r="G81" s="14"/>
      <c r="H81" s="22">
        <f>+H25-H27+H79</f>
        <v>24014.563138400001</v>
      </c>
      <c r="I81" s="14"/>
      <c r="J81" s="20">
        <f>IF(H$12=0,0,H81/H$12)</f>
        <v>0.27506200190594005</v>
      </c>
      <c r="K81" s="15"/>
      <c r="L81" s="22">
        <f>+D81-H81</f>
        <v>1403.84686160001</v>
      </c>
      <c r="M81" s="15"/>
      <c r="N81" s="20">
        <f>IF(H81=0,0,L81/H81)</f>
        <v>5.8458146979788989E-2</v>
      </c>
      <c r="O81" s="28"/>
      <c r="P81" s="22">
        <f>+P25-P27+P79</f>
        <v>18710.080000000024</v>
      </c>
      <c r="Q81" s="14"/>
      <c r="R81" s="20">
        <f>IF(P$12=0,0,P81/P$12)</f>
        <v>0.13806365482079194</v>
      </c>
      <c r="S81" s="14"/>
      <c r="T81" s="22">
        <f>+T25-T27+T79</f>
        <v>18115.1098843</v>
      </c>
      <c r="U81" s="14"/>
      <c r="V81" s="20">
        <f>IF(T$12=0,0,T81/T$12)</f>
        <v>0.13111689261942674</v>
      </c>
      <c r="W81" s="15"/>
      <c r="X81" s="22">
        <f>+P81-T81</f>
        <v>594.9701157000236</v>
      </c>
      <c r="Y81" s="15"/>
      <c r="Z81" s="20">
        <f>IF(T81=0,0,X81/T81)</f>
        <v>3.2843859049161615E-2</v>
      </c>
    </row>
    <row r="82" spans="1:26" x14ac:dyDescent="0.25">
      <c r="A82" s="9"/>
      <c r="B82" s="10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25">
      <c r="A83" s="52"/>
      <c r="B83" s="10" t="s">
        <v>14</v>
      </c>
      <c r="C83" s="10"/>
      <c r="D83" s="4">
        <v>8166.34</v>
      </c>
      <c r="E83" s="4"/>
      <c r="F83" s="12">
        <f>IF(D$12=0,0,D83/D$12)</f>
        <v>9.6910492538997833E-2</v>
      </c>
      <c r="G83" s="4"/>
      <c r="H83" s="4">
        <v>9216</v>
      </c>
      <c r="I83" s="4"/>
      <c r="J83" s="12">
        <f>IF(H$12=0,0,H83/H$12)</f>
        <v>0.10555975534327537</v>
      </c>
      <c r="K83" s="4"/>
      <c r="L83" s="4">
        <f>+D83-H83</f>
        <v>-1049.6599999999999</v>
      </c>
      <c r="M83" s="4"/>
      <c r="N83" s="12">
        <f>IF(H83=0,0,L83/H83)</f>
        <v>-0.11389539930555553</v>
      </c>
      <c r="O83" s="10"/>
      <c r="P83" s="4">
        <v>14556.4</v>
      </c>
      <c r="Q83" s="4"/>
      <c r="R83" s="12">
        <f>IF(P$12=0,0,P83/P$12)</f>
        <v>0.10741321175715836</v>
      </c>
      <c r="S83" s="4"/>
      <c r="T83" s="4">
        <v>17475</v>
      </c>
      <c r="U83" s="4"/>
      <c r="V83" s="12">
        <f>IF(T$12=0,0,T83/T$12)</f>
        <v>0.12648378691372322</v>
      </c>
      <c r="W83" s="4"/>
      <c r="X83" s="4">
        <f>+P83-T83</f>
        <v>-2918.6000000000004</v>
      </c>
      <c r="Y83" s="4"/>
      <c r="Z83" s="12">
        <f>IF(T83=0,0,X83/T83)</f>
        <v>-0.16701573676680975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.75" thickBot="1" x14ac:dyDescent="0.3">
      <c r="A85" s="10"/>
      <c r="B85" s="29" t="s">
        <v>4</v>
      </c>
      <c r="C85" s="29"/>
      <c r="D85" s="35">
        <f>+D81-D83</f>
        <v>17252.070000000011</v>
      </c>
      <c r="E85" s="14"/>
      <c r="F85" s="32">
        <f>IF(D$12=0,0,D85/D$12)</f>
        <v>0.20473144652528175</v>
      </c>
      <c r="G85" s="14"/>
      <c r="H85" s="35">
        <f>+H81-H83</f>
        <v>14798.563138400001</v>
      </c>
      <c r="I85" s="14"/>
      <c r="J85" s="32">
        <f>IF(H$12=0,0,H85/H$12)</f>
        <v>0.16950224656266466</v>
      </c>
      <c r="K85" s="15"/>
      <c r="L85" s="35">
        <f>D85-H85</f>
        <v>2453.5068616000099</v>
      </c>
      <c r="M85" s="15"/>
      <c r="N85" s="32">
        <f>IF(H85=0,0,L85/H85)</f>
        <v>0.16579358675934802</v>
      </c>
      <c r="O85" s="28"/>
      <c r="P85" s="35">
        <f>+P81-P83</f>
        <v>4153.6800000000239</v>
      </c>
      <c r="Q85" s="14"/>
      <c r="R85" s="32">
        <f>IF(P$12=0,0,P85/P$12)</f>
        <v>3.0650443063633598E-2</v>
      </c>
      <c r="S85" s="14"/>
      <c r="T85" s="35">
        <f>+T81-T83</f>
        <v>640.10988429999998</v>
      </c>
      <c r="U85" s="14"/>
      <c r="V85" s="32">
        <f>IF(T$12=0,0,T85/T$12)</f>
        <v>4.6331057057035323E-3</v>
      </c>
      <c r="W85" s="15"/>
      <c r="X85" s="35">
        <f>P85-T85</f>
        <v>3513.570115700024</v>
      </c>
      <c r="Y85" s="15"/>
      <c r="Z85" s="32">
        <f>IF(T85=0,0,X85/T85)</f>
        <v>5.4890108743475059</v>
      </c>
    </row>
    <row r="86" spans="1:26" ht="15.75" thickTop="1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x14ac:dyDescent="0.2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.75" thickBot="1" x14ac:dyDescent="0.3">
      <c r="A88" s="10"/>
      <c r="B88" s="29" t="s">
        <v>5</v>
      </c>
      <c r="C88" s="29"/>
      <c r="D88" s="30">
        <f>SUM(D85:D87)</f>
        <v>17252.070000000011</v>
      </c>
      <c r="E88" s="14"/>
      <c r="F88" s="31">
        <f>IF(D$12=0,0,D88/D$12)</f>
        <v>0.20473144652528175</v>
      </c>
      <c r="G88" s="14"/>
      <c r="H88" s="30">
        <f>SUM(H85:H87)</f>
        <v>14798.563138400001</v>
      </c>
      <c r="I88" s="14"/>
      <c r="J88" s="31">
        <f>IF(H$12=0,0,H88/H$12)</f>
        <v>0.16950224656266466</v>
      </c>
      <c r="K88" s="15"/>
      <c r="L88" s="30">
        <f>+D88-H88</f>
        <v>2453.5068616000099</v>
      </c>
      <c r="M88" s="15"/>
      <c r="N88" s="31">
        <f>IF(H88=0,0,L88/H88)</f>
        <v>0.16579358675934802</v>
      </c>
      <c r="O88" s="28"/>
      <c r="P88" s="30">
        <f>SUM(P85:P87)</f>
        <v>4153.6800000000239</v>
      </c>
      <c r="Q88" s="14"/>
      <c r="R88" s="31">
        <f>IF(P$12=0,0,P88/P$12)</f>
        <v>3.0650443063633598E-2</v>
      </c>
      <c r="S88" s="14"/>
      <c r="T88" s="30">
        <f>SUM(T85:T87)</f>
        <v>640.10988429999998</v>
      </c>
      <c r="U88" s="14"/>
      <c r="V88" s="31">
        <f>IF(T$12=0,0,T88/T$12)</f>
        <v>4.6331057057035323E-3</v>
      </c>
      <c r="W88" s="15"/>
      <c r="X88" s="30">
        <f>+P88-T88</f>
        <v>3513.570115700024</v>
      </c>
      <c r="Y88" s="15"/>
      <c r="Z88" s="31">
        <f>IF(T88=0,0,X88/T88)</f>
        <v>5.4890108743475059</v>
      </c>
    </row>
    <row r="89" spans="1:26" ht="15.75" thickTop="1" x14ac:dyDescent="0.25">
      <c r="A89" s="9"/>
      <c r="C89" s="9"/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  <row r="90" spans="1:26" x14ac:dyDescent="0.25">
      <c r="A90" s="9"/>
      <c r="B90" s="53">
        <v>43756.452324768521</v>
      </c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  <row r="91" spans="1:26" x14ac:dyDescent="0.25">
      <c r="A91" s="9"/>
      <c r="B91" s="55" t="s">
        <v>314</v>
      </c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  <row r="92" spans="1:26" x14ac:dyDescent="0.25">
      <c r="A92" s="9"/>
      <c r="B92" s="56"/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  <row r="93" spans="1:26" x14ac:dyDescent="0.25"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</sheetData>
  <pageMargins left="0.25" right="0.25" top="0.75" bottom="0.75" header="0.3" footer="0.3"/>
  <pageSetup scale="55" fitToWidth="2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">
        <v>299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5"/>
      <c r="L31" s="35" t="e">
        <f ca="1">D31-H31</f>
        <v>#NAME?</v>
      </c>
      <c r="M31" s="15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5"/>
      <c r="X31" s="35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8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str">
        <f>CONCATENATE("Period ",RIGHT(202003,2),", ",2020)</f>
        <v>Period 03, 2020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43736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tr">
        <f>CONCATENATE("Department ","321", " - ", "Student Union C-Store")</f>
        <v>Department 321 - Student Union C-Store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49419.18</v>
      </c>
      <c r="E12" s="4"/>
      <c r="F12" s="12"/>
      <c r="G12" s="4"/>
      <c r="H12" s="4">
        <f>SUM(OSRRefH13x_0)</f>
        <v>46413</v>
      </c>
      <c r="I12" s="4"/>
      <c r="J12" s="12"/>
      <c r="K12" s="4"/>
      <c r="L12" s="4">
        <f t="shared" ref="L12:L15" si="0">+D12-H12</f>
        <v>3006.1800000000003</v>
      </c>
      <c r="M12" s="4"/>
      <c r="N12" s="12">
        <f t="shared" ref="N12:N15" si="1">IF(H12=0,0,L12/H12)</f>
        <v>6.4770215241419432E-2</v>
      </c>
      <c r="O12" s="10"/>
      <c r="P12" s="4">
        <f>SUM(OSRRefP13x_0)</f>
        <v>71935.31</v>
      </c>
      <c r="Q12" s="4"/>
      <c r="R12" s="12"/>
      <c r="S12" s="4"/>
      <c r="T12" s="4">
        <f>SUM(OSRRefT13x_0)</f>
        <v>69569</v>
      </c>
      <c r="U12" s="4"/>
      <c r="V12" s="12"/>
      <c r="W12" s="4"/>
      <c r="X12" s="4">
        <f t="shared" ref="X12:X15" si="2">+P12-T12</f>
        <v>2366.3099999999977</v>
      </c>
      <c r="Y12" s="4"/>
      <c r="Z12" s="12">
        <f t="shared" ref="Z12:Z15" si="3">IF(T12=0,0,X12/T12)</f>
        <v>3.4013856746539374E-2</v>
      </c>
    </row>
    <row r="13" spans="1:26" s="24" customFormat="1" hidden="1" outlineLevel="1" x14ac:dyDescent="0.25">
      <c r="A13" s="46"/>
      <c r="B13" s="11" t="str">
        <f>CONCATENATE("          ", "4032", " - ", "TAXABLE SALES-JUICE")</f>
        <v xml:space="preserve">          4032 - TAXABLE SALES-JUICE</v>
      </c>
      <c r="C13" s="11"/>
      <c r="D13" s="2">
        <f>--12163.44</f>
        <v>12163.44</v>
      </c>
      <c r="E13" s="2"/>
      <c r="F13" s="19"/>
      <c r="G13" s="2"/>
      <c r="H13" s="2"/>
      <c r="I13" s="2"/>
      <c r="J13" s="19"/>
      <c r="K13" s="2"/>
      <c r="L13" s="2">
        <f t="shared" si="0"/>
        <v>12163.44</v>
      </c>
      <c r="M13" s="2"/>
      <c r="N13" s="19">
        <f t="shared" si="1"/>
        <v>0</v>
      </c>
      <c r="O13" s="11"/>
      <c r="P13" s="2">
        <f>--17522.28</f>
        <v>17522.28</v>
      </c>
      <c r="Q13" s="2"/>
      <c r="R13" s="19"/>
      <c r="S13" s="2"/>
      <c r="T13" s="2"/>
      <c r="U13" s="2"/>
      <c r="V13" s="19"/>
      <c r="W13" s="2"/>
      <c r="X13" s="2">
        <f t="shared" si="2"/>
        <v>17522.28</v>
      </c>
      <c r="Y13" s="2"/>
      <c r="Z13" s="19">
        <f t="shared" si="3"/>
        <v>0</v>
      </c>
    </row>
    <row r="14" spans="1:26" s="24" customFormat="1" hidden="1" outlineLevel="1" x14ac:dyDescent="0.25">
      <c r="A14" s="46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46413</v>
      </c>
      <c r="I14" s="2"/>
      <c r="J14" s="19"/>
      <c r="K14" s="2"/>
      <c r="L14" s="2">
        <f t="shared" si="0"/>
        <v>-46413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69569</v>
      </c>
      <c r="U14" s="2"/>
      <c r="V14" s="19"/>
      <c r="W14" s="2"/>
      <c r="X14" s="2">
        <f t="shared" si="2"/>
        <v>-69569</v>
      </c>
      <c r="Y14" s="2"/>
      <c r="Z14" s="19">
        <f t="shared" si="3"/>
        <v>-1</v>
      </c>
    </row>
    <row r="15" spans="1:26" s="24" customFormat="1" hidden="1" outlineLevel="1" x14ac:dyDescent="0.25">
      <c r="A15" s="46"/>
      <c r="B15" s="11" t="str">
        <f>CONCATENATE("          ", "4132", " - ", "NON-TAXABLE SALES-JUICE")</f>
        <v xml:space="preserve">          4132 - NON-TAXABLE SALES-JUICE</v>
      </c>
      <c r="C15" s="11"/>
      <c r="D15" s="2">
        <f>--37255.74</f>
        <v>37255.74</v>
      </c>
      <c r="E15" s="2"/>
      <c r="F15" s="19"/>
      <c r="G15" s="2"/>
      <c r="H15" s="2"/>
      <c r="I15" s="2"/>
      <c r="J15" s="19"/>
      <c r="K15" s="2"/>
      <c r="L15" s="2">
        <f t="shared" si="0"/>
        <v>37255.74</v>
      </c>
      <c r="M15" s="2"/>
      <c r="N15" s="19">
        <f t="shared" si="1"/>
        <v>0</v>
      </c>
      <c r="O15" s="11"/>
      <c r="P15" s="2">
        <f>--54413.03</f>
        <v>54413.03</v>
      </c>
      <c r="Q15" s="2"/>
      <c r="R15" s="19"/>
      <c r="S15" s="2"/>
      <c r="T15" s="2"/>
      <c r="U15" s="2"/>
      <c r="V15" s="19"/>
      <c r="W15" s="2"/>
      <c r="X15" s="2">
        <f t="shared" si="2"/>
        <v>54413.03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23163.639999999996</v>
      </c>
      <c r="E17" s="4"/>
      <c r="F17" s="12">
        <f t="shared" ref="F17:F20" si="4">IF(D$12=0,0,D17/D$12)</f>
        <v>0.46871761125943401</v>
      </c>
      <c r="G17" s="4"/>
      <c r="H17" s="4">
        <f>SUM(OSRRefH16x_0)</f>
        <v>22185</v>
      </c>
      <c r="I17" s="4"/>
      <c r="J17" s="12">
        <f t="shared" ref="J17:J20" si="5">IF(H$12=0,0,H17/H$12)</f>
        <v>0.47799108008532093</v>
      </c>
      <c r="K17" s="4"/>
      <c r="L17" s="4">
        <f t="shared" ref="L17:L20" si="6">+D17-H17</f>
        <v>978.63999999999578</v>
      </c>
      <c r="M17" s="4"/>
      <c r="N17" s="12">
        <f t="shared" ref="N17:N20" si="7">IF(H17=0,0,L17/H17)</f>
        <v>4.4112688753662192E-2</v>
      </c>
      <c r="O17" s="10"/>
      <c r="P17" s="4">
        <f>SUM(OSRRefP16x_0)</f>
        <v>33923.17</v>
      </c>
      <c r="Q17" s="4"/>
      <c r="R17" s="12">
        <f t="shared" ref="R17:R20" si="8">IF(P$12=0,0,P17/P$12)</f>
        <v>0.47157883937665662</v>
      </c>
      <c r="S17" s="4"/>
      <c r="T17" s="4">
        <f>SUM(OSRRefT16x_0)</f>
        <v>33254</v>
      </c>
      <c r="U17" s="4"/>
      <c r="V17" s="12">
        <f t="shared" ref="V17:V20" si="9">IF(T$12=0,0,T17/T$12)</f>
        <v>0.47800025873593122</v>
      </c>
      <c r="W17" s="4"/>
      <c r="X17" s="4">
        <f t="shared" ref="X17:X20" si="10">+P17-T17</f>
        <v>669.16999999999825</v>
      </c>
      <c r="Y17" s="4"/>
      <c r="Z17" s="12">
        <f t="shared" ref="Z17:Z20" si="11">IF(T17=0,0,X17/T17)</f>
        <v>2.0122992722679926E-2</v>
      </c>
    </row>
    <row r="18" spans="1:26" s="24" customFormat="1" hidden="1" outlineLevel="1" x14ac:dyDescent="0.25">
      <c r="A18" s="46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4"/>
        <v>0</v>
      </c>
      <c r="G18" s="2"/>
      <c r="H18" s="2">
        <v>22185</v>
      </c>
      <c r="I18" s="2"/>
      <c r="J18" s="19">
        <f t="shared" si="5"/>
        <v>0.47799108008532093</v>
      </c>
      <c r="K18" s="2"/>
      <c r="L18" s="2">
        <f t="shared" si="6"/>
        <v>-22185</v>
      </c>
      <c r="M18" s="2"/>
      <c r="N18" s="19">
        <f t="shared" si="7"/>
        <v>-1</v>
      </c>
      <c r="O18" s="11"/>
      <c r="P18" s="2"/>
      <c r="Q18" s="2"/>
      <c r="R18" s="19">
        <f t="shared" si="8"/>
        <v>0</v>
      </c>
      <c r="S18" s="2"/>
      <c r="T18" s="2">
        <v>33254</v>
      </c>
      <c r="U18" s="2"/>
      <c r="V18" s="19">
        <f t="shared" si="9"/>
        <v>0.47800025873593122</v>
      </c>
      <c r="W18" s="2"/>
      <c r="X18" s="2">
        <f t="shared" si="10"/>
        <v>-33254</v>
      </c>
      <c r="Y18" s="2"/>
      <c r="Z18" s="19">
        <f t="shared" si="11"/>
        <v>-1</v>
      </c>
    </row>
    <row r="19" spans="1:26" s="24" customFormat="1" hidden="1" outlineLevel="1" x14ac:dyDescent="0.25">
      <c r="A19" s="46"/>
      <c r="B19" s="11" t="str">
        <f>CONCATENATE("          ", "5053", " - ", "PURCHASES @ COST-FOOD")</f>
        <v xml:space="preserve">          5053 - PURCHASES @ COST-FOOD</v>
      </c>
      <c r="C19" s="11"/>
      <c r="D19" s="2">
        <v>22056.929999999997</v>
      </c>
      <c r="E19" s="2"/>
      <c r="F19" s="19">
        <f t="shared" si="4"/>
        <v>0.44632326962932201</v>
      </c>
      <c r="G19" s="2"/>
      <c r="H19" s="2"/>
      <c r="I19" s="2"/>
      <c r="J19" s="19">
        <f t="shared" si="5"/>
        <v>0</v>
      </c>
      <c r="K19" s="2"/>
      <c r="L19" s="2">
        <f t="shared" si="6"/>
        <v>22056.929999999997</v>
      </c>
      <c r="M19" s="2"/>
      <c r="N19" s="19">
        <f t="shared" si="7"/>
        <v>0</v>
      </c>
      <c r="O19" s="11"/>
      <c r="P19" s="2">
        <v>38830.400000000001</v>
      </c>
      <c r="Q19" s="2"/>
      <c r="R19" s="19">
        <f t="shared" si="8"/>
        <v>0.53979610291524427</v>
      </c>
      <c r="S19" s="2"/>
      <c r="T19" s="2"/>
      <c r="U19" s="2"/>
      <c r="V19" s="19">
        <f t="shared" si="9"/>
        <v>0</v>
      </c>
      <c r="W19" s="2"/>
      <c r="X19" s="2">
        <f t="shared" si="10"/>
        <v>38830.400000000001</v>
      </c>
      <c r="Y19" s="2"/>
      <c r="Z19" s="19">
        <f t="shared" si="11"/>
        <v>0</v>
      </c>
    </row>
    <row r="20" spans="1:26" s="24" customFormat="1" hidden="1" outlineLevel="1" x14ac:dyDescent="0.25">
      <c r="A20" s="46"/>
      <c r="B20" s="11" t="str">
        <f>CONCATENATE("          ", "5059", " - ", "PURCHASES @ COST-FOOD")</f>
        <v xml:space="preserve">          5059 - PURCHASES @ COST-FOOD</v>
      </c>
      <c r="C20" s="11"/>
      <c r="D20" s="2">
        <v>1106.71</v>
      </c>
      <c r="E20" s="2"/>
      <c r="F20" s="19">
        <f t="shared" si="4"/>
        <v>2.2394341630112034E-2</v>
      </c>
      <c r="G20" s="2"/>
      <c r="H20" s="2"/>
      <c r="I20" s="2"/>
      <c r="J20" s="19">
        <f t="shared" si="5"/>
        <v>0</v>
      </c>
      <c r="K20" s="2"/>
      <c r="L20" s="2">
        <f t="shared" si="6"/>
        <v>1106.71</v>
      </c>
      <c r="M20" s="2"/>
      <c r="N20" s="19">
        <f t="shared" si="7"/>
        <v>0</v>
      </c>
      <c r="O20" s="11"/>
      <c r="P20" s="2">
        <v>-4907.2299999999996</v>
      </c>
      <c r="Q20" s="2"/>
      <c r="R20" s="19">
        <f t="shared" si="8"/>
        <v>-6.8217263538587647E-2</v>
      </c>
      <c r="S20" s="2"/>
      <c r="T20" s="2"/>
      <c r="U20" s="2"/>
      <c r="V20" s="19">
        <f t="shared" si="9"/>
        <v>0</v>
      </c>
      <c r="W20" s="2"/>
      <c r="X20" s="2">
        <f t="shared" si="10"/>
        <v>-4907.2299999999996</v>
      </c>
      <c r="Y20" s="2"/>
      <c r="Z20" s="19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6</v>
      </c>
      <c r="C22" s="29"/>
      <c r="D22" s="22">
        <f>D12-D17</f>
        <v>26255.540000000005</v>
      </c>
      <c r="E22" s="14"/>
      <c r="F22" s="20">
        <f>IF(D$12=0,0,D22/D$12)</f>
        <v>0.53128238874056599</v>
      </c>
      <c r="G22" s="14"/>
      <c r="H22" s="22">
        <f>H12-H17</f>
        <v>24228</v>
      </c>
      <c r="I22" s="14"/>
      <c r="J22" s="20">
        <f>IF(H$12=0,0,H22/H$12)</f>
        <v>0.52200891991467913</v>
      </c>
      <c r="K22" s="15"/>
      <c r="L22" s="22">
        <f>+D22-H22</f>
        <v>2027.5400000000045</v>
      </c>
      <c r="M22" s="15"/>
      <c r="N22" s="20">
        <f>IF(H22=0,0,L22/H22)</f>
        <v>8.3685818061746922E-2</v>
      </c>
      <c r="O22" s="28"/>
      <c r="P22" s="22">
        <f>P12-P17</f>
        <v>38012.14</v>
      </c>
      <c r="Q22" s="14"/>
      <c r="R22" s="20">
        <f>IF(P$12=0,0,P22/P$12)</f>
        <v>0.52842116062334343</v>
      </c>
      <c r="S22" s="14"/>
      <c r="T22" s="22">
        <f>T12-T17</f>
        <v>36315</v>
      </c>
      <c r="U22" s="14"/>
      <c r="V22" s="20">
        <f>IF(T$12=0,0,T22/T$12)</f>
        <v>0.52199974126406878</v>
      </c>
      <c r="W22" s="15"/>
      <c r="X22" s="22">
        <f>+P22-T22</f>
        <v>1697.1399999999994</v>
      </c>
      <c r="Y22" s="15"/>
      <c r="Z22" s="20">
        <f>IF(T22=0,0,X22/T22)</f>
        <v>4.6733856533113023E-2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9</v>
      </c>
      <c r="C24" s="10"/>
      <c r="D24" s="21">
        <f>SUM(OSRRefD22x_0)</f>
        <v>18647.96</v>
      </c>
      <c r="E24" s="21"/>
      <c r="F24" s="33">
        <f t="shared" ref="F24:F33" si="12">IF(D$12=0,0,D24/D$12)</f>
        <v>0.3773425621388295</v>
      </c>
      <c r="G24" s="21"/>
      <c r="H24" s="21">
        <f>SUM(OSRRefH22x_0)</f>
        <v>17055.54090538462</v>
      </c>
      <c r="I24" s="21"/>
      <c r="J24" s="33">
        <f t="shared" ref="J24:J33" si="13">IF(H$12=0,0,H24/H$12)</f>
        <v>0.3674733567186913</v>
      </c>
      <c r="K24" s="4"/>
      <c r="L24" s="21">
        <f t="shared" ref="L24:L33" si="14">+D24-H24</f>
        <v>1592.4190946153794</v>
      </c>
      <c r="M24" s="4"/>
      <c r="N24" s="33">
        <f t="shared" ref="N24:N33" si="15">IF(H24=0,0,L24/H24)</f>
        <v>9.3366672065653189E-2</v>
      </c>
      <c r="O24" s="10"/>
      <c r="P24" s="21">
        <f>SUM(OSRRefP22x_0)</f>
        <v>36957.360000000008</v>
      </c>
      <c r="Q24" s="21"/>
      <c r="R24" s="33">
        <f t="shared" ref="R24:R33" si="16">IF(P$12=0,0,P24/P$12)</f>
        <v>0.51375826419598403</v>
      </c>
      <c r="S24" s="21"/>
      <c r="T24" s="21">
        <f>SUM(OSRRefT22x_0)</f>
        <v>33905.03419250001</v>
      </c>
      <c r="U24" s="21"/>
      <c r="V24" s="33">
        <f t="shared" ref="V24:V33" si="17">IF(T$12=0,0,T24/T$12)</f>
        <v>0.48735836640601432</v>
      </c>
      <c r="W24" s="4"/>
      <c r="X24" s="21">
        <f t="shared" ref="X24:X33" si="18">+P24-T24</f>
        <v>3052.3258074999976</v>
      </c>
      <c r="Y24" s="4"/>
      <c r="Z24" s="33">
        <f t="shared" ref="Z24:Z33" si="19">IF(T24=0,0,X24/T24)</f>
        <v>9.0025740430463561E-2</v>
      </c>
    </row>
    <row r="25" spans="1:26" s="26" customFormat="1" outlineLevel="1" collapsed="1" x14ac:dyDescent="0.25">
      <c r="A25" s="27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1652.27</v>
      </c>
      <c r="E25" s="1"/>
      <c r="F25" s="5">
        <f t="shared" si="12"/>
        <v>3.3433780163895879E-2</v>
      </c>
      <c r="G25" s="1"/>
      <c r="H25" s="1">
        <f>SUM(OSRRefH22_0x_0)</f>
        <v>1449.8062899999998</v>
      </c>
      <c r="I25" s="1"/>
      <c r="J25" s="5">
        <f t="shared" si="13"/>
        <v>3.1237073449249128E-2</v>
      </c>
      <c r="K25" s="1"/>
      <c r="L25" s="1">
        <f t="shared" si="14"/>
        <v>202.46371000000022</v>
      </c>
      <c r="M25" s="1"/>
      <c r="N25" s="5">
        <f t="shared" si="15"/>
        <v>0.13964880094429735</v>
      </c>
      <c r="O25" s="13"/>
      <c r="P25" s="1">
        <f>SUM(OSRRefP22_0x_0)</f>
        <v>4674.1400000000003</v>
      </c>
      <c r="Q25" s="1"/>
      <c r="R25" s="5">
        <f t="shared" si="16"/>
        <v>6.4976991132727452E-2</v>
      </c>
      <c r="S25" s="1"/>
      <c r="T25" s="1">
        <f>SUM(OSRRefT22_0x_0)</f>
        <v>4230.6466924999995</v>
      </c>
      <c r="U25" s="1"/>
      <c r="V25" s="5">
        <f t="shared" si="17"/>
        <v>6.0812239539162552E-2</v>
      </c>
      <c r="W25" s="1"/>
      <c r="X25" s="1">
        <f t="shared" si="18"/>
        <v>443.49330750000081</v>
      </c>
      <c r="Y25" s="1"/>
      <c r="Z25" s="5">
        <f t="shared" si="19"/>
        <v>0.10482872708000324</v>
      </c>
    </row>
    <row r="26" spans="1:26" s="24" customFormat="1" hidden="1" outlineLevel="2" x14ac:dyDescent="0.25">
      <c r="A26" s="25"/>
      <c r="B26" s="11" t="str">
        <f>CONCATENATE("          ", "6111", " - ", "F.I.C.A.")</f>
        <v xml:space="preserve">          6111 - F.I.C.A.</v>
      </c>
      <c r="C26" s="11"/>
      <c r="D26" s="7">
        <v>253.31</v>
      </c>
      <c r="E26" s="2"/>
      <c r="F26" s="6">
        <f t="shared" si="12"/>
        <v>5.125742677235842E-3</v>
      </c>
      <c r="G26" s="2"/>
      <c r="H26" s="7">
        <v>151.34690538461498</v>
      </c>
      <c r="I26" s="2"/>
      <c r="J26" s="6">
        <f t="shared" si="13"/>
        <v>3.2608731472780253E-3</v>
      </c>
      <c r="K26" s="2"/>
      <c r="L26" s="7">
        <f t="shared" si="14"/>
        <v>101.96309461538502</v>
      </c>
      <c r="M26" s="2"/>
      <c r="N26" s="6">
        <f t="shared" si="15"/>
        <v>0.67370452244311285</v>
      </c>
      <c r="O26" s="11"/>
      <c r="P26" s="7">
        <v>854.31</v>
      </c>
      <c r="Q26" s="2"/>
      <c r="R26" s="6">
        <f t="shared" si="16"/>
        <v>1.1876087000945711E-2</v>
      </c>
      <c r="S26" s="2"/>
      <c r="T26" s="7">
        <v>628.48349249999899</v>
      </c>
      <c r="U26" s="2"/>
      <c r="V26" s="6">
        <f t="shared" si="17"/>
        <v>9.0339589831677763E-3</v>
      </c>
      <c r="W26" s="2"/>
      <c r="X26" s="7">
        <f t="shared" si="18"/>
        <v>225.82650750000096</v>
      </c>
      <c r="Y26" s="2"/>
      <c r="Z26" s="6">
        <f t="shared" si="19"/>
        <v>0.35931971196522927</v>
      </c>
    </row>
    <row r="27" spans="1:26" s="24" customFormat="1" hidden="1" outlineLevel="2" x14ac:dyDescent="0.25">
      <c r="A27" s="25"/>
      <c r="B27" s="11" t="str">
        <f>CONCATENATE("          ", "6112", " - ", "COMPENSATION INSURANCE")</f>
        <v xml:space="preserve">          6112 - COMPENSATION INSURANCE</v>
      </c>
      <c r="C27" s="11"/>
      <c r="D27" s="7">
        <v>146.96</v>
      </c>
      <c r="E27" s="2"/>
      <c r="F27" s="6">
        <f t="shared" si="12"/>
        <v>2.9737442021498537E-3</v>
      </c>
      <c r="G27" s="2"/>
      <c r="H27" s="7">
        <v>146.67269230769202</v>
      </c>
      <c r="I27" s="2"/>
      <c r="J27" s="6">
        <f t="shared" si="13"/>
        <v>3.1601640124036805E-3</v>
      </c>
      <c r="K27" s="2"/>
      <c r="L27" s="7">
        <f t="shared" si="14"/>
        <v>0.28730769230799069</v>
      </c>
      <c r="M27" s="2"/>
      <c r="N27" s="6">
        <f t="shared" si="15"/>
        <v>1.9588356072804103E-3</v>
      </c>
      <c r="O27" s="11"/>
      <c r="P27" s="7">
        <v>252.43</v>
      </c>
      <c r="Q27" s="2"/>
      <c r="R27" s="6">
        <f t="shared" si="16"/>
        <v>3.5091250736251781E-3</v>
      </c>
      <c r="S27" s="2"/>
      <c r="T27" s="7">
        <v>312.75424999999967</v>
      </c>
      <c r="U27" s="2"/>
      <c r="V27" s="6">
        <f t="shared" si="17"/>
        <v>4.4955978956144216E-3</v>
      </c>
      <c r="W27" s="2"/>
      <c r="X27" s="7">
        <f t="shared" si="18"/>
        <v>-60.324249999999665</v>
      </c>
      <c r="Y27" s="2"/>
      <c r="Z27" s="6">
        <f t="shared" si="19"/>
        <v>-0.19288067228502803</v>
      </c>
    </row>
    <row r="28" spans="1:26" s="24" customFormat="1" hidden="1" outlineLevel="2" x14ac:dyDescent="0.25">
      <c r="A28" s="25"/>
      <c r="B28" s="11" t="str">
        <f>CONCATENATE("          ", "6113", " - ", "GROUP INSURANCE")</f>
        <v xml:space="preserve">          6113 - GROUP INSURANCE</v>
      </c>
      <c r="C28" s="11"/>
      <c r="D28" s="7">
        <v>935.3</v>
      </c>
      <c r="E28" s="2"/>
      <c r="F28" s="6">
        <f t="shared" si="12"/>
        <v>1.8925850246807006E-2</v>
      </c>
      <c r="G28" s="2"/>
      <c r="H28" s="7">
        <v>690.5</v>
      </c>
      <c r="I28" s="2"/>
      <c r="J28" s="6">
        <f t="shared" si="13"/>
        <v>1.4877297308943615E-2</v>
      </c>
      <c r="K28" s="2"/>
      <c r="L28" s="7">
        <f t="shared" si="14"/>
        <v>244.79999999999995</v>
      </c>
      <c r="M28" s="2"/>
      <c r="N28" s="6">
        <f t="shared" si="15"/>
        <v>0.3545257060101375</v>
      </c>
      <c r="O28" s="11"/>
      <c r="P28" s="7">
        <v>2805.9</v>
      </c>
      <c r="Q28" s="2"/>
      <c r="R28" s="6">
        <f t="shared" si="16"/>
        <v>3.9005879032147077E-2</v>
      </c>
      <c r="S28" s="2"/>
      <c r="T28" s="7">
        <v>2071.5</v>
      </c>
      <c r="U28" s="2"/>
      <c r="V28" s="6">
        <f t="shared" si="17"/>
        <v>2.9776193419482816E-2</v>
      </c>
      <c r="W28" s="2"/>
      <c r="X28" s="7">
        <f t="shared" si="18"/>
        <v>734.40000000000009</v>
      </c>
      <c r="Y28" s="2"/>
      <c r="Z28" s="6">
        <f t="shared" si="19"/>
        <v>0.35452570601013761</v>
      </c>
    </row>
    <row r="29" spans="1:26" s="24" customFormat="1" hidden="1" outlineLevel="2" x14ac:dyDescent="0.25">
      <c r="A29" s="25"/>
      <c r="B29" s="11" t="str">
        <f>CONCATENATE("          ", "6114", " - ", "STATE UNEMPLOYMENT INSURANCE")</f>
        <v xml:space="preserve">          6114 - STATE UNEMPLOYMENT INSURANCE</v>
      </c>
      <c r="C29" s="11"/>
      <c r="D29" s="7">
        <v>20.11</v>
      </c>
      <c r="E29" s="2"/>
      <c r="F29" s="6">
        <f t="shared" si="12"/>
        <v>4.0692702711781132E-4</v>
      </c>
      <c r="G29" s="2"/>
      <c r="H29" s="7">
        <v>20.071000000000002</v>
      </c>
      <c r="I29" s="2"/>
      <c r="J29" s="6">
        <f t="shared" si="13"/>
        <v>4.3244349643418875E-4</v>
      </c>
      <c r="K29" s="2"/>
      <c r="L29" s="7">
        <f t="shared" si="14"/>
        <v>3.8999999999997925E-2</v>
      </c>
      <c r="M29" s="2"/>
      <c r="N29" s="6">
        <f t="shared" si="15"/>
        <v>1.9431019879426995E-3</v>
      </c>
      <c r="O29" s="11"/>
      <c r="P29" s="7">
        <v>34.21</v>
      </c>
      <c r="Q29" s="2"/>
      <c r="R29" s="6">
        <f t="shared" si="16"/>
        <v>4.7556617188415537E-4</v>
      </c>
      <c r="S29" s="2"/>
      <c r="T29" s="7">
        <v>42.79795</v>
      </c>
      <c r="U29" s="2"/>
      <c r="V29" s="6">
        <f t="shared" si="17"/>
        <v>6.1518708045250035E-4</v>
      </c>
      <c r="W29" s="2"/>
      <c r="X29" s="7">
        <f t="shared" si="18"/>
        <v>-8.5879499999999993</v>
      </c>
      <c r="Y29" s="2"/>
      <c r="Z29" s="6">
        <f t="shared" si="19"/>
        <v>-0.20066264856143809</v>
      </c>
    </row>
    <row r="30" spans="1:26" s="24" customFormat="1" hidden="1" outlineLevel="2" x14ac:dyDescent="0.25">
      <c r="A30" s="25"/>
      <c r="B30" s="11" t="str">
        <f>CONCATENATE("          ", "6115", " - ", "P.E.R.S.")</f>
        <v xml:space="preserve">          6115 - P.E.R.S.</v>
      </c>
      <c r="C30" s="11"/>
      <c r="D30" s="7">
        <v>134.11000000000001</v>
      </c>
      <c r="E30" s="2"/>
      <c r="F30" s="6">
        <f t="shared" si="12"/>
        <v>2.7137236999885471E-3</v>
      </c>
      <c r="G30" s="2"/>
      <c r="H30" s="7">
        <v>170.074923076923</v>
      </c>
      <c r="I30" s="2"/>
      <c r="J30" s="6">
        <f t="shared" si="13"/>
        <v>3.6643811664172324E-3</v>
      </c>
      <c r="K30" s="2"/>
      <c r="L30" s="7">
        <f t="shared" si="14"/>
        <v>-35.964923076922986</v>
      </c>
      <c r="M30" s="2"/>
      <c r="N30" s="6">
        <f t="shared" si="15"/>
        <v>-0.21146517326752781</v>
      </c>
      <c r="O30" s="11"/>
      <c r="P30" s="7">
        <v>402.33</v>
      </c>
      <c r="Q30" s="2"/>
      <c r="R30" s="6">
        <f t="shared" si="16"/>
        <v>5.5929417694870571E-3</v>
      </c>
      <c r="S30" s="2"/>
      <c r="T30" s="7">
        <v>552.74350000000004</v>
      </c>
      <c r="U30" s="2"/>
      <c r="V30" s="6">
        <f t="shared" si="17"/>
        <v>7.9452557892164613E-3</v>
      </c>
      <c r="W30" s="2"/>
      <c r="X30" s="7">
        <f t="shared" si="18"/>
        <v>-150.41350000000006</v>
      </c>
      <c r="Y30" s="2"/>
      <c r="Z30" s="6">
        <f t="shared" si="19"/>
        <v>-0.27212169840079536</v>
      </c>
    </row>
    <row r="31" spans="1:26" s="24" customFormat="1" hidden="1" outlineLevel="2" x14ac:dyDescent="0.25">
      <c r="A31" s="25"/>
      <c r="B31" s="11" t="str">
        <f>CONCATENATE("          ", "6116", " - ", "EDUCATIONAL BENEFITS")</f>
        <v xml:space="preserve">          6116 - EDUCATIONAL BENEFITS</v>
      </c>
      <c r="C31" s="11"/>
      <c r="D31" s="7"/>
      <c r="E31" s="2"/>
      <c r="F31" s="6">
        <f t="shared" si="12"/>
        <v>0</v>
      </c>
      <c r="G31" s="2"/>
      <c r="H31" s="7">
        <v>0</v>
      </c>
      <c r="I31" s="2"/>
      <c r="J31" s="6">
        <f t="shared" si="13"/>
        <v>0</v>
      </c>
      <c r="K31" s="2"/>
      <c r="L31" s="7">
        <f t="shared" si="14"/>
        <v>0</v>
      </c>
      <c r="M31" s="2"/>
      <c r="N31" s="6">
        <f t="shared" si="15"/>
        <v>0</v>
      </c>
      <c r="O31" s="11"/>
      <c r="P31" s="7"/>
      <c r="Q31" s="2"/>
      <c r="R31" s="6">
        <f t="shared" si="16"/>
        <v>0</v>
      </c>
      <c r="S31" s="2"/>
      <c r="T31" s="7">
        <v>0</v>
      </c>
      <c r="U31" s="2"/>
      <c r="V31" s="6">
        <f t="shared" si="17"/>
        <v>0</v>
      </c>
      <c r="W31" s="2"/>
      <c r="X31" s="7">
        <f t="shared" si="18"/>
        <v>0</v>
      </c>
      <c r="Y31" s="2"/>
      <c r="Z31" s="6">
        <f t="shared" si="19"/>
        <v>0</v>
      </c>
    </row>
    <row r="32" spans="1:26" s="24" customFormat="1" hidden="1" outlineLevel="2" x14ac:dyDescent="0.25">
      <c r="A32" s="25"/>
      <c r="B32" s="11" t="str">
        <f>CONCATENATE("          ", "6118", " - ", "VACATION")</f>
        <v xml:space="preserve">          6118 - VACATION</v>
      </c>
      <c r="C32" s="11"/>
      <c r="D32" s="7">
        <v>73.92</v>
      </c>
      <c r="E32" s="2"/>
      <c r="F32" s="6">
        <f t="shared" si="12"/>
        <v>1.4957755268298666E-3</v>
      </c>
      <c r="G32" s="2"/>
      <c r="H32" s="7">
        <v>39.5523076923077</v>
      </c>
      <c r="I32" s="2"/>
      <c r="J32" s="6">
        <f t="shared" si="13"/>
        <v>8.5218166660865925E-4</v>
      </c>
      <c r="K32" s="2"/>
      <c r="L32" s="7">
        <f t="shared" si="14"/>
        <v>34.367692307692302</v>
      </c>
      <c r="M32" s="2"/>
      <c r="N32" s="6">
        <f t="shared" si="15"/>
        <v>0.86891749970827303</v>
      </c>
      <c r="O32" s="11"/>
      <c r="P32" s="7">
        <v>147.84</v>
      </c>
      <c r="Q32" s="2"/>
      <c r="R32" s="6">
        <f t="shared" si="16"/>
        <v>2.0551798553450316E-3</v>
      </c>
      <c r="S32" s="2"/>
      <c r="T32" s="7">
        <v>128.54499999999999</v>
      </c>
      <c r="U32" s="2"/>
      <c r="V32" s="6">
        <f t="shared" si="17"/>
        <v>1.8477339044689442E-3</v>
      </c>
      <c r="W32" s="2"/>
      <c r="X32" s="7">
        <f t="shared" si="18"/>
        <v>19.295000000000016</v>
      </c>
      <c r="Y32" s="2"/>
      <c r="Z32" s="6">
        <f t="shared" si="19"/>
        <v>0.15010307674355297</v>
      </c>
    </row>
    <row r="33" spans="1:26" s="24" customFormat="1" hidden="1" outlineLevel="2" x14ac:dyDescent="0.25">
      <c r="A33" s="25"/>
      <c r="B33" s="11" t="str">
        <f>CONCATENATE("          ", "6119", " - ", "SICK LEAVE")</f>
        <v xml:space="preserve">          6119 - SICK LEAVE</v>
      </c>
      <c r="C33" s="11"/>
      <c r="D33" s="7">
        <v>88.56</v>
      </c>
      <c r="E33" s="2"/>
      <c r="F33" s="6">
        <f t="shared" si="12"/>
        <v>1.7920167837669504E-3</v>
      </c>
      <c r="G33" s="2"/>
      <c r="H33" s="7">
        <v>231.58846153846201</v>
      </c>
      <c r="I33" s="2"/>
      <c r="J33" s="6">
        <f t="shared" si="13"/>
        <v>4.9897326511637256E-3</v>
      </c>
      <c r="K33" s="2"/>
      <c r="L33" s="7">
        <f t="shared" si="14"/>
        <v>-143.02846153846201</v>
      </c>
      <c r="M33" s="2"/>
      <c r="N33" s="6">
        <f t="shared" si="15"/>
        <v>-0.61759752877285712</v>
      </c>
      <c r="O33" s="11"/>
      <c r="P33" s="7">
        <v>177.12</v>
      </c>
      <c r="Q33" s="2"/>
      <c r="R33" s="6">
        <f t="shared" si="16"/>
        <v>2.462212229293236E-3</v>
      </c>
      <c r="S33" s="2"/>
      <c r="T33" s="7">
        <v>493.82250000000101</v>
      </c>
      <c r="U33" s="2"/>
      <c r="V33" s="6">
        <f t="shared" si="17"/>
        <v>7.0983124667596343E-3</v>
      </c>
      <c r="W33" s="2"/>
      <c r="X33" s="7">
        <f t="shared" si="18"/>
        <v>-316.70250000000101</v>
      </c>
      <c r="Y33" s="2"/>
      <c r="Z33" s="6">
        <f t="shared" si="19"/>
        <v>-0.64132861503880512</v>
      </c>
    </row>
    <row r="34" spans="1:26" s="26" customFormat="1" outlineLevel="1" collapsed="1" x14ac:dyDescent="0.25">
      <c r="A34" s="27"/>
      <c r="B34" s="13" t="str">
        <f>CONCATENATE("     ","*Payroll                                          ")</f>
        <v xml:space="preserve">     *Payroll                                          </v>
      </c>
      <c r="C34" s="13"/>
      <c r="D34" s="1">
        <f>SUM(OSRRefD22_1x_0)</f>
        <v>7097.04</v>
      </c>
      <c r="E34" s="1"/>
      <c r="F34" s="5">
        <f t="shared" ref="F34:F44" si="20">IF(D$12=0,0,D34/D$12)</f>
        <v>0.14360901981781163</v>
      </c>
      <c r="G34" s="1"/>
      <c r="H34" s="1">
        <f>SUM(OSRRefH22_1x_0)</f>
        <v>7620.7346153846202</v>
      </c>
      <c r="I34" s="1"/>
      <c r="J34" s="5">
        <f t="shared" ref="J34:J44" si="21">IF(H$12=0,0,H34/H$12)</f>
        <v>0.16419396753893564</v>
      </c>
      <c r="K34" s="1"/>
      <c r="L34" s="1">
        <f t="shared" ref="L34:L44" si="22">+D34-H34</f>
        <v>-523.69461538462019</v>
      </c>
      <c r="M34" s="1"/>
      <c r="N34" s="5">
        <f t="shared" ref="N34:N44" si="23">IF(H34=0,0,L34/H34)</f>
        <v>-6.8719702471648034E-2</v>
      </c>
      <c r="O34" s="13"/>
      <c r="P34" s="1">
        <f>SUM(OSRRefP22_1x_0)</f>
        <v>16696.689999999999</v>
      </c>
      <c r="Q34" s="1"/>
      <c r="R34" s="5">
        <f t="shared" ref="R34:R44" si="24">IF(P$12=0,0,P34/P$12)</f>
        <v>0.2321070139268184</v>
      </c>
      <c r="S34" s="1"/>
      <c r="T34" s="1">
        <f>SUM(OSRRefT22_1x_0)</f>
        <v>16139.38750000001</v>
      </c>
      <c r="U34" s="1"/>
      <c r="V34" s="5">
        <f t="shared" ref="V34:V44" si="25">IF(T$12=0,0,T34/T$12)</f>
        <v>0.23199108079748179</v>
      </c>
      <c r="W34" s="1"/>
      <c r="X34" s="1">
        <f t="shared" ref="X34:X44" si="26">+P34-T34</f>
        <v>557.30249999998887</v>
      </c>
      <c r="Y34" s="1"/>
      <c r="Z34" s="5">
        <f t="shared" ref="Z34:Z44" si="27">IF(T34=0,0,X34/T34)</f>
        <v>3.4530585500843113E-2</v>
      </c>
    </row>
    <row r="35" spans="1:26" s="24" customFormat="1" hidden="1" outlineLevel="2" x14ac:dyDescent="0.25">
      <c r="A35" s="25"/>
      <c r="B35" s="11" t="str">
        <f>CONCATENATE("          ", "6001", " - ", "ADMINISTRATIVE SALARIES")</f>
        <v xml:space="preserve">          6001 - ADMINISTRATIVE SALARIES</v>
      </c>
      <c r="C35" s="11"/>
      <c r="D35" s="7"/>
      <c r="E35" s="2"/>
      <c r="F35" s="6">
        <f t="shared" si="20"/>
        <v>0</v>
      </c>
      <c r="G35" s="2"/>
      <c r="H35" s="7">
        <v>1878.7346153846199</v>
      </c>
      <c r="I35" s="2"/>
      <c r="J35" s="6">
        <f t="shared" si="21"/>
        <v>4.04786291639114E-2</v>
      </c>
      <c r="K35" s="2"/>
      <c r="L35" s="7">
        <f t="shared" si="22"/>
        <v>-1878.7346153846199</v>
      </c>
      <c r="M35" s="2"/>
      <c r="N35" s="6">
        <f t="shared" si="23"/>
        <v>-1</v>
      </c>
      <c r="O35" s="11"/>
      <c r="P35" s="7"/>
      <c r="Q35" s="2"/>
      <c r="R35" s="6">
        <f t="shared" si="24"/>
        <v>0</v>
      </c>
      <c r="S35" s="2"/>
      <c r="T35" s="7">
        <v>6105.8875000000098</v>
      </c>
      <c r="U35" s="2"/>
      <c r="V35" s="6">
        <f t="shared" si="25"/>
        <v>8.7767360462274999E-2</v>
      </c>
      <c r="W35" s="2"/>
      <c r="X35" s="7">
        <f t="shared" si="26"/>
        <v>-6105.8875000000098</v>
      </c>
      <c r="Y35" s="2"/>
      <c r="Z35" s="6">
        <f t="shared" si="27"/>
        <v>-1</v>
      </c>
    </row>
    <row r="36" spans="1:26" s="24" customFormat="1" hidden="1" outlineLevel="2" x14ac:dyDescent="0.25">
      <c r="A36" s="25"/>
      <c r="B36" s="11" t="str">
        <f>CONCATENATE("          ", "6002", " - ", "STAFF SALARIES")</f>
        <v xml:space="preserve">          6002 - STAFF SALARIES</v>
      </c>
      <c r="C36" s="11"/>
      <c r="D36" s="7">
        <v>1920</v>
      </c>
      <c r="E36" s="2"/>
      <c r="F36" s="6">
        <f t="shared" si="20"/>
        <v>3.8851312385191336E-2</v>
      </c>
      <c r="G36" s="2"/>
      <c r="H36" s="7">
        <v>0</v>
      </c>
      <c r="I36" s="2"/>
      <c r="J36" s="6">
        <f t="shared" si="21"/>
        <v>0</v>
      </c>
      <c r="K36" s="2"/>
      <c r="L36" s="7">
        <f t="shared" si="22"/>
        <v>1920</v>
      </c>
      <c r="M36" s="2"/>
      <c r="N36" s="6">
        <f t="shared" si="23"/>
        <v>0</v>
      </c>
      <c r="O36" s="11"/>
      <c r="P36" s="7">
        <v>6048</v>
      </c>
      <c r="Q36" s="2"/>
      <c r="R36" s="6">
        <f t="shared" si="24"/>
        <v>8.40755395368422E-2</v>
      </c>
      <c r="S36" s="2"/>
      <c r="T36" s="7">
        <v>0</v>
      </c>
      <c r="U36" s="2"/>
      <c r="V36" s="6">
        <f t="shared" si="25"/>
        <v>0</v>
      </c>
      <c r="W36" s="2"/>
      <c r="X36" s="7">
        <f t="shared" si="26"/>
        <v>6048</v>
      </c>
      <c r="Y36" s="2"/>
      <c r="Z36" s="6">
        <f t="shared" si="27"/>
        <v>0</v>
      </c>
    </row>
    <row r="37" spans="1:26" s="24" customFormat="1" hidden="1" outlineLevel="2" x14ac:dyDescent="0.25">
      <c r="A37" s="25"/>
      <c r="B37" s="11" t="str">
        <f>CONCATENATE("          ", "6003", " - ", "STAFF HOURLY-9 MONTH")</f>
        <v xml:space="preserve">          6003 - STAFF HOURLY-9 MONTH</v>
      </c>
      <c r="C37" s="11"/>
      <c r="D37" s="7"/>
      <c r="E37" s="2"/>
      <c r="F37" s="6">
        <f t="shared" si="20"/>
        <v>0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0</v>
      </c>
      <c r="Y37" s="2"/>
      <c r="Z37" s="6">
        <f t="shared" si="27"/>
        <v>0</v>
      </c>
    </row>
    <row r="38" spans="1:26" s="24" customFormat="1" hidden="1" outlineLevel="2" x14ac:dyDescent="0.25">
      <c r="A38" s="25"/>
      <c r="B38" s="11" t="str">
        <f>CONCATENATE("          ", "6004", " - ", "STAFF HOURLY")</f>
        <v xml:space="preserve">          6004 - STAFF HOURLY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5"/>
      <c r="B39" s="11" t="str">
        <f>CONCATENATE("          ", "6005", " - ", "TEMPORARY WAGES-HOURLY")</f>
        <v xml:space="preserve">          6005 - TEMPORARY WAGES-HOURLY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>
        <v>1708.78</v>
      </c>
      <c r="Q39" s="2"/>
      <c r="R39" s="6">
        <f t="shared" si="24"/>
        <v>2.375439822251409E-2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1708.78</v>
      </c>
      <c r="Y39" s="2"/>
      <c r="Z39" s="6">
        <f t="shared" si="27"/>
        <v>0</v>
      </c>
    </row>
    <row r="40" spans="1:26" s="24" customFormat="1" hidden="1" outlineLevel="2" x14ac:dyDescent="0.25">
      <c r="A40" s="25"/>
      <c r="B40" s="11" t="str">
        <f>CONCATENATE("          ", "6006", " - ", "TEMPORARY PART TIME")</f>
        <v xml:space="preserve">          6006 - TEMPORARY PART TIME</v>
      </c>
      <c r="C40" s="11"/>
      <c r="D40" s="7">
        <v>1391.35</v>
      </c>
      <c r="E40" s="2"/>
      <c r="F40" s="6">
        <f t="shared" si="20"/>
        <v>2.8154048691216647E-2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1391.35</v>
      </c>
      <c r="M40" s="2"/>
      <c r="N40" s="6">
        <f t="shared" si="23"/>
        <v>0</v>
      </c>
      <c r="O40" s="11"/>
      <c r="P40" s="7">
        <v>2299.7800000000002</v>
      </c>
      <c r="Q40" s="2"/>
      <c r="R40" s="6">
        <f t="shared" si="24"/>
        <v>3.1970113147493213E-2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2299.7800000000002</v>
      </c>
      <c r="Y40" s="2"/>
      <c r="Z40" s="6">
        <f t="shared" si="27"/>
        <v>0</v>
      </c>
    </row>
    <row r="41" spans="1:26" s="24" customFormat="1" hidden="1" outlineLevel="2" x14ac:dyDescent="0.25">
      <c r="A41" s="25"/>
      <c r="B41" s="11" t="str">
        <f>CONCATENATE("          ", "6007", " - ", "STUDENT HOURLY")</f>
        <v xml:space="preserve">          6007 - STUDENT HOURLY</v>
      </c>
      <c r="C41" s="11"/>
      <c r="D41" s="7">
        <v>3665.69</v>
      </c>
      <c r="E41" s="2"/>
      <c r="F41" s="6">
        <f t="shared" si="20"/>
        <v>7.4175451717329186E-2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3665.69</v>
      </c>
      <c r="M41" s="2"/>
      <c r="N41" s="6">
        <f t="shared" si="23"/>
        <v>0</v>
      </c>
      <c r="O41" s="11"/>
      <c r="P41" s="7">
        <v>6446.82</v>
      </c>
      <c r="Q41" s="2"/>
      <c r="R41" s="6">
        <f t="shared" si="24"/>
        <v>8.9619687466419476E-2</v>
      </c>
      <c r="S41" s="2"/>
      <c r="T41" s="7">
        <v>1785</v>
      </c>
      <c r="U41" s="2"/>
      <c r="V41" s="6">
        <f t="shared" si="25"/>
        <v>2.5657979847345802E-2</v>
      </c>
      <c r="W41" s="2"/>
      <c r="X41" s="7">
        <f t="shared" si="26"/>
        <v>4661.82</v>
      </c>
      <c r="Y41" s="2"/>
      <c r="Z41" s="6">
        <f t="shared" si="27"/>
        <v>2.6116638655462183</v>
      </c>
    </row>
    <row r="42" spans="1:26" s="24" customFormat="1" hidden="1" outlineLevel="2" x14ac:dyDescent="0.25">
      <c r="A42" s="25"/>
      <c r="B42" s="11" t="str">
        <f>CONCATENATE("          ", "6008", " - ", "STUDENT HOURLY-FICA EXEMPT")</f>
        <v xml:space="preserve">          6008 - STUDENT HOURLY-FICA EXEMPT</v>
      </c>
      <c r="C42" s="11"/>
      <c r="D42" s="7">
        <v>120</v>
      </c>
      <c r="E42" s="2"/>
      <c r="F42" s="6">
        <f t="shared" si="20"/>
        <v>2.4282070240744585E-3</v>
      </c>
      <c r="G42" s="2"/>
      <c r="H42" s="7">
        <v>5742</v>
      </c>
      <c r="I42" s="2"/>
      <c r="J42" s="6">
        <f t="shared" si="21"/>
        <v>0.12371533837502424</v>
      </c>
      <c r="K42" s="2"/>
      <c r="L42" s="7">
        <f t="shared" si="22"/>
        <v>-5622</v>
      </c>
      <c r="M42" s="2"/>
      <c r="N42" s="6">
        <f t="shared" si="23"/>
        <v>-0.9791013584117032</v>
      </c>
      <c r="O42" s="11"/>
      <c r="P42" s="7">
        <v>193.31</v>
      </c>
      <c r="Q42" s="2"/>
      <c r="R42" s="6">
        <f t="shared" si="24"/>
        <v>2.6872755535494322E-3</v>
      </c>
      <c r="S42" s="2"/>
      <c r="T42" s="7">
        <v>8248.5</v>
      </c>
      <c r="U42" s="2"/>
      <c r="V42" s="6">
        <f t="shared" si="25"/>
        <v>0.11856574048786098</v>
      </c>
      <c r="W42" s="2"/>
      <c r="X42" s="7">
        <f t="shared" si="26"/>
        <v>-8055.19</v>
      </c>
      <c r="Y42" s="2"/>
      <c r="Z42" s="6">
        <f t="shared" si="27"/>
        <v>-0.97656422379826635</v>
      </c>
    </row>
    <row r="43" spans="1:26" s="24" customFormat="1" hidden="1" outlineLevel="2" x14ac:dyDescent="0.25">
      <c r="A43" s="25"/>
      <c r="B43" s="11" t="str">
        <f>CONCATENATE("          ", "6009", " - ", "TEMPORARY-SEASONAL")</f>
        <v xml:space="preserve">          6009 - TEMPORARY-SEASONAL</v>
      </c>
      <c r="C43" s="11"/>
      <c r="D43" s="7"/>
      <c r="E43" s="2"/>
      <c r="F43" s="6">
        <f t="shared" si="20"/>
        <v>0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/>
      <c r="Q43" s="2"/>
      <c r="R43" s="6">
        <f t="shared" si="24"/>
        <v>0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0</v>
      </c>
      <c r="Y43" s="2"/>
      <c r="Z43" s="6">
        <f t="shared" si="27"/>
        <v>0</v>
      </c>
    </row>
    <row r="44" spans="1:26" s="24" customFormat="1" hidden="1" outlineLevel="2" x14ac:dyDescent="0.25">
      <c r="A44" s="25"/>
      <c r="B44" s="11" t="str">
        <f>CONCATENATE("          ", "6010", " - ", "GRATUITY")</f>
        <v xml:space="preserve">          6010 - GRATUITY</v>
      </c>
      <c r="C44" s="11"/>
      <c r="D44" s="7"/>
      <c r="E44" s="2"/>
      <c r="F44" s="6">
        <f t="shared" si="20"/>
        <v>0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0</v>
      </c>
      <c r="M44" s="2"/>
      <c r="N44" s="6">
        <f t="shared" si="23"/>
        <v>0</v>
      </c>
      <c r="O44" s="11"/>
      <c r="P44" s="7"/>
      <c r="Q44" s="2"/>
      <c r="R44" s="6">
        <f t="shared" si="24"/>
        <v>0</v>
      </c>
      <c r="S44" s="2"/>
      <c r="T44" s="7">
        <v>0</v>
      </c>
      <c r="U44" s="2"/>
      <c r="V44" s="6">
        <f t="shared" si="25"/>
        <v>0</v>
      </c>
      <c r="W44" s="2"/>
      <c r="X44" s="7">
        <f t="shared" si="26"/>
        <v>0</v>
      </c>
      <c r="Y44" s="2"/>
      <c r="Z44" s="6">
        <f t="shared" si="27"/>
        <v>0</v>
      </c>
    </row>
    <row r="45" spans="1:26" s="26" customFormat="1" outlineLevel="1" collapsed="1" x14ac:dyDescent="0.25">
      <c r="A45" s="27"/>
      <c r="B45" s="13" t="str">
        <f>CONCATENATE("     ","Advertising/Promo                                 ")</f>
        <v xml:space="preserve">     Advertising/Promo                                 </v>
      </c>
      <c r="C45" s="13"/>
      <c r="D45" s="1">
        <f>SUM(OSRRefD22_2x_0)</f>
        <v>0</v>
      </c>
      <c r="E45" s="1"/>
      <c r="F45" s="5">
        <f t="shared" ref="F45:F61" si="28">IF(D$12=0,0,D45/D$12)</f>
        <v>0</v>
      </c>
      <c r="G45" s="1"/>
      <c r="H45" s="1">
        <f>SUM(OSRRefH22_2x_0)</f>
        <v>0</v>
      </c>
      <c r="I45" s="1"/>
      <c r="J45" s="5">
        <f t="shared" ref="J45:J61" si="29">IF(H$12=0,0,H45/H$12)</f>
        <v>0</v>
      </c>
      <c r="K45" s="1"/>
      <c r="L45" s="1">
        <f t="shared" ref="L45:L61" si="30">+D45-H45</f>
        <v>0</v>
      </c>
      <c r="M45" s="1"/>
      <c r="N45" s="5">
        <f t="shared" ref="N45:N61" si="31">IF(H45=0,0,L45/H45)</f>
        <v>0</v>
      </c>
      <c r="O45" s="13"/>
      <c r="P45" s="1">
        <f>SUM(OSRRefP22_2x_0)</f>
        <v>0</v>
      </c>
      <c r="Q45" s="1"/>
      <c r="R45" s="5">
        <f t="shared" ref="R45:R61" si="32">IF(P$12=0,0,P45/P$12)</f>
        <v>0</v>
      </c>
      <c r="S45" s="1"/>
      <c r="T45" s="1">
        <f>SUM(OSRRefT22_2x_0)</f>
        <v>0</v>
      </c>
      <c r="U45" s="1"/>
      <c r="V45" s="5">
        <f t="shared" ref="V45:V61" si="33">IF(T$12=0,0,T45/T$12)</f>
        <v>0</v>
      </c>
      <c r="W45" s="1"/>
      <c r="X45" s="1">
        <f t="shared" ref="X45:X61" si="34">+P45-T45</f>
        <v>0</v>
      </c>
      <c r="Y45" s="1"/>
      <c r="Z45" s="5">
        <f t="shared" ref="Z45:Z61" si="35">IF(T45=0,0,X45/T45)</f>
        <v>0</v>
      </c>
    </row>
    <row r="46" spans="1:26" s="24" customFormat="1" hidden="1" outlineLevel="2" x14ac:dyDescent="0.25">
      <c r="A46" s="25"/>
      <c r="B46" s="11" t="str">
        <f>CONCATENATE("          ", "6362", " - ", "ADVERTISING EXPENSE")</f>
        <v xml:space="preserve">          6362 - ADVERTISING EXPENSE</v>
      </c>
      <c r="C46" s="11"/>
      <c r="D46" s="7"/>
      <c r="E46" s="2"/>
      <c r="F46" s="6">
        <f t="shared" si="28"/>
        <v>0</v>
      </c>
      <c r="G46" s="2"/>
      <c r="H46" s="7">
        <v>0</v>
      </c>
      <c r="I46" s="2"/>
      <c r="J46" s="6">
        <f t="shared" si="29"/>
        <v>0</v>
      </c>
      <c r="K46" s="2"/>
      <c r="L46" s="7">
        <f t="shared" si="30"/>
        <v>0</v>
      </c>
      <c r="M46" s="2"/>
      <c r="N46" s="6">
        <f t="shared" si="31"/>
        <v>0</v>
      </c>
      <c r="O46" s="11"/>
      <c r="P46" s="7"/>
      <c r="Q46" s="2"/>
      <c r="R46" s="6">
        <f t="shared" si="32"/>
        <v>0</v>
      </c>
      <c r="S46" s="2"/>
      <c r="T46" s="7">
        <v>0</v>
      </c>
      <c r="U46" s="2"/>
      <c r="V46" s="6">
        <f t="shared" si="33"/>
        <v>0</v>
      </c>
      <c r="W46" s="2"/>
      <c r="X46" s="7">
        <f t="shared" si="34"/>
        <v>0</v>
      </c>
      <c r="Y46" s="2"/>
      <c r="Z46" s="6">
        <f t="shared" si="35"/>
        <v>0</v>
      </c>
    </row>
    <row r="47" spans="1:26" s="26" customFormat="1" outlineLevel="1" collapsed="1" x14ac:dyDescent="0.25">
      <c r="A47" s="27"/>
      <c r="B47" s="13" t="str">
        <f>CONCATENATE("     ","Bad Debts/Over/Short                              ")</f>
        <v xml:space="preserve">     Bad Debts/Over/Short                              </v>
      </c>
      <c r="C47" s="13"/>
      <c r="D47" s="1">
        <f>SUM(OSRRefD22_3x_0)</f>
        <v>-28.23</v>
      </c>
      <c r="E47" s="1"/>
      <c r="F47" s="5">
        <f t="shared" si="28"/>
        <v>-5.7123570241351636E-4</v>
      </c>
      <c r="G47" s="1"/>
      <c r="H47" s="1">
        <f>SUM(OSRRefH22_3x_0)</f>
        <v>0</v>
      </c>
      <c r="I47" s="1"/>
      <c r="J47" s="5">
        <f t="shared" si="29"/>
        <v>0</v>
      </c>
      <c r="K47" s="1"/>
      <c r="L47" s="1">
        <f t="shared" si="30"/>
        <v>-28.23</v>
      </c>
      <c r="M47" s="1"/>
      <c r="N47" s="5">
        <f t="shared" si="31"/>
        <v>0</v>
      </c>
      <c r="O47" s="13"/>
      <c r="P47" s="1">
        <f>SUM(OSRRefP22_3x_0)</f>
        <v>-26.32</v>
      </c>
      <c r="Q47" s="1"/>
      <c r="R47" s="5">
        <f t="shared" si="32"/>
        <v>-3.6588429242885031E-4</v>
      </c>
      <c r="S47" s="1"/>
      <c r="T47" s="1">
        <f>SUM(OSRRefT22_3x_0)</f>
        <v>0</v>
      </c>
      <c r="U47" s="1"/>
      <c r="V47" s="5">
        <f t="shared" si="33"/>
        <v>0</v>
      </c>
      <c r="W47" s="1"/>
      <c r="X47" s="1">
        <f t="shared" si="34"/>
        <v>-26.32</v>
      </c>
      <c r="Y47" s="1"/>
      <c r="Z47" s="5">
        <f t="shared" si="35"/>
        <v>0</v>
      </c>
    </row>
    <row r="48" spans="1:26" s="24" customFormat="1" hidden="1" outlineLevel="2" x14ac:dyDescent="0.25">
      <c r="A48" s="25"/>
      <c r="B48" s="11" t="str">
        <f>CONCATENATE("          ", "6272", " - ", "CASH (OVER/SHORT)")</f>
        <v xml:space="preserve">          6272 - CASH (OVER/SHORT)</v>
      </c>
      <c r="C48" s="11"/>
      <c r="D48" s="7">
        <v>-28.23</v>
      </c>
      <c r="E48" s="2"/>
      <c r="F48" s="6">
        <f t="shared" si="28"/>
        <v>-5.7123570241351636E-4</v>
      </c>
      <c r="G48" s="2"/>
      <c r="H48" s="7">
        <v>0</v>
      </c>
      <c r="I48" s="2"/>
      <c r="J48" s="6">
        <f t="shared" si="29"/>
        <v>0</v>
      </c>
      <c r="K48" s="2"/>
      <c r="L48" s="7">
        <f t="shared" si="30"/>
        <v>-28.23</v>
      </c>
      <c r="M48" s="2"/>
      <c r="N48" s="6">
        <f t="shared" si="31"/>
        <v>0</v>
      </c>
      <c r="O48" s="11"/>
      <c r="P48" s="7">
        <v>-26.32</v>
      </c>
      <c r="Q48" s="2"/>
      <c r="R48" s="6">
        <f t="shared" si="32"/>
        <v>-3.6588429242885031E-4</v>
      </c>
      <c r="S48" s="2"/>
      <c r="T48" s="7">
        <v>0</v>
      </c>
      <c r="U48" s="2"/>
      <c r="V48" s="6">
        <f t="shared" si="33"/>
        <v>0</v>
      </c>
      <c r="W48" s="2"/>
      <c r="X48" s="7">
        <f t="shared" si="34"/>
        <v>-26.32</v>
      </c>
      <c r="Y48" s="2"/>
      <c r="Z48" s="6">
        <f t="shared" si="35"/>
        <v>0</v>
      </c>
    </row>
    <row r="49" spans="1:26" s="26" customFormat="1" outlineLevel="1" collapsed="1" x14ac:dyDescent="0.25">
      <c r="A49" s="27"/>
      <c r="B49" s="13" t="str">
        <f>CONCATENATE("     ","Bank/card Fees                                    ")</f>
        <v xml:space="preserve">     Bank/card Fees                                    </v>
      </c>
      <c r="C49" s="13"/>
      <c r="D49" s="1">
        <f>SUM(OSRRefD22_4x_0)</f>
        <v>1684.92</v>
      </c>
      <c r="E49" s="1"/>
      <c r="F49" s="5">
        <f t="shared" si="28"/>
        <v>3.4094454825029472E-2</v>
      </c>
      <c r="G49" s="1"/>
      <c r="H49" s="1">
        <f>SUM(OSRRefH22_4x_0)</f>
        <v>1425</v>
      </c>
      <c r="I49" s="1"/>
      <c r="J49" s="5">
        <f t="shared" si="29"/>
        <v>3.0702604873634541E-2</v>
      </c>
      <c r="K49" s="1"/>
      <c r="L49" s="1">
        <f t="shared" si="30"/>
        <v>259.92000000000007</v>
      </c>
      <c r="M49" s="1"/>
      <c r="N49" s="5">
        <f t="shared" si="31"/>
        <v>0.18240000000000006</v>
      </c>
      <c r="O49" s="13"/>
      <c r="P49" s="1">
        <f>SUM(OSRRefP22_4x_0)</f>
        <v>2434.0100000000002</v>
      </c>
      <c r="Q49" s="1"/>
      <c r="R49" s="5">
        <f t="shared" si="32"/>
        <v>3.3836095236122569E-2</v>
      </c>
      <c r="S49" s="1"/>
      <c r="T49" s="1">
        <f>SUM(OSRRefT22_4x_0)</f>
        <v>2136</v>
      </c>
      <c r="U49" s="1"/>
      <c r="V49" s="5">
        <f t="shared" si="33"/>
        <v>3.0703330506403715E-2</v>
      </c>
      <c r="W49" s="1"/>
      <c r="X49" s="1">
        <f t="shared" si="34"/>
        <v>298.01000000000022</v>
      </c>
      <c r="Y49" s="1"/>
      <c r="Z49" s="5">
        <f t="shared" si="35"/>
        <v>0.1395177902621724</v>
      </c>
    </row>
    <row r="50" spans="1:26" s="24" customFormat="1" hidden="1" outlineLevel="2" x14ac:dyDescent="0.25">
      <c r="A50" s="25"/>
      <c r="B50" s="11" t="str">
        <f>CONCATENATE("          ", "6381", " - ", "BANK/CREDIT CARD FEES")</f>
        <v xml:space="preserve">          6381 - BANK/CREDIT CARD FEES</v>
      </c>
      <c r="C50" s="11"/>
      <c r="D50" s="7">
        <v>1684.92</v>
      </c>
      <c r="E50" s="2"/>
      <c r="F50" s="6">
        <f t="shared" si="28"/>
        <v>3.4094454825029472E-2</v>
      </c>
      <c r="G50" s="2"/>
      <c r="H50" s="7">
        <v>1425</v>
      </c>
      <c r="I50" s="2"/>
      <c r="J50" s="6">
        <f t="shared" si="29"/>
        <v>3.0702604873634541E-2</v>
      </c>
      <c r="K50" s="2"/>
      <c r="L50" s="7">
        <f t="shared" si="30"/>
        <v>259.92000000000007</v>
      </c>
      <c r="M50" s="2"/>
      <c r="N50" s="6">
        <f t="shared" si="31"/>
        <v>0.18240000000000006</v>
      </c>
      <c r="O50" s="11"/>
      <c r="P50" s="7">
        <v>2434.0100000000002</v>
      </c>
      <c r="Q50" s="2"/>
      <c r="R50" s="6">
        <f t="shared" si="32"/>
        <v>3.3836095236122569E-2</v>
      </c>
      <c r="S50" s="2"/>
      <c r="T50" s="7">
        <v>2136</v>
      </c>
      <c r="U50" s="2"/>
      <c r="V50" s="6">
        <f t="shared" si="33"/>
        <v>3.0703330506403715E-2</v>
      </c>
      <c r="W50" s="2"/>
      <c r="X50" s="7">
        <f t="shared" si="34"/>
        <v>298.01000000000022</v>
      </c>
      <c r="Y50" s="2"/>
      <c r="Z50" s="6">
        <f t="shared" si="35"/>
        <v>0.1395177902621724</v>
      </c>
    </row>
    <row r="51" spans="1:26" s="26" customFormat="1" outlineLevel="1" collapsed="1" x14ac:dyDescent="0.25">
      <c r="A51" s="27"/>
      <c r="B51" s="13" t="str">
        <f>CONCATENATE("     ","Depreciation                                      ")</f>
        <v xml:space="preserve">     Depreciation                                      </v>
      </c>
      <c r="C51" s="13"/>
      <c r="D51" s="1">
        <f>SUM(OSRRefD22_5x_0)</f>
        <v>968.86</v>
      </c>
      <c r="E51" s="1"/>
      <c r="F51" s="5">
        <f t="shared" si="28"/>
        <v>1.96049388112065E-2</v>
      </c>
      <c r="G51" s="1"/>
      <c r="H51" s="1">
        <f>SUM(OSRRefH22_5x_0)</f>
        <v>969</v>
      </c>
      <c r="I51" s="1"/>
      <c r="J51" s="5">
        <f t="shared" si="29"/>
        <v>2.0877771314071487E-2</v>
      </c>
      <c r="K51" s="1"/>
      <c r="L51" s="1">
        <f t="shared" si="30"/>
        <v>-0.13999999999998636</v>
      </c>
      <c r="M51" s="1"/>
      <c r="N51" s="5">
        <f t="shared" si="31"/>
        <v>-1.4447884416923256E-4</v>
      </c>
      <c r="O51" s="13"/>
      <c r="P51" s="1">
        <f>SUM(OSRRefP22_5x_0)</f>
        <v>2906.58</v>
      </c>
      <c r="Q51" s="1"/>
      <c r="R51" s="5">
        <f t="shared" si="32"/>
        <v>4.0405469858960784E-2</v>
      </c>
      <c r="S51" s="1"/>
      <c r="T51" s="1">
        <f>SUM(OSRRefT22_5x_0)</f>
        <v>2907</v>
      </c>
      <c r="U51" s="1"/>
      <c r="V51" s="5">
        <f t="shared" si="33"/>
        <v>4.1785852894248875E-2</v>
      </c>
      <c r="W51" s="1"/>
      <c r="X51" s="1">
        <f t="shared" si="34"/>
        <v>-0.42000000000007276</v>
      </c>
      <c r="Y51" s="1"/>
      <c r="Z51" s="5">
        <f t="shared" si="35"/>
        <v>-1.4447884416927167E-4</v>
      </c>
    </row>
    <row r="52" spans="1:26" s="24" customFormat="1" hidden="1" outlineLevel="2" x14ac:dyDescent="0.25">
      <c r="A52" s="25"/>
      <c r="B52" s="11" t="str">
        <f>CONCATENATE("          ", "6322", " - ", "EQUIPMENT DEPRECIATION EXPENSE")</f>
        <v xml:space="preserve">          6322 - EQUIPMENT DEPRECIATION EXPENSE</v>
      </c>
      <c r="C52" s="11"/>
      <c r="D52" s="7">
        <v>968.86</v>
      </c>
      <c r="E52" s="2"/>
      <c r="F52" s="6">
        <f t="shared" si="28"/>
        <v>1.96049388112065E-2</v>
      </c>
      <c r="G52" s="2"/>
      <c r="H52" s="7">
        <v>969</v>
      </c>
      <c r="I52" s="2"/>
      <c r="J52" s="6">
        <f t="shared" si="29"/>
        <v>2.0877771314071487E-2</v>
      </c>
      <c r="K52" s="2"/>
      <c r="L52" s="7">
        <f t="shared" si="30"/>
        <v>-0.13999999999998636</v>
      </c>
      <c r="M52" s="2"/>
      <c r="N52" s="6">
        <f t="shared" si="31"/>
        <v>-1.4447884416923256E-4</v>
      </c>
      <c r="O52" s="11"/>
      <c r="P52" s="7">
        <v>2906.58</v>
      </c>
      <c r="Q52" s="2"/>
      <c r="R52" s="6">
        <f t="shared" si="32"/>
        <v>4.0405469858960784E-2</v>
      </c>
      <c r="S52" s="2"/>
      <c r="T52" s="7">
        <v>2907</v>
      </c>
      <c r="U52" s="2"/>
      <c r="V52" s="6">
        <f t="shared" si="33"/>
        <v>4.1785852894248875E-2</v>
      </c>
      <c r="W52" s="2"/>
      <c r="X52" s="7">
        <f t="shared" si="34"/>
        <v>-0.42000000000007276</v>
      </c>
      <c r="Y52" s="2"/>
      <c r="Z52" s="6">
        <f t="shared" si="35"/>
        <v>-1.4447884416927167E-4</v>
      </c>
    </row>
    <row r="53" spans="1:26" s="26" customFormat="1" outlineLevel="1" collapsed="1" x14ac:dyDescent="0.25">
      <c r="A53" s="27"/>
      <c r="B53" s="13" t="str">
        <f>CONCATENATE("     ","Employees' Appreciation                           ")</f>
        <v xml:space="preserve">     Employees' Appreciation                           </v>
      </c>
      <c r="C53" s="13"/>
      <c r="D53" s="1">
        <f>SUM(OSRRefD22_6x_0)</f>
        <v>0</v>
      </c>
      <c r="E53" s="1"/>
      <c r="F53" s="5">
        <f t="shared" si="28"/>
        <v>0</v>
      </c>
      <c r="G53" s="1"/>
      <c r="H53" s="1">
        <f>SUM(OSRRefH22_6x_0)</f>
        <v>0</v>
      </c>
      <c r="I53" s="1"/>
      <c r="J53" s="5">
        <f t="shared" si="29"/>
        <v>0</v>
      </c>
      <c r="K53" s="1"/>
      <c r="L53" s="1">
        <f t="shared" si="30"/>
        <v>0</v>
      </c>
      <c r="M53" s="1"/>
      <c r="N53" s="5">
        <f t="shared" si="31"/>
        <v>0</v>
      </c>
      <c r="O53" s="13"/>
      <c r="P53" s="1">
        <f>SUM(OSRRefP22_6x_0)</f>
        <v>0</v>
      </c>
      <c r="Q53" s="1"/>
      <c r="R53" s="5">
        <f t="shared" si="32"/>
        <v>0</v>
      </c>
      <c r="S53" s="1"/>
      <c r="T53" s="1">
        <f>SUM(OSRRefT22_6x_0)</f>
        <v>0</v>
      </c>
      <c r="U53" s="1"/>
      <c r="V53" s="5">
        <f t="shared" si="33"/>
        <v>0</v>
      </c>
      <c r="W53" s="1"/>
      <c r="X53" s="1">
        <f t="shared" si="34"/>
        <v>0</v>
      </c>
      <c r="Y53" s="1"/>
      <c r="Z53" s="5">
        <f t="shared" si="35"/>
        <v>0</v>
      </c>
    </row>
    <row r="54" spans="1:26" s="24" customFormat="1" hidden="1" outlineLevel="2" x14ac:dyDescent="0.25">
      <c r="A54" s="25"/>
      <c r="B54" s="11" t="str">
        <f>CONCATENATE("          ", "6277", " - ", "EMPLOYEE APPRECIATION")</f>
        <v xml:space="preserve">          6277 - EMPLOYEE APPRECIATION</v>
      </c>
      <c r="C54" s="11"/>
      <c r="D54" s="7"/>
      <c r="E54" s="2"/>
      <c r="F54" s="6">
        <f t="shared" si="28"/>
        <v>0</v>
      </c>
      <c r="G54" s="2"/>
      <c r="H54" s="7">
        <v>0</v>
      </c>
      <c r="I54" s="2"/>
      <c r="J54" s="6">
        <f t="shared" si="29"/>
        <v>0</v>
      </c>
      <c r="K54" s="2"/>
      <c r="L54" s="7">
        <f t="shared" si="30"/>
        <v>0</v>
      </c>
      <c r="M54" s="2"/>
      <c r="N54" s="6">
        <f t="shared" si="31"/>
        <v>0</v>
      </c>
      <c r="O54" s="11"/>
      <c r="P54" s="7"/>
      <c r="Q54" s="2"/>
      <c r="R54" s="6">
        <f t="shared" si="32"/>
        <v>0</v>
      </c>
      <c r="S54" s="2"/>
      <c r="T54" s="7">
        <v>0</v>
      </c>
      <c r="U54" s="2"/>
      <c r="V54" s="6">
        <f t="shared" si="33"/>
        <v>0</v>
      </c>
      <c r="W54" s="2"/>
      <c r="X54" s="7">
        <f t="shared" si="34"/>
        <v>0</v>
      </c>
      <c r="Y54" s="2"/>
      <c r="Z54" s="6">
        <f t="shared" si="35"/>
        <v>0</v>
      </c>
    </row>
    <row r="55" spans="1:26" s="26" customFormat="1" outlineLevel="1" collapsed="1" x14ac:dyDescent="0.25">
      <c r="A55" s="27"/>
      <c r="B55" s="13" t="str">
        <f>CONCATENATE("     ","General                                           ")</f>
        <v xml:space="preserve">     General                                           </v>
      </c>
      <c r="C55" s="13"/>
      <c r="D55" s="1">
        <f>SUM(OSRRefD22_7x_0)</f>
        <v>0</v>
      </c>
      <c r="E55" s="1"/>
      <c r="F55" s="5">
        <f t="shared" si="28"/>
        <v>0</v>
      </c>
      <c r="G55" s="1"/>
      <c r="H55" s="1">
        <f>SUM(OSRRefH22_7x_0)</f>
        <v>322</v>
      </c>
      <c r="I55" s="1"/>
      <c r="J55" s="5">
        <f t="shared" si="29"/>
        <v>6.9377114170598754E-3</v>
      </c>
      <c r="K55" s="1"/>
      <c r="L55" s="1">
        <f t="shared" si="30"/>
        <v>-322</v>
      </c>
      <c r="M55" s="1"/>
      <c r="N55" s="5">
        <f t="shared" si="31"/>
        <v>-1</v>
      </c>
      <c r="O55" s="13"/>
      <c r="P55" s="1">
        <f>SUM(OSRRefP22_7x_0)</f>
        <v>746.3</v>
      </c>
      <c r="Q55" s="1"/>
      <c r="R55" s="5">
        <f t="shared" si="32"/>
        <v>1.037459906685604E-2</v>
      </c>
      <c r="S55" s="1"/>
      <c r="T55" s="1">
        <f>SUM(OSRRefT22_7x_0)</f>
        <v>482</v>
      </c>
      <c r="U55" s="1"/>
      <c r="V55" s="5">
        <f t="shared" si="33"/>
        <v>6.9283732697034599E-3</v>
      </c>
      <c r="W55" s="1"/>
      <c r="X55" s="1">
        <f t="shared" si="34"/>
        <v>264.29999999999995</v>
      </c>
      <c r="Y55" s="1"/>
      <c r="Z55" s="5">
        <f t="shared" si="35"/>
        <v>0.54834024896265554</v>
      </c>
    </row>
    <row r="56" spans="1:26" s="24" customFormat="1" hidden="1" outlineLevel="2" x14ac:dyDescent="0.25">
      <c r="A56" s="25"/>
      <c r="B56" s="11" t="str">
        <f>CONCATENATE("          ", "6279", " - ", "GENERAL EXPENSE")</f>
        <v xml:space="preserve">          6279 - GENERAL EXPENSE</v>
      </c>
      <c r="C56" s="11"/>
      <c r="D56" s="7"/>
      <c r="E56" s="2"/>
      <c r="F56" s="6">
        <f t="shared" si="28"/>
        <v>0</v>
      </c>
      <c r="G56" s="2"/>
      <c r="H56" s="7">
        <v>322</v>
      </c>
      <c r="I56" s="2"/>
      <c r="J56" s="6">
        <f t="shared" si="29"/>
        <v>6.9377114170598754E-3</v>
      </c>
      <c r="K56" s="2"/>
      <c r="L56" s="7">
        <f t="shared" si="30"/>
        <v>-322</v>
      </c>
      <c r="M56" s="2"/>
      <c r="N56" s="6">
        <f t="shared" si="31"/>
        <v>-1</v>
      </c>
      <c r="O56" s="11"/>
      <c r="P56" s="7">
        <v>746.3</v>
      </c>
      <c r="Q56" s="2"/>
      <c r="R56" s="6">
        <f t="shared" si="32"/>
        <v>1.037459906685604E-2</v>
      </c>
      <c r="S56" s="2"/>
      <c r="T56" s="7">
        <v>482</v>
      </c>
      <c r="U56" s="2"/>
      <c r="V56" s="6">
        <f t="shared" si="33"/>
        <v>6.9283732697034599E-3</v>
      </c>
      <c r="W56" s="2"/>
      <c r="X56" s="7">
        <f t="shared" si="34"/>
        <v>264.29999999999995</v>
      </c>
      <c r="Y56" s="2"/>
      <c r="Z56" s="6">
        <f t="shared" si="35"/>
        <v>0.54834024896265554</v>
      </c>
    </row>
    <row r="57" spans="1:26" s="26" customFormat="1" outlineLevel="1" collapsed="1" x14ac:dyDescent="0.25">
      <c r="A57" s="27"/>
      <c r="B57" s="13" t="str">
        <f>CONCATENATE("     ","R/H Commissions                                   ")</f>
        <v xml:space="preserve">     R/H Commissions                                   </v>
      </c>
      <c r="C57" s="13"/>
      <c r="D57" s="1">
        <f>SUM(OSRRefD22_8x_0)</f>
        <v>0</v>
      </c>
      <c r="E57" s="1"/>
      <c r="F57" s="5">
        <f t="shared" si="28"/>
        <v>0</v>
      </c>
      <c r="G57" s="1"/>
      <c r="H57" s="1">
        <f>SUM(OSRRefH22_8x_0)</f>
        <v>0</v>
      </c>
      <c r="I57" s="1"/>
      <c r="J57" s="5">
        <f t="shared" si="29"/>
        <v>0</v>
      </c>
      <c r="K57" s="1"/>
      <c r="L57" s="1">
        <f t="shared" si="30"/>
        <v>0</v>
      </c>
      <c r="M57" s="1"/>
      <c r="N57" s="5">
        <f t="shared" si="31"/>
        <v>0</v>
      </c>
      <c r="O57" s="13"/>
      <c r="P57" s="1">
        <f>SUM(OSRRefP22_8x_0)</f>
        <v>0</v>
      </c>
      <c r="Q57" s="1"/>
      <c r="R57" s="5">
        <f t="shared" si="32"/>
        <v>0</v>
      </c>
      <c r="S57" s="1"/>
      <c r="T57" s="1">
        <f>SUM(OSRRefT22_8x_0)</f>
        <v>0</v>
      </c>
      <c r="U57" s="1"/>
      <c r="V57" s="5">
        <f t="shared" si="33"/>
        <v>0</v>
      </c>
      <c r="W57" s="1"/>
      <c r="X57" s="1">
        <f t="shared" si="34"/>
        <v>0</v>
      </c>
      <c r="Y57" s="1"/>
      <c r="Z57" s="5">
        <f t="shared" si="35"/>
        <v>0</v>
      </c>
    </row>
    <row r="58" spans="1:26" s="24" customFormat="1" hidden="1" outlineLevel="2" x14ac:dyDescent="0.25">
      <c r="A58" s="25"/>
      <c r="B58" s="11" t="str">
        <f>CONCATENATE("          ", "6387", " - ", "COMMISSION DUE HOUSING")</f>
        <v xml:space="preserve">          6387 - COMMISSION DUE HOUSING</v>
      </c>
      <c r="C58" s="11"/>
      <c r="D58" s="7"/>
      <c r="E58" s="2"/>
      <c r="F58" s="6">
        <f t="shared" si="28"/>
        <v>0</v>
      </c>
      <c r="G58" s="2"/>
      <c r="H58" s="7"/>
      <c r="I58" s="2"/>
      <c r="J58" s="6">
        <f t="shared" si="29"/>
        <v>0</v>
      </c>
      <c r="K58" s="2"/>
      <c r="L58" s="7">
        <f t="shared" si="30"/>
        <v>0</v>
      </c>
      <c r="M58" s="2"/>
      <c r="N58" s="6">
        <f t="shared" si="31"/>
        <v>0</v>
      </c>
      <c r="O58" s="11"/>
      <c r="P58" s="7"/>
      <c r="Q58" s="2"/>
      <c r="R58" s="6">
        <f t="shared" si="32"/>
        <v>0</v>
      </c>
      <c r="S58" s="2"/>
      <c r="T58" s="7">
        <v>0</v>
      </c>
      <c r="U58" s="2"/>
      <c r="V58" s="6">
        <f t="shared" si="33"/>
        <v>0</v>
      </c>
      <c r="W58" s="2"/>
      <c r="X58" s="7">
        <f t="shared" si="34"/>
        <v>0</v>
      </c>
      <c r="Y58" s="2"/>
      <c r="Z58" s="6">
        <f t="shared" si="35"/>
        <v>0</v>
      </c>
    </row>
    <row r="59" spans="1:26" s="26" customFormat="1" outlineLevel="1" collapsed="1" x14ac:dyDescent="0.25">
      <c r="A59" s="27"/>
      <c r="B59" s="13" t="str">
        <f>CONCATENATE("     ","Repair and Maintenance                            ")</f>
        <v xml:space="preserve">     Repair and Maintenance                            </v>
      </c>
      <c r="C59" s="13"/>
      <c r="D59" s="1">
        <f>SUM(OSRRefD22_9x_0)</f>
        <v>437.31</v>
      </c>
      <c r="E59" s="1"/>
      <c r="F59" s="5">
        <f t="shared" si="28"/>
        <v>8.848993447483345E-3</v>
      </c>
      <c r="G59" s="1"/>
      <c r="H59" s="1">
        <f>SUM(OSRRefH22_9x_0)</f>
        <v>0</v>
      </c>
      <c r="I59" s="1"/>
      <c r="J59" s="5">
        <f t="shared" si="29"/>
        <v>0</v>
      </c>
      <c r="K59" s="1"/>
      <c r="L59" s="1">
        <f t="shared" si="30"/>
        <v>437.31</v>
      </c>
      <c r="M59" s="1"/>
      <c r="N59" s="5">
        <f t="shared" si="31"/>
        <v>0</v>
      </c>
      <c r="O59" s="13"/>
      <c r="P59" s="1">
        <f>SUM(OSRRefP22_9x_0)</f>
        <v>473.73</v>
      </c>
      <c r="Q59" s="1"/>
      <c r="R59" s="5">
        <f t="shared" si="32"/>
        <v>6.5855002223525558E-3</v>
      </c>
      <c r="S59" s="1"/>
      <c r="T59" s="1">
        <f>SUM(OSRRefT22_9x_0)</f>
        <v>0</v>
      </c>
      <c r="U59" s="1"/>
      <c r="V59" s="5">
        <f t="shared" si="33"/>
        <v>0</v>
      </c>
      <c r="W59" s="1"/>
      <c r="X59" s="1">
        <f t="shared" si="34"/>
        <v>473.73</v>
      </c>
      <c r="Y59" s="1"/>
      <c r="Z59" s="5">
        <f t="shared" si="35"/>
        <v>0</v>
      </c>
    </row>
    <row r="60" spans="1:26" s="24" customFormat="1" hidden="1" outlineLevel="2" x14ac:dyDescent="0.25">
      <c r="A60" s="25"/>
      <c r="B60" s="11" t="str">
        <f>CONCATENATE("          ", "6371", " - ", "COMPUTER SOFTWARE MAINTENANCE")</f>
        <v xml:space="preserve">          6371 - COMPUTER SOFTWARE MAINTENANCE</v>
      </c>
      <c r="C60" s="11"/>
      <c r="D60" s="7">
        <v>437.31</v>
      </c>
      <c r="E60" s="2"/>
      <c r="F60" s="6">
        <f t="shared" si="28"/>
        <v>8.848993447483345E-3</v>
      </c>
      <c r="G60" s="2"/>
      <c r="H60" s="7"/>
      <c r="I60" s="2"/>
      <c r="J60" s="6">
        <f t="shared" si="29"/>
        <v>0</v>
      </c>
      <c r="K60" s="2"/>
      <c r="L60" s="7">
        <f t="shared" si="30"/>
        <v>437.31</v>
      </c>
      <c r="M60" s="2"/>
      <c r="N60" s="6">
        <f t="shared" si="31"/>
        <v>0</v>
      </c>
      <c r="O60" s="11"/>
      <c r="P60" s="7">
        <v>437.31</v>
      </c>
      <c r="Q60" s="2"/>
      <c r="R60" s="6">
        <f t="shared" si="32"/>
        <v>6.0792120031178017E-3</v>
      </c>
      <c r="S60" s="2"/>
      <c r="T60" s="7">
        <v>0</v>
      </c>
      <c r="U60" s="2"/>
      <c r="V60" s="6">
        <f t="shared" si="33"/>
        <v>0</v>
      </c>
      <c r="W60" s="2"/>
      <c r="X60" s="7">
        <f t="shared" si="34"/>
        <v>437.31</v>
      </c>
      <c r="Y60" s="2"/>
      <c r="Z60" s="6">
        <f t="shared" si="35"/>
        <v>0</v>
      </c>
    </row>
    <row r="61" spans="1:26" s="24" customFormat="1" hidden="1" outlineLevel="2" x14ac:dyDescent="0.25">
      <c r="A61" s="25"/>
      <c r="B61" s="11" t="str">
        <f>CONCATENATE("          ", "6375", " - ", "OUTSIDE REPAIRS &amp; MAINTENANCE")</f>
        <v xml:space="preserve">          6375 - OUTSIDE REPAIRS &amp; MAINTENANCE</v>
      </c>
      <c r="C61" s="11"/>
      <c r="D61" s="7"/>
      <c r="E61" s="2"/>
      <c r="F61" s="6">
        <f t="shared" si="28"/>
        <v>0</v>
      </c>
      <c r="G61" s="2"/>
      <c r="H61" s="7"/>
      <c r="I61" s="2"/>
      <c r="J61" s="6">
        <f t="shared" si="29"/>
        <v>0</v>
      </c>
      <c r="K61" s="2"/>
      <c r="L61" s="7">
        <f t="shared" si="30"/>
        <v>0</v>
      </c>
      <c r="M61" s="2"/>
      <c r="N61" s="6">
        <f t="shared" si="31"/>
        <v>0</v>
      </c>
      <c r="O61" s="11"/>
      <c r="P61" s="7">
        <v>36.42</v>
      </c>
      <c r="Q61" s="2"/>
      <c r="R61" s="6">
        <f t="shared" si="32"/>
        <v>5.0628821923475419E-4</v>
      </c>
      <c r="S61" s="2"/>
      <c r="T61" s="7"/>
      <c r="U61" s="2"/>
      <c r="V61" s="6">
        <f t="shared" si="33"/>
        <v>0</v>
      </c>
      <c r="W61" s="2"/>
      <c r="X61" s="7">
        <f t="shared" si="34"/>
        <v>36.42</v>
      </c>
      <c r="Y61" s="2"/>
      <c r="Z61" s="6">
        <f t="shared" si="35"/>
        <v>0</v>
      </c>
    </row>
    <row r="62" spans="1:26" s="26" customFormat="1" outlineLevel="1" collapsed="1" x14ac:dyDescent="0.25">
      <c r="A62" s="27"/>
      <c r="B62" s="13" t="str">
        <f>CONCATENATE("     ","Royalty &amp; Commissions                             ")</f>
        <v xml:space="preserve">     Royalty &amp; Commissions                             </v>
      </c>
      <c r="C62" s="13"/>
      <c r="D62" s="1">
        <f>SUM(OSRRefD22_10x_0)</f>
        <v>5673.45</v>
      </c>
      <c r="E62" s="1"/>
      <c r="F62" s="5">
        <f t="shared" ref="F62:F64" si="36">IF(D$12=0,0,D62/D$12)</f>
        <v>0.1148025928394603</v>
      </c>
      <c r="G62" s="1"/>
      <c r="H62" s="1">
        <f>SUM(OSRRefH22_10x_0)</f>
        <v>4137</v>
      </c>
      <c r="I62" s="1"/>
      <c r="J62" s="5">
        <f t="shared" ref="J62:J64" si="37">IF(H$12=0,0,H62/H$12)</f>
        <v>8.9134509727877967E-2</v>
      </c>
      <c r="K62" s="1"/>
      <c r="L62" s="1">
        <f t="shared" ref="L62:L64" si="38">+D62-H62</f>
        <v>1536.4499999999998</v>
      </c>
      <c r="M62" s="1"/>
      <c r="N62" s="5">
        <f t="shared" ref="N62:N64" si="39">IF(H62=0,0,L62/H62)</f>
        <v>0.37139231327048583</v>
      </c>
      <c r="O62" s="13"/>
      <c r="P62" s="1">
        <f>SUM(OSRRefP22_10x_0)</f>
        <v>5673.45</v>
      </c>
      <c r="Q62" s="1"/>
      <c r="R62" s="5">
        <f t="shared" ref="R62:R64" si="40">IF(P$12=0,0,P62/P$12)</f>
        <v>7.8868778072965842E-2</v>
      </c>
      <c r="S62" s="1"/>
      <c r="T62" s="1">
        <f>SUM(OSRRefT22_10x_0)</f>
        <v>6200</v>
      </c>
      <c r="U62" s="1"/>
      <c r="V62" s="5">
        <f t="shared" ref="V62:V64" si="41">IF(T$12=0,0,T62/T$12)</f>
        <v>8.9120154091621273E-2</v>
      </c>
      <c r="W62" s="1"/>
      <c r="X62" s="1">
        <f t="shared" ref="X62:X64" si="42">+P62-T62</f>
        <v>-526.55000000000018</v>
      </c>
      <c r="Y62" s="1"/>
      <c r="Z62" s="5">
        <f t="shared" ref="Z62:Z64" si="43">IF(T62=0,0,X62/T62)</f>
        <v>-8.4927419354838746E-2</v>
      </c>
    </row>
    <row r="63" spans="1:26" s="24" customFormat="1" hidden="1" outlineLevel="2" x14ac:dyDescent="0.25">
      <c r="A63" s="25"/>
      <c r="B63" s="11" t="str">
        <f>CONCATENATE("          ", "6254", " - ", "ROYALTY &amp; COMMISSIONS")</f>
        <v xml:space="preserve">          6254 - ROYALTY &amp; COMMISSIONS</v>
      </c>
      <c r="C63" s="11"/>
      <c r="D63" s="7">
        <v>5673.45</v>
      </c>
      <c r="E63" s="2"/>
      <c r="F63" s="6">
        <f t="shared" si="36"/>
        <v>0.1148025928394603</v>
      </c>
      <c r="G63" s="2"/>
      <c r="H63" s="7"/>
      <c r="I63" s="2"/>
      <c r="J63" s="6">
        <f t="shared" si="37"/>
        <v>0</v>
      </c>
      <c r="K63" s="2"/>
      <c r="L63" s="7">
        <f t="shared" si="38"/>
        <v>5673.45</v>
      </c>
      <c r="M63" s="2"/>
      <c r="N63" s="6">
        <f t="shared" si="39"/>
        <v>0</v>
      </c>
      <c r="O63" s="11"/>
      <c r="P63" s="7">
        <v>5673.45</v>
      </c>
      <c r="Q63" s="2"/>
      <c r="R63" s="6">
        <f t="shared" si="40"/>
        <v>7.8868778072965842E-2</v>
      </c>
      <c r="S63" s="2"/>
      <c r="T63" s="7"/>
      <c r="U63" s="2"/>
      <c r="V63" s="6">
        <f t="shared" si="41"/>
        <v>0</v>
      </c>
      <c r="W63" s="2"/>
      <c r="X63" s="7">
        <f t="shared" si="42"/>
        <v>5673.45</v>
      </c>
      <c r="Y63" s="2"/>
      <c r="Z63" s="6">
        <f t="shared" si="43"/>
        <v>0</v>
      </c>
    </row>
    <row r="64" spans="1:26" s="24" customFormat="1" hidden="1" outlineLevel="2" x14ac:dyDescent="0.25">
      <c r="A64" s="25"/>
      <c r="B64" s="11" t="str">
        <f>CONCATENATE("          ", "6259", " - ", "ROYALTY &amp; COMMISSIONS")</f>
        <v xml:space="preserve">          6259 - ROYALTY &amp; COMMISSIONS</v>
      </c>
      <c r="C64" s="11"/>
      <c r="D64" s="7"/>
      <c r="E64" s="2"/>
      <c r="F64" s="6">
        <f t="shared" si="36"/>
        <v>0</v>
      </c>
      <c r="G64" s="2"/>
      <c r="H64" s="7">
        <v>4137</v>
      </c>
      <c r="I64" s="2"/>
      <c r="J64" s="6">
        <f t="shared" si="37"/>
        <v>8.9134509727877967E-2</v>
      </c>
      <c r="K64" s="2"/>
      <c r="L64" s="7">
        <f t="shared" si="38"/>
        <v>-4137</v>
      </c>
      <c r="M64" s="2"/>
      <c r="N64" s="6">
        <f t="shared" si="39"/>
        <v>-1</v>
      </c>
      <c r="O64" s="11"/>
      <c r="P64" s="7"/>
      <c r="Q64" s="2"/>
      <c r="R64" s="6">
        <f t="shared" si="40"/>
        <v>0</v>
      </c>
      <c r="S64" s="2"/>
      <c r="T64" s="7">
        <v>6200</v>
      </c>
      <c r="U64" s="2"/>
      <c r="V64" s="6">
        <f t="shared" si="41"/>
        <v>8.9120154091621273E-2</v>
      </c>
      <c r="W64" s="2"/>
      <c r="X64" s="7">
        <f t="shared" si="42"/>
        <v>-6200</v>
      </c>
      <c r="Y64" s="2"/>
      <c r="Z64" s="6">
        <f t="shared" si="43"/>
        <v>-1</v>
      </c>
    </row>
    <row r="65" spans="1:26" s="26" customFormat="1" outlineLevel="1" collapsed="1" x14ac:dyDescent="0.25">
      <c r="A65" s="27"/>
      <c r="B65" s="13" t="str">
        <f>CONCATENATE("     ","Services                                          ")</f>
        <v xml:space="preserve">     Services                                          </v>
      </c>
      <c r="C65" s="13"/>
      <c r="D65" s="1">
        <f>SUM(OSRRefD22_11x_0)</f>
        <v>272.36</v>
      </c>
      <c r="E65" s="1"/>
      <c r="F65" s="5">
        <f t="shared" ref="F65:F68" si="44">IF(D$12=0,0,D65/D$12)</f>
        <v>5.511220542307663E-3</v>
      </c>
      <c r="G65" s="1"/>
      <c r="H65" s="1">
        <f>SUM(OSRRefH22_11x_0)</f>
        <v>276</v>
      </c>
      <c r="I65" s="1"/>
      <c r="J65" s="5">
        <f t="shared" ref="J65:J68" si="45">IF(H$12=0,0,H65/H$12)</f>
        <v>5.9466097860513215E-3</v>
      </c>
      <c r="K65" s="1"/>
      <c r="L65" s="1">
        <f t="shared" ref="L65:L68" si="46">+D65-H65</f>
        <v>-3.6399999999999864</v>
      </c>
      <c r="M65" s="1"/>
      <c r="N65" s="5">
        <f t="shared" ref="N65:N68" si="47">IF(H65=0,0,L65/H65)</f>
        <v>-1.3188405797101399E-2</v>
      </c>
      <c r="O65" s="13"/>
      <c r="P65" s="1">
        <f>SUM(OSRRefP22_11x_0)</f>
        <v>563.54</v>
      </c>
      <c r="Q65" s="1"/>
      <c r="R65" s="5">
        <f t="shared" ref="R65:R68" si="48">IF(P$12=0,0,P65/P$12)</f>
        <v>7.833983060613765E-3</v>
      </c>
      <c r="S65" s="1"/>
      <c r="T65" s="1">
        <f>SUM(OSRRefT22_11x_0)</f>
        <v>414</v>
      </c>
      <c r="U65" s="1"/>
      <c r="V65" s="5">
        <f t="shared" ref="V65:V68" si="49">IF(T$12=0,0,T65/T$12)</f>
        <v>5.950926418376001E-3</v>
      </c>
      <c r="W65" s="1"/>
      <c r="X65" s="1">
        <f t="shared" ref="X65:X68" si="50">+P65-T65</f>
        <v>149.53999999999996</v>
      </c>
      <c r="Y65" s="1"/>
      <c r="Z65" s="5">
        <f t="shared" ref="Z65:Z68" si="51">IF(T65=0,0,X65/T65)</f>
        <v>0.36120772946859897</v>
      </c>
    </row>
    <row r="66" spans="1:26" s="24" customFormat="1" hidden="1" outlineLevel="2" x14ac:dyDescent="0.25">
      <c r="A66" s="25"/>
      <c r="B66" s="11" t="str">
        <f>CONCATENATE("          ", "6282", " - ", "JANITORIAL/EXTERMINATOR EXPENS")</f>
        <v xml:space="preserve">          6282 - JANITORIAL/EXTERMINATOR EXPENS</v>
      </c>
      <c r="C66" s="11"/>
      <c r="D66" s="7">
        <v>41</v>
      </c>
      <c r="E66" s="2"/>
      <c r="F66" s="6">
        <f t="shared" si="44"/>
        <v>8.2963739989210666E-4</v>
      </c>
      <c r="G66" s="2"/>
      <c r="H66" s="7"/>
      <c r="I66" s="2"/>
      <c r="J66" s="6">
        <f t="shared" si="45"/>
        <v>0</v>
      </c>
      <c r="K66" s="2"/>
      <c r="L66" s="7">
        <f t="shared" si="46"/>
        <v>41</v>
      </c>
      <c r="M66" s="2"/>
      <c r="N66" s="6">
        <f t="shared" si="47"/>
        <v>0</v>
      </c>
      <c r="O66" s="11"/>
      <c r="P66" s="7">
        <v>41</v>
      </c>
      <c r="Q66" s="2"/>
      <c r="R66" s="6">
        <f t="shared" si="48"/>
        <v>5.6995653455861942E-4</v>
      </c>
      <c r="S66" s="2"/>
      <c r="T66" s="7"/>
      <c r="U66" s="2"/>
      <c r="V66" s="6">
        <f t="shared" si="49"/>
        <v>0</v>
      </c>
      <c r="W66" s="2"/>
      <c r="X66" s="7">
        <f t="shared" si="50"/>
        <v>41</v>
      </c>
      <c r="Y66" s="2"/>
      <c r="Z66" s="6">
        <f t="shared" si="51"/>
        <v>0</v>
      </c>
    </row>
    <row r="67" spans="1:26" s="24" customFormat="1" hidden="1" outlineLevel="2" x14ac:dyDescent="0.25">
      <c r="A67" s="25"/>
      <c r="B67" s="11" t="str">
        <f>CONCATENATE("          ", "6285", " - ", "JANITORIAL SERVICES")</f>
        <v xml:space="preserve">          6285 - JANITORIAL SERVICES</v>
      </c>
      <c r="C67" s="11"/>
      <c r="D67" s="7">
        <v>22.62</v>
      </c>
      <c r="E67" s="2"/>
      <c r="F67" s="6">
        <f t="shared" si="44"/>
        <v>4.5771702403803546E-4</v>
      </c>
      <c r="G67" s="2"/>
      <c r="H67" s="7">
        <v>276</v>
      </c>
      <c r="I67" s="2"/>
      <c r="J67" s="6">
        <f t="shared" si="45"/>
        <v>5.9466097860513215E-3</v>
      </c>
      <c r="K67" s="2"/>
      <c r="L67" s="7">
        <f t="shared" si="46"/>
        <v>-253.38</v>
      </c>
      <c r="M67" s="2"/>
      <c r="N67" s="6">
        <f t="shared" si="47"/>
        <v>-0.91804347826086952</v>
      </c>
      <c r="O67" s="11"/>
      <c r="P67" s="7">
        <v>67.86</v>
      </c>
      <c r="Q67" s="2"/>
      <c r="R67" s="6">
        <f t="shared" si="48"/>
        <v>9.4334757158897351E-4</v>
      </c>
      <c r="S67" s="2"/>
      <c r="T67" s="7">
        <v>414</v>
      </c>
      <c r="U67" s="2"/>
      <c r="V67" s="6">
        <f t="shared" si="49"/>
        <v>5.950926418376001E-3</v>
      </c>
      <c r="W67" s="2"/>
      <c r="X67" s="7">
        <f t="shared" si="50"/>
        <v>-346.14</v>
      </c>
      <c r="Y67" s="2"/>
      <c r="Z67" s="6">
        <f t="shared" si="51"/>
        <v>-0.83608695652173914</v>
      </c>
    </row>
    <row r="68" spans="1:26" s="24" customFormat="1" hidden="1" outlineLevel="2" x14ac:dyDescent="0.25">
      <c r="A68" s="25"/>
      <c r="B68" s="11" t="str">
        <f>CONCATENATE("          ", "6286", " - ", "LAUNDRY EXPENSE")</f>
        <v xml:space="preserve">          6286 - LAUNDRY EXPENSE</v>
      </c>
      <c r="C68" s="11"/>
      <c r="D68" s="7">
        <v>208.74</v>
      </c>
      <c r="E68" s="2"/>
      <c r="F68" s="6">
        <f t="shared" si="44"/>
        <v>4.2238661183775211E-3</v>
      </c>
      <c r="G68" s="2"/>
      <c r="H68" s="7"/>
      <c r="I68" s="2"/>
      <c r="J68" s="6">
        <f t="shared" si="45"/>
        <v>0</v>
      </c>
      <c r="K68" s="2"/>
      <c r="L68" s="7">
        <f t="shared" si="46"/>
        <v>208.74</v>
      </c>
      <c r="M68" s="2"/>
      <c r="N68" s="6">
        <f t="shared" si="47"/>
        <v>0</v>
      </c>
      <c r="O68" s="11"/>
      <c r="P68" s="7">
        <v>454.68</v>
      </c>
      <c r="Q68" s="2"/>
      <c r="R68" s="6">
        <f t="shared" si="48"/>
        <v>6.3206789544661725E-3</v>
      </c>
      <c r="S68" s="2"/>
      <c r="T68" s="7"/>
      <c r="U68" s="2"/>
      <c r="V68" s="6">
        <f t="shared" si="49"/>
        <v>0</v>
      </c>
      <c r="W68" s="2"/>
      <c r="X68" s="7">
        <f t="shared" si="50"/>
        <v>454.68</v>
      </c>
      <c r="Y68" s="2"/>
      <c r="Z68" s="6">
        <f t="shared" si="51"/>
        <v>0</v>
      </c>
    </row>
    <row r="69" spans="1:26" s="26" customFormat="1" outlineLevel="1" collapsed="1" x14ac:dyDescent="0.25">
      <c r="A69" s="27"/>
      <c r="B69" s="13" t="str">
        <f>CONCATENATE("     ","Supplies                                          ")</f>
        <v xml:space="preserve">     Supplies                                          </v>
      </c>
      <c r="C69" s="13"/>
      <c r="D69" s="1">
        <f>SUM(OSRRefD22_12x_0)</f>
        <v>768.98</v>
      </c>
      <c r="E69" s="1"/>
      <c r="F69" s="5">
        <f t="shared" ref="F69:F72" si="52">IF(D$12=0,0,D69/D$12)</f>
        <v>1.5560355311439809E-2</v>
      </c>
      <c r="G69" s="1"/>
      <c r="H69" s="1">
        <f>SUM(OSRRefH22_12x_0)</f>
        <v>735</v>
      </c>
      <c r="I69" s="1"/>
      <c r="J69" s="5">
        <f t="shared" ref="J69:J72" si="53">IF(H$12=0,0,H69/H$12)</f>
        <v>1.5836080408506238E-2</v>
      </c>
      <c r="K69" s="1"/>
      <c r="L69" s="1">
        <f t="shared" ref="L69:L72" si="54">+D69-H69</f>
        <v>33.980000000000018</v>
      </c>
      <c r="M69" s="1"/>
      <c r="N69" s="5">
        <f t="shared" ref="N69:N72" si="55">IF(H69=0,0,L69/H69)</f>
        <v>4.6231292517006826E-2</v>
      </c>
      <c r="O69" s="13"/>
      <c r="P69" s="1">
        <f>SUM(OSRRefP22_12x_0)</f>
        <v>3493.62</v>
      </c>
      <c r="Q69" s="1"/>
      <c r="R69" s="5">
        <f t="shared" ref="R69:R72" si="56">IF(P$12=0,0,P69/P$12)</f>
        <v>4.8566135323528874E-2</v>
      </c>
      <c r="S69" s="1"/>
      <c r="T69" s="1">
        <f>SUM(OSRRefT22_12x_0)</f>
        <v>1102</v>
      </c>
      <c r="U69" s="1"/>
      <c r="V69" s="5">
        <f t="shared" ref="V69:V72" si="57">IF(T$12=0,0,T69/T$12)</f>
        <v>1.5840388678865586E-2</v>
      </c>
      <c r="W69" s="1"/>
      <c r="X69" s="1">
        <f t="shared" ref="X69:X72" si="58">+P69-T69</f>
        <v>2391.62</v>
      </c>
      <c r="Y69" s="1"/>
      <c r="Z69" s="5">
        <f t="shared" ref="Z69:Z72" si="59">IF(T69=0,0,X69/T69)</f>
        <v>2.1702540834845734</v>
      </c>
    </row>
    <row r="70" spans="1:26" s="24" customFormat="1" hidden="1" outlineLevel="2" x14ac:dyDescent="0.25">
      <c r="A70" s="25"/>
      <c r="B70" s="11" t="str">
        <f>CONCATENATE("          ", "6234", " - ", "EXPENDABLE SUPPLIES &amp; EQUIPMEN")</f>
        <v xml:space="preserve">          6234 - EXPENDABLE SUPPLIES &amp; EQUIPMEN</v>
      </c>
      <c r="C70" s="11"/>
      <c r="D70" s="7"/>
      <c r="E70" s="2"/>
      <c r="F70" s="6">
        <f t="shared" si="52"/>
        <v>0</v>
      </c>
      <c r="G70" s="2"/>
      <c r="H70" s="7"/>
      <c r="I70" s="2"/>
      <c r="J70" s="6">
        <f t="shared" si="53"/>
        <v>0</v>
      </c>
      <c r="K70" s="2"/>
      <c r="L70" s="7">
        <f t="shared" si="54"/>
        <v>0</v>
      </c>
      <c r="M70" s="2"/>
      <c r="N70" s="6">
        <f t="shared" si="55"/>
        <v>0</v>
      </c>
      <c r="O70" s="11"/>
      <c r="P70" s="7">
        <v>354.71</v>
      </c>
      <c r="Q70" s="2"/>
      <c r="R70" s="6">
        <f t="shared" si="56"/>
        <v>4.9309581066655584E-3</v>
      </c>
      <c r="S70" s="2"/>
      <c r="T70" s="7"/>
      <c r="U70" s="2"/>
      <c r="V70" s="6">
        <f t="shared" si="57"/>
        <v>0</v>
      </c>
      <c r="W70" s="2"/>
      <c r="X70" s="7">
        <f t="shared" si="58"/>
        <v>354.71</v>
      </c>
      <c r="Y70" s="2"/>
      <c r="Z70" s="6">
        <f t="shared" si="59"/>
        <v>0</v>
      </c>
    </row>
    <row r="71" spans="1:26" s="24" customFormat="1" hidden="1" outlineLevel="2" x14ac:dyDescent="0.25">
      <c r="A71" s="25"/>
      <c r="B71" s="11" t="str">
        <f>CONCATENATE("          ", "6237", " - ", "JANITORIAL SUPPLIES")</f>
        <v xml:space="preserve">          6237 - JANITORIAL SUPPLIES</v>
      </c>
      <c r="C71" s="11"/>
      <c r="D71" s="7"/>
      <c r="E71" s="2"/>
      <c r="F71" s="6">
        <f t="shared" si="52"/>
        <v>0</v>
      </c>
      <c r="G71" s="2"/>
      <c r="H71" s="7"/>
      <c r="I71" s="2"/>
      <c r="J71" s="6">
        <f t="shared" si="53"/>
        <v>0</v>
      </c>
      <c r="K71" s="2"/>
      <c r="L71" s="7">
        <f t="shared" si="54"/>
        <v>0</v>
      </c>
      <c r="M71" s="2"/>
      <c r="N71" s="6">
        <f t="shared" si="55"/>
        <v>0</v>
      </c>
      <c r="O71" s="11"/>
      <c r="P71" s="7">
        <v>20.93</v>
      </c>
      <c r="Q71" s="2"/>
      <c r="R71" s="6">
        <f t="shared" si="56"/>
        <v>2.9095586020272938E-4</v>
      </c>
      <c r="S71" s="2"/>
      <c r="T71" s="7"/>
      <c r="U71" s="2"/>
      <c r="V71" s="6">
        <f t="shared" si="57"/>
        <v>0</v>
      </c>
      <c r="W71" s="2"/>
      <c r="X71" s="7">
        <f t="shared" si="58"/>
        <v>20.93</v>
      </c>
      <c r="Y71" s="2"/>
      <c r="Z71" s="6">
        <f t="shared" si="59"/>
        <v>0</v>
      </c>
    </row>
    <row r="72" spans="1:26" s="24" customFormat="1" hidden="1" outlineLevel="2" x14ac:dyDescent="0.25">
      <c r="A72" s="25"/>
      <c r="B72" s="11" t="str">
        <f>CONCATENATE("          ", "6247", " - ", "STORE SUPPLIES")</f>
        <v xml:space="preserve">          6247 - STORE SUPPLIES</v>
      </c>
      <c r="C72" s="11"/>
      <c r="D72" s="7">
        <v>768.98</v>
      </c>
      <c r="E72" s="2"/>
      <c r="F72" s="6">
        <f t="shared" si="52"/>
        <v>1.5560355311439809E-2</v>
      </c>
      <c r="G72" s="2"/>
      <c r="H72" s="7">
        <v>735</v>
      </c>
      <c r="I72" s="2"/>
      <c r="J72" s="6">
        <f t="shared" si="53"/>
        <v>1.5836080408506238E-2</v>
      </c>
      <c r="K72" s="2"/>
      <c r="L72" s="7">
        <f t="shared" si="54"/>
        <v>33.980000000000018</v>
      </c>
      <c r="M72" s="2"/>
      <c r="N72" s="6">
        <f t="shared" si="55"/>
        <v>4.6231292517006826E-2</v>
      </c>
      <c r="O72" s="11"/>
      <c r="P72" s="7">
        <v>3117.98</v>
      </c>
      <c r="Q72" s="2"/>
      <c r="R72" s="6">
        <f t="shared" si="56"/>
        <v>4.3344221356660592E-2</v>
      </c>
      <c r="S72" s="2"/>
      <c r="T72" s="7">
        <v>1102</v>
      </c>
      <c r="U72" s="2"/>
      <c r="V72" s="6">
        <f t="shared" si="57"/>
        <v>1.5840388678865586E-2</v>
      </c>
      <c r="W72" s="2"/>
      <c r="X72" s="7">
        <f t="shared" si="58"/>
        <v>2015.98</v>
      </c>
      <c r="Y72" s="2"/>
      <c r="Z72" s="6">
        <f t="shared" si="59"/>
        <v>1.829382940108893</v>
      </c>
    </row>
    <row r="73" spans="1:26" s="26" customFormat="1" outlineLevel="1" collapsed="1" x14ac:dyDescent="0.25">
      <c r="A73" s="27"/>
      <c r="B73" s="13" t="str">
        <f>CONCATENATE("     ","Telephone/Data Lines                              ")</f>
        <v xml:space="preserve">     Telephone/Data Lines                              </v>
      </c>
      <c r="C73" s="13"/>
      <c r="D73" s="1">
        <f>SUM(OSRRefD22_13x_0)</f>
        <v>75</v>
      </c>
      <c r="E73" s="1"/>
      <c r="F73" s="5">
        <f t="shared" ref="F73:F76" si="60">IF(D$12=0,0,D73/D$12)</f>
        <v>1.5176293900465367E-3</v>
      </c>
      <c r="G73" s="1"/>
      <c r="H73" s="1">
        <f>SUM(OSRRefH22_13x_0)</f>
        <v>75</v>
      </c>
      <c r="I73" s="1"/>
      <c r="J73" s="5">
        <f t="shared" ref="J73:J76" si="61">IF(H$12=0,0,H73/H$12)</f>
        <v>1.6159265722965549E-3</v>
      </c>
      <c r="K73" s="1"/>
      <c r="L73" s="1">
        <f t="shared" ref="L73:L76" si="62">+D73-H73</f>
        <v>0</v>
      </c>
      <c r="M73" s="1"/>
      <c r="N73" s="5">
        <f t="shared" ref="N73:N76" si="63">IF(H73=0,0,L73/H73)</f>
        <v>0</v>
      </c>
      <c r="O73" s="13"/>
      <c r="P73" s="1">
        <f>SUM(OSRRefP22_13x_0)</f>
        <v>172.5</v>
      </c>
      <c r="Q73" s="1"/>
      <c r="R73" s="5">
        <f t="shared" ref="R73:R76" si="64">IF(P$12=0,0,P73/P$12)</f>
        <v>2.3979878588137036E-3</v>
      </c>
      <c r="S73" s="1"/>
      <c r="T73" s="1">
        <f>SUM(OSRRefT22_13x_0)</f>
        <v>225</v>
      </c>
      <c r="U73" s="1"/>
      <c r="V73" s="5">
        <f t="shared" ref="V73:V76" si="65">IF(T$12=0,0,T73/T$12)</f>
        <v>3.2341991404217394E-3</v>
      </c>
      <c r="W73" s="1"/>
      <c r="X73" s="1">
        <f t="shared" ref="X73:X76" si="66">+P73-T73</f>
        <v>-52.5</v>
      </c>
      <c r="Y73" s="1"/>
      <c r="Z73" s="5">
        <f t="shared" ref="Z73:Z76" si="67">IF(T73=0,0,X73/T73)</f>
        <v>-0.23333333333333334</v>
      </c>
    </row>
    <row r="74" spans="1:26" s="24" customFormat="1" hidden="1" outlineLevel="2" x14ac:dyDescent="0.25">
      <c r="A74" s="25"/>
      <c r="B74" s="11" t="str">
        <f>CONCATENATE("          ", "6309", " - ", "TELEPHONE")</f>
        <v xml:space="preserve">          6309 - TELEPHONE</v>
      </c>
      <c r="C74" s="11"/>
      <c r="D74" s="7">
        <v>75</v>
      </c>
      <c r="E74" s="2"/>
      <c r="F74" s="6">
        <f t="shared" si="60"/>
        <v>1.5176293900465367E-3</v>
      </c>
      <c r="G74" s="2"/>
      <c r="H74" s="7">
        <v>75</v>
      </c>
      <c r="I74" s="2"/>
      <c r="J74" s="6">
        <f t="shared" si="61"/>
        <v>1.6159265722965549E-3</v>
      </c>
      <c r="K74" s="2"/>
      <c r="L74" s="7">
        <f t="shared" si="62"/>
        <v>0</v>
      </c>
      <c r="M74" s="2"/>
      <c r="N74" s="6">
        <f t="shared" si="63"/>
        <v>0</v>
      </c>
      <c r="O74" s="11"/>
      <c r="P74" s="7">
        <v>172.5</v>
      </c>
      <c r="Q74" s="2"/>
      <c r="R74" s="6">
        <f t="shared" si="64"/>
        <v>2.3979878588137036E-3</v>
      </c>
      <c r="S74" s="2"/>
      <c r="T74" s="7">
        <v>225</v>
      </c>
      <c r="U74" s="2"/>
      <c r="V74" s="6">
        <f t="shared" si="65"/>
        <v>3.2341991404217394E-3</v>
      </c>
      <c r="W74" s="2"/>
      <c r="X74" s="7">
        <f t="shared" si="66"/>
        <v>-52.5</v>
      </c>
      <c r="Y74" s="2"/>
      <c r="Z74" s="6">
        <f t="shared" si="67"/>
        <v>-0.23333333333333334</v>
      </c>
    </row>
    <row r="75" spans="1:26" s="26" customFormat="1" outlineLevel="1" collapsed="1" x14ac:dyDescent="0.25">
      <c r="A75" s="27"/>
      <c r="B75" s="13" t="str">
        <f>CONCATENATE("     ","Utilities                                         ")</f>
        <v xml:space="preserve">     Utilities                                         </v>
      </c>
      <c r="C75" s="13"/>
      <c r="D75" s="1">
        <f>SUM(OSRRefD22_14x_0)</f>
        <v>46</v>
      </c>
      <c r="E75" s="1"/>
      <c r="F75" s="5">
        <f t="shared" si="60"/>
        <v>9.3081269256187573E-4</v>
      </c>
      <c r="G75" s="1"/>
      <c r="H75" s="1">
        <f>SUM(OSRRefH22_14x_0)</f>
        <v>46</v>
      </c>
      <c r="I75" s="1"/>
      <c r="J75" s="5">
        <f t="shared" si="61"/>
        <v>9.9110163100855366E-4</v>
      </c>
      <c r="K75" s="1"/>
      <c r="L75" s="1">
        <f t="shared" si="62"/>
        <v>0</v>
      </c>
      <c r="M75" s="1"/>
      <c r="N75" s="5">
        <f t="shared" si="63"/>
        <v>0</v>
      </c>
      <c r="O75" s="13"/>
      <c r="P75" s="1">
        <f>SUM(OSRRefP22_14x_0)</f>
        <v>-850.88</v>
      </c>
      <c r="Q75" s="1"/>
      <c r="R75" s="5">
        <f t="shared" si="64"/>
        <v>-1.1828405271347271E-2</v>
      </c>
      <c r="S75" s="1"/>
      <c r="T75" s="1">
        <f>SUM(OSRRefT22_14x_0)</f>
        <v>69</v>
      </c>
      <c r="U75" s="1"/>
      <c r="V75" s="5">
        <f t="shared" si="65"/>
        <v>9.9182106972933357E-4</v>
      </c>
      <c r="W75" s="1"/>
      <c r="X75" s="1">
        <f t="shared" si="66"/>
        <v>-919.88</v>
      </c>
      <c r="Y75" s="1"/>
      <c r="Z75" s="5">
        <f t="shared" si="67"/>
        <v>-13.33159420289855</v>
      </c>
    </row>
    <row r="76" spans="1:26" s="24" customFormat="1" hidden="1" outlineLevel="2" x14ac:dyDescent="0.25">
      <c r="A76" s="25"/>
      <c r="B76" s="11" t="str">
        <f>CONCATENATE("          ", "6274", " - ", "UTILITIES")</f>
        <v xml:space="preserve">          6274 - UTILITIES</v>
      </c>
      <c r="C76" s="11"/>
      <c r="D76" s="7">
        <v>46</v>
      </c>
      <c r="E76" s="2"/>
      <c r="F76" s="6">
        <f t="shared" si="60"/>
        <v>9.3081269256187573E-4</v>
      </c>
      <c r="G76" s="2"/>
      <c r="H76" s="7">
        <v>46</v>
      </c>
      <c r="I76" s="2"/>
      <c r="J76" s="6">
        <f t="shared" si="61"/>
        <v>9.9110163100855366E-4</v>
      </c>
      <c r="K76" s="2"/>
      <c r="L76" s="7">
        <f t="shared" si="62"/>
        <v>0</v>
      </c>
      <c r="M76" s="2"/>
      <c r="N76" s="6">
        <f t="shared" si="63"/>
        <v>0</v>
      </c>
      <c r="O76" s="11"/>
      <c r="P76" s="7">
        <v>-850.88</v>
      </c>
      <c r="Q76" s="2"/>
      <c r="R76" s="6">
        <f t="shared" si="64"/>
        <v>-1.1828405271347271E-2</v>
      </c>
      <c r="S76" s="2"/>
      <c r="T76" s="7">
        <v>69</v>
      </c>
      <c r="U76" s="2"/>
      <c r="V76" s="6">
        <f t="shared" si="65"/>
        <v>9.9182106972933357E-4</v>
      </c>
      <c r="W76" s="2"/>
      <c r="X76" s="7">
        <f t="shared" si="66"/>
        <v>-919.88</v>
      </c>
      <c r="Y76" s="2"/>
      <c r="Z76" s="6">
        <f t="shared" si="67"/>
        <v>-13.33159420289855</v>
      </c>
    </row>
    <row r="77" spans="1:26" s="63" customFormat="1" x14ac:dyDescent="0.25">
      <c r="A77" s="36"/>
      <c r="B77" s="36"/>
      <c r="C77" s="36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6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x14ac:dyDescent="0.25">
      <c r="A78" s="10"/>
      <c r="B78" s="28" t="s">
        <v>0</v>
      </c>
      <c r="C78" s="10"/>
      <c r="D78" s="4">
        <f>SUM(0)</f>
        <v>0</v>
      </c>
      <c r="E78" s="4"/>
      <c r="F78" s="12">
        <f>IF(D$12=0,0,D78/D$12)</f>
        <v>0</v>
      </c>
      <c r="G78" s="4"/>
      <c r="H78" s="4">
        <f>SUM(0)</f>
        <v>0</v>
      </c>
      <c r="I78" s="4"/>
      <c r="J78" s="12">
        <f>IF(H$12=0,0,H78/H$12)</f>
        <v>0</v>
      </c>
      <c r="K78" s="4"/>
      <c r="L78" s="4">
        <f>+D78-H78</f>
        <v>0</v>
      </c>
      <c r="M78" s="4"/>
      <c r="N78" s="12">
        <f>IF(H78=0,0,L78/H78)</f>
        <v>0</v>
      </c>
      <c r="O78" s="10"/>
      <c r="P78" s="4">
        <f>SUM(0)</f>
        <v>0</v>
      </c>
      <c r="Q78" s="4"/>
      <c r="R78" s="12">
        <f>IF(P$12=0,0,P78/P$12)</f>
        <v>0</v>
      </c>
      <c r="S78" s="4"/>
      <c r="T78" s="4">
        <f>SUM(0)</f>
        <v>0</v>
      </c>
      <c r="U78" s="4"/>
      <c r="V78" s="12">
        <f>IF(T$12=0,0,T78/T$12)</f>
        <v>0</v>
      </c>
      <c r="W78" s="4"/>
      <c r="X78" s="4">
        <f>+P78-T78</f>
        <v>0</v>
      </c>
      <c r="Y78" s="4"/>
      <c r="Z78" s="12">
        <f>IF(T78=0,0,X78/T78)</f>
        <v>0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10"/>
      <c r="B80" s="29" t="s">
        <v>3</v>
      </c>
      <c r="C80" s="29"/>
      <c r="D80" s="22">
        <f>+D22-D24+D78</f>
        <v>7607.5800000000054</v>
      </c>
      <c r="E80" s="14"/>
      <c r="F80" s="20">
        <f>IF(D$12=0,0,D80/D$12)</f>
        <v>0.15393982660173652</v>
      </c>
      <c r="G80" s="14"/>
      <c r="H80" s="22">
        <f>+H22-H24+H78</f>
        <v>7172.4590946153803</v>
      </c>
      <c r="I80" s="14"/>
      <c r="J80" s="20">
        <f>IF(H$12=0,0,H80/H$12)</f>
        <v>0.15453556319598777</v>
      </c>
      <c r="K80" s="15"/>
      <c r="L80" s="22">
        <f>+D80-H80</f>
        <v>435.12090538462508</v>
      </c>
      <c r="M80" s="15"/>
      <c r="N80" s="20">
        <f>IF(H80=0,0,L80/H80)</f>
        <v>6.0665512294282138E-2</v>
      </c>
      <c r="O80" s="28"/>
      <c r="P80" s="22">
        <f>+P22-P24+P78</f>
        <v>1054.7799999999916</v>
      </c>
      <c r="Q80" s="14"/>
      <c r="R80" s="20">
        <f>IF(P$12=0,0,P80/P$12)</f>
        <v>1.466289642735941E-2</v>
      </c>
      <c r="S80" s="14"/>
      <c r="T80" s="22">
        <f>+T22-T24+T78</f>
        <v>2409.9658074999898</v>
      </c>
      <c r="U80" s="14"/>
      <c r="V80" s="20">
        <f>IF(T$12=0,0,T80/T$12)</f>
        <v>3.4641374858054443E-2</v>
      </c>
      <c r="W80" s="15"/>
      <c r="X80" s="22">
        <f>+P80-T80</f>
        <v>-1355.1858074999982</v>
      </c>
      <c r="Y80" s="15"/>
      <c r="Z80" s="20">
        <f>IF(T80=0,0,X80/T80)</f>
        <v>-0.56232574059041041</v>
      </c>
    </row>
    <row r="81" spans="1:26" x14ac:dyDescent="0.25">
      <c r="A81" s="9"/>
      <c r="B81" s="10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52"/>
      <c r="B82" s="10" t="s">
        <v>14</v>
      </c>
      <c r="C82" s="10"/>
      <c r="D82" s="4">
        <v>4919.46</v>
      </c>
      <c r="E82" s="4"/>
      <c r="F82" s="12">
        <f>IF(D$12=0,0,D82/D$12)</f>
        <v>9.9545561055444459E-2</v>
      </c>
      <c r="G82" s="4"/>
      <c r="H82" s="4">
        <v>5039</v>
      </c>
      <c r="I82" s="4"/>
      <c r="J82" s="12">
        <f>IF(H$12=0,0,H82/H$12)</f>
        <v>0.10856871997069786</v>
      </c>
      <c r="K82" s="4"/>
      <c r="L82" s="4">
        <f>+D82-H82</f>
        <v>-119.53999999999996</v>
      </c>
      <c r="M82" s="4"/>
      <c r="N82" s="12">
        <f>IF(H82=0,0,L82/H82)</f>
        <v>-2.3722960904941449E-2</v>
      </c>
      <c r="O82" s="10"/>
      <c r="P82" s="4">
        <v>7726.81</v>
      </c>
      <c r="Q82" s="4"/>
      <c r="R82" s="12">
        <f>IF(P$12=0,0,P82/P$12)</f>
        <v>0.10741331343397284</v>
      </c>
      <c r="S82" s="4"/>
      <c r="T82" s="4">
        <v>8800</v>
      </c>
      <c r="U82" s="4"/>
      <c r="V82" s="12">
        <f>IF(T$12=0,0,T82/T$12)</f>
        <v>0.1264931219364947</v>
      </c>
      <c r="W82" s="4"/>
      <c r="X82" s="4">
        <f>+P82-T82</f>
        <v>-1073.1899999999996</v>
      </c>
      <c r="Y82" s="4"/>
      <c r="Z82" s="12">
        <f>IF(T82=0,0,X82/T82)</f>
        <v>-0.12195340909090904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9" t="s">
        <v>4</v>
      </c>
      <c r="C84" s="29"/>
      <c r="D84" s="35">
        <f>+D80-D82</f>
        <v>2688.1200000000053</v>
      </c>
      <c r="E84" s="14"/>
      <c r="F84" s="32">
        <f>IF(D$12=0,0,D84/D$12)</f>
        <v>5.439426554629205E-2</v>
      </c>
      <c r="G84" s="14"/>
      <c r="H84" s="35">
        <f>+H80-H82</f>
        <v>2133.4590946153803</v>
      </c>
      <c r="I84" s="14"/>
      <c r="J84" s="32">
        <f>IF(H$12=0,0,H84/H$12)</f>
        <v>4.5966843225289905E-2</v>
      </c>
      <c r="K84" s="15"/>
      <c r="L84" s="35">
        <f>D84-H84</f>
        <v>554.66090538462504</v>
      </c>
      <c r="M84" s="15"/>
      <c r="N84" s="32">
        <f>IF(H84=0,0,L84/H84)</f>
        <v>0.25998197330547801</v>
      </c>
      <c r="O84" s="28"/>
      <c r="P84" s="35">
        <f>+P80-P82</f>
        <v>-6672.0300000000088</v>
      </c>
      <c r="Q84" s="14"/>
      <c r="R84" s="32">
        <f>IF(P$12=0,0,P84/P$12)</f>
        <v>-9.2750417006613434E-2</v>
      </c>
      <c r="S84" s="14"/>
      <c r="T84" s="35">
        <f>+T80-T82</f>
        <v>-6390.0341925000102</v>
      </c>
      <c r="U84" s="14"/>
      <c r="V84" s="32">
        <f>IF(T$12=0,0,T84/T$12)</f>
        <v>-9.1851747078440252E-2</v>
      </c>
      <c r="W84" s="15"/>
      <c r="X84" s="35">
        <f>P84-T84</f>
        <v>-281.99580749999859</v>
      </c>
      <c r="Y84" s="15"/>
      <c r="Z84" s="32">
        <f>IF(T84=0,0,X84/T84)</f>
        <v>4.4130563155824323E-2</v>
      </c>
    </row>
    <row r="85" spans="1:26" ht="15.75" thickTop="1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9" t="s">
        <v>5</v>
      </c>
      <c r="C87" s="29"/>
      <c r="D87" s="30">
        <f>SUM(D84:D86)</f>
        <v>2688.1200000000053</v>
      </c>
      <c r="E87" s="14"/>
      <c r="F87" s="31">
        <f>IF(D$12=0,0,D87/D$12)</f>
        <v>5.439426554629205E-2</v>
      </c>
      <c r="G87" s="14"/>
      <c r="H87" s="30">
        <f>SUM(H84:H86)</f>
        <v>2133.4590946153803</v>
      </c>
      <c r="I87" s="14"/>
      <c r="J87" s="31">
        <f>IF(H$12=0,0,H87/H$12)</f>
        <v>4.5966843225289905E-2</v>
      </c>
      <c r="K87" s="15"/>
      <c r="L87" s="30">
        <f>+D87-H87</f>
        <v>554.66090538462504</v>
      </c>
      <c r="M87" s="15"/>
      <c r="N87" s="31">
        <f>IF(H87=0,0,L87/H87)</f>
        <v>0.25998197330547801</v>
      </c>
      <c r="O87" s="28"/>
      <c r="P87" s="30">
        <f>SUM(P84:P86)</f>
        <v>-6672.0300000000088</v>
      </c>
      <c r="Q87" s="14"/>
      <c r="R87" s="31">
        <f>IF(P$12=0,0,P87/P$12)</f>
        <v>-9.2750417006613434E-2</v>
      </c>
      <c r="S87" s="14"/>
      <c r="T87" s="30">
        <f>SUM(T84:T86)</f>
        <v>-6390.0341925000102</v>
      </c>
      <c r="U87" s="14"/>
      <c r="V87" s="31">
        <f>IF(T$12=0,0,T87/T$12)</f>
        <v>-9.1851747078440252E-2</v>
      </c>
      <c r="W87" s="15"/>
      <c r="X87" s="30">
        <f>+P87-T87</f>
        <v>-281.99580749999859</v>
      </c>
      <c r="Y87" s="15"/>
      <c r="Z87" s="31">
        <f>IF(T87=0,0,X87/T87)</f>
        <v>4.4130563155824323E-2</v>
      </c>
    </row>
    <row r="88" spans="1:26" ht="15.75" thickTop="1" x14ac:dyDescent="0.25">
      <c r="A88" s="9"/>
      <c r="C88" s="9"/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25">
      <c r="A89" s="9"/>
      <c r="B89" s="53">
        <v>43756.452436805557</v>
      </c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  <row r="90" spans="1:26" x14ac:dyDescent="0.25">
      <c r="A90" s="9"/>
      <c r="B90" s="55" t="s">
        <v>314</v>
      </c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  <row r="91" spans="1:26" x14ac:dyDescent="0.25">
      <c r="A91" s="9"/>
      <c r="B91" s="56"/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  <row r="92" spans="1:26" x14ac:dyDescent="0.25"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</sheetData>
  <pageMargins left="0.25" right="0.25" top="0.75" bottom="0.75" header="0.3" footer="0.3"/>
  <pageSetup scale="55" fitToWidth="2" orientation="landscape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str">
        <f>CONCATENATE("Period ",RIGHT(202003,2),", ",2020)</f>
        <v>Period 03, 2020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43736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tr">
        <f>CONCATENATE("Department ","322", " - ", "Beach Hut")</f>
        <v>Department 322 - Beach Hut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114695.58</v>
      </c>
      <c r="E12" s="4"/>
      <c r="F12" s="12"/>
      <c r="G12" s="4"/>
      <c r="H12" s="4">
        <f>SUM(OSRRefH13x_0)</f>
        <v>119553</v>
      </c>
      <c r="I12" s="4"/>
      <c r="J12" s="12"/>
      <c r="K12" s="4"/>
      <c r="L12" s="4">
        <f t="shared" ref="L12:L15" si="0">+D12-H12</f>
        <v>-4857.4199999999983</v>
      </c>
      <c r="M12" s="4"/>
      <c r="N12" s="12">
        <f t="shared" ref="N12:N15" si="1">IF(H12=0,0,L12/H12)</f>
        <v>-4.0629846177009342E-2</v>
      </c>
      <c r="O12" s="10"/>
      <c r="P12" s="4">
        <f>SUM(OSRRefP13x_0)</f>
        <v>162111.57</v>
      </c>
      <c r="Q12" s="4"/>
      <c r="R12" s="12"/>
      <c r="S12" s="4"/>
      <c r="T12" s="4">
        <f>SUM(OSRRefT13x_0)</f>
        <v>176192</v>
      </c>
      <c r="U12" s="4"/>
      <c r="V12" s="12"/>
      <c r="W12" s="4"/>
      <c r="X12" s="4">
        <f t="shared" ref="X12:X15" si="2">+P12-T12</f>
        <v>-14080.429999999993</v>
      </c>
      <c r="Y12" s="4"/>
      <c r="Z12" s="12">
        <f t="shared" ref="Z12:Z15" si="3">IF(T12=0,0,X12/T12)</f>
        <v>-7.991526289502357E-2</v>
      </c>
    </row>
    <row r="13" spans="1:26" s="24" customFormat="1" hidden="1" outlineLevel="1" x14ac:dyDescent="0.25">
      <c r="A13" s="46"/>
      <c r="B13" s="11" t="str">
        <f>CONCATENATE("          ", "4051", " - ", "TAXABLE SALES-FOOD")</f>
        <v xml:space="preserve">          4051 - TAXABLE SALES-FOOD</v>
      </c>
      <c r="C13" s="11"/>
      <c r="D13" s="2">
        <f>--15778.52</f>
        <v>15778.52</v>
      </c>
      <c r="E13" s="2"/>
      <c r="F13" s="19"/>
      <c r="G13" s="2"/>
      <c r="H13" s="2"/>
      <c r="I13" s="2"/>
      <c r="J13" s="19"/>
      <c r="K13" s="2"/>
      <c r="L13" s="2">
        <f t="shared" si="0"/>
        <v>15778.52</v>
      </c>
      <c r="M13" s="2"/>
      <c r="N13" s="19">
        <f t="shared" si="1"/>
        <v>0</v>
      </c>
      <c r="O13" s="11"/>
      <c r="P13" s="2">
        <f>--23258.1</f>
        <v>23258.1</v>
      </c>
      <c r="Q13" s="2"/>
      <c r="R13" s="19"/>
      <c r="S13" s="2"/>
      <c r="T13" s="2"/>
      <c r="U13" s="2"/>
      <c r="V13" s="19"/>
      <c r="W13" s="2"/>
      <c r="X13" s="2">
        <f t="shared" si="2"/>
        <v>23258.1</v>
      </c>
      <c r="Y13" s="2"/>
      <c r="Z13" s="19">
        <f t="shared" si="3"/>
        <v>0</v>
      </c>
    </row>
    <row r="14" spans="1:26" s="24" customFormat="1" hidden="1" outlineLevel="1" x14ac:dyDescent="0.25">
      <c r="A14" s="46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119553</v>
      </c>
      <c r="I14" s="2"/>
      <c r="J14" s="19"/>
      <c r="K14" s="2"/>
      <c r="L14" s="2">
        <f t="shared" si="0"/>
        <v>-119553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176192</v>
      </c>
      <c r="U14" s="2"/>
      <c r="V14" s="19"/>
      <c r="W14" s="2"/>
      <c r="X14" s="2">
        <f t="shared" si="2"/>
        <v>-176192</v>
      </c>
      <c r="Y14" s="2"/>
      <c r="Z14" s="19">
        <f t="shared" si="3"/>
        <v>-1</v>
      </c>
    </row>
    <row r="15" spans="1:26" s="24" customFormat="1" hidden="1" outlineLevel="1" x14ac:dyDescent="0.25">
      <c r="A15" s="46"/>
      <c r="B15" s="11" t="str">
        <f>CONCATENATE("          ", "4151", " - ", "NON-TAXABLE SALES-FOOD")</f>
        <v xml:space="preserve">          4151 - NON-TAXABLE SALES-FOOD</v>
      </c>
      <c r="C15" s="11"/>
      <c r="D15" s="2">
        <f>--98917.06</f>
        <v>98917.06</v>
      </c>
      <c r="E15" s="2"/>
      <c r="F15" s="19"/>
      <c r="G15" s="2"/>
      <c r="H15" s="2"/>
      <c r="I15" s="2"/>
      <c r="J15" s="19"/>
      <c r="K15" s="2"/>
      <c r="L15" s="2">
        <f t="shared" si="0"/>
        <v>98917.06</v>
      </c>
      <c r="M15" s="2"/>
      <c r="N15" s="19">
        <f t="shared" si="1"/>
        <v>0</v>
      </c>
      <c r="O15" s="11"/>
      <c r="P15" s="2">
        <f>--138853.47</f>
        <v>138853.47</v>
      </c>
      <c r="Q15" s="2"/>
      <c r="R15" s="19"/>
      <c r="S15" s="2"/>
      <c r="T15" s="2"/>
      <c r="U15" s="2"/>
      <c r="V15" s="19"/>
      <c r="W15" s="2"/>
      <c r="X15" s="2">
        <f t="shared" si="2"/>
        <v>138853.47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54599.94</v>
      </c>
      <c r="E17" s="4"/>
      <c r="F17" s="12">
        <f t="shared" ref="F17:F20" si="4">IF(D$12=0,0,D17/D$12)</f>
        <v>0.47604223283931257</v>
      </c>
      <c r="G17" s="4"/>
      <c r="H17" s="4">
        <f>SUM(OSRRefH16x_0)</f>
        <v>57385</v>
      </c>
      <c r="I17" s="4"/>
      <c r="J17" s="12">
        <f t="shared" ref="J17:J20" si="5">IF(H$12=0,0,H17/H$12)</f>
        <v>0.47999631962393247</v>
      </c>
      <c r="K17" s="4"/>
      <c r="L17" s="4">
        <f t="shared" ref="L17:L20" si="6">+D17-H17</f>
        <v>-2785.0599999999977</v>
      </c>
      <c r="M17" s="4"/>
      <c r="N17" s="12">
        <f t="shared" ref="N17:N20" si="7">IF(H17=0,0,L17/H17)</f>
        <v>-4.8532891870697877E-2</v>
      </c>
      <c r="O17" s="10"/>
      <c r="P17" s="4">
        <f>SUM(OSRRefP16x_0)</f>
        <v>80500.27</v>
      </c>
      <c r="Q17" s="4"/>
      <c r="R17" s="12">
        <f t="shared" ref="R17:R20" si="8">IF(P$12=0,0,P17/P$12)</f>
        <v>0.4965732550736508</v>
      </c>
      <c r="S17" s="4"/>
      <c r="T17" s="4">
        <f>SUM(OSRRefT16x_0)</f>
        <v>84572</v>
      </c>
      <c r="U17" s="4"/>
      <c r="V17" s="12">
        <f t="shared" ref="V17:V20" si="9">IF(T$12=0,0,T17/T$12)</f>
        <v>0.47999909189974571</v>
      </c>
      <c r="W17" s="4"/>
      <c r="X17" s="4">
        <f t="shared" ref="X17:X20" si="10">+P17-T17</f>
        <v>-4071.7299999999959</v>
      </c>
      <c r="Y17" s="4"/>
      <c r="Z17" s="12">
        <f t="shared" ref="Z17:Z20" si="11">IF(T17=0,0,X17/T17)</f>
        <v>-4.8145130776143359E-2</v>
      </c>
    </row>
    <row r="18" spans="1:26" s="24" customFormat="1" hidden="1" outlineLevel="1" x14ac:dyDescent="0.25">
      <c r="A18" s="46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4"/>
        <v>0</v>
      </c>
      <c r="G18" s="2"/>
      <c r="H18" s="2">
        <v>57385</v>
      </c>
      <c r="I18" s="2"/>
      <c r="J18" s="19">
        <f t="shared" si="5"/>
        <v>0.47999631962393247</v>
      </c>
      <c r="K18" s="2"/>
      <c r="L18" s="2">
        <f t="shared" si="6"/>
        <v>-57385</v>
      </c>
      <c r="M18" s="2"/>
      <c r="N18" s="19">
        <f t="shared" si="7"/>
        <v>-1</v>
      </c>
      <c r="O18" s="11"/>
      <c r="P18" s="2"/>
      <c r="Q18" s="2"/>
      <c r="R18" s="19">
        <f t="shared" si="8"/>
        <v>0</v>
      </c>
      <c r="S18" s="2"/>
      <c r="T18" s="2">
        <v>84572</v>
      </c>
      <c r="U18" s="2"/>
      <c r="V18" s="19">
        <f t="shared" si="9"/>
        <v>0.47999909189974571</v>
      </c>
      <c r="W18" s="2"/>
      <c r="X18" s="2">
        <f t="shared" si="10"/>
        <v>-84572</v>
      </c>
      <c r="Y18" s="2"/>
      <c r="Z18" s="19">
        <f t="shared" si="11"/>
        <v>-1</v>
      </c>
    </row>
    <row r="19" spans="1:26" s="24" customFormat="1" hidden="1" outlineLevel="1" x14ac:dyDescent="0.25">
      <c r="A19" s="46"/>
      <c r="B19" s="11" t="str">
        <f>CONCATENATE("          ", "5053", " - ", "PURCHASES @ COST-FOOD")</f>
        <v xml:space="preserve">          5053 - PURCHASES @ COST-FOOD</v>
      </c>
      <c r="C19" s="11"/>
      <c r="D19" s="2">
        <v>59761.51</v>
      </c>
      <c r="E19" s="2"/>
      <c r="F19" s="19">
        <f t="shared" si="4"/>
        <v>0.52104457730629206</v>
      </c>
      <c r="G19" s="2"/>
      <c r="H19" s="2"/>
      <c r="I19" s="2"/>
      <c r="J19" s="19">
        <f t="shared" si="5"/>
        <v>0</v>
      </c>
      <c r="K19" s="2"/>
      <c r="L19" s="2">
        <f t="shared" si="6"/>
        <v>59761.51</v>
      </c>
      <c r="M19" s="2"/>
      <c r="N19" s="19">
        <f t="shared" si="7"/>
        <v>0</v>
      </c>
      <c r="O19" s="11"/>
      <c r="P19" s="2">
        <v>101382.21</v>
      </c>
      <c r="Q19" s="2"/>
      <c r="R19" s="19">
        <f t="shared" si="8"/>
        <v>0.62538540586584912</v>
      </c>
      <c r="S19" s="2"/>
      <c r="T19" s="2"/>
      <c r="U19" s="2"/>
      <c r="V19" s="19">
        <f t="shared" si="9"/>
        <v>0</v>
      </c>
      <c r="W19" s="2"/>
      <c r="X19" s="2">
        <f t="shared" si="10"/>
        <v>101382.21</v>
      </c>
      <c r="Y19" s="2"/>
      <c r="Z19" s="19">
        <f t="shared" si="11"/>
        <v>0</v>
      </c>
    </row>
    <row r="20" spans="1:26" s="24" customFormat="1" hidden="1" outlineLevel="1" x14ac:dyDescent="0.25">
      <c r="A20" s="46"/>
      <c r="B20" s="11" t="str">
        <f>CONCATENATE("          ", "5059", " - ", "PURCHASES @ COST-FOOD")</f>
        <v xml:space="preserve">          5059 - PURCHASES @ COST-FOOD</v>
      </c>
      <c r="C20" s="11"/>
      <c r="D20" s="2">
        <v>-5161.57</v>
      </c>
      <c r="E20" s="2"/>
      <c r="F20" s="19">
        <f t="shared" si="4"/>
        <v>-4.5002344466979455E-2</v>
      </c>
      <c r="G20" s="2"/>
      <c r="H20" s="2"/>
      <c r="I20" s="2"/>
      <c r="J20" s="19">
        <f t="shared" si="5"/>
        <v>0</v>
      </c>
      <c r="K20" s="2"/>
      <c r="L20" s="2">
        <f t="shared" si="6"/>
        <v>-5161.57</v>
      </c>
      <c r="M20" s="2"/>
      <c r="N20" s="19">
        <f t="shared" si="7"/>
        <v>0</v>
      </c>
      <c r="O20" s="11"/>
      <c r="P20" s="2">
        <v>-20881.939999999999</v>
      </c>
      <c r="Q20" s="2"/>
      <c r="R20" s="19">
        <f t="shared" si="8"/>
        <v>-0.12881215079219821</v>
      </c>
      <c r="S20" s="2"/>
      <c r="T20" s="2"/>
      <c r="U20" s="2"/>
      <c r="V20" s="19">
        <f t="shared" si="9"/>
        <v>0</v>
      </c>
      <c r="W20" s="2"/>
      <c r="X20" s="2">
        <f t="shared" si="10"/>
        <v>-20881.939999999999</v>
      </c>
      <c r="Y20" s="2"/>
      <c r="Z20" s="19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6</v>
      </c>
      <c r="C22" s="29"/>
      <c r="D22" s="22">
        <f>D12-D17</f>
        <v>60095.64</v>
      </c>
      <c r="E22" s="14"/>
      <c r="F22" s="20">
        <f>IF(D$12=0,0,D22/D$12)</f>
        <v>0.52395776716068743</v>
      </c>
      <c r="G22" s="14"/>
      <c r="H22" s="22">
        <f>H12-H17</f>
        <v>62168</v>
      </c>
      <c r="I22" s="14"/>
      <c r="J22" s="20">
        <f>IF(H$12=0,0,H22/H$12)</f>
        <v>0.52000368037606748</v>
      </c>
      <c r="K22" s="15"/>
      <c r="L22" s="22">
        <f>+D22-H22</f>
        <v>-2072.3600000000006</v>
      </c>
      <c r="M22" s="15"/>
      <c r="N22" s="20">
        <f>IF(H22=0,0,L22/H22)</f>
        <v>-3.3334834641616275E-2</v>
      </c>
      <c r="O22" s="28"/>
      <c r="P22" s="22">
        <f>P12-P17</f>
        <v>81611.3</v>
      </c>
      <c r="Q22" s="14"/>
      <c r="R22" s="20">
        <f>IF(P$12=0,0,P22/P$12)</f>
        <v>0.5034267449263492</v>
      </c>
      <c r="S22" s="14"/>
      <c r="T22" s="22">
        <f>T12-T17</f>
        <v>91620</v>
      </c>
      <c r="U22" s="14"/>
      <c r="V22" s="20">
        <f>IF(T$12=0,0,T22/T$12)</f>
        <v>0.52000090810025423</v>
      </c>
      <c r="W22" s="15"/>
      <c r="X22" s="22">
        <f>+P22-T22</f>
        <v>-10008.699999999997</v>
      </c>
      <c r="Y22" s="15"/>
      <c r="Z22" s="20">
        <f>IF(T22=0,0,X22/T22)</f>
        <v>-0.10924143200174631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9</v>
      </c>
      <c r="C24" s="10"/>
      <c r="D24" s="21">
        <f>SUM(OSRRefD22x_0)</f>
        <v>30810.43</v>
      </c>
      <c r="E24" s="21"/>
      <c r="F24" s="33">
        <f t="shared" ref="F24:F34" si="12">IF(D$12=0,0,D24/D$12)</f>
        <v>0.26862787563391721</v>
      </c>
      <c r="G24" s="21"/>
      <c r="H24" s="21">
        <f>SUM(OSRRefH22x_0)</f>
        <v>33342.74981076923</v>
      </c>
      <c r="I24" s="21"/>
      <c r="J24" s="33">
        <f t="shared" ref="J24:J34" si="13">IF(H$12=0,0,H24/H$12)</f>
        <v>0.27889513279272982</v>
      </c>
      <c r="K24" s="4"/>
      <c r="L24" s="21">
        <f t="shared" ref="L24:L34" si="14">+D24-H24</f>
        <v>-2532.3198107692297</v>
      </c>
      <c r="M24" s="4"/>
      <c r="N24" s="33">
        <f t="shared" ref="N24:N34" si="15">IF(H24=0,0,L24/H24)</f>
        <v>-7.5948139404846765E-2</v>
      </c>
      <c r="O24" s="10"/>
      <c r="P24" s="21">
        <f>SUM(OSRRefP22x_0)</f>
        <v>76134.790000000023</v>
      </c>
      <c r="Q24" s="21"/>
      <c r="R24" s="33">
        <f t="shared" ref="R24:R34" si="16">IF(P$12=0,0,P24/P$12)</f>
        <v>0.46964439367282679</v>
      </c>
      <c r="S24" s="21"/>
      <c r="T24" s="21">
        <f>SUM(OSRRefT22x_0)</f>
        <v>69834.755447500007</v>
      </c>
      <c r="U24" s="21"/>
      <c r="V24" s="33">
        <f t="shared" ref="V24:V34" si="17">IF(T$12=0,0,T24/T$12)</f>
        <v>0.39635599486639578</v>
      </c>
      <c r="W24" s="4"/>
      <c r="X24" s="21">
        <f t="shared" ref="X24:X34" si="18">+P24-T24</f>
        <v>6300.0345525000157</v>
      </c>
      <c r="Y24" s="4"/>
      <c r="Z24" s="33">
        <f t="shared" ref="Z24:Z34" si="19">IF(T24=0,0,X24/T24)</f>
        <v>9.021345477806135E-2</v>
      </c>
    </row>
    <row r="25" spans="1:26" s="26" customFormat="1" outlineLevel="1" collapsed="1" x14ac:dyDescent="0.25">
      <c r="A25" s="27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2340.6000000000004</v>
      </c>
      <c r="E25" s="1"/>
      <c r="F25" s="5">
        <f t="shared" si="12"/>
        <v>2.0407063637500243E-2</v>
      </c>
      <c r="G25" s="1"/>
      <c r="H25" s="1">
        <f>SUM(OSRRefH22_0x_0)</f>
        <v>2477.2805800000001</v>
      </c>
      <c r="I25" s="1"/>
      <c r="J25" s="5">
        <f t="shared" si="13"/>
        <v>2.0721191270817129E-2</v>
      </c>
      <c r="K25" s="1"/>
      <c r="L25" s="1">
        <f t="shared" si="14"/>
        <v>-136.68057999999974</v>
      </c>
      <c r="M25" s="1"/>
      <c r="N25" s="5">
        <f t="shared" si="15"/>
        <v>-5.5173637214723466E-2</v>
      </c>
      <c r="O25" s="13"/>
      <c r="P25" s="1">
        <f>SUM(OSRRefP22_0x_0)</f>
        <v>7186.7799999999988</v>
      </c>
      <c r="Q25" s="1"/>
      <c r="R25" s="5">
        <f t="shared" si="16"/>
        <v>4.4332307681678729E-2</v>
      </c>
      <c r="S25" s="1"/>
      <c r="T25" s="1">
        <f>SUM(OSRRefT22_0x_0)</f>
        <v>6969.230447500001</v>
      </c>
      <c r="U25" s="1"/>
      <c r="V25" s="5">
        <f t="shared" si="17"/>
        <v>3.9554749633922089E-2</v>
      </c>
      <c r="W25" s="1"/>
      <c r="X25" s="1">
        <f t="shared" si="18"/>
        <v>217.54955249999784</v>
      </c>
      <c r="Y25" s="1"/>
      <c r="Z25" s="5">
        <f t="shared" si="19"/>
        <v>3.1215720894698942E-2</v>
      </c>
    </row>
    <row r="26" spans="1:26" s="24" customFormat="1" hidden="1" outlineLevel="2" x14ac:dyDescent="0.25">
      <c r="A26" s="25"/>
      <c r="B26" s="11" t="str">
        <f>CONCATENATE("          ", "6111", " - ", "F.I.C.A.")</f>
        <v xml:space="preserve">          6111 - F.I.C.A.</v>
      </c>
      <c r="C26" s="11"/>
      <c r="D26" s="7">
        <v>417.72</v>
      </c>
      <c r="E26" s="2"/>
      <c r="F26" s="6">
        <f t="shared" si="12"/>
        <v>3.6419886450724608E-3</v>
      </c>
      <c r="G26" s="2"/>
      <c r="H26" s="7">
        <v>302.69381076923099</v>
      </c>
      <c r="I26" s="2"/>
      <c r="J26" s="6">
        <f t="shared" si="13"/>
        <v>2.5318796748657999E-3</v>
      </c>
      <c r="K26" s="2"/>
      <c r="L26" s="7">
        <f t="shared" si="14"/>
        <v>115.02618923076903</v>
      </c>
      <c r="M26" s="2"/>
      <c r="N26" s="6">
        <f t="shared" si="15"/>
        <v>0.38000839507902323</v>
      </c>
      <c r="O26" s="11"/>
      <c r="P26" s="7">
        <v>1939.5</v>
      </c>
      <c r="Q26" s="2"/>
      <c r="R26" s="6">
        <f t="shared" si="16"/>
        <v>1.196398258310619E-2</v>
      </c>
      <c r="S26" s="2"/>
      <c r="T26" s="7">
        <v>1335.8885475000009</v>
      </c>
      <c r="U26" s="2"/>
      <c r="V26" s="6">
        <f t="shared" si="17"/>
        <v>7.5820045603659696E-3</v>
      </c>
      <c r="W26" s="2"/>
      <c r="X26" s="7">
        <f t="shared" si="18"/>
        <v>603.61145249999913</v>
      </c>
      <c r="Y26" s="2"/>
      <c r="Z26" s="6">
        <f t="shared" si="19"/>
        <v>0.45184267327510624</v>
      </c>
    </row>
    <row r="27" spans="1:26" s="24" customFormat="1" hidden="1" outlineLevel="2" x14ac:dyDescent="0.25">
      <c r="A27" s="25"/>
      <c r="B27" s="11" t="str">
        <f>CONCATENATE("          ", "6112", " - ", "COMPENSATION INSURANCE")</f>
        <v xml:space="preserve">          6112 - COMPENSATION INSURANCE</v>
      </c>
      <c r="C27" s="11"/>
      <c r="D27" s="7">
        <v>388.94</v>
      </c>
      <c r="E27" s="2"/>
      <c r="F27" s="6">
        <f t="shared" si="12"/>
        <v>3.3910635440354371E-3</v>
      </c>
      <c r="G27" s="2"/>
      <c r="H27" s="7">
        <v>402.21538461538501</v>
      </c>
      <c r="I27" s="2"/>
      <c r="J27" s="6">
        <f t="shared" si="13"/>
        <v>3.3643269898319993E-3</v>
      </c>
      <c r="K27" s="2"/>
      <c r="L27" s="7">
        <f t="shared" si="14"/>
        <v>-13.275384615385008</v>
      </c>
      <c r="M27" s="2"/>
      <c r="N27" s="6">
        <f t="shared" si="15"/>
        <v>-3.3005660954713308E-2</v>
      </c>
      <c r="O27" s="11"/>
      <c r="P27" s="7">
        <v>779.28</v>
      </c>
      <c r="Q27" s="2"/>
      <c r="R27" s="6">
        <f t="shared" si="16"/>
        <v>4.8070597305300286E-3</v>
      </c>
      <c r="S27" s="2"/>
      <c r="T27" s="7">
        <v>840.18475000000103</v>
      </c>
      <c r="U27" s="2"/>
      <c r="V27" s="6">
        <f t="shared" si="17"/>
        <v>4.7685749069197297E-3</v>
      </c>
      <c r="W27" s="2"/>
      <c r="X27" s="7">
        <f t="shared" si="18"/>
        <v>-60.904750000001059</v>
      </c>
      <c r="Y27" s="2"/>
      <c r="Z27" s="6">
        <f t="shared" si="19"/>
        <v>-7.2489711340274848E-2</v>
      </c>
    </row>
    <row r="28" spans="1:26" s="24" customFormat="1" hidden="1" outlineLevel="2" x14ac:dyDescent="0.25">
      <c r="A28" s="25"/>
      <c r="B28" s="11" t="str">
        <f>CONCATENATE("          ", "6113", " - ", "GROUP INSURANCE")</f>
        <v xml:space="preserve">          6113 - GROUP INSURANCE</v>
      </c>
      <c r="C28" s="11"/>
      <c r="D28" s="7">
        <v>641.14</v>
      </c>
      <c r="E28" s="2"/>
      <c r="F28" s="6">
        <f t="shared" si="12"/>
        <v>5.5899277025322162E-3</v>
      </c>
      <c r="G28" s="2"/>
      <c r="H28" s="7">
        <v>663</v>
      </c>
      <c r="I28" s="2"/>
      <c r="J28" s="6">
        <f t="shared" si="13"/>
        <v>5.5456575744648818E-3</v>
      </c>
      <c r="K28" s="2"/>
      <c r="L28" s="7">
        <f t="shared" si="14"/>
        <v>-21.860000000000014</v>
      </c>
      <c r="M28" s="2"/>
      <c r="N28" s="6">
        <f t="shared" si="15"/>
        <v>-3.2971342383107109E-2</v>
      </c>
      <c r="O28" s="11"/>
      <c r="P28" s="7">
        <v>1923.42</v>
      </c>
      <c r="Q28" s="2"/>
      <c r="R28" s="6">
        <f t="shared" si="16"/>
        <v>1.1864791637018875E-2</v>
      </c>
      <c r="S28" s="2"/>
      <c r="T28" s="7">
        <v>1989</v>
      </c>
      <c r="U28" s="2"/>
      <c r="V28" s="6">
        <f t="shared" si="17"/>
        <v>1.1288821285869961E-2</v>
      </c>
      <c r="W28" s="2"/>
      <c r="X28" s="7">
        <f t="shared" si="18"/>
        <v>-65.579999999999927</v>
      </c>
      <c r="Y28" s="2"/>
      <c r="Z28" s="6">
        <f t="shared" si="19"/>
        <v>-3.2971342383107054E-2</v>
      </c>
    </row>
    <row r="29" spans="1:26" s="24" customFormat="1" hidden="1" outlineLevel="2" x14ac:dyDescent="0.25">
      <c r="A29" s="25"/>
      <c r="B29" s="11" t="str">
        <f>CONCATENATE("          ", "6114", " - ", "STATE UNEMPLOYMENT INSURANCE")</f>
        <v xml:space="preserve">          6114 - STATE UNEMPLOYMENT INSURANCE</v>
      </c>
      <c r="C29" s="11"/>
      <c r="D29" s="7">
        <v>53.22</v>
      </c>
      <c r="E29" s="2"/>
      <c r="F29" s="6">
        <f t="shared" si="12"/>
        <v>4.6401090608722673E-4</v>
      </c>
      <c r="G29" s="2"/>
      <c r="H29" s="7">
        <v>55.04</v>
      </c>
      <c r="I29" s="2"/>
      <c r="J29" s="6">
        <f t="shared" si="13"/>
        <v>4.6038158808227314E-4</v>
      </c>
      <c r="K29" s="2"/>
      <c r="L29" s="7">
        <f t="shared" si="14"/>
        <v>-1.8200000000000003</v>
      </c>
      <c r="M29" s="2"/>
      <c r="N29" s="6">
        <f t="shared" si="15"/>
        <v>-3.3066860465116282E-2</v>
      </c>
      <c r="O29" s="11"/>
      <c r="P29" s="7">
        <v>102.82</v>
      </c>
      <c r="Q29" s="2"/>
      <c r="R29" s="6">
        <f t="shared" si="16"/>
        <v>6.3425454457075449E-4</v>
      </c>
      <c r="S29" s="2"/>
      <c r="T29" s="7">
        <v>114.97265</v>
      </c>
      <c r="U29" s="2"/>
      <c r="V29" s="6">
        <f t="shared" si="17"/>
        <v>6.5254182936796219E-4</v>
      </c>
      <c r="W29" s="2"/>
      <c r="X29" s="7">
        <f t="shared" si="18"/>
        <v>-12.152650000000008</v>
      </c>
      <c r="Y29" s="2"/>
      <c r="Z29" s="6">
        <f t="shared" si="19"/>
        <v>-0.10570035569328887</v>
      </c>
    </row>
    <row r="30" spans="1:26" s="24" customFormat="1" hidden="1" outlineLevel="2" x14ac:dyDescent="0.25">
      <c r="A30" s="25"/>
      <c r="B30" s="11" t="str">
        <f>CONCATENATE("          ", "6115", " - ", "P.E.R.S.")</f>
        <v xml:space="preserve">          6115 - P.E.R.S.</v>
      </c>
      <c r="C30" s="11"/>
      <c r="D30" s="7">
        <v>268.22000000000003</v>
      </c>
      <c r="E30" s="2"/>
      <c r="F30" s="6">
        <f t="shared" si="12"/>
        <v>2.338538241839834E-3</v>
      </c>
      <c r="G30" s="2"/>
      <c r="H30" s="7">
        <v>340.149846153846</v>
      </c>
      <c r="I30" s="2"/>
      <c r="J30" s="6">
        <f t="shared" si="13"/>
        <v>2.8451803480786428E-3</v>
      </c>
      <c r="K30" s="2"/>
      <c r="L30" s="7">
        <f t="shared" si="14"/>
        <v>-71.929846153845972</v>
      </c>
      <c r="M30" s="2"/>
      <c r="N30" s="6">
        <f t="shared" si="15"/>
        <v>-0.21146517326752781</v>
      </c>
      <c r="O30" s="11"/>
      <c r="P30" s="7">
        <v>804.66</v>
      </c>
      <c r="Q30" s="2"/>
      <c r="R30" s="6">
        <f t="shared" si="16"/>
        <v>4.9636185745409777E-3</v>
      </c>
      <c r="S30" s="2"/>
      <c r="T30" s="7">
        <v>1105.4870000000001</v>
      </c>
      <c r="U30" s="2"/>
      <c r="V30" s="6">
        <f t="shared" si="17"/>
        <v>6.2743314111877958E-3</v>
      </c>
      <c r="W30" s="2"/>
      <c r="X30" s="7">
        <f t="shared" si="18"/>
        <v>-300.82700000000011</v>
      </c>
      <c r="Y30" s="2"/>
      <c r="Z30" s="6">
        <f t="shared" si="19"/>
        <v>-0.27212169840079536</v>
      </c>
    </row>
    <row r="31" spans="1:26" s="24" customFormat="1" hidden="1" outlineLevel="2" x14ac:dyDescent="0.25">
      <c r="A31" s="25"/>
      <c r="B31" s="11" t="str">
        <f>CONCATENATE("          ", "6116", " - ", "EDUCATIONAL BENEFITS")</f>
        <v xml:space="preserve">          6116 - EDUCATIONAL BENEFITS</v>
      </c>
      <c r="C31" s="11"/>
      <c r="D31" s="7"/>
      <c r="E31" s="2"/>
      <c r="F31" s="6">
        <f t="shared" si="12"/>
        <v>0</v>
      </c>
      <c r="G31" s="2"/>
      <c r="H31" s="7">
        <v>0</v>
      </c>
      <c r="I31" s="2"/>
      <c r="J31" s="6">
        <f t="shared" si="13"/>
        <v>0</v>
      </c>
      <c r="K31" s="2"/>
      <c r="L31" s="7">
        <f t="shared" si="14"/>
        <v>0</v>
      </c>
      <c r="M31" s="2"/>
      <c r="N31" s="6">
        <f t="shared" si="15"/>
        <v>0</v>
      </c>
      <c r="O31" s="11"/>
      <c r="P31" s="7"/>
      <c r="Q31" s="2"/>
      <c r="R31" s="6">
        <f t="shared" si="16"/>
        <v>0</v>
      </c>
      <c r="S31" s="2"/>
      <c r="T31" s="7">
        <v>0</v>
      </c>
      <c r="U31" s="2"/>
      <c r="V31" s="6">
        <f t="shared" si="17"/>
        <v>0</v>
      </c>
      <c r="W31" s="2"/>
      <c r="X31" s="7">
        <f t="shared" si="18"/>
        <v>0</v>
      </c>
      <c r="Y31" s="2"/>
      <c r="Z31" s="6">
        <f t="shared" si="19"/>
        <v>0</v>
      </c>
    </row>
    <row r="32" spans="1:26" s="24" customFormat="1" hidden="1" outlineLevel="2" x14ac:dyDescent="0.25">
      <c r="A32" s="25"/>
      <c r="B32" s="11" t="str">
        <f>CONCATENATE("          ", "6118", " - ", "VACATION")</f>
        <v xml:space="preserve">          6118 - VACATION</v>
      </c>
      <c r="C32" s="11"/>
      <c r="D32" s="7">
        <v>221.28</v>
      </c>
      <c r="E32" s="2"/>
      <c r="F32" s="6">
        <f t="shared" si="12"/>
        <v>1.9292809714201715E-3</v>
      </c>
      <c r="G32" s="2"/>
      <c r="H32" s="7">
        <v>118.65692307692301</v>
      </c>
      <c r="I32" s="2"/>
      <c r="J32" s="6">
        <f t="shared" si="13"/>
        <v>9.9250477258557295E-4</v>
      </c>
      <c r="K32" s="2"/>
      <c r="L32" s="7">
        <f t="shared" si="14"/>
        <v>102.62307692307699</v>
      </c>
      <c r="M32" s="2"/>
      <c r="N32" s="6">
        <f t="shared" si="15"/>
        <v>0.86487222373487993</v>
      </c>
      <c r="O32" s="11"/>
      <c r="P32" s="7">
        <v>663.84</v>
      </c>
      <c r="Q32" s="2"/>
      <c r="R32" s="6">
        <f t="shared" si="16"/>
        <v>4.0949575653360217E-3</v>
      </c>
      <c r="S32" s="2"/>
      <c r="T32" s="7">
        <v>385.63499999999999</v>
      </c>
      <c r="U32" s="2"/>
      <c r="V32" s="6">
        <f t="shared" si="17"/>
        <v>2.1887202597166725E-3</v>
      </c>
      <c r="W32" s="2"/>
      <c r="X32" s="7">
        <f t="shared" si="18"/>
        <v>278.20500000000004</v>
      </c>
      <c r="Y32" s="2"/>
      <c r="Z32" s="6">
        <f t="shared" si="19"/>
        <v>0.7214205142168113</v>
      </c>
    </row>
    <row r="33" spans="1:26" s="24" customFormat="1" hidden="1" outlineLevel="2" x14ac:dyDescent="0.25">
      <c r="A33" s="25"/>
      <c r="B33" s="11" t="str">
        <f>CONCATENATE("          ", "6119", " - ", "SICK LEAVE")</f>
        <v xml:space="preserve">          6119 - SICK LEAVE</v>
      </c>
      <c r="C33" s="11"/>
      <c r="D33" s="7">
        <v>177.12</v>
      </c>
      <c r="E33" s="2"/>
      <c r="F33" s="6">
        <f t="shared" si="12"/>
        <v>1.5442617753883804E-3</v>
      </c>
      <c r="G33" s="2"/>
      <c r="H33" s="7">
        <v>595.524615384615</v>
      </c>
      <c r="I33" s="2"/>
      <c r="J33" s="6">
        <f t="shared" si="13"/>
        <v>4.9812603229079568E-3</v>
      </c>
      <c r="K33" s="2"/>
      <c r="L33" s="7">
        <f t="shared" si="14"/>
        <v>-418.404615384615</v>
      </c>
      <c r="M33" s="2"/>
      <c r="N33" s="6">
        <f t="shared" si="15"/>
        <v>-0.70258156350832213</v>
      </c>
      <c r="O33" s="11"/>
      <c r="P33" s="7">
        <v>531.36</v>
      </c>
      <c r="Q33" s="2"/>
      <c r="R33" s="6">
        <f t="shared" si="16"/>
        <v>3.2777426065270974E-3</v>
      </c>
      <c r="S33" s="2"/>
      <c r="T33" s="7">
        <v>1198.0624999999989</v>
      </c>
      <c r="U33" s="2"/>
      <c r="V33" s="6">
        <f t="shared" si="17"/>
        <v>6.7997553804940002E-3</v>
      </c>
      <c r="W33" s="2"/>
      <c r="X33" s="7">
        <f t="shared" si="18"/>
        <v>-666.70249999999885</v>
      </c>
      <c r="Y33" s="2"/>
      <c r="Z33" s="6">
        <f t="shared" si="19"/>
        <v>-0.5564839063070578</v>
      </c>
    </row>
    <row r="34" spans="1:26" s="24" customFormat="1" hidden="1" outlineLevel="2" x14ac:dyDescent="0.25">
      <c r="A34" s="25"/>
      <c r="B34" s="11" t="str">
        <f>CONCATENATE("          ", "6156", " - ", "EMPLOYEE MEALS")</f>
        <v xml:space="preserve">          6156 - EMPLOYEE MEALS</v>
      </c>
      <c r="C34" s="11"/>
      <c r="D34" s="7">
        <v>172.96</v>
      </c>
      <c r="E34" s="2"/>
      <c r="F34" s="6">
        <f t="shared" si="12"/>
        <v>1.5079918511245159E-3</v>
      </c>
      <c r="G34" s="2"/>
      <c r="H34" s="7"/>
      <c r="I34" s="2"/>
      <c r="J34" s="6">
        <f t="shared" si="13"/>
        <v>0</v>
      </c>
      <c r="K34" s="2"/>
      <c r="L34" s="7">
        <f t="shared" si="14"/>
        <v>172.96</v>
      </c>
      <c r="M34" s="2"/>
      <c r="N34" s="6">
        <f t="shared" si="15"/>
        <v>0</v>
      </c>
      <c r="O34" s="11"/>
      <c r="P34" s="7">
        <v>441.9</v>
      </c>
      <c r="Q34" s="2"/>
      <c r="R34" s="6">
        <f t="shared" si="16"/>
        <v>2.7259004400487885E-3</v>
      </c>
      <c r="S34" s="2"/>
      <c r="T34" s="7"/>
      <c r="U34" s="2"/>
      <c r="V34" s="6">
        <f t="shared" si="17"/>
        <v>0</v>
      </c>
      <c r="W34" s="2"/>
      <c r="X34" s="7">
        <f t="shared" si="18"/>
        <v>441.9</v>
      </c>
      <c r="Y34" s="2"/>
      <c r="Z34" s="6">
        <f t="shared" si="19"/>
        <v>0</v>
      </c>
    </row>
    <row r="35" spans="1:26" s="26" customFormat="1" outlineLevel="1" collapsed="1" x14ac:dyDescent="0.25">
      <c r="A35" s="27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19740.04</v>
      </c>
      <c r="E35" s="1"/>
      <c r="F35" s="5">
        <f t="shared" ref="F35:F45" si="20">IF(D$12=0,0,D35/D$12)</f>
        <v>0.1721081143667437</v>
      </c>
      <c r="G35" s="1"/>
      <c r="H35" s="1">
        <f>SUM(OSRRefH22_1x_0)</f>
        <v>20971.469230769231</v>
      </c>
      <c r="I35" s="1"/>
      <c r="J35" s="5">
        <f t="shared" ref="J35:J45" si="21">IF(H$12=0,0,H35/H$12)</f>
        <v>0.17541566694912911</v>
      </c>
      <c r="K35" s="1"/>
      <c r="L35" s="1">
        <f t="shared" ref="L35:L45" si="22">+D35-H35</f>
        <v>-1231.4292307692303</v>
      </c>
      <c r="M35" s="1"/>
      <c r="N35" s="5">
        <f t="shared" ref="N35:N45" si="23">IF(H35=0,0,L35/H35)</f>
        <v>-5.8719263644269791E-2</v>
      </c>
      <c r="O35" s="13"/>
      <c r="P35" s="1">
        <f>SUM(OSRRefP22_1x_0)</f>
        <v>43516.990000000005</v>
      </c>
      <c r="Q35" s="1"/>
      <c r="R35" s="5">
        <f t="shared" ref="R35:R45" si="24">IF(P$12=0,0,P35/P$12)</f>
        <v>0.26843852045847194</v>
      </c>
      <c r="S35" s="1"/>
      <c r="T35" s="1">
        <f>SUM(OSRRefT22_1x_0)</f>
        <v>43577.525000000001</v>
      </c>
      <c r="U35" s="1"/>
      <c r="V35" s="5">
        <f t="shared" ref="V35:V45" si="25">IF(T$12=0,0,T35/T$12)</f>
        <v>0.24732975958045769</v>
      </c>
      <c r="W35" s="1"/>
      <c r="X35" s="1">
        <f t="shared" ref="X35:X45" si="26">+P35-T35</f>
        <v>-60.534999999996217</v>
      </c>
      <c r="Y35" s="1"/>
      <c r="Z35" s="5">
        <f t="shared" ref="Z35:Z45" si="27">IF(T35=0,0,X35/T35)</f>
        <v>-1.3891335040252105E-3</v>
      </c>
    </row>
    <row r="36" spans="1:26" s="24" customFormat="1" hidden="1" outlineLevel="2" x14ac:dyDescent="0.25">
      <c r="A36" s="25"/>
      <c r="B36" s="11" t="str">
        <f>CONCATENATE("          ", "6001", " - ", "ADMINISTRATIVE SALARIES")</f>
        <v xml:space="preserve">          6001 - ADMINISTRATIVE SALARIES</v>
      </c>
      <c r="C36" s="11"/>
      <c r="D36" s="7"/>
      <c r="E36" s="2"/>
      <c r="F36" s="6">
        <f t="shared" si="20"/>
        <v>0</v>
      </c>
      <c r="G36" s="2"/>
      <c r="H36" s="7">
        <v>3757.4692307692299</v>
      </c>
      <c r="I36" s="2"/>
      <c r="J36" s="6">
        <f t="shared" si="21"/>
        <v>3.1429317798543153E-2</v>
      </c>
      <c r="K36" s="2"/>
      <c r="L36" s="7">
        <f t="shared" si="22"/>
        <v>-3757.4692307692299</v>
      </c>
      <c r="M36" s="2"/>
      <c r="N36" s="6">
        <f t="shared" si="23"/>
        <v>-1</v>
      </c>
      <c r="O36" s="11"/>
      <c r="P36" s="7"/>
      <c r="Q36" s="2"/>
      <c r="R36" s="6">
        <f t="shared" si="24"/>
        <v>0</v>
      </c>
      <c r="S36" s="2"/>
      <c r="T36" s="7">
        <v>12211.775000000001</v>
      </c>
      <c r="U36" s="2"/>
      <c r="V36" s="6">
        <f t="shared" si="25"/>
        <v>6.9309474891027983E-2</v>
      </c>
      <c r="W36" s="2"/>
      <c r="X36" s="7">
        <f t="shared" si="26"/>
        <v>-12211.775000000001</v>
      </c>
      <c r="Y36" s="2"/>
      <c r="Z36" s="6">
        <f t="shared" si="27"/>
        <v>-1</v>
      </c>
    </row>
    <row r="37" spans="1:26" s="24" customFormat="1" hidden="1" outlineLevel="2" x14ac:dyDescent="0.25">
      <c r="A37" s="25"/>
      <c r="B37" s="11" t="str">
        <f>CONCATENATE("          ", "6002", " - ", "STAFF SALARIES")</f>
        <v xml:space="preserve">          6002 - STAFF SALARIES</v>
      </c>
      <c r="C37" s="11"/>
      <c r="D37" s="7">
        <v>3456</v>
      </c>
      <c r="E37" s="2"/>
      <c r="F37" s="6">
        <f t="shared" si="20"/>
        <v>3.0131937080748884E-2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3456</v>
      </c>
      <c r="M37" s="2"/>
      <c r="N37" s="6">
        <f t="shared" si="23"/>
        <v>0</v>
      </c>
      <c r="O37" s="11"/>
      <c r="P37" s="7">
        <v>10752</v>
      </c>
      <c r="Q37" s="2"/>
      <c r="R37" s="6">
        <f t="shared" si="24"/>
        <v>6.6324692309130059E-2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10752</v>
      </c>
      <c r="Y37" s="2"/>
      <c r="Z37" s="6">
        <f t="shared" si="27"/>
        <v>0</v>
      </c>
    </row>
    <row r="38" spans="1:26" s="24" customFormat="1" hidden="1" outlineLevel="2" x14ac:dyDescent="0.25">
      <c r="A38" s="25"/>
      <c r="B38" s="11" t="str">
        <f>CONCATENATE("          ", "6003", " - ", "STAFF HOURLY-9 MONTH")</f>
        <v xml:space="preserve">          6003 - STAFF HOURLY-9 MONTH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5"/>
      <c r="B39" s="11" t="str">
        <f>CONCATENATE("          ", "6004", " - ", "STAFF HOURLY")</f>
        <v xml:space="preserve">          6004 - STAFF HOURLY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5"/>
      <c r="B40" s="11" t="str">
        <f>CONCATENATE("          ", "6005", " - ", "TEMPORARY WAGES-HOURLY")</f>
        <v xml:space="preserve">          6005 - TEMPORARY WAGES-HOURLY</v>
      </c>
      <c r="C40" s="11"/>
      <c r="D40" s="7">
        <v>1620.5</v>
      </c>
      <c r="E40" s="2"/>
      <c r="F40" s="6">
        <f t="shared" si="20"/>
        <v>1.4128704872498139E-2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1620.5</v>
      </c>
      <c r="M40" s="2"/>
      <c r="N40" s="6">
        <f t="shared" si="23"/>
        <v>0</v>
      </c>
      <c r="O40" s="11"/>
      <c r="P40" s="7">
        <v>3731</v>
      </c>
      <c r="Q40" s="2"/>
      <c r="R40" s="6">
        <f t="shared" si="24"/>
        <v>2.3015013672373907E-2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3731</v>
      </c>
      <c r="Y40" s="2"/>
      <c r="Z40" s="6">
        <f t="shared" si="27"/>
        <v>0</v>
      </c>
    </row>
    <row r="41" spans="1:26" s="24" customFormat="1" hidden="1" outlineLevel="2" x14ac:dyDescent="0.25">
      <c r="A41" s="25"/>
      <c r="B41" s="11" t="str">
        <f>CONCATENATE("          ", "6006", " - ", "TEMPORARY PART TIME")</f>
        <v xml:space="preserve">          6006 - TEMPORARY PART TIME</v>
      </c>
      <c r="C41" s="11"/>
      <c r="D41" s="7"/>
      <c r="E41" s="2"/>
      <c r="F41" s="6">
        <f t="shared" si="20"/>
        <v>0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0</v>
      </c>
      <c r="M41" s="2"/>
      <c r="N41" s="6">
        <f t="shared" si="23"/>
        <v>0</v>
      </c>
      <c r="O41" s="11"/>
      <c r="P41" s="7"/>
      <c r="Q41" s="2"/>
      <c r="R41" s="6">
        <f t="shared" si="24"/>
        <v>0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0</v>
      </c>
      <c r="Y41" s="2"/>
      <c r="Z41" s="6">
        <f t="shared" si="27"/>
        <v>0</v>
      </c>
    </row>
    <row r="42" spans="1:26" s="24" customFormat="1" hidden="1" outlineLevel="2" x14ac:dyDescent="0.25">
      <c r="A42" s="25"/>
      <c r="B42" s="11" t="str">
        <f>CONCATENATE("          ", "6007", " - ", "STUDENT HOURLY")</f>
        <v xml:space="preserve">          6007 - STUDENT HOURLY</v>
      </c>
      <c r="C42" s="11"/>
      <c r="D42" s="7">
        <v>14198.54</v>
      </c>
      <c r="E42" s="2"/>
      <c r="F42" s="6">
        <f t="shared" si="20"/>
        <v>0.12379326212919452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14198.54</v>
      </c>
      <c r="M42" s="2"/>
      <c r="N42" s="6">
        <f t="shared" si="23"/>
        <v>0</v>
      </c>
      <c r="O42" s="11"/>
      <c r="P42" s="7">
        <v>28568.99</v>
      </c>
      <c r="Q42" s="2"/>
      <c r="R42" s="6">
        <f t="shared" si="24"/>
        <v>0.17623041958078625</v>
      </c>
      <c r="S42" s="2"/>
      <c r="T42" s="7">
        <v>4601.25</v>
      </c>
      <c r="U42" s="2"/>
      <c r="V42" s="6">
        <f t="shared" si="25"/>
        <v>2.6114976843443514E-2</v>
      </c>
      <c r="W42" s="2"/>
      <c r="X42" s="7">
        <f t="shared" si="26"/>
        <v>23967.74</v>
      </c>
      <c r="Y42" s="2"/>
      <c r="Z42" s="6">
        <f t="shared" si="27"/>
        <v>5.2089627818527582</v>
      </c>
    </row>
    <row r="43" spans="1:26" s="24" customFormat="1" hidden="1" outlineLevel="2" x14ac:dyDescent="0.25">
      <c r="A43" s="25"/>
      <c r="B43" s="11" t="str">
        <f>CONCATENATE("          ", "6008", " - ", "STUDENT HOURLY-FICA EXEMPT")</f>
        <v xml:space="preserve">          6008 - STUDENT HOURLY-FICA EXEMPT</v>
      </c>
      <c r="C43" s="11"/>
      <c r="D43" s="7">
        <v>465</v>
      </c>
      <c r="E43" s="2"/>
      <c r="F43" s="6">
        <f t="shared" si="20"/>
        <v>4.0542102843021503E-3</v>
      </c>
      <c r="G43" s="2"/>
      <c r="H43" s="7">
        <v>17214</v>
      </c>
      <c r="I43" s="2"/>
      <c r="J43" s="6">
        <f t="shared" si="21"/>
        <v>0.14398634915058595</v>
      </c>
      <c r="K43" s="2"/>
      <c r="L43" s="7">
        <f t="shared" si="22"/>
        <v>-16749</v>
      </c>
      <c r="M43" s="2"/>
      <c r="N43" s="6">
        <f t="shared" si="23"/>
        <v>-0.97298710352039042</v>
      </c>
      <c r="O43" s="11"/>
      <c r="P43" s="7">
        <v>465</v>
      </c>
      <c r="Q43" s="2"/>
      <c r="R43" s="6">
        <f t="shared" si="24"/>
        <v>2.8683948961816851E-3</v>
      </c>
      <c r="S43" s="2"/>
      <c r="T43" s="7">
        <v>26764.5</v>
      </c>
      <c r="U43" s="2"/>
      <c r="V43" s="6">
        <f t="shared" si="25"/>
        <v>0.15190530784598619</v>
      </c>
      <c r="W43" s="2"/>
      <c r="X43" s="7">
        <f t="shared" si="26"/>
        <v>-26299.5</v>
      </c>
      <c r="Y43" s="2"/>
      <c r="Z43" s="6">
        <f t="shared" si="27"/>
        <v>-0.98262623998206577</v>
      </c>
    </row>
    <row r="44" spans="1:26" s="24" customFormat="1" hidden="1" outlineLevel="2" x14ac:dyDescent="0.25">
      <c r="A44" s="25"/>
      <c r="B44" s="11" t="str">
        <f>CONCATENATE("          ", "6009", " - ", "TEMPORARY-SEASONAL")</f>
        <v xml:space="preserve">          6009 - TEMPORARY-SEASONAL</v>
      </c>
      <c r="C44" s="11"/>
      <c r="D44" s="7"/>
      <c r="E44" s="2"/>
      <c r="F44" s="6">
        <f t="shared" si="20"/>
        <v>0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0</v>
      </c>
      <c r="M44" s="2"/>
      <c r="N44" s="6">
        <f t="shared" si="23"/>
        <v>0</v>
      </c>
      <c r="O44" s="11"/>
      <c r="P44" s="7"/>
      <c r="Q44" s="2"/>
      <c r="R44" s="6">
        <f t="shared" si="24"/>
        <v>0</v>
      </c>
      <c r="S44" s="2"/>
      <c r="T44" s="7">
        <v>0</v>
      </c>
      <c r="U44" s="2"/>
      <c r="V44" s="6">
        <f t="shared" si="25"/>
        <v>0</v>
      </c>
      <c r="W44" s="2"/>
      <c r="X44" s="7">
        <f t="shared" si="26"/>
        <v>0</v>
      </c>
      <c r="Y44" s="2"/>
      <c r="Z44" s="6">
        <f t="shared" si="27"/>
        <v>0</v>
      </c>
    </row>
    <row r="45" spans="1:26" s="24" customFormat="1" hidden="1" outlineLevel="2" x14ac:dyDescent="0.25">
      <c r="A45" s="25"/>
      <c r="B45" s="11" t="str">
        <f>CONCATENATE("          ", "6010", " - ", "GRATUITY")</f>
        <v xml:space="preserve">          6010 - GRATUITY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26" customFormat="1" outlineLevel="1" collapsed="1" x14ac:dyDescent="0.25">
      <c r="A46" s="27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0</v>
      </c>
      <c r="E46" s="1"/>
      <c r="F46" s="5">
        <f t="shared" ref="F46:F62" si="28">IF(D$12=0,0,D46/D$12)</f>
        <v>0</v>
      </c>
      <c r="G46" s="1"/>
      <c r="H46" s="1">
        <f>SUM(OSRRefH22_2x_0)</f>
        <v>0</v>
      </c>
      <c r="I46" s="1"/>
      <c r="J46" s="5">
        <f t="shared" ref="J46:J62" si="29">IF(H$12=0,0,H46/H$12)</f>
        <v>0</v>
      </c>
      <c r="K46" s="1"/>
      <c r="L46" s="1">
        <f t="shared" ref="L46:L62" si="30">+D46-H46</f>
        <v>0</v>
      </c>
      <c r="M46" s="1"/>
      <c r="N46" s="5">
        <f t="shared" ref="N46:N62" si="31">IF(H46=0,0,L46/H46)</f>
        <v>0</v>
      </c>
      <c r="O46" s="13"/>
      <c r="P46" s="1">
        <f>SUM(OSRRefP22_2x_0)</f>
        <v>60</v>
      </c>
      <c r="Q46" s="1"/>
      <c r="R46" s="5">
        <f t="shared" ref="R46:R62" si="32">IF(P$12=0,0,P46/P$12)</f>
        <v>3.7011547047505612E-4</v>
      </c>
      <c r="S46" s="1"/>
      <c r="T46" s="1">
        <f>SUM(OSRRefT22_2x_0)</f>
        <v>0</v>
      </c>
      <c r="U46" s="1"/>
      <c r="V46" s="5">
        <f t="shared" ref="V46:V62" si="33">IF(T$12=0,0,T46/T$12)</f>
        <v>0</v>
      </c>
      <c r="W46" s="1"/>
      <c r="X46" s="1">
        <f t="shared" ref="X46:X62" si="34">+P46-T46</f>
        <v>60</v>
      </c>
      <c r="Y46" s="1"/>
      <c r="Z46" s="5">
        <f t="shared" ref="Z46:Z62" si="35">IF(T46=0,0,X46/T46)</f>
        <v>0</v>
      </c>
    </row>
    <row r="47" spans="1:26" s="24" customFormat="1" hidden="1" outlineLevel="2" x14ac:dyDescent="0.25">
      <c r="A47" s="25"/>
      <c r="B47" s="11" t="str">
        <f>CONCATENATE("          ", "6362", " - ", "ADVERTISING EXPENSE")</f>
        <v xml:space="preserve">          6362 - ADVERTISING EXPENSE</v>
      </c>
      <c r="C47" s="11"/>
      <c r="D47" s="7"/>
      <c r="E47" s="2"/>
      <c r="F47" s="6">
        <f t="shared" si="28"/>
        <v>0</v>
      </c>
      <c r="G47" s="2"/>
      <c r="H47" s="7">
        <v>0</v>
      </c>
      <c r="I47" s="2"/>
      <c r="J47" s="6">
        <f t="shared" si="29"/>
        <v>0</v>
      </c>
      <c r="K47" s="2"/>
      <c r="L47" s="7">
        <f t="shared" si="30"/>
        <v>0</v>
      </c>
      <c r="M47" s="2"/>
      <c r="N47" s="6">
        <f t="shared" si="31"/>
        <v>0</v>
      </c>
      <c r="O47" s="11"/>
      <c r="P47" s="7">
        <v>60</v>
      </c>
      <c r="Q47" s="2"/>
      <c r="R47" s="6">
        <f t="shared" si="32"/>
        <v>3.7011547047505612E-4</v>
      </c>
      <c r="S47" s="2"/>
      <c r="T47" s="7">
        <v>0</v>
      </c>
      <c r="U47" s="2"/>
      <c r="V47" s="6">
        <f t="shared" si="33"/>
        <v>0</v>
      </c>
      <c r="W47" s="2"/>
      <c r="X47" s="7">
        <f t="shared" si="34"/>
        <v>60</v>
      </c>
      <c r="Y47" s="2"/>
      <c r="Z47" s="6">
        <f t="shared" si="35"/>
        <v>0</v>
      </c>
    </row>
    <row r="48" spans="1:26" s="26" customFormat="1" outlineLevel="1" collapsed="1" x14ac:dyDescent="0.25">
      <c r="A48" s="27"/>
      <c r="B48" s="13" t="str">
        <f>CONCATENATE("     ","Bad Debts/Over/Short                              ")</f>
        <v xml:space="preserve">     Bad Debts/Over/Short                              </v>
      </c>
      <c r="C48" s="13"/>
      <c r="D48" s="1">
        <f>SUM(OSRRefD22_3x_0)</f>
        <v>-17.239999999999998</v>
      </c>
      <c r="E48" s="1"/>
      <c r="F48" s="5">
        <f t="shared" si="28"/>
        <v>-1.5031093613197648E-4</v>
      </c>
      <c r="G48" s="1"/>
      <c r="H48" s="1">
        <f>SUM(OSRRefH22_3x_0)</f>
        <v>0</v>
      </c>
      <c r="I48" s="1"/>
      <c r="J48" s="5">
        <f t="shared" si="29"/>
        <v>0</v>
      </c>
      <c r="K48" s="1"/>
      <c r="L48" s="1">
        <f t="shared" si="30"/>
        <v>-17.239999999999998</v>
      </c>
      <c r="M48" s="1"/>
      <c r="N48" s="5">
        <f t="shared" si="31"/>
        <v>0</v>
      </c>
      <c r="O48" s="13"/>
      <c r="P48" s="1">
        <f>SUM(OSRRefP22_3x_0)</f>
        <v>-25.08</v>
      </c>
      <c r="Q48" s="1"/>
      <c r="R48" s="5">
        <f t="shared" si="32"/>
        <v>-1.5470826665857346E-4</v>
      </c>
      <c r="S48" s="1"/>
      <c r="T48" s="1">
        <f>SUM(OSRRefT22_3x_0)</f>
        <v>0</v>
      </c>
      <c r="U48" s="1"/>
      <c r="V48" s="5">
        <f t="shared" si="33"/>
        <v>0</v>
      </c>
      <c r="W48" s="1"/>
      <c r="X48" s="1">
        <f t="shared" si="34"/>
        <v>-25.08</v>
      </c>
      <c r="Y48" s="1"/>
      <c r="Z48" s="5">
        <f t="shared" si="35"/>
        <v>0</v>
      </c>
    </row>
    <row r="49" spans="1:26" s="24" customFormat="1" hidden="1" outlineLevel="2" x14ac:dyDescent="0.25">
      <c r="A49" s="25"/>
      <c r="B49" s="11" t="str">
        <f>CONCATENATE("          ", "6272", " - ", "CASH (OVER/SHORT)")</f>
        <v xml:space="preserve">          6272 - CASH (OVER/SHORT)</v>
      </c>
      <c r="C49" s="11"/>
      <c r="D49" s="7">
        <v>-17.239999999999998</v>
      </c>
      <c r="E49" s="2"/>
      <c r="F49" s="6">
        <f t="shared" si="28"/>
        <v>-1.5031093613197648E-4</v>
      </c>
      <c r="G49" s="2"/>
      <c r="H49" s="7">
        <v>0</v>
      </c>
      <c r="I49" s="2"/>
      <c r="J49" s="6">
        <f t="shared" si="29"/>
        <v>0</v>
      </c>
      <c r="K49" s="2"/>
      <c r="L49" s="7">
        <f t="shared" si="30"/>
        <v>-17.239999999999998</v>
      </c>
      <c r="M49" s="2"/>
      <c r="N49" s="6">
        <f t="shared" si="31"/>
        <v>0</v>
      </c>
      <c r="O49" s="11"/>
      <c r="P49" s="7">
        <v>-25.08</v>
      </c>
      <c r="Q49" s="2"/>
      <c r="R49" s="6">
        <f t="shared" si="32"/>
        <v>-1.5470826665857346E-4</v>
      </c>
      <c r="S49" s="2"/>
      <c r="T49" s="7">
        <v>0</v>
      </c>
      <c r="U49" s="2"/>
      <c r="V49" s="6">
        <f t="shared" si="33"/>
        <v>0</v>
      </c>
      <c r="W49" s="2"/>
      <c r="X49" s="7">
        <f t="shared" si="34"/>
        <v>-25.08</v>
      </c>
      <c r="Y49" s="2"/>
      <c r="Z49" s="6">
        <f t="shared" si="35"/>
        <v>0</v>
      </c>
    </row>
    <row r="50" spans="1:26" s="26" customFormat="1" outlineLevel="1" collapsed="1" x14ac:dyDescent="0.25">
      <c r="A50" s="27"/>
      <c r="B50" s="13" t="str">
        <f>CONCATENATE("     ","Bank/card Fees                                    ")</f>
        <v xml:space="preserve">     Bank/card Fees                                    </v>
      </c>
      <c r="C50" s="13"/>
      <c r="D50" s="1">
        <f>SUM(OSRRefD22_4x_0)</f>
        <v>3924.9</v>
      </c>
      <c r="E50" s="1"/>
      <c r="F50" s="5">
        <f t="shared" si="28"/>
        <v>3.4220150419048405E-2</v>
      </c>
      <c r="G50" s="1"/>
      <c r="H50" s="1">
        <f>SUM(OSRRefH22_4x_0)</f>
        <v>3625</v>
      </c>
      <c r="I50" s="1"/>
      <c r="J50" s="5">
        <f t="shared" si="29"/>
        <v>3.0321280101712211E-2</v>
      </c>
      <c r="K50" s="1"/>
      <c r="L50" s="1">
        <f t="shared" si="30"/>
        <v>299.90000000000009</v>
      </c>
      <c r="M50" s="1"/>
      <c r="N50" s="5">
        <f t="shared" si="31"/>
        <v>8.2731034482758647E-2</v>
      </c>
      <c r="O50" s="13"/>
      <c r="P50" s="1">
        <f>SUM(OSRRefP22_4x_0)</f>
        <v>5394.42</v>
      </c>
      <c r="Q50" s="1"/>
      <c r="R50" s="5">
        <f t="shared" si="32"/>
        <v>3.3275971604000872E-2</v>
      </c>
      <c r="S50" s="1"/>
      <c r="T50" s="1">
        <f>SUM(OSRRefT22_4x_0)</f>
        <v>5343</v>
      </c>
      <c r="U50" s="1"/>
      <c r="V50" s="5">
        <f t="shared" si="33"/>
        <v>3.0324872865964404E-2</v>
      </c>
      <c r="W50" s="1"/>
      <c r="X50" s="1">
        <f t="shared" si="34"/>
        <v>51.420000000000073</v>
      </c>
      <c r="Y50" s="1"/>
      <c r="Z50" s="5">
        <f t="shared" si="35"/>
        <v>9.623806850084236E-3</v>
      </c>
    </row>
    <row r="51" spans="1:26" s="24" customFormat="1" hidden="1" outlineLevel="2" x14ac:dyDescent="0.25">
      <c r="A51" s="25"/>
      <c r="B51" s="11" t="str">
        <f>CONCATENATE("          ", "6381", " - ", "BANK/CREDIT CARD FEES")</f>
        <v xml:space="preserve">          6381 - BANK/CREDIT CARD FEES</v>
      </c>
      <c r="C51" s="11"/>
      <c r="D51" s="7">
        <v>3924.9</v>
      </c>
      <c r="E51" s="2"/>
      <c r="F51" s="6">
        <f t="shared" si="28"/>
        <v>3.4220150419048405E-2</v>
      </c>
      <c r="G51" s="2"/>
      <c r="H51" s="7">
        <v>3625</v>
      </c>
      <c r="I51" s="2"/>
      <c r="J51" s="6">
        <f t="shared" si="29"/>
        <v>3.0321280101712211E-2</v>
      </c>
      <c r="K51" s="2"/>
      <c r="L51" s="7">
        <f t="shared" si="30"/>
        <v>299.90000000000009</v>
      </c>
      <c r="M51" s="2"/>
      <c r="N51" s="6">
        <f t="shared" si="31"/>
        <v>8.2731034482758647E-2</v>
      </c>
      <c r="O51" s="11"/>
      <c r="P51" s="7">
        <v>5394.42</v>
      </c>
      <c r="Q51" s="2"/>
      <c r="R51" s="6">
        <f t="shared" si="32"/>
        <v>3.3275971604000872E-2</v>
      </c>
      <c r="S51" s="2"/>
      <c r="T51" s="7">
        <v>5343</v>
      </c>
      <c r="U51" s="2"/>
      <c r="V51" s="6">
        <f t="shared" si="33"/>
        <v>3.0324872865964404E-2</v>
      </c>
      <c r="W51" s="2"/>
      <c r="X51" s="7">
        <f t="shared" si="34"/>
        <v>51.420000000000073</v>
      </c>
      <c r="Y51" s="2"/>
      <c r="Z51" s="6">
        <f t="shared" si="35"/>
        <v>9.623806850084236E-3</v>
      </c>
    </row>
    <row r="52" spans="1:26" s="26" customFormat="1" outlineLevel="1" collapsed="1" x14ac:dyDescent="0.25">
      <c r="A52" s="27"/>
      <c r="B52" s="13" t="str">
        <f>CONCATENATE("     ","Depreciation                                      ")</f>
        <v xml:space="preserve">     Depreciation                                      </v>
      </c>
      <c r="C52" s="13"/>
      <c r="D52" s="1">
        <f>SUM(OSRRefD22_5x_0)</f>
        <v>1857.58</v>
      </c>
      <c r="E52" s="1"/>
      <c r="F52" s="5">
        <f t="shared" si="28"/>
        <v>1.619574180626664E-2</v>
      </c>
      <c r="G52" s="1"/>
      <c r="H52" s="1">
        <f>SUM(OSRRefH22_5x_0)</f>
        <v>1858</v>
      </c>
      <c r="I52" s="1"/>
      <c r="J52" s="5">
        <f t="shared" si="29"/>
        <v>1.5541224394201735E-2</v>
      </c>
      <c r="K52" s="1"/>
      <c r="L52" s="1">
        <f t="shared" si="30"/>
        <v>-0.42000000000007276</v>
      </c>
      <c r="M52" s="1"/>
      <c r="N52" s="5">
        <f t="shared" si="31"/>
        <v>-2.2604951560822E-4</v>
      </c>
      <c r="O52" s="13"/>
      <c r="P52" s="1">
        <f>SUM(OSRRefP22_5x_0)</f>
        <v>5572.74</v>
      </c>
      <c r="Q52" s="1"/>
      <c r="R52" s="5">
        <f t="shared" si="32"/>
        <v>3.4375954782252735E-2</v>
      </c>
      <c r="S52" s="1"/>
      <c r="T52" s="1">
        <f>SUM(OSRRefT22_5x_0)</f>
        <v>5574</v>
      </c>
      <c r="U52" s="1"/>
      <c r="V52" s="5">
        <f t="shared" si="33"/>
        <v>3.1635942608063933E-2</v>
      </c>
      <c r="W52" s="1"/>
      <c r="X52" s="1">
        <f t="shared" si="34"/>
        <v>-1.2600000000002183</v>
      </c>
      <c r="Y52" s="1"/>
      <c r="Z52" s="5">
        <f t="shared" si="35"/>
        <v>-2.2604951560822E-4</v>
      </c>
    </row>
    <row r="53" spans="1:26" s="24" customFormat="1" hidden="1" outlineLevel="2" x14ac:dyDescent="0.25">
      <c r="A53" s="25"/>
      <c r="B53" s="11" t="str">
        <f>CONCATENATE("          ", "6322", " - ", "EQUIPMENT DEPRECIATION EXPENSE")</f>
        <v xml:space="preserve">          6322 - EQUIPMENT DEPRECIATION EXPENSE</v>
      </c>
      <c r="C53" s="11"/>
      <c r="D53" s="7">
        <v>1857.58</v>
      </c>
      <c r="E53" s="2"/>
      <c r="F53" s="6">
        <f t="shared" si="28"/>
        <v>1.619574180626664E-2</v>
      </c>
      <c r="G53" s="2"/>
      <c r="H53" s="7">
        <v>1858</v>
      </c>
      <c r="I53" s="2"/>
      <c r="J53" s="6">
        <f t="shared" si="29"/>
        <v>1.5541224394201735E-2</v>
      </c>
      <c r="K53" s="2"/>
      <c r="L53" s="7">
        <f t="shared" si="30"/>
        <v>-0.42000000000007276</v>
      </c>
      <c r="M53" s="2"/>
      <c r="N53" s="6">
        <f t="shared" si="31"/>
        <v>-2.2604951560822E-4</v>
      </c>
      <c r="O53" s="11"/>
      <c r="P53" s="7">
        <v>5572.74</v>
      </c>
      <c r="Q53" s="2"/>
      <c r="R53" s="6">
        <f t="shared" si="32"/>
        <v>3.4375954782252735E-2</v>
      </c>
      <c r="S53" s="2"/>
      <c r="T53" s="7">
        <v>5574</v>
      </c>
      <c r="U53" s="2"/>
      <c r="V53" s="6">
        <f t="shared" si="33"/>
        <v>3.1635942608063933E-2</v>
      </c>
      <c r="W53" s="2"/>
      <c r="X53" s="7">
        <f t="shared" si="34"/>
        <v>-1.2600000000002183</v>
      </c>
      <c r="Y53" s="2"/>
      <c r="Z53" s="6">
        <f t="shared" si="35"/>
        <v>-2.2604951560822E-4</v>
      </c>
    </row>
    <row r="54" spans="1:26" s="26" customFormat="1" outlineLevel="1" collapsed="1" x14ac:dyDescent="0.25">
      <c r="A54" s="27"/>
      <c r="B54" s="13" t="str">
        <f>CONCATENATE("     ","Employees' Appreciation                           ")</f>
        <v xml:space="preserve">     Employees' Appreciation                           </v>
      </c>
      <c r="C54" s="13"/>
      <c r="D54" s="1">
        <f>SUM(OSRRefD22_6x_0)</f>
        <v>0</v>
      </c>
      <c r="E54" s="1"/>
      <c r="F54" s="5">
        <f t="shared" si="28"/>
        <v>0</v>
      </c>
      <c r="G54" s="1"/>
      <c r="H54" s="1">
        <f>SUM(OSRRefH22_6x_0)</f>
        <v>0</v>
      </c>
      <c r="I54" s="1"/>
      <c r="J54" s="5">
        <f t="shared" si="29"/>
        <v>0</v>
      </c>
      <c r="K54" s="1"/>
      <c r="L54" s="1">
        <f t="shared" si="30"/>
        <v>0</v>
      </c>
      <c r="M54" s="1"/>
      <c r="N54" s="5">
        <f t="shared" si="31"/>
        <v>0</v>
      </c>
      <c r="O54" s="13"/>
      <c r="P54" s="1">
        <f>SUM(OSRRefP22_6x_0)</f>
        <v>0</v>
      </c>
      <c r="Q54" s="1"/>
      <c r="R54" s="5">
        <f t="shared" si="32"/>
        <v>0</v>
      </c>
      <c r="S54" s="1"/>
      <c r="T54" s="1">
        <f>SUM(OSRRefT22_6x_0)</f>
        <v>0</v>
      </c>
      <c r="U54" s="1"/>
      <c r="V54" s="5">
        <f t="shared" si="33"/>
        <v>0</v>
      </c>
      <c r="W54" s="1"/>
      <c r="X54" s="1">
        <f t="shared" si="34"/>
        <v>0</v>
      </c>
      <c r="Y54" s="1"/>
      <c r="Z54" s="5">
        <f t="shared" si="35"/>
        <v>0</v>
      </c>
    </row>
    <row r="55" spans="1:26" s="24" customFormat="1" hidden="1" outlineLevel="2" x14ac:dyDescent="0.25">
      <c r="A55" s="25"/>
      <c r="B55" s="11" t="str">
        <f>CONCATENATE("          ", "6277", " - ", "EMPLOYEE APPRECIATION")</f>
        <v xml:space="preserve">          6277 - EMPLOYEE APPRECIATION</v>
      </c>
      <c r="C55" s="11"/>
      <c r="D55" s="7"/>
      <c r="E55" s="2"/>
      <c r="F55" s="6">
        <f t="shared" si="28"/>
        <v>0</v>
      </c>
      <c r="G55" s="2"/>
      <c r="H55" s="7">
        <v>0</v>
      </c>
      <c r="I55" s="2"/>
      <c r="J55" s="6">
        <f t="shared" si="29"/>
        <v>0</v>
      </c>
      <c r="K55" s="2"/>
      <c r="L55" s="7">
        <f t="shared" si="30"/>
        <v>0</v>
      </c>
      <c r="M55" s="2"/>
      <c r="N55" s="6">
        <f t="shared" si="31"/>
        <v>0</v>
      </c>
      <c r="O55" s="11"/>
      <c r="P55" s="7"/>
      <c r="Q55" s="2"/>
      <c r="R55" s="6">
        <f t="shared" si="32"/>
        <v>0</v>
      </c>
      <c r="S55" s="2"/>
      <c r="T55" s="7">
        <v>0</v>
      </c>
      <c r="U55" s="2"/>
      <c r="V55" s="6">
        <f t="shared" si="33"/>
        <v>0</v>
      </c>
      <c r="W55" s="2"/>
      <c r="X55" s="7">
        <f t="shared" si="34"/>
        <v>0</v>
      </c>
      <c r="Y55" s="2"/>
      <c r="Z55" s="6">
        <f t="shared" si="35"/>
        <v>0</v>
      </c>
    </row>
    <row r="56" spans="1:26" s="26" customFormat="1" outlineLevel="1" collapsed="1" x14ac:dyDescent="0.25">
      <c r="A56" s="27"/>
      <c r="B56" s="13" t="str">
        <f>CONCATENATE("     ","General                                           ")</f>
        <v xml:space="preserve">     General                                           </v>
      </c>
      <c r="C56" s="13"/>
      <c r="D56" s="1">
        <f>SUM(OSRRefD22_7x_0)</f>
        <v>91.5</v>
      </c>
      <c r="E56" s="1"/>
      <c r="F56" s="5">
        <f t="shared" si="28"/>
        <v>7.9776395916913274E-4</v>
      </c>
      <c r="G56" s="1"/>
      <c r="H56" s="1">
        <f>SUM(OSRRefH22_7x_0)</f>
        <v>330</v>
      </c>
      <c r="I56" s="1"/>
      <c r="J56" s="5">
        <f t="shared" si="29"/>
        <v>2.7602820506386289E-3</v>
      </c>
      <c r="K56" s="1"/>
      <c r="L56" s="1">
        <f t="shared" si="30"/>
        <v>-238.5</v>
      </c>
      <c r="M56" s="1"/>
      <c r="N56" s="5">
        <f t="shared" si="31"/>
        <v>-0.72272727272727277</v>
      </c>
      <c r="O56" s="13"/>
      <c r="P56" s="1">
        <f>SUM(OSRRefP22_7x_0)</f>
        <v>860.05</v>
      </c>
      <c r="Q56" s="1"/>
      <c r="R56" s="5">
        <f t="shared" si="32"/>
        <v>5.3052968397012002E-3</v>
      </c>
      <c r="S56" s="1"/>
      <c r="T56" s="1">
        <f>SUM(OSRRefT22_7x_0)</f>
        <v>487</v>
      </c>
      <c r="U56" s="1"/>
      <c r="V56" s="5">
        <f t="shared" si="33"/>
        <v>2.7640301489284418E-3</v>
      </c>
      <c r="W56" s="1"/>
      <c r="X56" s="1">
        <f t="shared" si="34"/>
        <v>373.04999999999995</v>
      </c>
      <c r="Y56" s="1"/>
      <c r="Z56" s="5">
        <f t="shared" si="35"/>
        <v>0.76601642710472273</v>
      </c>
    </row>
    <row r="57" spans="1:26" s="24" customFormat="1" hidden="1" outlineLevel="2" x14ac:dyDescent="0.25">
      <c r="A57" s="25"/>
      <c r="B57" s="11" t="str">
        <f>CONCATENATE("          ", "6279", " - ", "GENERAL EXPENSE")</f>
        <v xml:space="preserve">          6279 - GENERAL EXPENSE</v>
      </c>
      <c r="C57" s="11"/>
      <c r="D57" s="7">
        <v>91.5</v>
      </c>
      <c r="E57" s="2"/>
      <c r="F57" s="6">
        <f t="shared" si="28"/>
        <v>7.9776395916913274E-4</v>
      </c>
      <c r="G57" s="2"/>
      <c r="H57" s="7">
        <v>330</v>
      </c>
      <c r="I57" s="2"/>
      <c r="J57" s="6">
        <f t="shared" si="29"/>
        <v>2.7602820506386289E-3</v>
      </c>
      <c r="K57" s="2"/>
      <c r="L57" s="7">
        <f t="shared" si="30"/>
        <v>-238.5</v>
      </c>
      <c r="M57" s="2"/>
      <c r="N57" s="6">
        <f t="shared" si="31"/>
        <v>-0.72272727272727277</v>
      </c>
      <c r="O57" s="11"/>
      <c r="P57" s="7">
        <v>860.05</v>
      </c>
      <c r="Q57" s="2"/>
      <c r="R57" s="6">
        <f t="shared" si="32"/>
        <v>5.3052968397012002E-3</v>
      </c>
      <c r="S57" s="2"/>
      <c r="T57" s="7">
        <v>487</v>
      </c>
      <c r="U57" s="2"/>
      <c r="V57" s="6">
        <f t="shared" si="33"/>
        <v>2.7640301489284418E-3</v>
      </c>
      <c r="W57" s="2"/>
      <c r="X57" s="7">
        <f t="shared" si="34"/>
        <v>373.04999999999995</v>
      </c>
      <c r="Y57" s="2"/>
      <c r="Z57" s="6">
        <f t="shared" si="35"/>
        <v>0.76601642710472273</v>
      </c>
    </row>
    <row r="58" spans="1:26" s="26" customFormat="1" outlineLevel="1" collapsed="1" x14ac:dyDescent="0.25">
      <c r="A58" s="27"/>
      <c r="B58" s="13" t="str">
        <f>CONCATENATE("     ","Rent                                              ")</f>
        <v xml:space="preserve">     Rent                                              </v>
      </c>
      <c r="C58" s="13"/>
      <c r="D58" s="1">
        <f>SUM(OSRRefD22_8x_0)</f>
        <v>1150</v>
      </c>
      <c r="E58" s="1"/>
      <c r="F58" s="5">
        <f t="shared" si="28"/>
        <v>1.0026541563327898E-2</v>
      </c>
      <c r="G58" s="1"/>
      <c r="H58" s="1">
        <f>SUM(OSRRefH22_8x_0)</f>
        <v>1150</v>
      </c>
      <c r="I58" s="1"/>
      <c r="J58" s="5">
        <f t="shared" si="29"/>
        <v>9.6191647219224952E-3</v>
      </c>
      <c r="K58" s="1"/>
      <c r="L58" s="1">
        <f t="shared" si="30"/>
        <v>0</v>
      </c>
      <c r="M58" s="1"/>
      <c r="N58" s="5">
        <f t="shared" si="31"/>
        <v>0</v>
      </c>
      <c r="O58" s="13"/>
      <c r="P58" s="1">
        <f>SUM(OSRRefP22_8x_0)</f>
        <v>3450</v>
      </c>
      <c r="Q58" s="1"/>
      <c r="R58" s="5">
        <f t="shared" si="32"/>
        <v>2.1281639552315729E-2</v>
      </c>
      <c r="S58" s="1"/>
      <c r="T58" s="1">
        <f>SUM(OSRRefT22_8x_0)</f>
        <v>3450</v>
      </c>
      <c r="U58" s="1"/>
      <c r="V58" s="5">
        <f t="shared" si="33"/>
        <v>1.9580911732655287E-2</v>
      </c>
      <c r="W58" s="1"/>
      <c r="X58" s="1">
        <f t="shared" si="34"/>
        <v>0</v>
      </c>
      <c r="Y58" s="1"/>
      <c r="Z58" s="5">
        <f t="shared" si="35"/>
        <v>0</v>
      </c>
    </row>
    <row r="59" spans="1:26" s="24" customFormat="1" hidden="1" outlineLevel="2" x14ac:dyDescent="0.25">
      <c r="A59" s="25"/>
      <c r="B59" s="11" t="str">
        <f>CONCATENATE("          ", "6273", " - ", "RENT")</f>
        <v xml:space="preserve">          6273 - RENT</v>
      </c>
      <c r="C59" s="11"/>
      <c r="D59" s="7">
        <v>1150</v>
      </c>
      <c r="E59" s="2"/>
      <c r="F59" s="6">
        <f t="shared" si="28"/>
        <v>1.0026541563327898E-2</v>
      </c>
      <c r="G59" s="2"/>
      <c r="H59" s="7">
        <v>1150</v>
      </c>
      <c r="I59" s="2"/>
      <c r="J59" s="6">
        <f t="shared" si="29"/>
        <v>9.6191647219224952E-3</v>
      </c>
      <c r="K59" s="2"/>
      <c r="L59" s="7">
        <f t="shared" si="30"/>
        <v>0</v>
      </c>
      <c r="M59" s="2"/>
      <c r="N59" s="6">
        <f t="shared" si="31"/>
        <v>0</v>
      </c>
      <c r="O59" s="11"/>
      <c r="P59" s="7">
        <v>3450</v>
      </c>
      <c r="Q59" s="2"/>
      <c r="R59" s="6">
        <f t="shared" si="32"/>
        <v>2.1281639552315729E-2</v>
      </c>
      <c r="S59" s="2"/>
      <c r="T59" s="7">
        <v>3450</v>
      </c>
      <c r="U59" s="2"/>
      <c r="V59" s="6">
        <f t="shared" si="33"/>
        <v>1.9580911732655287E-2</v>
      </c>
      <c r="W59" s="2"/>
      <c r="X59" s="7">
        <f t="shared" si="34"/>
        <v>0</v>
      </c>
      <c r="Y59" s="2"/>
      <c r="Z59" s="6">
        <f t="shared" si="35"/>
        <v>0</v>
      </c>
    </row>
    <row r="60" spans="1:26" s="26" customFormat="1" outlineLevel="1" collapsed="1" x14ac:dyDescent="0.25">
      <c r="A60" s="27"/>
      <c r="B60" s="13" t="str">
        <f>CONCATENATE("     ","Repair and Maintenance                            ")</f>
        <v xml:space="preserve">     Repair and Maintenance                            </v>
      </c>
      <c r="C60" s="13"/>
      <c r="D60" s="1">
        <f>SUM(OSRRefD22_9x_0)</f>
        <v>509.14</v>
      </c>
      <c r="E60" s="1"/>
      <c r="F60" s="5">
        <f t="shared" si="28"/>
        <v>4.439055105698057E-3</v>
      </c>
      <c r="G60" s="1"/>
      <c r="H60" s="1">
        <f>SUM(OSRRefH22_9x_0)</f>
        <v>549</v>
      </c>
      <c r="I60" s="1"/>
      <c r="J60" s="5">
        <f t="shared" si="29"/>
        <v>4.5921055933351735E-3</v>
      </c>
      <c r="K60" s="1"/>
      <c r="L60" s="1">
        <f t="shared" si="30"/>
        <v>-39.860000000000014</v>
      </c>
      <c r="M60" s="1"/>
      <c r="N60" s="5">
        <f t="shared" si="31"/>
        <v>-7.2604735883424434E-2</v>
      </c>
      <c r="O60" s="13"/>
      <c r="P60" s="1">
        <f>SUM(OSRRefP22_9x_0)</f>
        <v>1149.27</v>
      </c>
      <c r="Q60" s="1"/>
      <c r="R60" s="5">
        <f t="shared" si="32"/>
        <v>7.0893767792144626E-3</v>
      </c>
      <c r="S60" s="1"/>
      <c r="T60" s="1">
        <f>SUM(OSRRefT22_9x_0)</f>
        <v>809</v>
      </c>
      <c r="U60" s="1"/>
      <c r="V60" s="5">
        <f t="shared" si="33"/>
        <v>4.5915819106429352E-3</v>
      </c>
      <c r="W60" s="1"/>
      <c r="X60" s="1">
        <f t="shared" si="34"/>
        <v>340.27</v>
      </c>
      <c r="Y60" s="1"/>
      <c r="Z60" s="5">
        <f t="shared" si="35"/>
        <v>0.42060568603213844</v>
      </c>
    </row>
    <row r="61" spans="1:26" s="24" customFormat="1" hidden="1" outlineLevel="2" x14ac:dyDescent="0.25">
      <c r="A61" s="25"/>
      <c r="B61" s="11" t="str">
        <f>CONCATENATE("          ", "6371", " - ", "COMPUTER SOFTWARE MAINTENANCE")</f>
        <v xml:space="preserve">          6371 - COMPUTER SOFTWARE MAINTENANCE</v>
      </c>
      <c r="C61" s="11"/>
      <c r="D61" s="7"/>
      <c r="E61" s="2"/>
      <c r="F61" s="6">
        <f t="shared" si="28"/>
        <v>0</v>
      </c>
      <c r="G61" s="2"/>
      <c r="H61" s="7"/>
      <c r="I61" s="2"/>
      <c r="J61" s="6">
        <f t="shared" si="29"/>
        <v>0</v>
      </c>
      <c r="K61" s="2"/>
      <c r="L61" s="7">
        <f t="shared" si="30"/>
        <v>0</v>
      </c>
      <c r="M61" s="2"/>
      <c r="N61" s="6">
        <f t="shared" si="31"/>
        <v>0</v>
      </c>
      <c r="O61" s="11"/>
      <c r="P61" s="7"/>
      <c r="Q61" s="2"/>
      <c r="R61" s="6">
        <f t="shared" si="32"/>
        <v>0</v>
      </c>
      <c r="S61" s="2"/>
      <c r="T61" s="7">
        <v>0</v>
      </c>
      <c r="U61" s="2"/>
      <c r="V61" s="6">
        <f t="shared" si="33"/>
        <v>0</v>
      </c>
      <c r="W61" s="2"/>
      <c r="X61" s="7">
        <f t="shared" si="34"/>
        <v>0</v>
      </c>
      <c r="Y61" s="2"/>
      <c r="Z61" s="6">
        <f t="shared" si="35"/>
        <v>0</v>
      </c>
    </row>
    <row r="62" spans="1:26" s="24" customFormat="1" hidden="1" outlineLevel="2" x14ac:dyDescent="0.25">
      <c r="A62" s="25"/>
      <c r="B62" s="11" t="str">
        <f>CONCATENATE("          ", "6375", " - ", "OUTSIDE REPAIRS &amp; MAINTENANCE")</f>
        <v xml:space="preserve">          6375 - OUTSIDE REPAIRS &amp; MAINTENANCE</v>
      </c>
      <c r="C62" s="11"/>
      <c r="D62" s="7">
        <v>509.14</v>
      </c>
      <c r="E62" s="2"/>
      <c r="F62" s="6">
        <f t="shared" si="28"/>
        <v>4.439055105698057E-3</v>
      </c>
      <c r="G62" s="2"/>
      <c r="H62" s="7">
        <v>549</v>
      </c>
      <c r="I62" s="2"/>
      <c r="J62" s="6">
        <f t="shared" si="29"/>
        <v>4.5921055933351735E-3</v>
      </c>
      <c r="K62" s="2"/>
      <c r="L62" s="7">
        <f t="shared" si="30"/>
        <v>-39.860000000000014</v>
      </c>
      <c r="M62" s="2"/>
      <c r="N62" s="6">
        <f t="shared" si="31"/>
        <v>-7.2604735883424434E-2</v>
      </c>
      <c r="O62" s="11"/>
      <c r="P62" s="7">
        <v>1149.27</v>
      </c>
      <c r="Q62" s="2"/>
      <c r="R62" s="6">
        <f t="shared" si="32"/>
        <v>7.0893767792144626E-3</v>
      </c>
      <c r="S62" s="2"/>
      <c r="T62" s="7">
        <v>809</v>
      </c>
      <c r="U62" s="2"/>
      <c r="V62" s="6">
        <f t="shared" si="33"/>
        <v>4.5915819106429352E-3</v>
      </c>
      <c r="W62" s="2"/>
      <c r="X62" s="7">
        <f t="shared" si="34"/>
        <v>340.27</v>
      </c>
      <c r="Y62" s="2"/>
      <c r="Z62" s="6">
        <f t="shared" si="35"/>
        <v>0.42060568603213844</v>
      </c>
    </row>
    <row r="63" spans="1:26" s="26" customFormat="1" outlineLevel="1" collapsed="1" x14ac:dyDescent="0.25">
      <c r="A63" s="27"/>
      <c r="B63" s="13" t="str">
        <f>CONCATENATE("     ","Services                                          ")</f>
        <v xml:space="preserve">     Services                                          </v>
      </c>
      <c r="C63" s="13"/>
      <c r="D63" s="1">
        <f>SUM(OSRRefD22_10x_0)</f>
        <v>402.85</v>
      </c>
      <c r="E63" s="1"/>
      <c r="F63" s="5">
        <f t="shared" ref="F63:F66" si="36">IF(D$12=0,0,D63/D$12)</f>
        <v>3.5123411032927337E-3</v>
      </c>
      <c r="G63" s="1"/>
      <c r="H63" s="1">
        <f>SUM(OSRRefH22_10x_0)</f>
        <v>0</v>
      </c>
      <c r="I63" s="1"/>
      <c r="J63" s="5">
        <f t="shared" ref="J63:J66" si="37">IF(H$12=0,0,H63/H$12)</f>
        <v>0</v>
      </c>
      <c r="K63" s="1"/>
      <c r="L63" s="1">
        <f t="shared" ref="L63:L66" si="38">+D63-H63</f>
        <v>402.85</v>
      </c>
      <c r="M63" s="1"/>
      <c r="N63" s="5">
        <f t="shared" ref="N63:N66" si="39">IF(H63=0,0,L63/H63)</f>
        <v>0</v>
      </c>
      <c r="O63" s="13"/>
      <c r="P63" s="1">
        <f>SUM(OSRRefP22_10x_0)</f>
        <v>1498.81</v>
      </c>
      <c r="Q63" s="1"/>
      <c r="R63" s="5">
        <f t="shared" ref="R63:R66" si="40">IF(P$12=0,0,P63/P$12)</f>
        <v>9.2455461383786474E-3</v>
      </c>
      <c r="S63" s="1"/>
      <c r="T63" s="1">
        <f>SUM(OSRRefT22_10x_0)</f>
        <v>0</v>
      </c>
      <c r="U63" s="1"/>
      <c r="V63" s="5">
        <f t="shared" ref="V63:V66" si="41">IF(T$12=0,0,T63/T$12)</f>
        <v>0</v>
      </c>
      <c r="W63" s="1"/>
      <c r="X63" s="1">
        <f t="shared" ref="X63:X66" si="42">+P63-T63</f>
        <v>1498.81</v>
      </c>
      <c r="Y63" s="1"/>
      <c r="Z63" s="5">
        <f t="shared" ref="Z63:Z66" si="43">IF(T63=0,0,X63/T63)</f>
        <v>0</v>
      </c>
    </row>
    <row r="64" spans="1:26" s="24" customFormat="1" hidden="1" outlineLevel="2" x14ac:dyDescent="0.25">
      <c r="A64" s="25"/>
      <c r="B64" s="11" t="str">
        <f>CONCATENATE("          ", "6282", " - ", "JANITORIAL/EXTERMINATOR EXPENS")</f>
        <v xml:space="preserve">          6282 - JANITORIAL/EXTERMINATOR EXPENS</v>
      </c>
      <c r="C64" s="11"/>
      <c r="D64" s="7">
        <v>116.81</v>
      </c>
      <c r="E64" s="2"/>
      <c r="F64" s="6">
        <f t="shared" si="36"/>
        <v>1.0184350608802885E-3</v>
      </c>
      <c r="G64" s="2"/>
      <c r="H64" s="7"/>
      <c r="I64" s="2"/>
      <c r="J64" s="6">
        <f t="shared" si="37"/>
        <v>0</v>
      </c>
      <c r="K64" s="2"/>
      <c r="L64" s="7">
        <f t="shared" si="38"/>
        <v>116.81</v>
      </c>
      <c r="M64" s="2"/>
      <c r="N64" s="6">
        <f t="shared" si="39"/>
        <v>0</v>
      </c>
      <c r="O64" s="11"/>
      <c r="P64" s="7">
        <v>467.24</v>
      </c>
      <c r="Q64" s="2"/>
      <c r="R64" s="6">
        <f t="shared" si="40"/>
        <v>2.8822125404127539E-3</v>
      </c>
      <c r="S64" s="2"/>
      <c r="T64" s="7"/>
      <c r="U64" s="2"/>
      <c r="V64" s="6">
        <f t="shared" si="41"/>
        <v>0</v>
      </c>
      <c r="W64" s="2"/>
      <c r="X64" s="7">
        <f t="shared" si="42"/>
        <v>467.24</v>
      </c>
      <c r="Y64" s="2"/>
      <c r="Z64" s="6">
        <f t="shared" si="43"/>
        <v>0</v>
      </c>
    </row>
    <row r="65" spans="1:26" s="24" customFormat="1" hidden="1" outlineLevel="2" x14ac:dyDescent="0.25">
      <c r="A65" s="25"/>
      <c r="B65" s="11" t="str">
        <f>CONCATENATE("          ", "6285", " - ", "JANITORIAL SERVICES")</f>
        <v xml:space="preserve">          6285 - JANITORIAL SERVICES</v>
      </c>
      <c r="C65" s="11"/>
      <c r="D65" s="7">
        <v>-24.32</v>
      </c>
      <c r="E65" s="2"/>
      <c r="F65" s="6">
        <f t="shared" si="36"/>
        <v>-2.1203955723489955E-4</v>
      </c>
      <c r="G65" s="2"/>
      <c r="H65" s="7"/>
      <c r="I65" s="2"/>
      <c r="J65" s="6">
        <f t="shared" si="37"/>
        <v>0</v>
      </c>
      <c r="K65" s="2"/>
      <c r="L65" s="7">
        <f t="shared" si="38"/>
        <v>-24.32</v>
      </c>
      <c r="M65" s="2"/>
      <c r="N65" s="6">
        <f t="shared" si="39"/>
        <v>0</v>
      </c>
      <c r="O65" s="11"/>
      <c r="P65" s="7">
        <v>51.36</v>
      </c>
      <c r="Q65" s="2"/>
      <c r="R65" s="6">
        <f t="shared" si="40"/>
        <v>3.1681884272664808E-4</v>
      </c>
      <c r="S65" s="2"/>
      <c r="T65" s="7"/>
      <c r="U65" s="2"/>
      <c r="V65" s="6">
        <f t="shared" si="41"/>
        <v>0</v>
      </c>
      <c r="W65" s="2"/>
      <c r="X65" s="7">
        <f t="shared" si="42"/>
        <v>51.36</v>
      </c>
      <c r="Y65" s="2"/>
      <c r="Z65" s="6">
        <f t="shared" si="43"/>
        <v>0</v>
      </c>
    </row>
    <row r="66" spans="1:26" s="24" customFormat="1" hidden="1" outlineLevel="2" x14ac:dyDescent="0.25">
      <c r="A66" s="25"/>
      <c r="B66" s="11" t="str">
        <f>CONCATENATE("          ", "6286", " - ", "LAUNDRY EXPENSE")</f>
        <v xml:space="preserve">          6286 - LAUNDRY EXPENSE</v>
      </c>
      <c r="C66" s="11"/>
      <c r="D66" s="7">
        <v>310.36</v>
      </c>
      <c r="E66" s="2"/>
      <c r="F66" s="6">
        <f t="shared" si="36"/>
        <v>2.7059455996473448E-3</v>
      </c>
      <c r="G66" s="2"/>
      <c r="H66" s="7"/>
      <c r="I66" s="2"/>
      <c r="J66" s="6">
        <f t="shared" si="37"/>
        <v>0</v>
      </c>
      <c r="K66" s="2"/>
      <c r="L66" s="7">
        <f t="shared" si="38"/>
        <v>310.36</v>
      </c>
      <c r="M66" s="2"/>
      <c r="N66" s="6">
        <f t="shared" si="39"/>
        <v>0</v>
      </c>
      <c r="O66" s="11"/>
      <c r="P66" s="7">
        <v>980.21</v>
      </c>
      <c r="Q66" s="2"/>
      <c r="R66" s="6">
        <f t="shared" si="40"/>
        <v>6.0465147552392464E-3</v>
      </c>
      <c r="S66" s="2"/>
      <c r="T66" s="7"/>
      <c r="U66" s="2"/>
      <c r="V66" s="6">
        <f t="shared" si="41"/>
        <v>0</v>
      </c>
      <c r="W66" s="2"/>
      <c r="X66" s="7">
        <f t="shared" si="42"/>
        <v>980.21</v>
      </c>
      <c r="Y66" s="2"/>
      <c r="Z66" s="6">
        <f t="shared" si="43"/>
        <v>0</v>
      </c>
    </row>
    <row r="67" spans="1:26" s="26" customFormat="1" outlineLevel="1" collapsed="1" x14ac:dyDescent="0.25">
      <c r="A67" s="27"/>
      <c r="B67" s="13" t="str">
        <f>CONCATENATE("     ","Supplies                                          ")</f>
        <v xml:space="preserve">     Supplies                                          </v>
      </c>
      <c r="C67" s="13"/>
      <c r="D67" s="1">
        <f>SUM(OSRRefD22_11x_0)</f>
        <v>554.05999999999995</v>
      </c>
      <c r="E67" s="1"/>
      <c r="F67" s="5">
        <f t="shared" ref="F67:F72" si="44">IF(D$12=0,0,D67/D$12)</f>
        <v>4.8307005378934384E-3</v>
      </c>
      <c r="G67" s="1"/>
      <c r="H67" s="1">
        <f>SUM(OSRRefH22_11x_0)</f>
        <v>2307</v>
      </c>
      <c r="I67" s="1"/>
      <c r="J67" s="5">
        <f t="shared" ref="J67:J72" si="45">IF(H$12=0,0,H67/H$12)</f>
        <v>1.9296880881282778E-2</v>
      </c>
      <c r="K67" s="1"/>
      <c r="L67" s="1">
        <f t="shared" ref="L67:L72" si="46">+D67-H67</f>
        <v>-1752.94</v>
      </c>
      <c r="M67" s="1"/>
      <c r="N67" s="5">
        <f t="shared" ref="N67:N72" si="47">IF(H67=0,0,L67/H67)</f>
        <v>-0.75983528391850896</v>
      </c>
      <c r="O67" s="13"/>
      <c r="P67" s="1">
        <f>SUM(OSRRefP22_11x_0)</f>
        <v>6983.81</v>
      </c>
      <c r="Q67" s="1"/>
      <c r="R67" s="5">
        <f t="shared" ref="R67:R72" si="48">IF(P$12=0,0,P67/P$12)</f>
        <v>4.308026873097337E-2</v>
      </c>
      <c r="S67" s="1"/>
      <c r="T67" s="1">
        <f>SUM(OSRRefT22_11x_0)</f>
        <v>3400</v>
      </c>
      <c r="U67" s="1"/>
      <c r="V67" s="5">
        <f t="shared" ref="V67:V72" si="49">IF(T$12=0,0,T67/T$12)</f>
        <v>1.9297130403196514E-2</v>
      </c>
      <c r="W67" s="1"/>
      <c r="X67" s="1">
        <f t="shared" ref="X67:X72" si="50">+P67-T67</f>
        <v>3583.8100000000004</v>
      </c>
      <c r="Y67" s="1"/>
      <c r="Z67" s="5">
        <f t="shared" ref="Z67:Z72" si="51">IF(T67=0,0,X67/T67)</f>
        <v>1.0540617647058825</v>
      </c>
    </row>
    <row r="68" spans="1:26" s="24" customFormat="1" hidden="1" outlineLevel="2" x14ac:dyDescent="0.25">
      <c r="A68" s="25"/>
      <c r="B68" s="11" t="str">
        <f>CONCATENATE("          ", "6234", " - ", "EXPENDABLE SUPPLIES &amp; EQUIPMEN")</f>
        <v xml:space="preserve">          6234 - EXPENDABLE SUPPLIES &amp; EQUIPMEN</v>
      </c>
      <c r="C68" s="11"/>
      <c r="D68" s="7"/>
      <c r="E68" s="2"/>
      <c r="F68" s="6">
        <f t="shared" si="44"/>
        <v>0</v>
      </c>
      <c r="G68" s="2"/>
      <c r="H68" s="7"/>
      <c r="I68" s="2"/>
      <c r="J68" s="6">
        <f t="shared" si="45"/>
        <v>0</v>
      </c>
      <c r="K68" s="2"/>
      <c r="L68" s="7">
        <f t="shared" si="46"/>
        <v>0</v>
      </c>
      <c r="M68" s="2"/>
      <c r="N68" s="6">
        <f t="shared" si="47"/>
        <v>0</v>
      </c>
      <c r="O68" s="11"/>
      <c r="P68" s="7">
        <v>354.71</v>
      </c>
      <c r="Q68" s="2"/>
      <c r="R68" s="6">
        <f t="shared" si="48"/>
        <v>2.1880609755367858E-3</v>
      </c>
      <c r="S68" s="2"/>
      <c r="T68" s="7"/>
      <c r="U68" s="2"/>
      <c r="V68" s="6">
        <f t="shared" si="49"/>
        <v>0</v>
      </c>
      <c r="W68" s="2"/>
      <c r="X68" s="7">
        <f t="shared" si="50"/>
        <v>354.71</v>
      </c>
      <c r="Y68" s="2"/>
      <c r="Z68" s="6">
        <f t="shared" si="51"/>
        <v>0</v>
      </c>
    </row>
    <row r="69" spans="1:26" s="24" customFormat="1" hidden="1" outlineLevel="2" x14ac:dyDescent="0.25">
      <c r="A69" s="25"/>
      <c r="B69" s="11" t="str">
        <f>CONCATENATE("          ", "6237", " - ", "JANITORIAL SUPPLIES")</f>
        <v xml:space="preserve">          6237 - JANITORIAL SUPPLIES</v>
      </c>
      <c r="C69" s="11"/>
      <c r="D69" s="7">
        <v>91.58</v>
      </c>
      <c r="E69" s="2"/>
      <c r="F69" s="6">
        <f t="shared" si="44"/>
        <v>7.9846145771266864E-4</v>
      </c>
      <c r="G69" s="2"/>
      <c r="H69" s="7"/>
      <c r="I69" s="2"/>
      <c r="J69" s="6">
        <f t="shared" si="45"/>
        <v>0</v>
      </c>
      <c r="K69" s="2"/>
      <c r="L69" s="7">
        <f t="shared" si="46"/>
        <v>91.58</v>
      </c>
      <c r="M69" s="2"/>
      <c r="N69" s="6">
        <f t="shared" si="47"/>
        <v>0</v>
      </c>
      <c r="O69" s="11"/>
      <c r="P69" s="7">
        <v>325.83</v>
      </c>
      <c r="Q69" s="2"/>
      <c r="R69" s="6">
        <f t="shared" si="48"/>
        <v>2.0099120624147925E-3</v>
      </c>
      <c r="S69" s="2"/>
      <c r="T69" s="7"/>
      <c r="U69" s="2"/>
      <c r="V69" s="6">
        <f t="shared" si="49"/>
        <v>0</v>
      </c>
      <c r="W69" s="2"/>
      <c r="X69" s="7">
        <f t="shared" si="50"/>
        <v>325.83</v>
      </c>
      <c r="Y69" s="2"/>
      <c r="Z69" s="6">
        <f t="shared" si="51"/>
        <v>0</v>
      </c>
    </row>
    <row r="70" spans="1:26" s="24" customFormat="1" hidden="1" outlineLevel="2" x14ac:dyDescent="0.25">
      <c r="A70" s="25"/>
      <c r="B70" s="11" t="str">
        <f>CONCATENATE("          ", "6241", " - ", "OFFICE EXPENSE")</f>
        <v xml:space="preserve">          6241 - OFFICE EXPENSE</v>
      </c>
      <c r="C70" s="11"/>
      <c r="D70" s="7">
        <v>119.09</v>
      </c>
      <c r="E70" s="2"/>
      <c r="F70" s="6">
        <f t="shared" si="44"/>
        <v>1.0383137693710603E-3</v>
      </c>
      <c r="G70" s="2"/>
      <c r="H70" s="7"/>
      <c r="I70" s="2"/>
      <c r="J70" s="6">
        <f t="shared" si="45"/>
        <v>0</v>
      </c>
      <c r="K70" s="2"/>
      <c r="L70" s="7">
        <f t="shared" si="46"/>
        <v>119.09</v>
      </c>
      <c r="M70" s="2"/>
      <c r="N70" s="6">
        <f t="shared" si="47"/>
        <v>0</v>
      </c>
      <c r="O70" s="11"/>
      <c r="P70" s="7">
        <v>535.49</v>
      </c>
      <c r="Q70" s="2"/>
      <c r="R70" s="6">
        <f t="shared" si="48"/>
        <v>3.3032188880781303E-3</v>
      </c>
      <c r="S70" s="2"/>
      <c r="T70" s="7"/>
      <c r="U70" s="2"/>
      <c r="V70" s="6">
        <f t="shared" si="49"/>
        <v>0</v>
      </c>
      <c r="W70" s="2"/>
      <c r="X70" s="7">
        <f t="shared" si="50"/>
        <v>535.49</v>
      </c>
      <c r="Y70" s="2"/>
      <c r="Z70" s="6">
        <f t="shared" si="51"/>
        <v>0</v>
      </c>
    </row>
    <row r="71" spans="1:26" s="24" customFormat="1" hidden="1" outlineLevel="2" x14ac:dyDescent="0.25">
      <c r="A71" s="25"/>
      <c r="B71" s="11" t="str">
        <f>CONCATENATE("          ", "6243", " - ", "PAPER SUPPLIES")</f>
        <v xml:space="preserve">          6243 - PAPER SUPPLIES</v>
      </c>
      <c r="C71" s="11"/>
      <c r="D71" s="7">
        <v>45.36</v>
      </c>
      <c r="E71" s="2"/>
      <c r="F71" s="6">
        <f t="shared" si="44"/>
        <v>3.954816741848291E-4</v>
      </c>
      <c r="G71" s="2"/>
      <c r="H71" s="7"/>
      <c r="I71" s="2"/>
      <c r="J71" s="6">
        <f t="shared" si="45"/>
        <v>0</v>
      </c>
      <c r="K71" s="2"/>
      <c r="L71" s="7">
        <f t="shared" si="46"/>
        <v>45.36</v>
      </c>
      <c r="M71" s="2"/>
      <c r="N71" s="6">
        <f t="shared" si="47"/>
        <v>0</v>
      </c>
      <c r="O71" s="11"/>
      <c r="P71" s="7">
        <v>155.65</v>
      </c>
      <c r="Q71" s="2"/>
      <c r="R71" s="6">
        <f t="shared" si="48"/>
        <v>9.6014121632404155E-4</v>
      </c>
      <c r="S71" s="2"/>
      <c r="T71" s="7"/>
      <c r="U71" s="2"/>
      <c r="V71" s="6">
        <f t="shared" si="49"/>
        <v>0</v>
      </c>
      <c r="W71" s="2"/>
      <c r="X71" s="7">
        <f t="shared" si="50"/>
        <v>155.65</v>
      </c>
      <c r="Y71" s="2"/>
      <c r="Z71" s="6">
        <f t="shared" si="51"/>
        <v>0</v>
      </c>
    </row>
    <row r="72" spans="1:26" s="24" customFormat="1" hidden="1" outlineLevel="2" x14ac:dyDescent="0.25">
      <c r="A72" s="25"/>
      <c r="B72" s="11" t="str">
        <f>CONCATENATE("          ", "6247", " - ", "STORE SUPPLIES")</f>
        <v xml:space="preserve">          6247 - STORE SUPPLIES</v>
      </c>
      <c r="C72" s="11"/>
      <c r="D72" s="7">
        <v>298.02999999999997</v>
      </c>
      <c r="E72" s="2"/>
      <c r="F72" s="6">
        <f t="shared" si="44"/>
        <v>2.598443636624881E-3</v>
      </c>
      <c r="G72" s="2"/>
      <c r="H72" s="7">
        <v>2307</v>
      </c>
      <c r="I72" s="2"/>
      <c r="J72" s="6">
        <f t="shared" si="45"/>
        <v>1.9296880881282778E-2</v>
      </c>
      <c r="K72" s="2"/>
      <c r="L72" s="7">
        <f t="shared" si="46"/>
        <v>-2008.97</v>
      </c>
      <c r="M72" s="2"/>
      <c r="N72" s="6">
        <f t="shared" si="47"/>
        <v>-0.87081491114000864</v>
      </c>
      <c r="O72" s="11"/>
      <c r="P72" s="7">
        <v>5612.13</v>
      </c>
      <c r="Q72" s="2"/>
      <c r="R72" s="6">
        <f t="shared" si="48"/>
        <v>3.4618935588619615E-2</v>
      </c>
      <c r="S72" s="2"/>
      <c r="T72" s="7">
        <v>3400</v>
      </c>
      <c r="U72" s="2"/>
      <c r="V72" s="6">
        <f t="shared" si="49"/>
        <v>1.9297130403196514E-2</v>
      </c>
      <c r="W72" s="2"/>
      <c r="X72" s="7">
        <f t="shared" si="50"/>
        <v>2212.13</v>
      </c>
      <c r="Y72" s="2"/>
      <c r="Z72" s="6">
        <f t="shared" si="51"/>
        <v>0.65062647058823531</v>
      </c>
    </row>
    <row r="73" spans="1:26" s="26" customFormat="1" outlineLevel="1" collapsed="1" x14ac:dyDescent="0.25">
      <c r="A73" s="27"/>
      <c r="B73" s="13" t="str">
        <f>CONCATENATE("     ","Telephone/Data Lines                              ")</f>
        <v xml:space="preserve">     Telephone/Data Lines                              </v>
      </c>
      <c r="C73" s="13"/>
      <c r="D73" s="1">
        <f>SUM(OSRRefD22_12x_0)</f>
        <v>75</v>
      </c>
      <c r="E73" s="1"/>
      <c r="F73" s="5">
        <f t="shared" ref="F73:F76" si="52">IF(D$12=0,0,D73/D$12)</f>
        <v>6.5390488456486295E-4</v>
      </c>
      <c r="G73" s="1"/>
      <c r="H73" s="1">
        <f>SUM(OSRRefH22_12x_0)</f>
        <v>75</v>
      </c>
      <c r="I73" s="1"/>
      <c r="J73" s="5">
        <f t="shared" ref="J73:J76" si="53">IF(H$12=0,0,H73/H$12)</f>
        <v>6.2733682969059752E-4</v>
      </c>
      <c r="K73" s="1"/>
      <c r="L73" s="1">
        <f t="shared" ref="L73:L76" si="54">+D73-H73</f>
        <v>0</v>
      </c>
      <c r="M73" s="1"/>
      <c r="N73" s="5">
        <f t="shared" ref="N73:N76" si="55">IF(H73=0,0,L73/H73)</f>
        <v>0</v>
      </c>
      <c r="O73" s="13"/>
      <c r="P73" s="1">
        <f>SUM(OSRRefP22_12x_0)</f>
        <v>123</v>
      </c>
      <c r="Q73" s="1"/>
      <c r="R73" s="5">
        <f t="shared" ref="R73:R76" si="56">IF(P$12=0,0,P73/P$12)</f>
        <v>7.5873671447386514E-4</v>
      </c>
      <c r="S73" s="1"/>
      <c r="T73" s="1">
        <f>SUM(OSRRefT22_12x_0)</f>
        <v>225</v>
      </c>
      <c r="U73" s="1"/>
      <c r="V73" s="5">
        <f t="shared" ref="V73:V76" si="57">IF(T$12=0,0,T73/T$12)</f>
        <v>1.2770159825644751E-3</v>
      </c>
      <c r="W73" s="1"/>
      <c r="X73" s="1">
        <f t="shared" ref="X73:X76" si="58">+P73-T73</f>
        <v>-102</v>
      </c>
      <c r="Y73" s="1"/>
      <c r="Z73" s="5">
        <f t="shared" ref="Z73:Z76" si="59">IF(T73=0,0,X73/T73)</f>
        <v>-0.45333333333333331</v>
      </c>
    </row>
    <row r="74" spans="1:26" s="24" customFormat="1" hidden="1" outlineLevel="2" x14ac:dyDescent="0.25">
      <c r="A74" s="25"/>
      <c r="B74" s="11" t="str">
        <f>CONCATENATE("          ", "6309", " - ", "TELEPHONE")</f>
        <v xml:space="preserve">          6309 - TELEPHONE</v>
      </c>
      <c r="C74" s="11"/>
      <c r="D74" s="7">
        <v>75</v>
      </c>
      <c r="E74" s="2"/>
      <c r="F74" s="6">
        <f t="shared" si="52"/>
        <v>6.5390488456486295E-4</v>
      </c>
      <c r="G74" s="2"/>
      <c r="H74" s="7">
        <v>75</v>
      </c>
      <c r="I74" s="2"/>
      <c r="J74" s="6">
        <f t="shared" si="53"/>
        <v>6.2733682969059752E-4</v>
      </c>
      <c r="K74" s="2"/>
      <c r="L74" s="7">
        <f t="shared" si="54"/>
        <v>0</v>
      </c>
      <c r="M74" s="2"/>
      <c r="N74" s="6">
        <f t="shared" si="55"/>
        <v>0</v>
      </c>
      <c r="O74" s="11"/>
      <c r="P74" s="7">
        <v>123</v>
      </c>
      <c r="Q74" s="2"/>
      <c r="R74" s="6">
        <f t="shared" si="56"/>
        <v>7.5873671447386514E-4</v>
      </c>
      <c r="S74" s="2"/>
      <c r="T74" s="7">
        <v>225</v>
      </c>
      <c r="U74" s="2"/>
      <c r="V74" s="6">
        <f t="shared" si="57"/>
        <v>1.2770159825644751E-3</v>
      </c>
      <c r="W74" s="2"/>
      <c r="X74" s="7">
        <f t="shared" si="58"/>
        <v>-102</v>
      </c>
      <c r="Y74" s="2"/>
      <c r="Z74" s="6">
        <f t="shared" si="59"/>
        <v>-0.45333333333333331</v>
      </c>
    </row>
    <row r="75" spans="1:26" s="26" customFormat="1" outlineLevel="1" collapsed="1" x14ac:dyDescent="0.25">
      <c r="A75" s="27"/>
      <c r="B75" s="13" t="str">
        <f>CONCATENATE("     ","Utilities                                         ")</f>
        <v xml:space="preserve">     Utilities                                         </v>
      </c>
      <c r="C75" s="13"/>
      <c r="D75" s="1">
        <f>SUM(OSRRefD22_13x_0)</f>
        <v>182</v>
      </c>
      <c r="E75" s="1"/>
      <c r="F75" s="5">
        <f t="shared" si="52"/>
        <v>1.5868091865440673E-3</v>
      </c>
      <c r="G75" s="1"/>
      <c r="H75" s="1">
        <f>SUM(OSRRefH22_13x_0)</f>
        <v>0</v>
      </c>
      <c r="I75" s="1"/>
      <c r="J75" s="5">
        <f t="shared" si="53"/>
        <v>0</v>
      </c>
      <c r="K75" s="1"/>
      <c r="L75" s="1">
        <f t="shared" si="54"/>
        <v>182</v>
      </c>
      <c r="M75" s="1"/>
      <c r="N75" s="5">
        <f t="shared" si="55"/>
        <v>0</v>
      </c>
      <c r="O75" s="13"/>
      <c r="P75" s="1">
        <f>SUM(OSRRefP22_13x_0)</f>
        <v>364</v>
      </c>
      <c r="Q75" s="1"/>
      <c r="R75" s="5">
        <f t="shared" si="56"/>
        <v>2.2453671875486739E-3</v>
      </c>
      <c r="S75" s="1"/>
      <c r="T75" s="1">
        <f>SUM(OSRRefT22_13x_0)</f>
        <v>0</v>
      </c>
      <c r="U75" s="1"/>
      <c r="V75" s="5">
        <f t="shared" si="57"/>
        <v>0</v>
      </c>
      <c r="W75" s="1"/>
      <c r="X75" s="1">
        <f t="shared" si="58"/>
        <v>364</v>
      </c>
      <c r="Y75" s="1"/>
      <c r="Z75" s="5">
        <f t="shared" si="59"/>
        <v>0</v>
      </c>
    </row>
    <row r="76" spans="1:26" s="24" customFormat="1" hidden="1" outlineLevel="2" x14ac:dyDescent="0.25">
      <c r="A76" s="25"/>
      <c r="B76" s="11" t="str">
        <f>CONCATENATE("          ", "6274", " - ", "UTILITIES")</f>
        <v xml:space="preserve">          6274 - UTILITIES</v>
      </c>
      <c r="C76" s="11"/>
      <c r="D76" s="7">
        <v>182</v>
      </c>
      <c r="E76" s="2"/>
      <c r="F76" s="6">
        <f t="shared" si="52"/>
        <v>1.5868091865440673E-3</v>
      </c>
      <c r="G76" s="2"/>
      <c r="H76" s="7"/>
      <c r="I76" s="2"/>
      <c r="J76" s="6">
        <f t="shared" si="53"/>
        <v>0</v>
      </c>
      <c r="K76" s="2"/>
      <c r="L76" s="7">
        <f t="shared" si="54"/>
        <v>182</v>
      </c>
      <c r="M76" s="2"/>
      <c r="N76" s="6">
        <f t="shared" si="55"/>
        <v>0</v>
      </c>
      <c r="O76" s="11"/>
      <c r="P76" s="7">
        <v>364</v>
      </c>
      <c r="Q76" s="2"/>
      <c r="R76" s="6">
        <f t="shared" si="56"/>
        <v>2.2453671875486739E-3</v>
      </c>
      <c r="S76" s="2"/>
      <c r="T76" s="7"/>
      <c r="U76" s="2"/>
      <c r="V76" s="6">
        <f t="shared" si="57"/>
        <v>0</v>
      </c>
      <c r="W76" s="2"/>
      <c r="X76" s="7">
        <f t="shared" si="58"/>
        <v>364</v>
      </c>
      <c r="Y76" s="2"/>
      <c r="Z76" s="6">
        <f t="shared" si="59"/>
        <v>0</v>
      </c>
    </row>
    <row r="77" spans="1:26" s="63" customFormat="1" x14ac:dyDescent="0.25">
      <c r="A77" s="36"/>
      <c r="B77" s="36"/>
      <c r="C77" s="36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6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x14ac:dyDescent="0.25">
      <c r="A78" s="10"/>
      <c r="B78" s="28" t="s">
        <v>0</v>
      </c>
      <c r="C78" s="10"/>
      <c r="D78" s="4">
        <f>SUM(0)</f>
        <v>0</v>
      </c>
      <c r="E78" s="4"/>
      <c r="F78" s="12">
        <f>IF(D$12=0,0,D78/D$12)</f>
        <v>0</v>
      </c>
      <c r="G78" s="4"/>
      <c r="H78" s="4">
        <f>SUM(0)</f>
        <v>0</v>
      </c>
      <c r="I78" s="4"/>
      <c r="J78" s="12">
        <f>IF(H$12=0,0,H78/H$12)</f>
        <v>0</v>
      </c>
      <c r="K78" s="4"/>
      <c r="L78" s="4">
        <f>+D78-H78</f>
        <v>0</v>
      </c>
      <c r="M78" s="4"/>
      <c r="N78" s="12">
        <f>IF(H78=0,0,L78/H78)</f>
        <v>0</v>
      </c>
      <c r="O78" s="10"/>
      <c r="P78" s="4">
        <f>SUM(0)</f>
        <v>0</v>
      </c>
      <c r="Q78" s="4"/>
      <c r="R78" s="12">
        <f>IF(P$12=0,0,P78/P$12)</f>
        <v>0</v>
      </c>
      <c r="S78" s="4"/>
      <c r="T78" s="4">
        <f>SUM(0)</f>
        <v>0</v>
      </c>
      <c r="U78" s="4"/>
      <c r="V78" s="12">
        <f>IF(T$12=0,0,T78/T$12)</f>
        <v>0</v>
      </c>
      <c r="W78" s="4"/>
      <c r="X78" s="4">
        <f>+P78-T78</f>
        <v>0</v>
      </c>
      <c r="Y78" s="4"/>
      <c r="Z78" s="12">
        <f>IF(T78=0,0,X78/T78)</f>
        <v>0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10"/>
      <c r="B80" s="29" t="s">
        <v>3</v>
      </c>
      <c r="C80" s="29"/>
      <c r="D80" s="22">
        <f>+D22-D24+D78</f>
        <v>29285.21</v>
      </c>
      <c r="E80" s="14"/>
      <c r="F80" s="20">
        <f>IF(D$12=0,0,D80/D$12)</f>
        <v>0.25532989152677027</v>
      </c>
      <c r="G80" s="14"/>
      <c r="H80" s="22">
        <f>+H22-H24+H78</f>
        <v>28825.25018923077</v>
      </c>
      <c r="I80" s="14"/>
      <c r="J80" s="20">
        <f>IF(H$12=0,0,H80/H$12)</f>
        <v>0.24110854758333769</v>
      </c>
      <c r="K80" s="15"/>
      <c r="L80" s="22">
        <f>+D80-H80</f>
        <v>459.95981076922908</v>
      </c>
      <c r="M80" s="15"/>
      <c r="N80" s="20">
        <f>IF(H80=0,0,L80/H80)</f>
        <v>1.5956836723001695E-2</v>
      </c>
      <c r="O80" s="28"/>
      <c r="P80" s="22">
        <f>+P22-P24+P78</f>
        <v>5476.5099999999802</v>
      </c>
      <c r="Q80" s="14"/>
      <c r="R80" s="20">
        <f>IF(P$12=0,0,P80/P$12)</f>
        <v>3.3782351253522372E-2</v>
      </c>
      <c r="S80" s="14"/>
      <c r="T80" s="22">
        <f>+T22-T24+T78</f>
        <v>21785.244552499993</v>
      </c>
      <c r="U80" s="14"/>
      <c r="V80" s="20">
        <f>IF(T$12=0,0,T80/T$12)</f>
        <v>0.12364491323385848</v>
      </c>
      <c r="W80" s="15"/>
      <c r="X80" s="22">
        <f>+P80-T80</f>
        <v>-16308.734552500013</v>
      </c>
      <c r="Y80" s="15"/>
      <c r="Z80" s="20">
        <f>IF(T80=0,0,X80/T80)</f>
        <v>-0.74861379284486773</v>
      </c>
    </row>
    <row r="81" spans="1:26" x14ac:dyDescent="0.25">
      <c r="A81" s="9"/>
      <c r="B81" s="10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52"/>
      <c r="B82" s="10" t="s">
        <v>14</v>
      </c>
      <c r="C82" s="10"/>
      <c r="D82" s="4">
        <v>11501.02</v>
      </c>
      <c r="E82" s="4"/>
      <c r="F82" s="12">
        <f>IF(D$12=0,0,D82/D$12)</f>
        <v>0.10027430873970906</v>
      </c>
      <c r="G82" s="4"/>
      <c r="H82" s="4">
        <v>13087</v>
      </c>
      <c r="I82" s="4"/>
      <c r="J82" s="12">
        <f>IF(H$12=0,0,H82/H$12)</f>
        <v>0.109466094535478</v>
      </c>
      <c r="K82" s="4"/>
      <c r="L82" s="4">
        <f>+D82-H82</f>
        <v>-1585.9799999999996</v>
      </c>
      <c r="M82" s="4"/>
      <c r="N82" s="12">
        <f>IF(H82=0,0,L82/H82)</f>
        <v>-0.12118743791548862</v>
      </c>
      <c r="O82" s="10"/>
      <c r="P82" s="4">
        <v>17412.929999999997</v>
      </c>
      <c r="Q82" s="4"/>
      <c r="R82" s="12">
        <f>IF(P$12=0,0,P82/P$12)</f>
        <v>0.10741324632165364</v>
      </c>
      <c r="S82" s="4"/>
      <c r="T82" s="4">
        <v>22285</v>
      </c>
      <c r="U82" s="4"/>
      <c r="V82" s="12">
        <f>IF(T$12=0,0,T82/T$12)</f>
        <v>0.12648133853977478</v>
      </c>
      <c r="W82" s="4"/>
      <c r="X82" s="4">
        <f>+P82-T82</f>
        <v>-4872.0700000000033</v>
      </c>
      <c r="Y82" s="4"/>
      <c r="Z82" s="12">
        <f>IF(T82=0,0,X82/T82)</f>
        <v>-0.2186255328696434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9" t="s">
        <v>4</v>
      </c>
      <c r="C84" s="29"/>
      <c r="D84" s="35">
        <f>+D80-D82</f>
        <v>17784.189999999999</v>
      </c>
      <c r="E84" s="14"/>
      <c r="F84" s="32">
        <f>IF(D$12=0,0,D84/D$12)</f>
        <v>0.15505558278706119</v>
      </c>
      <c r="G84" s="14"/>
      <c r="H84" s="35">
        <f>+H80-H82</f>
        <v>15738.25018923077</v>
      </c>
      <c r="I84" s="14"/>
      <c r="J84" s="32">
        <f>IF(H$12=0,0,H84/H$12)</f>
        <v>0.13164245304785968</v>
      </c>
      <c r="K84" s="15"/>
      <c r="L84" s="35">
        <f>D84-H84</f>
        <v>2045.9398107692286</v>
      </c>
      <c r="M84" s="15"/>
      <c r="N84" s="32">
        <f>IF(H84=0,0,L84/H84)</f>
        <v>0.12999792138068858</v>
      </c>
      <c r="O84" s="28"/>
      <c r="P84" s="35">
        <f>+P80-P82</f>
        <v>-11936.420000000016</v>
      </c>
      <c r="Q84" s="14"/>
      <c r="R84" s="32">
        <f>IF(P$12=0,0,P84/P$12)</f>
        <v>-7.3630895068131266E-2</v>
      </c>
      <c r="S84" s="14"/>
      <c r="T84" s="35">
        <f>+T80-T82</f>
        <v>-499.75544750000699</v>
      </c>
      <c r="U84" s="14"/>
      <c r="V84" s="32">
        <f>IF(T$12=0,0,T84/T$12)</f>
        <v>-2.8364253059163127E-3</v>
      </c>
      <c r="W84" s="15"/>
      <c r="X84" s="35">
        <f>P84-T84</f>
        <v>-11436.664552500009</v>
      </c>
      <c r="Y84" s="15"/>
      <c r="Z84" s="32">
        <f>IF(T84=0,0,X84/T84)</f>
        <v>22.884522039151658</v>
      </c>
    </row>
    <row r="85" spans="1:26" ht="15.75" thickTop="1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9" t="s">
        <v>5</v>
      </c>
      <c r="C87" s="29"/>
      <c r="D87" s="30">
        <f>SUM(D84:D86)</f>
        <v>17784.189999999999</v>
      </c>
      <c r="E87" s="14"/>
      <c r="F87" s="31">
        <f>IF(D$12=0,0,D87/D$12)</f>
        <v>0.15505558278706119</v>
      </c>
      <c r="G87" s="14"/>
      <c r="H87" s="30">
        <f>SUM(H84:H86)</f>
        <v>15738.25018923077</v>
      </c>
      <c r="I87" s="14"/>
      <c r="J87" s="31">
        <f>IF(H$12=0,0,H87/H$12)</f>
        <v>0.13164245304785968</v>
      </c>
      <c r="K87" s="15"/>
      <c r="L87" s="30">
        <f>+D87-H87</f>
        <v>2045.9398107692286</v>
      </c>
      <c r="M87" s="15"/>
      <c r="N87" s="31">
        <f>IF(H87=0,0,L87/H87)</f>
        <v>0.12999792138068858</v>
      </c>
      <c r="O87" s="28"/>
      <c r="P87" s="30">
        <f>SUM(P84:P86)</f>
        <v>-11936.420000000016</v>
      </c>
      <c r="Q87" s="14"/>
      <c r="R87" s="31">
        <f>IF(P$12=0,0,P87/P$12)</f>
        <v>-7.3630895068131266E-2</v>
      </c>
      <c r="S87" s="14"/>
      <c r="T87" s="30">
        <f>SUM(T84:T86)</f>
        <v>-499.75544750000699</v>
      </c>
      <c r="U87" s="14"/>
      <c r="V87" s="31">
        <f>IF(T$12=0,0,T87/T$12)</f>
        <v>-2.8364253059163127E-3</v>
      </c>
      <c r="W87" s="15"/>
      <c r="X87" s="30">
        <f>+P87-T87</f>
        <v>-11436.664552500009</v>
      </c>
      <c r="Y87" s="15"/>
      <c r="Z87" s="31">
        <f>IF(T87=0,0,X87/T87)</f>
        <v>22.884522039151658</v>
      </c>
    </row>
    <row r="88" spans="1:26" ht="15.75" thickTop="1" x14ac:dyDescent="0.25">
      <c r="A88" s="9"/>
      <c r="C88" s="9"/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25">
      <c r="A89" s="9"/>
      <c r="B89" s="53">
        <v>43756.452452696758</v>
      </c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  <row r="90" spans="1:26" x14ac:dyDescent="0.25">
      <c r="A90" s="9"/>
      <c r="B90" s="55" t="s">
        <v>314</v>
      </c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  <row r="91" spans="1:26" x14ac:dyDescent="0.25">
      <c r="A91" s="9"/>
      <c r="B91" s="56"/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  <row r="92" spans="1:26" x14ac:dyDescent="0.25"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</sheetData>
  <pageMargins left="0.25" right="0.25" top="0.75" bottom="0.75" header="0.3" footer="0.3"/>
  <pageSetup scale="55" fitToWidth="2" orientation="landscape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str">
        <f>CONCATENATE("Period ",RIGHT(202003,2),", ",2020)</f>
        <v>Period 03, 2020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43736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tr">
        <f>CONCATENATE("Department ","325", " - ", "Outpost C-Store")</f>
        <v>Department 325 - Outpost C-Store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96909.38</v>
      </c>
      <c r="E12" s="4"/>
      <c r="F12" s="12"/>
      <c r="G12" s="4"/>
      <c r="H12" s="4">
        <f>SUM(OSRRefH13x_0)</f>
        <v>94322</v>
      </c>
      <c r="I12" s="4"/>
      <c r="J12" s="12"/>
      <c r="K12" s="4"/>
      <c r="L12" s="4">
        <f t="shared" ref="L12:L15" si="0">+D12-H12</f>
        <v>2587.3800000000047</v>
      </c>
      <c r="M12" s="4"/>
      <c r="N12" s="12">
        <f t="shared" ref="N12:N15" si="1">IF(H12=0,0,L12/H12)</f>
        <v>2.7431352176586637E-2</v>
      </c>
      <c r="O12" s="10"/>
      <c r="P12" s="4">
        <f>SUM(OSRRefP13x_0)</f>
        <v>142917.04999999999</v>
      </c>
      <c r="Q12" s="4"/>
      <c r="R12" s="12"/>
      <c r="S12" s="4"/>
      <c r="T12" s="4">
        <f>SUM(OSRRefT13x_0)</f>
        <v>140972.19999999998</v>
      </c>
      <c r="U12" s="4"/>
      <c r="V12" s="12"/>
      <c r="W12" s="4"/>
      <c r="X12" s="4">
        <f t="shared" ref="X12:X15" si="2">+P12-T12</f>
        <v>1944.8500000000058</v>
      </c>
      <c r="Y12" s="4"/>
      <c r="Z12" s="12">
        <f t="shared" ref="Z12:Z15" si="3">IF(T12=0,0,X12/T12)</f>
        <v>1.3795982470302698E-2</v>
      </c>
    </row>
    <row r="13" spans="1:26" s="24" customFormat="1" hidden="1" outlineLevel="1" x14ac:dyDescent="0.25">
      <c r="A13" s="46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94322</v>
      </c>
      <c r="I13" s="2"/>
      <c r="J13" s="19"/>
      <c r="K13" s="2"/>
      <c r="L13" s="2">
        <f t="shared" si="0"/>
        <v>-94322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140972.19999999998</v>
      </c>
      <c r="U13" s="2"/>
      <c r="V13" s="19"/>
      <c r="W13" s="2"/>
      <c r="X13" s="2">
        <f t="shared" si="2"/>
        <v>-140972.19999999998</v>
      </c>
      <c r="Y13" s="2"/>
      <c r="Z13" s="19">
        <f t="shared" si="3"/>
        <v>-1</v>
      </c>
    </row>
    <row r="14" spans="1:26" s="24" customFormat="1" hidden="1" outlineLevel="1" x14ac:dyDescent="0.25">
      <c r="A14" s="46"/>
      <c r="B14" s="11" t="str">
        <f>CONCATENATE("          ", "4032", " - ", "TAXABLE SALES-JUICE")</f>
        <v xml:space="preserve">          4032 - TAXABLE SALES-JUICE</v>
      </c>
      <c r="C14" s="11"/>
      <c r="D14" s="2">
        <f>--17849.93</f>
        <v>17849.93</v>
      </c>
      <c r="E14" s="2"/>
      <c r="F14" s="19"/>
      <c r="G14" s="2"/>
      <c r="H14" s="2"/>
      <c r="I14" s="2"/>
      <c r="J14" s="19"/>
      <c r="K14" s="2"/>
      <c r="L14" s="2">
        <f t="shared" si="0"/>
        <v>17849.93</v>
      </c>
      <c r="M14" s="2"/>
      <c r="N14" s="19">
        <f t="shared" si="1"/>
        <v>0</v>
      </c>
      <c r="O14" s="11"/>
      <c r="P14" s="2">
        <f>--26972.12</f>
        <v>26972.12</v>
      </c>
      <c r="Q14" s="2"/>
      <c r="R14" s="19"/>
      <c r="S14" s="2"/>
      <c r="T14" s="2"/>
      <c r="U14" s="2"/>
      <c r="V14" s="19"/>
      <c r="W14" s="2"/>
      <c r="X14" s="2">
        <f t="shared" si="2"/>
        <v>26972.12</v>
      </c>
      <c r="Y14" s="2"/>
      <c r="Z14" s="19">
        <f t="shared" si="3"/>
        <v>0</v>
      </c>
    </row>
    <row r="15" spans="1:26" s="24" customFormat="1" hidden="1" outlineLevel="1" x14ac:dyDescent="0.25">
      <c r="A15" s="46"/>
      <c r="B15" s="11" t="str">
        <f>CONCATENATE("          ", "4132", " - ", "NON-TAXABLE SALES-JUICE")</f>
        <v xml:space="preserve">          4132 - NON-TAXABLE SALES-JUICE</v>
      </c>
      <c r="C15" s="11"/>
      <c r="D15" s="2">
        <f>--79059.45</f>
        <v>79059.45</v>
      </c>
      <c r="E15" s="2"/>
      <c r="F15" s="19"/>
      <c r="G15" s="2"/>
      <c r="H15" s="2"/>
      <c r="I15" s="2"/>
      <c r="J15" s="19"/>
      <c r="K15" s="2"/>
      <c r="L15" s="2">
        <f t="shared" si="0"/>
        <v>79059.45</v>
      </c>
      <c r="M15" s="2"/>
      <c r="N15" s="19">
        <f t="shared" si="1"/>
        <v>0</v>
      </c>
      <c r="O15" s="11"/>
      <c r="P15" s="2">
        <f>--115944.93</f>
        <v>115944.93</v>
      </c>
      <c r="Q15" s="2"/>
      <c r="R15" s="19"/>
      <c r="S15" s="2"/>
      <c r="T15" s="2"/>
      <c r="U15" s="2"/>
      <c r="V15" s="19"/>
      <c r="W15" s="2"/>
      <c r="X15" s="2">
        <f t="shared" si="2"/>
        <v>115944.93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41083.01</v>
      </c>
      <c r="E17" s="4"/>
      <c r="F17" s="12">
        <f t="shared" ref="F17:F20" si="4">IF(D$12=0,0,D17/D$12)</f>
        <v>0.42393223442354083</v>
      </c>
      <c r="G17" s="4"/>
      <c r="H17" s="4">
        <f>SUM(OSRRefH16x_0)</f>
        <v>45275</v>
      </c>
      <c r="I17" s="4"/>
      <c r="J17" s="12">
        <f t="shared" ref="J17:J20" si="5">IF(H$12=0,0,H17/H$12)</f>
        <v>0.48000466487139798</v>
      </c>
      <c r="K17" s="4"/>
      <c r="L17" s="4">
        <f t="shared" ref="L17:L20" si="6">+D17-H17</f>
        <v>-4191.989999999998</v>
      </c>
      <c r="M17" s="4"/>
      <c r="N17" s="12">
        <f t="shared" ref="N17:N20" si="7">IF(H17=0,0,L17/H17)</f>
        <v>-9.2589508558807238E-2</v>
      </c>
      <c r="O17" s="10"/>
      <c r="P17" s="4">
        <f>SUM(OSRRefP16x_0)</f>
        <v>61966.279999999992</v>
      </c>
      <c r="Q17" s="4"/>
      <c r="R17" s="12">
        <f t="shared" ref="R17:R20" si="8">IF(P$12=0,0,P17/P$12)</f>
        <v>0.43358213733071033</v>
      </c>
      <c r="S17" s="4"/>
      <c r="T17" s="4">
        <f>SUM(OSRRefT16x_0)</f>
        <v>67665</v>
      </c>
      <c r="U17" s="4"/>
      <c r="V17" s="12">
        <f t="shared" ref="V17:V20" si="9">IF(T$12=0,0,T17/T$12)</f>
        <v>0.47998825300307441</v>
      </c>
      <c r="W17" s="4"/>
      <c r="X17" s="4">
        <f t="shared" ref="X17:X20" si="10">+P17-T17</f>
        <v>-5698.7200000000084</v>
      </c>
      <c r="Y17" s="4"/>
      <c r="Z17" s="12">
        <f t="shared" ref="Z17:Z20" si="11">IF(T17=0,0,X17/T17)</f>
        <v>-8.4219611320475993E-2</v>
      </c>
    </row>
    <row r="18" spans="1:26" s="24" customFormat="1" hidden="1" outlineLevel="1" x14ac:dyDescent="0.25">
      <c r="A18" s="46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4"/>
        <v>0</v>
      </c>
      <c r="G18" s="2"/>
      <c r="H18" s="2">
        <v>45275</v>
      </c>
      <c r="I18" s="2"/>
      <c r="J18" s="19">
        <f t="shared" si="5"/>
        <v>0.48000466487139798</v>
      </c>
      <c r="K18" s="2"/>
      <c r="L18" s="2">
        <f t="shared" si="6"/>
        <v>-45275</v>
      </c>
      <c r="M18" s="2"/>
      <c r="N18" s="19">
        <f t="shared" si="7"/>
        <v>-1</v>
      </c>
      <c r="O18" s="11"/>
      <c r="P18" s="2"/>
      <c r="Q18" s="2"/>
      <c r="R18" s="19">
        <f t="shared" si="8"/>
        <v>0</v>
      </c>
      <c r="S18" s="2"/>
      <c r="T18" s="2">
        <v>67665</v>
      </c>
      <c r="U18" s="2"/>
      <c r="V18" s="19">
        <f t="shared" si="9"/>
        <v>0.47998825300307441</v>
      </c>
      <c r="W18" s="2"/>
      <c r="X18" s="2">
        <f t="shared" si="10"/>
        <v>-67665</v>
      </c>
      <c r="Y18" s="2"/>
      <c r="Z18" s="19">
        <f t="shared" si="11"/>
        <v>-1</v>
      </c>
    </row>
    <row r="19" spans="1:26" s="24" customFormat="1" hidden="1" outlineLevel="1" x14ac:dyDescent="0.25">
      <c r="A19" s="46"/>
      <c r="B19" s="11" t="str">
        <f>CONCATENATE("          ", "5053", " - ", "PURCHASES @ COST-FOOD")</f>
        <v xml:space="preserve">          5053 - PURCHASES @ COST-FOOD</v>
      </c>
      <c r="C19" s="11"/>
      <c r="D19" s="2">
        <v>46698.630000000005</v>
      </c>
      <c r="E19" s="2"/>
      <c r="F19" s="19">
        <f t="shared" si="4"/>
        <v>0.48187935987207847</v>
      </c>
      <c r="G19" s="2"/>
      <c r="H19" s="2"/>
      <c r="I19" s="2"/>
      <c r="J19" s="19">
        <f t="shared" si="5"/>
        <v>0</v>
      </c>
      <c r="K19" s="2"/>
      <c r="L19" s="2">
        <f t="shared" si="6"/>
        <v>46698.630000000005</v>
      </c>
      <c r="M19" s="2"/>
      <c r="N19" s="19">
        <f t="shared" si="7"/>
        <v>0</v>
      </c>
      <c r="O19" s="11"/>
      <c r="P19" s="2">
        <v>73782.569999999992</v>
      </c>
      <c r="Q19" s="2"/>
      <c r="R19" s="19">
        <f t="shared" si="8"/>
        <v>0.51626149574176072</v>
      </c>
      <c r="S19" s="2"/>
      <c r="T19" s="2"/>
      <c r="U19" s="2"/>
      <c r="V19" s="19">
        <f t="shared" si="9"/>
        <v>0</v>
      </c>
      <c r="W19" s="2"/>
      <c r="X19" s="2">
        <f t="shared" si="10"/>
        <v>73782.569999999992</v>
      </c>
      <c r="Y19" s="2"/>
      <c r="Z19" s="19">
        <f t="shared" si="11"/>
        <v>0</v>
      </c>
    </row>
    <row r="20" spans="1:26" s="24" customFormat="1" hidden="1" outlineLevel="1" x14ac:dyDescent="0.25">
      <c r="A20" s="46"/>
      <c r="B20" s="11" t="str">
        <f>CONCATENATE("          ", "5059", " - ", "PURCHASES @ COST-FOOD")</f>
        <v xml:space="preserve">          5059 - PURCHASES @ COST-FOOD</v>
      </c>
      <c r="C20" s="11"/>
      <c r="D20" s="2">
        <v>-5615.62</v>
      </c>
      <c r="E20" s="2"/>
      <c r="F20" s="19">
        <f t="shared" si="4"/>
        <v>-5.7947125448537591E-2</v>
      </c>
      <c r="G20" s="2"/>
      <c r="H20" s="2"/>
      <c r="I20" s="2"/>
      <c r="J20" s="19">
        <f t="shared" si="5"/>
        <v>0</v>
      </c>
      <c r="K20" s="2"/>
      <c r="L20" s="2">
        <f t="shared" si="6"/>
        <v>-5615.62</v>
      </c>
      <c r="M20" s="2"/>
      <c r="N20" s="19">
        <f t="shared" si="7"/>
        <v>0</v>
      </c>
      <c r="O20" s="11"/>
      <c r="P20" s="2">
        <v>-11816.29</v>
      </c>
      <c r="Q20" s="2"/>
      <c r="R20" s="19">
        <f t="shared" si="8"/>
        <v>-8.2679358411050341E-2</v>
      </c>
      <c r="S20" s="2"/>
      <c r="T20" s="2"/>
      <c r="U20" s="2"/>
      <c r="V20" s="19">
        <f t="shared" si="9"/>
        <v>0</v>
      </c>
      <c r="W20" s="2"/>
      <c r="X20" s="2">
        <f t="shared" si="10"/>
        <v>-11816.29</v>
      </c>
      <c r="Y20" s="2"/>
      <c r="Z20" s="19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6</v>
      </c>
      <c r="C22" s="29"/>
      <c r="D22" s="22">
        <f>D12-D17</f>
        <v>55826.37</v>
      </c>
      <c r="E22" s="14"/>
      <c r="F22" s="20">
        <f>IF(D$12=0,0,D22/D$12)</f>
        <v>0.57606776557645911</v>
      </c>
      <c r="G22" s="14"/>
      <c r="H22" s="22">
        <f>H12-H17</f>
        <v>49047</v>
      </c>
      <c r="I22" s="14"/>
      <c r="J22" s="20">
        <f>IF(H$12=0,0,H22/H$12)</f>
        <v>0.51999533512860208</v>
      </c>
      <c r="K22" s="15"/>
      <c r="L22" s="22">
        <f>+D22-H22</f>
        <v>6779.3700000000026</v>
      </c>
      <c r="M22" s="15"/>
      <c r="N22" s="20">
        <f>IF(H22=0,0,L22/H22)</f>
        <v>0.1382219095969173</v>
      </c>
      <c r="O22" s="28"/>
      <c r="P22" s="22">
        <f>P12-P17</f>
        <v>80950.76999999999</v>
      </c>
      <c r="Q22" s="14"/>
      <c r="R22" s="20">
        <f>IF(P$12=0,0,P22/P$12)</f>
        <v>0.56641786266928962</v>
      </c>
      <c r="S22" s="14"/>
      <c r="T22" s="22">
        <f>T12-T17</f>
        <v>73307.199999999983</v>
      </c>
      <c r="U22" s="14"/>
      <c r="V22" s="20">
        <f>IF(T$12=0,0,T22/T$12)</f>
        <v>0.52001174699692554</v>
      </c>
      <c r="W22" s="15"/>
      <c r="X22" s="22">
        <f>+P22-T22</f>
        <v>7643.570000000007</v>
      </c>
      <c r="Y22" s="15"/>
      <c r="Z22" s="20">
        <f>IF(T22=0,0,X22/T22)</f>
        <v>0.10426765720147556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9</v>
      </c>
      <c r="C24" s="10"/>
      <c r="D24" s="21">
        <f>SUM(OSRRefD22x_0)</f>
        <v>36549.61</v>
      </c>
      <c r="E24" s="21"/>
      <c r="F24" s="33">
        <f t="shared" ref="F24:F34" si="12">IF(D$12=0,0,D24/D$12)</f>
        <v>0.37715244901989881</v>
      </c>
      <c r="G24" s="21"/>
      <c r="H24" s="21">
        <f>SUM(OSRRefH22x_0)</f>
        <v>31704.714575999998</v>
      </c>
      <c r="I24" s="21"/>
      <c r="J24" s="33">
        <f t="shared" ref="J24:J34" si="13">IF(H$12=0,0,H24/H$12)</f>
        <v>0.33613276410593496</v>
      </c>
      <c r="K24" s="4"/>
      <c r="L24" s="21">
        <f t="shared" ref="L24:L34" si="14">+D24-H24</f>
        <v>4844.8954240000021</v>
      </c>
      <c r="M24" s="4"/>
      <c r="N24" s="33">
        <f t="shared" ref="N24:N34" si="15">IF(H24=0,0,L24/H24)</f>
        <v>0.15281309069621829</v>
      </c>
      <c r="O24" s="10"/>
      <c r="P24" s="21">
        <f>SUM(OSRRefP22x_0)</f>
        <v>85248.35</v>
      </c>
      <c r="Q24" s="21"/>
      <c r="R24" s="33">
        <f t="shared" ref="R24:R34" si="16">IF(P$12=0,0,P24/P$12)</f>
        <v>0.59648831262610036</v>
      </c>
      <c r="S24" s="21"/>
      <c r="T24" s="21">
        <f>SUM(OSRRefT22x_0)</f>
        <v>84858.742090749991</v>
      </c>
      <c r="U24" s="21"/>
      <c r="V24" s="33">
        <f t="shared" ref="V24:V34" si="17">IF(T$12=0,0,T24/T$12)</f>
        <v>0.60195373336551461</v>
      </c>
      <c r="W24" s="4"/>
      <c r="X24" s="21">
        <f t="shared" ref="X24:X34" si="18">+P24-T24</f>
        <v>389.60790925001493</v>
      </c>
      <c r="Y24" s="4"/>
      <c r="Z24" s="33">
        <f t="shared" ref="Z24:Z34" si="19">IF(T24=0,0,X24/T24)</f>
        <v>4.5912524702918503E-3</v>
      </c>
    </row>
    <row r="25" spans="1:26" s="26" customFormat="1" outlineLevel="1" collapsed="1" x14ac:dyDescent="0.25">
      <c r="A25" s="27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3614.6099999999997</v>
      </c>
      <c r="E25" s="1"/>
      <c r="F25" s="5">
        <f t="shared" si="12"/>
        <v>3.7298866219142045E-2</v>
      </c>
      <c r="G25" s="1"/>
      <c r="H25" s="1">
        <f>SUM(OSRRefH22_0x_0)</f>
        <v>3570.7895759999997</v>
      </c>
      <c r="I25" s="1"/>
      <c r="J25" s="5">
        <f t="shared" si="13"/>
        <v>3.7857441275630281E-2</v>
      </c>
      <c r="K25" s="1"/>
      <c r="L25" s="1">
        <f t="shared" si="14"/>
        <v>43.820424000000003</v>
      </c>
      <c r="M25" s="1"/>
      <c r="N25" s="5">
        <f t="shared" si="15"/>
        <v>1.2271914395215543E-2</v>
      </c>
      <c r="O25" s="13"/>
      <c r="P25" s="1">
        <f>SUM(OSRRefP22_0x_0)</f>
        <v>11169.54</v>
      </c>
      <c r="Q25" s="1"/>
      <c r="R25" s="5">
        <f t="shared" si="16"/>
        <v>7.8154006117534619E-2</v>
      </c>
      <c r="S25" s="1"/>
      <c r="T25" s="1">
        <f>SUM(OSRRefT22_0x_0)</f>
        <v>10740.313340749999</v>
      </c>
      <c r="U25" s="1"/>
      <c r="V25" s="5">
        <f t="shared" si="17"/>
        <v>7.6187456397431547E-2</v>
      </c>
      <c r="W25" s="1"/>
      <c r="X25" s="1">
        <f t="shared" si="18"/>
        <v>429.22665925000183</v>
      </c>
      <c r="Y25" s="1"/>
      <c r="Z25" s="5">
        <f t="shared" si="19"/>
        <v>3.9964072334972379E-2</v>
      </c>
    </row>
    <row r="26" spans="1:26" s="24" customFormat="1" hidden="1" outlineLevel="2" x14ac:dyDescent="0.25">
      <c r="A26" s="25"/>
      <c r="B26" s="11" t="str">
        <f>CONCATENATE("          ", "6111", " - ", "F.I.C.A.")</f>
        <v xml:space="preserve">          6111 - F.I.C.A.</v>
      </c>
      <c r="C26" s="11"/>
      <c r="D26" s="7">
        <v>505.68</v>
      </c>
      <c r="E26" s="2"/>
      <c r="F26" s="6">
        <f t="shared" si="12"/>
        <v>5.2180707378377614E-3</v>
      </c>
      <c r="G26" s="2"/>
      <c r="H26" s="7">
        <v>302.69145600000002</v>
      </c>
      <c r="I26" s="2"/>
      <c r="J26" s="6">
        <f t="shared" si="13"/>
        <v>3.2091288988783107E-3</v>
      </c>
      <c r="K26" s="2"/>
      <c r="L26" s="7">
        <f t="shared" si="14"/>
        <v>202.98854399999999</v>
      </c>
      <c r="M26" s="2"/>
      <c r="N26" s="6">
        <f t="shared" si="15"/>
        <v>0.67061207039818127</v>
      </c>
      <c r="O26" s="11"/>
      <c r="P26" s="7">
        <v>1520.23</v>
      </c>
      <c r="Q26" s="2"/>
      <c r="R26" s="6">
        <f t="shared" si="16"/>
        <v>1.063714931143625E-2</v>
      </c>
      <c r="S26" s="2"/>
      <c r="T26" s="7">
        <v>1249.64115075</v>
      </c>
      <c r="U26" s="2"/>
      <c r="V26" s="6">
        <f t="shared" si="17"/>
        <v>8.8644509396178829E-3</v>
      </c>
      <c r="W26" s="2"/>
      <c r="X26" s="7">
        <f t="shared" si="18"/>
        <v>270.58884925000007</v>
      </c>
      <c r="Y26" s="2"/>
      <c r="Z26" s="6">
        <f t="shared" si="19"/>
        <v>0.21653324163308815</v>
      </c>
    </row>
    <row r="27" spans="1:26" s="24" customFormat="1" hidden="1" outlineLevel="2" x14ac:dyDescent="0.25">
      <c r="A27" s="25"/>
      <c r="B27" s="11" t="str">
        <f>CONCATENATE("          ", "6112", " - ", "COMPENSATION INSURANCE")</f>
        <v xml:space="preserve">          6112 - COMPENSATION INSURANCE</v>
      </c>
      <c r="C27" s="11"/>
      <c r="D27" s="7">
        <v>239.07</v>
      </c>
      <c r="E27" s="2"/>
      <c r="F27" s="6">
        <f t="shared" si="12"/>
        <v>2.4669438603363266E-3</v>
      </c>
      <c r="G27" s="2"/>
      <c r="H27" s="7">
        <v>248.21029999999999</v>
      </c>
      <c r="I27" s="2"/>
      <c r="J27" s="6">
        <f t="shared" si="13"/>
        <v>2.6315207480757403E-3</v>
      </c>
      <c r="K27" s="2"/>
      <c r="L27" s="7">
        <f t="shared" si="14"/>
        <v>-9.1402999999999963</v>
      </c>
      <c r="M27" s="2"/>
      <c r="N27" s="6">
        <f t="shared" si="15"/>
        <v>-3.6824821532386032E-2</v>
      </c>
      <c r="O27" s="11"/>
      <c r="P27" s="7">
        <v>647.1</v>
      </c>
      <c r="Q27" s="2"/>
      <c r="R27" s="6">
        <f t="shared" si="16"/>
        <v>4.5278012665388775E-3</v>
      </c>
      <c r="S27" s="2"/>
      <c r="T27" s="7">
        <v>526.32422499999996</v>
      </c>
      <c r="U27" s="2"/>
      <c r="V27" s="6">
        <f t="shared" si="17"/>
        <v>3.733532036812932E-3</v>
      </c>
      <c r="W27" s="2"/>
      <c r="X27" s="7">
        <f t="shared" si="18"/>
        <v>120.77577500000007</v>
      </c>
      <c r="Y27" s="2"/>
      <c r="Z27" s="6">
        <f t="shared" si="19"/>
        <v>0.22947029466485241</v>
      </c>
    </row>
    <row r="28" spans="1:26" s="24" customFormat="1" hidden="1" outlineLevel="2" x14ac:dyDescent="0.25">
      <c r="A28" s="25"/>
      <c r="B28" s="11" t="str">
        <f>CONCATENATE("          ", "6113", " - ", "GROUP INSURANCE")</f>
        <v xml:space="preserve">          6113 - GROUP INSURANCE</v>
      </c>
      <c r="C28" s="11"/>
      <c r="D28" s="7">
        <v>1815.82</v>
      </c>
      <c r="E28" s="2"/>
      <c r="F28" s="6">
        <f t="shared" si="12"/>
        <v>1.8737298701116442E-2</v>
      </c>
      <c r="G28" s="2"/>
      <c r="H28" s="7">
        <v>1977</v>
      </c>
      <c r="I28" s="2"/>
      <c r="J28" s="6">
        <f t="shared" si="13"/>
        <v>2.0960115349547295E-2</v>
      </c>
      <c r="K28" s="2"/>
      <c r="L28" s="7">
        <f t="shared" si="14"/>
        <v>-161.18000000000006</v>
      </c>
      <c r="M28" s="2"/>
      <c r="N28" s="6">
        <f t="shared" si="15"/>
        <v>-8.1527567020738531E-2</v>
      </c>
      <c r="O28" s="11"/>
      <c r="P28" s="7">
        <v>5915.11</v>
      </c>
      <c r="Q28" s="2"/>
      <c r="R28" s="6">
        <f t="shared" si="16"/>
        <v>4.13884137686861E-2</v>
      </c>
      <c r="S28" s="2"/>
      <c r="T28" s="7">
        <v>5931</v>
      </c>
      <c r="U28" s="2"/>
      <c r="V28" s="6">
        <f t="shared" si="17"/>
        <v>4.2072124858660083E-2</v>
      </c>
      <c r="W28" s="2"/>
      <c r="X28" s="7">
        <f t="shared" si="18"/>
        <v>-15.890000000000327</v>
      </c>
      <c r="Y28" s="2"/>
      <c r="Z28" s="6">
        <f t="shared" si="19"/>
        <v>-2.6791434833924005E-3</v>
      </c>
    </row>
    <row r="29" spans="1:26" s="24" customFormat="1" hidden="1" outlineLevel="2" x14ac:dyDescent="0.25">
      <c r="A29" s="25"/>
      <c r="B29" s="11" t="str">
        <f>CONCATENATE("          ", "6114", " - ", "STATE UNEMPLOYMENT INSURANCE")</f>
        <v xml:space="preserve">          6114 - STATE UNEMPLOYMENT INSURANCE</v>
      </c>
      <c r="C29" s="11"/>
      <c r="D29" s="7">
        <v>32.71</v>
      </c>
      <c r="E29" s="2"/>
      <c r="F29" s="6">
        <f t="shared" si="12"/>
        <v>3.3753182612457122E-4</v>
      </c>
      <c r="G29" s="2"/>
      <c r="H29" s="7">
        <v>33.965620000000001</v>
      </c>
      <c r="I29" s="2"/>
      <c r="J29" s="6">
        <f t="shared" si="13"/>
        <v>3.6010283921036451E-4</v>
      </c>
      <c r="K29" s="2"/>
      <c r="L29" s="7">
        <f t="shared" si="14"/>
        <v>-1.2556200000000004</v>
      </c>
      <c r="M29" s="2"/>
      <c r="N29" s="6">
        <f t="shared" si="15"/>
        <v>-3.6967380545386785E-2</v>
      </c>
      <c r="O29" s="11"/>
      <c r="P29" s="7">
        <v>67.59</v>
      </c>
      <c r="Q29" s="2"/>
      <c r="R29" s="6">
        <f t="shared" si="16"/>
        <v>4.7293167610162684E-4</v>
      </c>
      <c r="S29" s="2"/>
      <c r="T29" s="7">
        <v>72.023314999999997</v>
      </c>
      <c r="U29" s="2"/>
      <c r="V29" s="6">
        <f t="shared" si="17"/>
        <v>5.1090438398492758E-4</v>
      </c>
      <c r="W29" s="2"/>
      <c r="X29" s="7">
        <f t="shared" si="18"/>
        <v>-4.4333149999999932</v>
      </c>
      <c r="Y29" s="2"/>
      <c r="Z29" s="6">
        <f t="shared" si="19"/>
        <v>-6.1553887098920582E-2</v>
      </c>
    </row>
    <row r="30" spans="1:26" s="24" customFormat="1" hidden="1" outlineLevel="2" x14ac:dyDescent="0.25">
      <c r="A30" s="25"/>
      <c r="B30" s="11" t="str">
        <f>CONCATENATE("          ", "6115", " - ", "P.E.R.S.")</f>
        <v xml:space="preserve">          6115 - P.E.R.S.</v>
      </c>
      <c r="C30" s="11"/>
      <c r="D30" s="7">
        <v>392.49</v>
      </c>
      <c r="E30" s="2"/>
      <c r="F30" s="6">
        <f t="shared" si="12"/>
        <v>4.05007234593803E-3</v>
      </c>
      <c r="G30" s="2"/>
      <c r="H30" s="7">
        <v>340.1472</v>
      </c>
      <c r="I30" s="2"/>
      <c r="J30" s="6">
        <f t="shared" si="13"/>
        <v>3.6062339645045694E-3</v>
      </c>
      <c r="K30" s="2"/>
      <c r="L30" s="7">
        <f t="shared" si="14"/>
        <v>52.342800000000011</v>
      </c>
      <c r="M30" s="2"/>
      <c r="N30" s="6">
        <f t="shared" si="15"/>
        <v>0.15388278956875145</v>
      </c>
      <c r="O30" s="11"/>
      <c r="P30" s="7">
        <v>1177.47</v>
      </c>
      <c r="Q30" s="2"/>
      <c r="R30" s="6">
        <f t="shared" si="16"/>
        <v>8.2388350445240805E-3</v>
      </c>
      <c r="S30" s="2"/>
      <c r="T30" s="7">
        <v>1105.4784</v>
      </c>
      <c r="U30" s="2"/>
      <c r="V30" s="6">
        <f t="shared" si="17"/>
        <v>7.8418184578236006E-3</v>
      </c>
      <c r="W30" s="2"/>
      <c r="X30" s="7">
        <f t="shared" si="18"/>
        <v>71.991600000000062</v>
      </c>
      <c r="Y30" s="2"/>
      <c r="Z30" s="6">
        <f t="shared" si="19"/>
        <v>6.5122574986539825E-2</v>
      </c>
    </row>
    <row r="31" spans="1:26" s="24" customFormat="1" hidden="1" outlineLevel="2" x14ac:dyDescent="0.25">
      <c r="A31" s="25"/>
      <c r="B31" s="11" t="str">
        <f>CONCATENATE("          ", "6116", " - ", "EDUCATIONAL BENEFITS")</f>
        <v xml:space="preserve">          6116 - EDUCATIONAL BENEFITS</v>
      </c>
      <c r="C31" s="11"/>
      <c r="D31" s="7"/>
      <c r="E31" s="2"/>
      <c r="F31" s="6">
        <f t="shared" si="12"/>
        <v>0</v>
      </c>
      <c r="G31" s="2"/>
      <c r="H31" s="7">
        <v>0</v>
      </c>
      <c r="I31" s="2"/>
      <c r="J31" s="6">
        <f t="shared" si="13"/>
        <v>0</v>
      </c>
      <c r="K31" s="2"/>
      <c r="L31" s="7">
        <f t="shared" si="14"/>
        <v>0</v>
      </c>
      <c r="M31" s="2"/>
      <c r="N31" s="6">
        <f t="shared" si="15"/>
        <v>0</v>
      </c>
      <c r="O31" s="11"/>
      <c r="P31" s="7"/>
      <c r="Q31" s="2"/>
      <c r="R31" s="6">
        <f t="shared" si="16"/>
        <v>0</v>
      </c>
      <c r="S31" s="2"/>
      <c r="T31" s="7">
        <v>0</v>
      </c>
      <c r="U31" s="2"/>
      <c r="V31" s="6">
        <f t="shared" si="17"/>
        <v>0</v>
      </c>
      <c r="W31" s="2"/>
      <c r="X31" s="7">
        <f t="shared" si="18"/>
        <v>0</v>
      </c>
      <c r="Y31" s="2"/>
      <c r="Z31" s="6">
        <f t="shared" si="19"/>
        <v>0</v>
      </c>
    </row>
    <row r="32" spans="1:26" s="24" customFormat="1" hidden="1" outlineLevel="2" x14ac:dyDescent="0.25">
      <c r="A32" s="25"/>
      <c r="B32" s="11" t="str">
        <f>CONCATENATE("          ", "6118", " - ", "VACATION")</f>
        <v xml:space="preserve">          6118 - VACATION</v>
      </c>
      <c r="C32" s="11"/>
      <c r="D32" s="7">
        <v>280.8</v>
      </c>
      <c r="E32" s="2"/>
      <c r="F32" s="6">
        <f t="shared" si="12"/>
        <v>2.8975523318795354E-3</v>
      </c>
      <c r="G32" s="2"/>
      <c r="H32" s="7">
        <v>197.76</v>
      </c>
      <c r="I32" s="2"/>
      <c r="J32" s="6">
        <f t="shared" si="13"/>
        <v>2.0966476537817263E-3</v>
      </c>
      <c r="K32" s="2"/>
      <c r="L32" s="7">
        <f t="shared" si="14"/>
        <v>83.04000000000002</v>
      </c>
      <c r="M32" s="2"/>
      <c r="N32" s="6">
        <f t="shared" si="15"/>
        <v>0.41990291262135937</v>
      </c>
      <c r="O32" s="11"/>
      <c r="P32" s="7">
        <v>842.4</v>
      </c>
      <c r="Q32" s="2"/>
      <c r="R32" s="6">
        <f t="shared" si="16"/>
        <v>5.8943282134636841E-3</v>
      </c>
      <c r="S32" s="2"/>
      <c r="T32" s="7">
        <v>642.72</v>
      </c>
      <c r="U32" s="2"/>
      <c r="V32" s="6">
        <f t="shared" si="17"/>
        <v>4.5591967778044187E-3</v>
      </c>
      <c r="W32" s="2"/>
      <c r="X32" s="7">
        <f t="shared" si="18"/>
        <v>199.67999999999995</v>
      </c>
      <c r="Y32" s="2"/>
      <c r="Z32" s="6">
        <f t="shared" si="19"/>
        <v>0.31067961165048535</v>
      </c>
    </row>
    <row r="33" spans="1:26" s="24" customFormat="1" hidden="1" outlineLevel="2" x14ac:dyDescent="0.25">
      <c r="A33" s="25"/>
      <c r="B33" s="11" t="str">
        <f>CONCATENATE("          ", "6119", " - ", "SICK LEAVE")</f>
        <v xml:space="preserve">          6119 - SICK LEAVE</v>
      </c>
      <c r="C33" s="11"/>
      <c r="D33" s="7">
        <v>177.12</v>
      </c>
      <c r="E33" s="2"/>
      <c r="F33" s="6">
        <f t="shared" si="12"/>
        <v>1.8276868554932453E-3</v>
      </c>
      <c r="G33" s="2"/>
      <c r="H33" s="7">
        <v>471.01499999999999</v>
      </c>
      <c r="I33" s="2"/>
      <c r="J33" s="6">
        <f t="shared" si="13"/>
        <v>4.9936918216322811E-3</v>
      </c>
      <c r="K33" s="2"/>
      <c r="L33" s="7">
        <f t="shared" si="14"/>
        <v>-293.89499999999998</v>
      </c>
      <c r="M33" s="2"/>
      <c r="N33" s="6">
        <f t="shared" si="15"/>
        <v>-0.62396102034967038</v>
      </c>
      <c r="O33" s="11"/>
      <c r="P33" s="7">
        <v>531.36</v>
      </c>
      <c r="Q33" s="2"/>
      <c r="R33" s="6">
        <f t="shared" si="16"/>
        <v>3.7179608731078627E-3</v>
      </c>
      <c r="S33" s="2"/>
      <c r="T33" s="7">
        <v>1088.12625</v>
      </c>
      <c r="U33" s="2"/>
      <c r="V33" s="6">
        <f t="shared" si="17"/>
        <v>7.7187292955632402E-3</v>
      </c>
      <c r="W33" s="2"/>
      <c r="X33" s="7">
        <f t="shared" si="18"/>
        <v>-556.76625000000001</v>
      </c>
      <c r="Y33" s="2"/>
      <c r="Z33" s="6">
        <f t="shared" si="19"/>
        <v>-0.51167431168947541</v>
      </c>
    </row>
    <row r="34" spans="1:26" s="24" customFormat="1" hidden="1" outlineLevel="2" x14ac:dyDescent="0.25">
      <c r="A34" s="25"/>
      <c r="B34" s="11" t="str">
        <f>CONCATENATE("          ", "6156", " - ", "EMPLOYEE MEALS")</f>
        <v xml:space="preserve">          6156 - EMPLOYEE MEALS</v>
      </c>
      <c r="C34" s="11"/>
      <c r="D34" s="7">
        <v>170.92</v>
      </c>
      <c r="E34" s="2"/>
      <c r="F34" s="6">
        <f t="shared" si="12"/>
        <v>1.7637095604161328E-3</v>
      </c>
      <c r="G34" s="2"/>
      <c r="H34" s="7"/>
      <c r="I34" s="2"/>
      <c r="J34" s="6">
        <f t="shared" si="13"/>
        <v>0</v>
      </c>
      <c r="K34" s="2"/>
      <c r="L34" s="7">
        <f t="shared" si="14"/>
        <v>170.92</v>
      </c>
      <c r="M34" s="2"/>
      <c r="N34" s="6">
        <f t="shared" si="15"/>
        <v>0</v>
      </c>
      <c r="O34" s="11"/>
      <c r="P34" s="7">
        <v>468.28</v>
      </c>
      <c r="Q34" s="2"/>
      <c r="R34" s="6">
        <f t="shared" si="16"/>
        <v>3.2765859636761326E-3</v>
      </c>
      <c r="S34" s="2"/>
      <c r="T34" s="7">
        <v>125</v>
      </c>
      <c r="U34" s="2"/>
      <c r="V34" s="6">
        <f t="shared" si="17"/>
        <v>8.8669964716447654E-4</v>
      </c>
      <c r="W34" s="2"/>
      <c r="X34" s="7">
        <f t="shared" si="18"/>
        <v>343.28</v>
      </c>
      <c r="Y34" s="2"/>
      <c r="Z34" s="6">
        <f t="shared" si="19"/>
        <v>2.7462399999999998</v>
      </c>
    </row>
    <row r="35" spans="1:26" s="26" customFormat="1" outlineLevel="1" collapsed="1" x14ac:dyDescent="0.25">
      <c r="A35" s="27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12057.39</v>
      </c>
      <c r="E35" s="1"/>
      <c r="F35" s="5">
        <f t="shared" ref="F35:F45" si="20">IF(D$12=0,0,D35/D$12)</f>
        <v>0.12441922546610037</v>
      </c>
      <c r="G35" s="1"/>
      <c r="H35" s="1">
        <f>SUM(OSRRefH22_1x_0)</f>
        <v>12394.924999999999</v>
      </c>
      <c r="I35" s="1"/>
      <c r="J35" s="5">
        <f t="shared" ref="J35:J45" si="21">IF(H$12=0,0,H35/H$12)</f>
        <v>0.13141075252857232</v>
      </c>
      <c r="K35" s="1"/>
      <c r="L35" s="1">
        <f t="shared" ref="L35:L45" si="22">+D35-H35</f>
        <v>-337.53499999999985</v>
      </c>
      <c r="M35" s="1"/>
      <c r="N35" s="5">
        <f t="shared" ref="N35:N45" si="23">IF(H35=0,0,L35/H35)</f>
        <v>-2.7231709752176789E-2</v>
      </c>
      <c r="O35" s="13"/>
      <c r="P35" s="1">
        <f>SUM(OSRRefP22_1x_0)</f>
        <v>27796.97</v>
      </c>
      <c r="Q35" s="1"/>
      <c r="R35" s="5">
        <f t="shared" ref="R35:R45" si="24">IF(P$12=0,0,P35/P$12)</f>
        <v>0.19449722758761115</v>
      </c>
      <c r="S35" s="1"/>
      <c r="T35" s="1">
        <f>SUM(OSRRefT22_1x_0)</f>
        <v>25970.428749999999</v>
      </c>
      <c r="U35" s="1"/>
      <c r="V35" s="5">
        <f t="shared" ref="V35:V45" si="25">IF(T$12=0,0,T35/T$12)</f>
        <v>0.18422376007468141</v>
      </c>
      <c r="W35" s="1"/>
      <c r="X35" s="1">
        <f t="shared" ref="X35:X45" si="26">+P35-T35</f>
        <v>1826.541250000002</v>
      </c>
      <c r="Y35" s="1"/>
      <c r="Z35" s="5">
        <f t="shared" ref="Z35:Z45" si="27">IF(T35=0,0,X35/T35)</f>
        <v>7.0331578565101749E-2</v>
      </c>
    </row>
    <row r="36" spans="1:26" s="24" customFormat="1" hidden="1" outlineLevel="2" x14ac:dyDescent="0.25">
      <c r="A36" s="25"/>
      <c r="B36" s="11" t="str">
        <f>CONCATENATE("          ", "6001", " - ", "ADMINISTRATIVE SALARIES")</f>
        <v xml:space="preserve">          6001 - ADMINISTRATIVE SALARIES</v>
      </c>
      <c r="C36" s="11"/>
      <c r="D36" s="7"/>
      <c r="E36" s="2"/>
      <c r="F36" s="6">
        <f t="shared" si="20"/>
        <v>0</v>
      </c>
      <c r="G36" s="2"/>
      <c r="H36" s="7">
        <v>0</v>
      </c>
      <c r="I36" s="2"/>
      <c r="J36" s="6">
        <f t="shared" si="21"/>
        <v>0</v>
      </c>
      <c r="K36" s="2"/>
      <c r="L36" s="7">
        <f t="shared" si="22"/>
        <v>0</v>
      </c>
      <c r="M36" s="2"/>
      <c r="N36" s="6">
        <f t="shared" si="23"/>
        <v>0</v>
      </c>
      <c r="O36" s="11"/>
      <c r="P36" s="7"/>
      <c r="Q36" s="2"/>
      <c r="R36" s="6">
        <f t="shared" si="24"/>
        <v>0</v>
      </c>
      <c r="S36" s="2"/>
      <c r="T36" s="7">
        <v>0</v>
      </c>
      <c r="U36" s="2"/>
      <c r="V36" s="6">
        <f t="shared" si="25"/>
        <v>0</v>
      </c>
      <c r="W36" s="2"/>
      <c r="X36" s="7">
        <f t="shared" si="26"/>
        <v>0</v>
      </c>
      <c r="Y36" s="2"/>
      <c r="Z36" s="6">
        <f t="shared" si="27"/>
        <v>0</v>
      </c>
    </row>
    <row r="37" spans="1:26" s="24" customFormat="1" hidden="1" outlineLevel="2" x14ac:dyDescent="0.25">
      <c r="A37" s="25"/>
      <c r="B37" s="11" t="str">
        <f>CONCATENATE("          ", "6002", " - ", "STAFF SALARIES")</f>
        <v xml:space="preserve">          6002 - STAFF SALARIES</v>
      </c>
      <c r="C37" s="11"/>
      <c r="D37" s="7">
        <v>3840</v>
      </c>
      <c r="E37" s="2"/>
      <c r="F37" s="6">
        <f t="shared" si="20"/>
        <v>3.9624647273566294E-2</v>
      </c>
      <c r="G37" s="2"/>
      <c r="H37" s="7">
        <v>3559.68</v>
      </c>
      <c r="I37" s="2"/>
      <c r="J37" s="6">
        <f t="shared" si="21"/>
        <v>3.7739657768071075E-2</v>
      </c>
      <c r="K37" s="2"/>
      <c r="L37" s="7">
        <f t="shared" si="22"/>
        <v>280.32000000000016</v>
      </c>
      <c r="M37" s="2"/>
      <c r="N37" s="6">
        <f t="shared" si="23"/>
        <v>7.874865156418559E-2</v>
      </c>
      <c r="O37" s="11"/>
      <c r="P37" s="7">
        <v>11712</v>
      </c>
      <c r="Q37" s="2"/>
      <c r="R37" s="6">
        <f t="shared" si="24"/>
        <v>8.1949634420805648E-2</v>
      </c>
      <c r="S37" s="2"/>
      <c r="T37" s="7">
        <v>11568.96</v>
      </c>
      <c r="U37" s="2"/>
      <c r="V37" s="6">
        <f t="shared" si="25"/>
        <v>8.2065542000479524E-2</v>
      </c>
      <c r="W37" s="2"/>
      <c r="X37" s="7">
        <f t="shared" si="26"/>
        <v>143.04000000000087</v>
      </c>
      <c r="Y37" s="2"/>
      <c r="Z37" s="6">
        <f t="shared" si="27"/>
        <v>1.2364119160235741E-2</v>
      </c>
    </row>
    <row r="38" spans="1:26" s="24" customFormat="1" hidden="1" outlineLevel="2" x14ac:dyDescent="0.25">
      <c r="A38" s="25"/>
      <c r="B38" s="11" t="str">
        <f>CONCATENATE("          ", "6003", " - ", "STAFF HOURLY-9 MONTH")</f>
        <v xml:space="preserve">          6003 - STAFF HOURLY-9 MONTH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5"/>
      <c r="B39" s="11" t="str">
        <f>CONCATENATE("          ", "6004", " - ", "STAFF HOURLY")</f>
        <v xml:space="preserve">          6004 - STAFF HOURLY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>
        <v>254.64</v>
      </c>
      <c r="Q39" s="2"/>
      <c r="R39" s="6">
        <f t="shared" si="24"/>
        <v>1.781732830337598E-3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254.64</v>
      </c>
      <c r="Y39" s="2"/>
      <c r="Z39" s="6">
        <f t="shared" si="27"/>
        <v>0</v>
      </c>
    </row>
    <row r="40" spans="1:26" s="24" customFormat="1" hidden="1" outlineLevel="2" x14ac:dyDescent="0.25">
      <c r="A40" s="25"/>
      <c r="B40" s="11" t="str">
        <f>CONCATENATE("          ", "6005", " - ", "TEMPORARY WAGES-HOURLY")</f>
        <v xml:space="preserve">          6005 - TEMPORARY WAGES-HOURLY</v>
      </c>
      <c r="C40" s="11"/>
      <c r="D40" s="7">
        <v>2770.19</v>
      </c>
      <c r="E40" s="2"/>
      <c r="F40" s="6">
        <f t="shared" si="20"/>
        <v>2.8585365008010576E-2</v>
      </c>
      <c r="G40" s="2"/>
      <c r="H40" s="7">
        <v>1480.22</v>
      </c>
      <c r="I40" s="2"/>
      <c r="J40" s="6">
        <f t="shared" si="21"/>
        <v>1.5693263501622104E-2</v>
      </c>
      <c r="K40" s="2"/>
      <c r="L40" s="7">
        <f t="shared" si="22"/>
        <v>1289.97</v>
      </c>
      <c r="M40" s="2"/>
      <c r="N40" s="6">
        <f t="shared" si="23"/>
        <v>0.87147180824472037</v>
      </c>
      <c r="O40" s="11"/>
      <c r="P40" s="7">
        <v>3990.13</v>
      </c>
      <c r="Q40" s="2"/>
      <c r="R40" s="6">
        <f t="shared" si="24"/>
        <v>2.7919202082606662E-2</v>
      </c>
      <c r="S40" s="2"/>
      <c r="T40" s="7">
        <v>2267.86</v>
      </c>
      <c r="U40" s="2"/>
      <c r="V40" s="6">
        <f t="shared" si="25"/>
        <v>1.6087285294547438E-2</v>
      </c>
      <c r="W40" s="2"/>
      <c r="X40" s="7">
        <f t="shared" si="26"/>
        <v>1722.27</v>
      </c>
      <c r="Y40" s="2"/>
      <c r="Z40" s="6">
        <f t="shared" si="27"/>
        <v>0.75942518497614486</v>
      </c>
    </row>
    <row r="41" spans="1:26" s="24" customFormat="1" hidden="1" outlineLevel="2" x14ac:dyDescent="0.25">
      <c r="A41" s="25"/>
      <c r="B41" s="11" t="str">
        <f>CONCATENATE("          ", "6006", " - ", "TEMPORARY PART TIME")</f>
        <v xml:space="preserve">          6006 - TEMPORARY PART TIME</v>
      </c>
      <c r="C41" s="11"/>
      <c r="D41" s="7"/>
      <c r="E41" s="2"/>
      <c r="F41" s="6">
        <f t="shared" si="20"/>
        <v>0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0</v>
      </c>
      <c r="M41" s="2"/>
      <c r="N41" s="6">
        <f t="shared" si="23"/>
        <v>0</v>
      </c>
      <c r="O41" s="11"/>
      <c r="P41" s="7"/>
      <c r="Q41" s="2"/>
      <c r="R41" s="6">
        <f t="shared" si="24"/>
        <v>0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0</v>
      </c>
      <c r="Y41" s="2"/>
      <c r="Z41" s="6">
        <f t="shared" si="27"/>
        <v>0</v>
      </c>
    </row>
    <row r="42" spans="1:26" s="24" customFormat="1" hidden="1" outlineLevel="2" x14ac:dyDescent="0.25">
      <c r="A42" s="25"/>
      <c r="B42" s="11" t="str">
        <f>CONCATENATE("          ", "6007", " - ", "STUDENT HOURLY")</f>
        <v xml:space="preserve">          6007 - STUDENT HOURLY</v>
      </c>
      <c r="C42" s="11"/>
      <c r="D42" s="7">
        <v>4319.2</v>
      </c>
      <c r="E42" s="2"/>
      <c r="F42" s="6">
        <f t="shared" si="20"/>
        <v>4.4569473047913415E-2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4319.2</v>
      </c>
      <c r="M42" s="2"/>
      <c r="N42" s="6">
        <f t="shared" si="23"/>
        <v>0</v>
      </c>
      <c r="O42" s="11"/>
      <c r="P42" s="7">
        <v>10604.2</v>
      </c>
      <c r="Q42" s="2"/>
      <c r="R42" s="6">
        <f t="shared" si="24"/>
        <v>7.4198284949206564E-2</v>
      </c>
      <c r="S42" s="2"/>
      <c r="T42" s="7">
        <v>3370.1437500000002</v>
      </c>
      <c r="U42" s="2"/>
      <c r="V42" s="6">
        <f t="shared" si="25"/>
        <v>2.3906442192148526E-2</v>
      </c>
      <c r="W42" s="2"/>
      <c r="X42" s="7">
        <f t="shared" si="26"/>
        <v>7234.0562500000005</v>
      </c>
      <c r="Y42" s="2"/>
      <c r="Z42" s="6">
        <f t="shared" si="27"/>
        <v>2.1465126673009127</v>
      </c>
    </row>
    <row r="43" spans="1:26" s="24" customFormat="1" hidden="1" outlineLevel="2" x14ac:dyDescent="0.25">
      <c r="A43" s="25"/>
      <c r="B43" s="11" t="str">
        <f>CONCATENATE("          ", "6008", " - ", "STUDENT HOURLY-FICA EXEMPT")</f>
        <v xml:space="preserve">          6008 - STUDENT HOURLY-FICA EXEMPT</v>
      </c>
      <c r="C43" s="11"/>
      <c r="D43" s="7">
        <v>1128</v>
      </c>
      <c r="E43" s="2"/>
      <c r="F43" s="6">
        <f t="shared" si="20"/>
        <v>1.1639740136610099E-2</v>
      </c>
      <c r="G43" s="2"/>
      <c r="H43" s="7">
        <v>7355.0249999999996</v>
      </c>
      <c r="I43" s="2"/>
      <c r="J43" s="6">
        <f t="shared" si="21"/>
        <v>7.7977831258879152E-2</v>
      </c>
      <c r="K43" s="2"/>
      <c r="L43" s="7">
        <f t="shared" si="22"/>
        <v>-6227.0249999999996</v>
      </c>
      <c r="M43" s="2"/>
      <c r="N43" s="6">
        <f t="shared" si="23"/>
        <v>-0.84663546350964136</v>
      </c>
      <c r="O43" s="11"/>
      <c r="P43" s="7">
        <v>1236</v>
      </c>
      <c r="Q43" s="2"/>
      <c r="R43" s="6">
        <f t="shared" si="24"/>
        <v>8.648373304654693E-3</v>
      </c>
      <c r="S43" s="2"/>
      <c r="T43" s="7">
        <v>8763.4649999999983</v>
      </c>
      <c r="U43" s="2"/>
      <c r="V43" s="6">
        <f t="shared" si="25"/>
        <v>6.2164490587505901E-2</v>
      </c>
      <c r="W43" s="2"/>
      <c r="X43" s="7">
        <f t="shared" si="26"/>
        <v>-7527.4649999999983</v>
      </c>
      <c r="Y43" s="2"/>
      <c r="Z43" s="6">
        <f t="shared" si="27"/>
        <v>-0.85895989771169279</v>
      </c>
    </row>
    <row r="44" spans="1:26" s="24" customFormat="1" hidden="1" outlineLevel="2" x14ac:dyDescent="0.25">
      <c r="A44" s="25"/>
      <c r="B44" s="11" t="str">
        <f>CONCATENATE("          ", "6009", " - ", "TEMPORARY-SEASONAL")</f>
        <v xml:space="preserve">          6009 - TEMPORARY-SEASONAL</v>
      </c>
      <c r="C44" s="11"/>
      <c r="D44" s="7"/>
      <c r="E44" s="2"/>
      <c r="F44" s="6">
        <f t="shared" si="20"/>
        <v>0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0</v>
      </c>
      <c r="M44" s="2"/>
      <c r="N44" s="6">
        <f t="shared" si="23"/>
        <v>0</v>
      </c>
      <c r="O44" s="11"/>
      <c r="P44" s="7"/>
      <c r="Q44" s="2"/>
      <c r="R44" s="6">
        <f t="shared" si="24"/>
        <v>0</v>
      </c>
      <c r="S44" s="2"/>
      <c r="T44" s="7">
        <v>0</v>
      </c>
      <c r="U44" s="2"/>
      <c r="V44" s="6">
        <f t="shared" si="25"/>
        <v>0</v>
      </c>
      <c r="W44" s="2"/>
      <c r="X44" s="7">
        <f t="shared" si="26"/>
        <v>0</v>
      </c>
      <c r="Y44" s="2"/>
      <c r="Z44" s="6">
        <f t="shared" si="27"/>
        <v>0</v>
      </c>
    </row>
    <row r="45" spans="1:26" s="24" customFormat="1" hidden="1" outlineLevel="2" x14ac:dyDescent="0.25">
      <c r="A45" s="25"/>
      <c r="B45" s="11" t="str">
        <f>CONCATENATE("          ", "6010", " - ", "GRATUITY")</f>
        <v xml:space="preserve">          6010 - GRATUITY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26" customFormat="1" outlineLevel="1" collapsed="1" x14ac:dyDescent="0.25">
      <c r="A46" s="27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0</v>
      </c>
      <c r="E46" s="1"/>
      <c r="F46" s="5">
        <f t="shared" ref="F46:F55" si="28">IF(D$12=0,0,D46/D$12)</f>
        <v>0</v>
      </c>
      <c r="G46" s="1"/>
      <c r="H46" s="1">
        <f>SUM(OSRRefH22_2x_0)</f>
        <v>75</v>
      </c>
      <c r="I46" s="1"/>
      <c r="J46" s="5">
        <f t="shared" ref="J46:J55" si="29">IF(H$12=0,0,H46/H$12)</f>
        <v>7.9514853374610382E-4</v>
      </c>
      <c r="K46" s="1"/>
      <c r="L46" s="1">
        <f t="shared" ref="L46:L55" si="30">+D46-H46</f>
        <v>-75</v>
      </c>
      <c r="M46" s="1"/>
      <c r="N46" s="5">
        <f t="shared" ref="N46:N55" si="31">IF(H46=0,0,L46/H46)</f>
        <v>-1</v>
      </c>
      <c r="O46" s="13"/>
      <c r="P46" s="1">
        <f>SUM(OSRRefP22_2x_0)</f>
        <v>79.78</v>
      </c>
      <c r="Q46" s="1"/>
      <c r="R46" s="5">
        <f t="shared" ref="R46:R55" si="32">IF(P$12=0,0,P46/P$12)</f>
        <v>5.5822590796549476E-4</v>
      </c>
      <c r="S46" s="1"/>
      <c r="T46" s="1">
        <f>SUM(OSRRefT22_2x_0)</f>
        <v>300</v>
      </c>
      <c r="U46" s="1"/>
      <c r="V46" s="5">
        <f t="shared" ref="V46:V55" si="33">IF(T$12=0,0,T46/T$12)</f>
        <v>2.1280791531947435E-3</v>
      </c>
      <c r="W46" s="1"/>
      <c r="X46" s="1">
        <f t="shared" ref="X46:X55" si="34">+P46-T46</f>
        <v>-220.22</v>
      </c>
      <c r="Y46" s="1"/>
      <c r="Z46" s="5">
        <f t="shared" ref="Z46:Z55" si="35">IF(T46=0,0,X46/T46)</f>
        <v>-0.73406666666666665</v>
      </c>
    </row>
    <row r="47" spans="1:26" s="24" customFormat="1" hidden="1" outlineLevel="2" x14ac:dyDescent="0.25">
      <c r="A47" s="25"/>
      <c r="B47" s="11" t="str">
        <f>CONCATENATE("          ", "6362", " - ", "ADVERTISING EXPENSE")</f>
        <v xml:space="preserve">          6362 - ADVERTISING EXPENSE</v>
      </c>
      <c r="C47" s="11"/>
      <c r="D47" s="7"/>
      <c r="E47" s="2"/>
      <c r="F47" s="6">
        <f t="shared" si="28"/>
        <v>0</v>
      </c>
      <c r="G47" s="2"/>
      <c r="H47" s="7">
        <v>75</v>
      </c>
      <c r="I47" s="2"/>
      <c r="J47" s="6">
        <f t="shared" si="29"/>
        <v>7.9514853374610382E-4</v>
      </c>
      <c r="K47" s="2"/>
      <c r="L47" s="7">
        <f t="shared" si="30"/>
        <v>-75</v>
      </c>
      <c r="M47" s="2"/>
      <c r="N47" s="6">
        <f t="shared" si="31"/>
        <v>-1</v>
      </c>
      <c r="O47" s="11"/>
      <c r="P47" s="7">
        <v>79.78</v>
      </c>
      <c r="Q47" s="2"/>
      <c r="R47" s="6">
        <f t="shared" si="32"/>
        <v>5.5822590796549476E-4</v>
      </c>
      <c r="S47" s="2"/>
      <c r="T47" s="7">
        <v>300</v>
      </c>
      <c r="U47" s="2"/>
      <c r="V47" s="6">
        <f t="shared" si="33"/>
        <v>2.1280791531947435E-3</v>
      </c>
      <c r="W47" s="2"/>
      <c r="X47" s="7">
        <f t="shared" si="34"/>
        <v>-220.22</v>
      </c>
      <c r="Y47" s="2"/>
      <c r="Z47" s="6">
        <f t="shared" si="35"/>
        <v>-0.73406666666666665</v>
      </c>
    </row>
    <row r="48" spans="1:26" s="26" customFormat="1" outlineLevel="1" collapsed="1" x14ac:dyDescent="0.25">
      <c r="A48" s="27"/>
      <c r="B48" s="13" t="str">
        <f>CONCATENATE("     ","Bad Debts/Over/Short                              ")</f>
        <v xml:space="preserve">     Bad Debts/Over/Short                              </v>
      </c>
      <c r="C48" s="13"/>
      <c r="D48" s="1">
        <f>SUM(OSRRefD22_3x_0)</f>
        <v>-8.31</v>
      </c>
      <c r="E48" s="1"/>
      <c r="F48" s="5">
        <f t="shared" si="28"/>
        <v>-8.5750213240452054E-5</v>
      </c>
      <c r="G48" s="1"/>
      <c r="H48" s="1">
        <f>SUM(OSRRefH22_3x_0)</f>
        <v>10</v>
      </c>
      <c r="I48" s="1"/>
      <c r="J48" s="5">
        <f t="shared" si="29"/>
        <v>1.060198044994805E-4</v>
      </c>
      <c r="K48" s="1"/>
      <c r="L48" s="1">
        <f t="shared" si="30"/>
        <v>-18.310000000000002</v>
      </c>
      <c r="M48" s="1"/>
      <c r="N48" s="5">
        <f t="shared" si="31"/>
        <v>-1.8310000000000002</v>
      </c>
      <c r="O48" s="13"/>
      <c r="P48" s="1">
        <f>SUM(OSRRefP22_3x_0)</f>
        <v>-22.06</v>
      </c>
      <c r="Q48" s="1"/>
      <c r="R48" s="5">
        <f t="shared" si="32"/>
        <v>-1.5435527111705706E-4</v>
      </c>
      <c r="S48" s="1"/>
      <c r="T48" s="1">
        <f>SUM(OSRRefT22_3x_0)</f>
        <v>30</v>
      </c>
      <c r="U48" s="1"/>
      <c r="V48" s="5">
        <f t="shared" si="33"/>
        <v>2.1280791531947437E-4</v>
      </c>
      <c r="W48" s="1"/>
      <c r="X48" s="1">
        <f t="shared" si="34"/>
        <v>-52.06</v>
      </c>
      <c r="Y48" s="1"/>
      <c r="Z48" s="5">
        <f t="shared" si="35"/>
        <v>-1.7353333333333334</v>
      </c>
    </row>
    <row r="49" spans="1:26" s="24" customFormat="1" hidden="1" outlineLevel="2" x14ac:dyDescent="0.25">
      <c r="A49" s="25"/>
      <c r="B49" s="11" t="str">
        <f>CONCATENATE("          ", "6272", " - ", "CASH (OVER/SHORT)")</f>
        <v xml:space="preserve">          6272 - CASH (OVER/SHORT)</v>
      </c>
      <c r="C49" s="11"/>
      <c r="D49" s="7">
        <v>-8.31</v>
      </c>
      <c r="E49" s="2"/>
      <c r="F49" s="6">
        <f t="shared" si="28"/>
        <v>-8.5750213240452054E-5</v>
      </c>
      <c r="G49" s="2"/>
      <c r="H49" s="7">
        <v>10</v>
      </c>
      <c r="I49" s="2"/>
      <c r="J49" s="6">
        <f t="shared" si="29"/>
        <v>1.060198044994805E-4</v>
      </c>
      <c r="K49" s="2"/>
      <c r="L49" s="7">
        <f t="shared" si="30"/>
        <v>-18.310000000000002</v>
      </c>
      <c r="M49" s="2"/>
      <c r="N49" s="6">
        <f t="shared" si="31"/>
        <v>-1.8310000000000002</v>
      </c>
      <c r="O49" s="11"/>
      <c r="P49" s="7">
        <v>-22.06</v>
      </c>
      <c r="Q49" s="2"/>
      <c r="R49" s="6">
        <f t="shared" si="32"/>
        <v>-1.5435527111705706E-4</v>
      </c>
      <c r="S49" s="2"/>
      <c r="T49" s="7">
        <v>30</v>
      </c>
      <c r="U49" s="2"/>
      <c r="V49" s="6">
        <f t="shared" si="33"/>
        <v>2.1280791531947437E-4</v>
      </c>
      <c r="W49" s="2"/>
      <c r="X49" s="7">
        <f t="shared" si="34"/>
        <v>-52.06</v>
      </c>
      <c r="Y49" s="2"/>
      <c r="Z49" s="6">
        <f t="shared" si="35"/>
        <v>-1.7353333333333334</v>
      </c>
    </row>
    <row r="50" spans="1:26" s="26" customFormat="1" outlineLevel="1" collapsed="1" x14ac:dyDescent="0.25">
      <c r="A50" s="27"/>
      <c r="B50" s="13" t="str">
        <f>CONCATENATE("     ","Bank/card Fees                                    ")</f>
        <v xml:space="preserve">     Bank/card Fees                                    </v>
      </c>
      <c r="C50" s="13"/>
      <c r="D50" s="1">
        <f>SUM(OSRRefD22_4x_0)</f>
        <v>3523.37</v>
      </c>
      <c r="E50" s="1"/>
      <c r="F50" s="5">
        <f t="shared" si="28"/>
        <v>3.6357368089652412E-2</v>
      </c>
      <c r="G50" s="1"/>
      <c r="H50" s="1">
        <f>SUM(OSRRefH22_4x_0)</f>
        <v>3395</v>
      </c>
      <c r="I50" s="1"/>
      <c r="J50" s="5">
        <f t="shared" si="29"/>
        <v>3.599372362757363E-2</v>
      </c>
      <c r="K50" s="1"/>
      <c r="L50" s="1">
        <f t="shared" si="30"/>
        <v>128.36999999999989</v>
      </c>
      <c r="M50" s="1"/>
      <c r="N50" s="5">
        <f t="shared" si="31"/>
        <v>3.7811487481590543E-2</v>
      </c>
      <c r="O50" s="13"/>
      <c r="P50" s="1">
        <f>SUM(OSRRefP22_4x_0)</f>
        <v>5006.3900000000003</v>
      </c>
      <c r="Q50" s="1"/>
      <c r="R50" s="5">
        <f t="shared" si="32"/>
        <v>3.5030040152661986E-2</v>
      </c>
      <c r="S50" s="1"/>
      <c r="T50" s="1">
        <f>SUM(OSRRefT22_4x_0)</f>
        <v>4781</v>
      </c>
      <c r="U50" s="1"/>
      <c r="V50" s="5">
        <f t="shared" si="33"/>
        <v>3.3914488104746898E-2</v>
      </c>
      <c r="W50" s="1"/>
      <c r="X50" s="1">
        <f t="shared" si="34"/>
        <v>225.39000000000033</v>
      </c>
      <c r="Y50" s="1"/>
      <c r="Z50" s="5">
        <f t="shared" si="35"/>
        <v>4.7142857142857209E-2</v>
      </c>
    </row>
    <row r="51" spans="1:26" s="24" customFormat="1" hidden="1" outlineLevel="2" x14ac:dyDescent="0.25">
      <c r="A51" s="25"/>
      <c r="B51" s="11" t="str">
        <f>CONCATENATE("          ", "6381", " - ", "BANK/CREDIT CARD FEES")</f>
        <v xml:space="preserve">          6381 - BANK/CREDIT CARD FEES</v>
      </c>
      <c r="C51" s="11"/>
      <c r="D51" s="7">
        <v>3523.37</v>
      </c>
      <c r="E51" s="2"/>
      <c r="F51" s="6">
        <f t="shared" si="28"/>
        <v>3.6357368089652412E-2</v>
      </c>
      <c r="G51" s="2"/>
      <c r="H51" s="7">
        <v>3395</v>
      </c>
      <c r="I51" s="2"/>
      <c r="J51" s="6">
        <f t="shared" si="29"/>
        <v>3.599372362757363E-2</v>
      </c>
      <c r="K51" s="2"/>
      <c r="L51" s="7">
        <f t="shared" si="30"/>
        <v>128.36999999999989</v>
      </c>
      <c r="M51" s="2"/>
      <c r="N51" s="6">
        <f t="shared" si="31"/>
        <v>3.7811487481590543E-2</v>
      </c>
      <c r="O51" s="11"/>
      <c r="P51" s="7">
        <v>5006.3900000000003</v>
      </c>
      <c r="Q51" s="2"/>
      <c r="R51" s="6">
        <f t="shared" si="32"/>
        <v>3.5030040152661986E-2</v>
      </c>
      <c r="S51" s="2"/>
      <c r="T51" s="7">
        <v>4781</v>
      </c>
      <c r="U51" s="2"/>
      <c r="V51" s="6">
        <f t="shared" si="33"/>
        <v>3.3914488104746898E-2</v>
      </c>
      <c r="W51" s="2"/>
      <c r="X51" s="7">
        <f t="shared" si="34"/>
        <v>225.39000000000033</v>
      </c>
      <c r="Y51" s="2"/>
      <c r="Z51" s="6">
        <f t="shared" si="35"/>
        <v>4.7142857142857209E-2</v>
      </c>
    </row>
    <row r="52" spans="1:26" s="26" customFormat="1" outlineLevel="1" collapsed="1" x14ac:dyDescent="0.25">
      <c r="A52" s="27"/>
      <c r="B52" s="13" t="str">
        <f>CONCATENATE("     ","Depreciation                                      ")</f>
        <v xml:space="preserve">     Depreciation                                      </v>
      </c>
      <c r="C52" s="13"/>
      <c r="D52" s="1">
        <f>SUM(OSRRefD22_5x_0)</f>
        <v>5421.37</v>
      </c>
      <c r="E52" s="1"/>
      <c r="F52" s="5">
        <f t="shared" si="28"/>
        <v>5.5942675518097416E-2</v>
      </c>
      <c r="G52" s="1"/>
      <c r="H52" s="1">
        <f>SUM(OSRRefH22_5x_0)</f>
        <v>5609</v>
      </c>
      <c r="I52" s="1"/>
      <c r="J52" s="5">
        <f t="shared" si="29"/>
        <v>5.9466508343758613E-2</v>
      </c>
      <c r="K52" s="1"/>
      <c r="L52" s="1">
        <f t="shared" si="30"/>
        <v>-187.63000000000011</v>
      </c>
      <c r="M52" s="1"/>
      <c r="N52" s="5">
        <f t="shared" si="31"/>
        <v>-3.3451595649848474E-2</v>
      </c>
      <c r="O52" s="13"/>
      <c r="P52" s="1">
        <f>SUM(OSRRefP22_5x_0)</f>
        <v>16264.109999999999</v>
      </c>
      <c r="Q52" s="1"/>
      <c r="R52" s="5">
        <f t="shared" si="32"/>
        <v>0.113801047530718</v>
      </c>
      <c r="S52" s="1"/>
      <c r="T52" s="1">
        <f>SUM(OSRRefT22_5x_0)</f>
        <v>16467</v>
      </c>
      <c r="U52" s="1"/>
      <c r="V52" s="5">
        <f t="shared" si="33"/>
        <v>0.11681026471885948</v>
      </c>
      <c r="W52" s="1"/>
      <c r="X52" s="1">
        <f t="shared" si="34"/>
        <v>-202.89000000000124</v>
      </c>
      <c r="Y52" s="1"/>
      <c r="Z52" s="5">
        <f t="shared" si="35"/>
        <v>-1.232100564765903E-2</v>
      </c>
    </row>
    <row r="53" spans="1:26" s="24" customFormat="1" hidden="1" outlineLevel="2" x14ac:dyDescent="0.25">
      <c r="A53" s="25"/>
      <c r="B53" s="11" t="str">
        <f>CONCATENATE("          ", "6321", " - ", "BUILDING DEPRECIATION")</f>
        <v xml:space="preserve">          6321 - BUILDING DEPRECIATION</v>
      </c>
      <c r="C53" s="11"/>
      <c r="D53" s="7">
        <v>5080.51</v>
      </c>
      <c r="E53" s="2"/>
      <c r="F53" s="6">
        <f t="shared" si="28"/>
        <v>5.2425368937454767E-2</v>
      </c>
      <c r="G53" s="2"/>
      <c r="H53" s="7">
        <v>5081</v>
      </c>
      <c r="I53" s="2"/>
      <c r="J53" s="6">
        <f t="shared" si="29"/>
        <v>5.3868662666186042E-2</v>
      </c>
      <c r="K53" s="2"/>
      <c r="L53" s="7">
        <f t="shared" si="30"/>
        <v>-0.48999999999978172</v>
      </c>
      <c r="M53" s="2"/>
      <c r="N53" s="6">
        <f t="shared" si="31"/>
        <v>-9.6437709112336489E-5</v>
      </c>
      <c r="O53" s="11"/>
      <c r="P53" s="7">
        <v>15241.529999999999</v>
      </c>
      <c r="Q53" s="2"/>
      <c r="R53" s="6">
        <f t="shared" si="32"/>
        <v>0.10664598800493014</v>
      </c>
      <c r="S53" s="2"/>
      <c r="T53" s="7">
        <v>15243</v>
      </c>
      <c r="U53" s="2"/>
      <c r="V53" s="6">
        <f t="shared" si="33"/>
        <v>0.10812770177382493</v>
      </c>
      <c r="W53" s="2"/>
      <c r="X53" s="7">
        <f t="shared" si="34"/>
        <v>-1.4700000000011642</v>
      </c>
      <c r="Y53" s="2"/>
      <c r="Z53" s="6">
        <f t="shared" si="35"/>
        <v>-9.6437709112455832E-5</v>
      </c>
    </row>
    <row r="54" spans="1:26" s="24" customFormat="1" hidden="1" outlineLevel="2" x14ac:dyDescent="0.25">
      <c r="A54" s="25"/>
      <c r="B54" s="11" t="str">
        <f>CONCATENATE("          ", "6322", " - ", "EQUIPMENT DEPRECIATION EXPENSE")</f>
        <v xml:space="preserve">          6322 - EQUIPMENT DEPRECIATION EXPENSE</v>
      </c>
      <c r="C54" s="11"/>
      <c r="D54" s="7">
        <v>340.86</v>
      </c>
      <c r="E54" s="2"/>
      <c r="F54" s="6">
        <f t="shared" si="28"/>
        <v>3.5173065806426581E-3</v>
      </c>
      <c r="G54" s="2"/>
      <c r="H54" s="7">
        <v>348</v>
      </c>
      <c r="I54" s="2"/>
      <c r="J54" s="6">
        <f t="shared" si="29"/>
        <v>3.6894891965819215E-3</v>
      </c>
      <c r="K54" s="2"/>
      <c r="L54" s="7">
        <f t="shared" si="30"/>
        <v>-7.1399999999999864</v>
      </c>
      <c r="M54" s="2"/>
      <c r="N54" s="6">
        <f t="shared" si="31"/>
        <v>-2.0517241379310304E-2</v>
      </c>
      <c r="O54" s="11"/>
      <c r="P54" s="7">
        <v>1022.58</v>
      </c>
      <c r="Q54" s="2"/>
      <c r="R54" s="6">
        <f t="shared" si="32"/>
        <v>7.1550595257878621E-3</v>
      </c>
      <c r="S54" s="2"/>
      <c r="T54" s="7">
        <v>1044</v>
      </c>
      <c r="U54" s="2"/>
      <c r="V54" s="6">
        <f t="shared" si="33"/>
        <v>7.4057154531177076E-3</v>
      </c>
      <c r="W54" s="2"/>
      <c r="X54" s="7">
        <f t="shared" si="34"/>
        <v>-21.419999999999959</v>
      </c>
      <c r="Y54" s="2"/>
      <c r="Z54" s="6">
        <f t="shared" si="35"/>
        <v>-2.0517241379310304E-2</v>
      </c>
    </row>
    <row r="55" spans="1:26" s="24" customFormat="1" hidden="1" outlineLevel="2" x14ac:dyDescent="0.25">
      <c r="A55" s="25"/>
      <c r="B55" s="11" t="str">
        <f>CONCATENATE("          ", "6324", " - ", "FURNITURE + FIXT DEPRECIATION")</f>
        <v xml:space="preserve">          6324 - FURNITURE + FIXT DEPRECIATION</v>
      </c>
      <c r="C55" s="11"/>
      <c r="D55" s="7"/>
      <c r="E55" s="2"/>
      <c r="F55" s="6">
        <f t="shared" si="28"/>
        <v>0</v>
      </c>
      <c r="G55" s="2"/>
      <c r="H55" s="7">
        <v>180</v>
      </c>
      <c r="I55" s="2"/>
      <c r="J55" s="6">
        <f t="shared" si="29"/>
        <v>1.9083564809906492E-3</v>
      </c>
      <c r="K55" s="2"/>
      <c r="L55" s="7">
        <f t="shared" si="30"/>
        <v>-180</v>
      </c>
      <c r="M55" s="2"/>
      <c r="N55" s="6">
        <f t="shared" si="31"/>
        <v>-1</v>
      </c>
      <c r="O55" s="11"/>
      <c r="P55" s="7"/>
      <c r="Q55" s="2"/>
      <c r="R55" s="6">
        <f t="shared" si="32"/>
        <v>0</v>
      </c>
      <c r="S55" s="2"/>
      <c r="T55" s="7">
        <v>180</v>
      </c>
      <c r="U55" s="2"/>
      <c r="V55" s="6">
        <f t="shared" si="33"/>
        <v>1.2768474919168462E-3</v>
      </c>
      <c r="W55" s="2"/>
      <c r="X55" s="7">
        <f t="shared" si="34"/>
        <v>-180</v>
      </c>
      <c r="Y55" s="2"/>
      <c r="Z55" s="6">
        <f t="shared" si="35"/>
        <v>-1</v>
      </c>
    </row>
    <row r="56" spans="1:26" s="26" customFormat="1" outlineLevel="1" collapsed="1" x14ac:dyDescent="0.25">
      <c r="A56" s="27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SUM(OSRRefD22_6x_0)</f>
        <v>0</v>
      </c>
      <c r="E56" s="1"/>
      <c r="F56" s="5">
        <f t="shared" ref="F56:F68" si="36">IF(D$12=0,0,D56/D$12)</f>
        <v>0</v>
      </c>
      <c r="G56" s="1"/>
      <c r="H56" s="1">
        <f>SUM(OSRRefH22_6x_0)</f>
        <v>25</v>
      </c>
      <c r="I56" s="1"/>
      <c r="J56" s="5">
        <f t="shared" ref="J56:J68" si="37">IF(H$12=0,0,H56/H$12)</f>
        <v>2.6504951124870125E-4</v>
      </c>
      <c r="K56" s="1"/>
      <c r="L56" s="1">
        <f t="shared" ref="L56:L68" si="38">+D56-H56</f>
        <v>-25</v>
      </c>
      <c r="M56" s="1"/>
      <c r="N56" s="5">
        <f t="shared" ref="N56:N68" si="39">IF(H56=0,0,L56/H56)</f>
        <v>-1</v>
      </c>
      <c r="O56" s="13"/>
      <c r="P56" s="1">
        <f>SUM(OSRRefP22_6x_0)</f>
        <v>0</v>
      </c>
      <c r="Q56" s="1"/>
      <c r="R56" s="5">
        <f t="shared" ref="R56:R68" si="40">IF(P$12=0,0,P56/P$12)</f>
        <v>0</v>
      </c>
      <c r="S56" s="1"/>
      <c r="T56" s="1">
        <f>SUM(OSRRefT22_6x_0)</f>
        <v>75</v>
      </c>
      <c r="U56" s="1"/>
      <c r="V56" s="5">
        <f t="shared" ref="V56:V68" si="41">IF(T$12=0,0,T56/T$12)</f>
        <v>5.3201978829868588E-4</v>
      </c>
      <c r="W56" s="1"/>
      <c r="X56" s="1">
        <f t="shared" ref="X56:X68" si="42">+P56-T56</f>
        <v>-75</v>
      </c>
      <c r="Y56" s="1"/>
      <c r="Z56" s="5">
        <f t="shared" ref="Z56:Z68" si="43">IF(T56=0,0,X56/T56)</f>
        <v>-1</v>
      </c>
    </row>
    <row r="57" spans="1:26" s="24" customFormat="1" hidden="1" outlineLevel="2" x14ac:dyDescent="0.25">
      <c r="A57" s="25"/>
      <c r="B57" s="11" t="str">
        <f>CONCATENATE("          ", "6277", " - ", "EMPLOYEE APPRECIATION")</f>
        <v xml:space="preserve">          6277 - EMPLOYEE APPRECIATION</v>
      </c>
      <c r="C57" s="11"/>
      <c r="D57" s="7"/>
      <c r="E57" s="2"/>
      <c r="F57" s="6">
        <f t="shared" si="36"/>
        <v>0</v>
      </c>
      <c r="G57" s="2"/>
      <c r="H57" s="7">
        <v>25</v>
      </c>
      <c r="I57" s="2"/>
      <c r="J57" s="6">
        <f t="shared" si="37"/>
        <v>2.6504951124870125E-4</v>
      </c>
      <c r="K57" s="2"/>
      <c r="L57" s="7">
        <f t="shared" si="38"/>
        <v>-25</v>
      </c>
      <c r="M57" s="2"/>
      <c r="N57" s="6">
        <f t="shared" si="39"/>
        <v>-1</v>
      </c>
      <c r="O57" s="11"/>
      <c r="P57" s="7"/>
      <c r="Q57" s="2"/>
      <c r="R57" s="6">
        <f t="shared" si="40"/>
        <v>0</v>
      </c>
      <c r="S57" s="2"/>
      <c r="T57" s="7">
        <v>75</v>
      </c>
      <c r="U57" s="2"/>
      <c r="V57" s="6">
        <f t="shared" si="41"/>
        <v>5.3201978829868588E-4</v>
      </c>
      <c r="W57" s="2"/>
      <c r="X57" s="7">
        <f t="shared" si="42"/>
        <v>-75</v>
      </c>
      <c r="Y57" s="2"/>
      <c r="Z57" s="6">
        <f t="shared" si="43"/>
        <v>-1</v>
      </c>
    </row>
    <row r="58" spans="1:26" s="26" customFormat="1" outlineLevel="1" collapsed="1" x14ac:dyDescent="0.25">
      <c r="A58" s="27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SUM(OSRRefD22_7x_0)</f>
        <v>56.69</v>
      </c>
      <c r="E58" s="1"/>
      <c r="F58" s="5">
        <f t="shared" si="36"/>
        <v>5.8497949321314406E-4</v>
      </c>
      <c r="G58" s="1"/>
      <c r="H58" s="1">
        <f>SUM(OSRRefH22_7x_0)</f>
        <v>80</v>
      </c>
      <c r="I58" s="1"/>
      <c r="J58" s="5">
        <f t="shared" si="37"/>
        <v>8.4815843599584404E-4</v>
      </c>
      <c r="K58" s="1"/>
      <c r="L58" s="1">
        <f t="shared" si="38"/>
        <v>-23.310000000000002</v>
      </c>
      <c r="M58" s="1"/>
      <c r="N58" s="5">
        <f t="shared" si="39"/>
        <v>-0.29137500000000005</v>
      </c>
      <c r="O58" s="13"/>
      <c r="P58" s="1">
        <f>SUM(OSRRefP22_7x_0)</f>
        <v>349.21</v>
      </c>
      <c r="Q58" s="1"/>
      <c r="R58" s="5">
        <f t="shared" si="40"/>
        <v>2.4434453411961692E-3</v>
      </c>
      <c r="S58" s="1"/>
      <c r="T58" s="1">
        <f>SUM(OSRRefT22_7x_0)</f>
        <v>240</v>
      </c>
      <c r="U58" s="1"/>
      <c r="V58" s="5">
        <f t="shared" si="41"/>
        <v>1.702463322555795E-3</v>
      </c>
      <c r="W58" s="1"/>
      <c r="X58" s="1">
        <f t="shared" si="42"/>
        <v>109.20999999999998</v>
      </c>
      <c r="Y58" s="1"/>
      <c r="Z58" s="5">
        <f t="shared" si="43"/>
        <v>0.45504166666666657</v>
      </c>
    </row>
    <row r="59" spans="1:26" s="24" customFormat="1" hidden="1" outlineLevel="2" x14ac:dyDescent="0.25">
      <c r="A59" s="25"/>
      <c r="B59" s="11" t="str">
        <f>CONCATENATE("          ", "6351", " - ", "EQUIPMENT RENTAL")</f>
        <v xml:space="preserve">          6351 - EQUIPMENT RENTAL</v>
      </c>
      <c r="C59" s="11"/>
      <c r="D59" s="7">
        <v>56.69</v>
      </c>
      <c r="E59" s="2"/>
      <c r="F59" s="6">
        <f t="shared" si="36"/>
        <v>5.8497949321314406E-4</v>
      </c>
      <c r="G59" s="2"/>
      <c r="H59" s="7">
        <v>80</v>
      </c>
      <c r="I59" s="2"/>
      <c r="J59" s="6">
        <f t="shared" si="37"/>
        <v>8.4815843599584404E-4</v>
      </c>
      <c r="K59" s="2"/>
      <c r="L59" s="7">
        <f t="shared" si="38"/>
        <v>-23.310000000000002</v>
      </c>
      <c r="M59" s="2"/>
      <c r="N59" s="6">
        <f t="shared" si="39"/>
        <v>-0.29137500000000005</v>
      </c>
      <c r="O59" s="11"/>
      <c r="P59" s="7">
        <v>349.21</v>
      </c>
      <c r="Q59" s="2"/>
      <c r="R59" s="6">
        <f t="shared" si="40"/>
        <v>2.4434453411961692E-3</v>
      </c>
      <c r="S59" s="2"/>
      <c r="T59" s="7">
        <v>240</v>
      </c>
      <c r="U59" s="2"/>
      <c r="V59" s="6">
        <f t="shared" si="41"/>
        <v>1.702463322555795E-3</v>
      </c>
      <c r="W59" s="2"/>
      <c r="X59" s="7">
        <f t="shared" si="42"/>
        <v>109.20999999999998</v>
      </c>
      <c r="Y59" s="2"/>
      <c r="Z59" s="6">
        <f t="shared" si="43"/>
        <v>0.45504166666666657</v>
      </c>
    </row>
    <row r="60" spans="1:26" s="26" customFormat="1" outlineLevel="1" collapsed="1" x14ac:dyDescent="0.25">
      <c r="A60" s="27"/>
      <c r="B60" s="13" t="str">
        <f>CONCATENATE("     ","General                                           ")</f>
        <v xml:space="preserve">     General                                           </v>
      </c>
      <c r="C60" s="13"/>
      <c r="D60" s="1">
        <f>SUM(OSRRefD22_8x_0)</f>
        <v>68.680000000000007</v>
      </c>
      <c r="E60" s="1"/>
      <c r="F60" s="5">
        <f t="shared" si="36"/>
        <v>7.0870332675743056E-4</v>
      </c>
      <c r="G60" s="1"/>
      <c r="H60" s="1">
        <f>SUM(OSRRefH22_8x_0)</f>
        <v>0</v>
      </c>
      <c r="I60" s="1"/>
      <c r="J60" s="5">
        <f t="shared" si="37"/>
        <v>0</v>
      </c>
      <c r="K60" s="1"/>
      <c r="L60" s="1">
        <f t="shared" si="38"/>
        <v>68.680000000000007</v>
      </c>
      <c r="M60" s="1"/>
      <c r="N60" s="5">
        <f t="shared" si="39"/>
        <v>0</v>
      </c>
      <c r="O60" s="13"/>
      <c r="P60" s="1">
        <f>SUM(OSRRefP22_8x_0)</f>
        <v>819.73</v>
      </c>
      <c r="Q60" s="1"/>
      <c r="R60" s="5">
        <f t="shared" si="40"/>
        <v>5.7357047322205441E-3</v>
      </c>
      <c r="S60" s="1"/>
      <c r="T60" s="1">
        <f>SUM(OSRRefT22_8x_0)</f>
        <v>400</v>
      </c>
      <c r="U60" s="1"/>
      <c r="V60" s="5">
        <f t="shared" si="41"/>
        <v>2.8374388709263248E-3</v>
      </c>
      <c r="W60" s="1"/>
      <c r="X60" s="1">
        <f t="shared" si="42"/>
        <v>419.73</v>
      </c>
      <c r="Y60" s="1"/>
      <c r="Z60" s="5">
        <f t="shared" si="43"/>
        <v>1.0493250000000001</v>
      </c>
    </row>
    <row r="61" spans="1:26" s="24" customFormat="1" hidden="1" outlineLevel="2" x14ac:dyDescent="0.25">
      <c r="A61" s="25"/>
      <c r="B61" s="11" t="str">
        <f>CONCATENATE("          ", "6279", " - ", "GENERAL EXPENSE")</f>
        <v xml:space="preserve">          6279 - GENERAL EXPENSE</v>
      </c>
      <c r="C61" s="11"/>
      <c r="D61" s="7">
        <v>68.680000000000007</v>
      </c>
      <c r="E61" s="2"/>
      <c r="F61" s="6">
        <f t="shared" si="36"/>
        <v>7.0870332675743056E-4</v>
      </c>
      <c r="G61" s="2"/>
      <c r="H61" s="7"/>
      <c r="I61" s="2"/>
      <c r="J61" s="6">
        <f t="shared" si="37"/>
        <v>0</v>
      </c>
      <c r="K61" s="2"/>
      <c r="L61" s="7">
        <f t="shared" si="38"/>
        <v>68.680000000000007</v>
      </c>
      <c r="M61" s="2"/>
      <c r="N61" s="6">
        <f t="shared" si="39"/>
        <v>0</v>
      </c>
      <c r="O61" s="11"/>
      <c r="P61" s="7">
        <v>819.73</v>
      </c>
      <c r="Q61" s="2"/>
      <c r="R61" s="6">
        <f t="shared" si="40"/>
        <v>5.7357047322205441E-3</v>
      </c>
      <c r="S61" s="2"/>
      <c r="T61" s="7">
        <v>400</v>
      </c>
      <c r="U61" s="2"/>
      <c r="V61" s="6">
        <f t="shared" si="41"/>
        <v>2.8374388709263248E-3</v>
      </c>
      <c r="W61" s="2"/>
      <c r="X61" s="7">
        <f t="shared" si="42"/>
        <v>419.73</v>
      </c>
      <c r="Y61" s="2"/>
      <c r="Z61" s="6">
        <f t="shared" si="43"/>
        <v>1.0493250000000001</v>
      </c>
    </row>
    <row r="62" spans="1:26" s="26" customFormat="1" outlineLevel="1" collapsed="1" x14ac:dyDescent="0.25">
      <c r="A62" s="27"/>
      <c r="B62" s="13" t="str">
        <f>CONCATENATE("     ","Insurance                                         ")</f>
        <v xml:space="preserve">     Insurance                                         </v>
      </c>
      <c r="C62" s="13"/>
      <c r="D62" s="1">
        <f>SUM(OSRRefD22_9x_0)</f>
        <v>243.54</v>
      </c>
      <c r="E62" s="1"/>
      <c r="F62" s="5">
        <f t="shared" si="36"/>
        <v>2.5130694263032121E-3</v>
      </c>
      <c r="G62" s="1"/>
      <c r="H62" s="1">
        <f>SUM(OSRRefH22_9x_0)</f>
        <v>230</v>
      </c>
      <c r="I62" s="1"/>
      <c r="J62" s="5">
        <f t="shared" si="37"/>
        <v>2.4384555034880516E-3</v>
      </c>
      <c r="K62" s="1"/>
      <c r="L62" s="1">
        <f t="shared" si="38"/>
        <v>13.539999999999992</v>
      </c>
      <c r="M62" s="1"/>
      <c r="N62" s="5">
        <f t="shared" si="39"/>
        <v>5.886956521739127E-2</v>
      </c>
      <c r="O62" s="13"/>
      <c r="P62" s="1">
        <f>SUM(OSRRefP22_9x_0)</f>
        <v>730.62</v>
      </c>
      <c r="Q62" s="1"/>
      <c r="R62" s="5">
        <f t="shared" si="40"/>
        <v>5.1121962005233109E-3</v>
      </c>
      <c r="S62" s="1"/>
      <c r="T62" s="1">
        <f>SUM(OSRRefT22_9x_0)</f>
        <v>690</v>
      </c>
      <c r="U62" s="1"/>
      <c r="V62" s="5">
        <f t="shared" si="41"/>
        <v>4.8945820523479105E-3</v>
      </c>
      <c r="W62" s="1"/>
      <c r="X62" s="1">
        <f t="shared" si="42"/>
        <v>40.620000000000005</v>
      </c>
      <c r="Y62" s="1"/>
      <c r="Z62" s="5">
        <f t="shared" si="43"/>
        <v>5.8869565217391312E-2</v>
      </c>
    </row>
    <row r="63" spans="1:26" s="24" customFormat="1" hidden="1" outlineLevel="2" x14ac:dyDescent="0.25">
      <c r="A63" s="25"/>
      <c r="B63" s="11" t="str">
        <f>CONCATENATE("          ", "6314", " - ", "LIABILITY INSURANCE")</f>
        <v xml:space="preserve">          6314 - LIABILITY INSURANCE</v>
      </c>
      <c r="C63" s="11"/>
      <c r="D63" s="7">
        <v>243.54</v>
      </c>
      <c r="E63" s="2"/>
      <c r="F63" s="6">
        <f t="shared" si="36"/>
        <v>2.5130694263032121E-3</v>
      </c>
      <c r="G63" s="2"/>
      <c r="H63" s="7">
        <v>230</v>
      </c>
      <c r="I63" s="2"/>
      <c r="J63" s="6">
        <f t="shared" si="37"/>
        <v>2.4384555034880516E-3</v>
      </c>
      <c r="K63" s="2"/>
      <c r="L63" s="7">
        <f t="shared" si="38"/>
        <v>13.539999999999992</v>
      </c>
      <c r="M63" s="2"/>
      <c r="N63" s="6">
        <f t="shared" si="39"/>
        <v>5.886956521739127E-2</v>
      </c>
      <c r="O63" s="11"/>
      <c r="P63" s="7">
        <v>730.62</v>
      </c>
      <c r="Q63" s="2"/>
      <c r="R63" s="6">
        <f t="shared" si="40"/>
        <v>5.1121962005233109E-3</v>
      </c>
      <c r="S63" s="2"/>
      <c r="T63" s="7">
        <v>690</v>
      </c>
      <c r="U63" s="2"/>
      <c r="V63" s="6">
        <f t="shared" si="41"/>
        <v>4.8945820523479105E-3</v>
      </c>
      <c r="W63" s="2"/>
      <c r="X63" s="7">
        <f t="shared" si="42"/>
        <v>40.620000000000005</v>
      </c>
      <c r="Y63" s="2"/>
      <c r="Z63" s="6">
        <f t="shared" si="43"/>
        <v>5.8869565217391312E-2</v>
      </c>
    </row>
    <row r="64" spans="1:26" s="26" customFormat="1" outlineLevel="1" collapsed="1" x14ac:dyDescent="0.25">
      <c r="A64" s="27"/>
      <c r="B64" s="13" t="str">
        <f>CONCATENATE("     ","Interest                                          ")</f>
        <v xml:space="preserve">     Interest                                          </v>
      </c>
      <c r="C64" s="13"/>
      <c r="D64" s="1">
        <f>SUM(OSRRefD22_10x_0)</f>
        <v>4110</v>
      </c>
      <c r="E64" s="1"/>
      <c r="F64" s="5">
        <f t="shared" si="36"/>
        <v>4.2410755284988923E-2</v>
      </c>
      <c r="G64" s="1"/>
      <c r="H64" s="1">
        <f>SUM(OSRRefH22_10x_0)</f>
        <v>4175</v>
      </c>
      <c r="I64" s="1"/>
      <c r="J64" s="5">
        <f t="shared" si="37"/>
        <v>4.4263268378533109E-2</v>
      </c>
      <c r="K64" s="1"/>
      <c r="L64" s="1">
        <f t="shared" si="38"/>
        <v>-65</v>
      </c>
      <c r="M64" s="1"/>
      <c r="N64" s="5">
        <f t="shared" si="39"/>
        <v>-1.5568862275449102E-2</v>
      </c>
      <c r="O64" s="13"/>
      <c r="P64" s="1">
        <f>SUM(OSRRefP22_10x_0)</f>
        <v>12330</v>
      </c>
      <c r="Q64" s="1"/>
      <c r="R64" s="5">
        <f t="shared" si="40"/>
        <v>8.6273821073132986E-2</v>
      </c>
      <c r="S64" s="1"/>
      <c r="T64" s="1">
        <f>SUM(OSRRefT22_10x_0)</f>
        <v>12525</v>
      </c>
      <c r="U64" s="1"/>
      <c r="V64" s="5">
        <f t="shared" si="41"/>
        <v>8.8847304645880545E-2</v>
      </c>
      <c r="W64" s="1"/>
      <c r="X64" s="1">
        <f t="shared" si="42"/>
        <v>-195</v>
      </c>
      <c r="Y64" s="1"/>
      <c r="Z64" s="5">
        <f t="shared" si="43"/>
        <v>-1.5568862275449102E-2</v>
      </c>
    </row>
    <row r="65" spans="1:26" s="24" customFormat="1" hidden="1" outlineLevel="2" x14ac:dyDescent="0.25">
      <c r="A65" s="25"/>
      <c r="B65" s="11" t="str">
        <f>CONCATENATE("          ", "6401", " - ", "INTEREST EXPENSE")</f>
        <v xml:space="preserve">          6401 - INTEREST EXPENSE</v>
      </c>
      <c r="C65" s="11"/>
      <c r="D65" s="7">
        <v>4110</v>
      </c>
      <c r="E65" s="2"/>
      <c r="F65" s="6">
        <f t="shared" si="36"/>
        <v>4.2410755284988923E-2</v>
      </c>
      <c r="G65" s="2"/>
      <c r="H65" s="7">
        <v>4175</v>
      </c>
      <c r="I65" s="2"/>
      <c r="J65" s="6">
        <f t="shared" si="37"/>
        <v>4.4263268378533109E-2</v>
      </c>
      <c r="K65" s="2"/>
      <c r="L65" s="7">
        <f t="shared" si="38"/>
        <v>-65</v>
      </c>
      <c r="M65" s="2"/>
      <c r="N65" s="6">
        <f t="shared" si="39"/>
        <v>-1.5568862275449102E-2</v>
      </c>
      <c r="O65" s="11"/>
      <c r="P65" s="7">
        <v>12330</v>
      </c>
      <c r="Q65" s="2"/>
      <c r="R65" s="6">
        <f t="shared" si="40"/>
        <v>8.6273821073132986E-2</v>
      </c>
      <c r="S65" s="2"/>
      <c r="T65" s="7">
        <v>12525</v>
      </c>
      <c r="U65" s="2"/>
      <c r="V65" s="6">
        <f t="shared" si="41"/>
        <v>8.8847304645880545E-2</v>
      </c>
      <c r="W65" s="2"/>
      <c r="X65" s="7">
        <f t="shared" si="42"/>
        <v>-195</v>
      </c>
      <c r="Y65" s="2"/>
      <c r="Z65" s="6">
        <f t="shared" si="43"/>
        <v>-1.5568862275449102E-2</v>
      </c>
    </row>
    <row r="66" spans="1:26" s="26" customFormat="1" outlineLevel="1" collapsed="1" x14ac:dyDescent="0.25">
      <c r="A66" s="27"/>
      <c r="B66" s="13" t="str">
        <f>CONCATENATE("     ","Repair and Maintenance                            ")</f>
        <v xml:space="preserve">     Repair and Maintenance                            </v>
      </c>
      <c r="C66" s="13"/>
      <c r="D66" s="1">
        <f>SUM(OSRRefD22_11x_0)</f>
        <v>446.11</v>
      </c>
      <c r="E66" s="1"/>
      <c r="F66" s="5">
        <f t="shared" si="36"/>
        <v>4.6033727591694423E-3</v>
      </c>
      <c r="G66" s="1"/>
      <c r="H66" s="1">
        <f>SUM(OSRRefH22_11x_0)</f>
        <v>200</v>
      </c>
      <c r="I66" s="1"/>
      <c r="J66" s="5">
        <f t="shared" si="37"/>
        <v>2.12039608998961E-3</v>
      </c>
      <c r="K66" s="1"/>
      <c r="L66" s="1">
        <f t="shared" si="38"/>
        <v>246.11</v>
      </c>
      <c r="M66" s="1"/>
      <c r="N66" s="5">
        <f t="shared" si="39"/>
        <v>1.23055</v>
      </c>
      <c r="O66" s="13"/>
      <c r="P66" s="1">
        <f>SUM(OSRRefP22_11x_0)</f>
        <v>521.38</v>
      </c>
      <c r="Q66" s="1"/>
      <c r="R66" s="5">
        <f t="shared" si="40"/>
        <v>3.6481301566188224E-3</v>
      </c>
      <c r="S66" s="1"/>
      <c r="T66" s="1">
        <f>SUM(OSRRefT22_11x_0)</f>
        <v>3400</v>
      </c>
      <c r="U66" s="1"/>
      <c r="V66" s="5">
        <f t="shared" si="41"/>
        <v>2.411823040287376E-2</v>
      </c>
      <c r="W66" s="1"/>
      <c r="X66" s="1">
        <f t="shared" si="42"/>
        <v>-2878.62</v>
      </c>
      <c r="Y66" s="1"/>
      <c r="Z66" s="5">
        <f t="shared" si="43"/>
        <v>-0.84665294117647061</v>
      </c>
    </row>
    <row r="67" spans="1:26" s="24" customFormat="1" hidden="1" outlineLevel="2" x14ac:dyDescent="0.25">
      <c r="A67" s="25"/>
      <c r="B67" s="11" t="str">
        <f>CONCATENATE("          ", "6371", " - ", "COMPUTER SOFTWARE MAINTENANCE")</f>
        <v xml:space="preserve">          6371 - COMPUTER SOFTWARE MAINTENANCE</v>
      </c>
      <c r="C67" s="11"/>
      <c r="D67" s="7">
        <v>437.31</v>
      </c>
      <c r="E67" s="2"/>
      <c r="F67" s="6">
        <f t="shared" si="36"/>
        <v>4.5125662758341862E-3</v>
      </c>
      <c r="G67" s="2"/>
      <c r="H67" s="7"/>
      <c r="I67" s="2"/>
      <c r="J67" s="6">
        <f t="shared" si="37"/>
        <v>0</v>
      </c>
      <c r="K67" s="2"/>
      <c r="L67" s="7">
        <f t="shared" si="38"/>
        <v>437.31</v>
      </c>
      <c r="M67" s="2"/>
      <c r="N67" s="6">
        <f t="shared" si="39"/>
        <v>0</v>
      </c>
      <c r="O67" s="11"/>
      <c r="P67" s="7">
        <v>437.31</v>
      </c>
      <c r="Q67" s="2"/>
      <c r="R67" s="6">
        <f t="shared" si="40"/>
        <v>3.059886836455133E-3</v>
      </c>
      <c r="S67" s="2"/>
      <c r="T67" s="7">
        <v>0</v>
      </c>
      <c r="U67" s="2"/>
      <c r="V67" s="6">
        <f t="shared" si="41"/>
        <v>0</v>
      </c>
      <c r="W67" s="2"/>
      <c r="X67" s="7">
        <f t="shared" si="42"/>
        <v>437.31</v>
      </c>
      <c r="Y67" s="2"/>
      <c r="Z67" s="6">
        <f t="shared" si="43"/>
        <v>0</v>
      </c>
    </row>
    <row r="68" spans="1:26" s="24" customFormat="1" hidden="1" outlineLevel="2" x14ac:dyDescent="0.25">
      <c r="A68" s="25"/>
      <c r="B68" s="11" t="str">
        <f>CONCATENATE("          ", "6375", " - ", "OUTSIDE REPAIRS &amp; MAINTENANCE")</f>
        <v xml:space="preserve">          6375 - OUTSIDE REPAIRS &amp; MAINTENANCE</v>
      </c>
      <c r="C68" s="11"/>
      <c r="D68" s="7">
        <v>8.8000000000000007</v>
      </c>
      <c r="E68" s="2"/>
      <c r="F68" s="6">
        <f t="shared" si="36"/>
        <v>9.0806483335256093E-5</v>
      </c>
      <c r="G68" s="2"/>
      <c r="H68" s="7">
        <v>200</v>
      </c>
      <c r="I68" s="2"/>
      <c r="J68" s="6">
        <f t="shared" si="37"/>
        <v>2.12039608998961E-3</v>
      </c>
      <c r="K68" s="2"/>
      <c r="L68" s="7">
        <f t="shared" si="38"/>
        <v>-191.2</v>
      </c>
      <c r="M68" s="2"/>
      <c r="N68" s="6">
        <f t="shared" si="39"/>
        <v>-0.95599999999999996</v>
      </c>
      <c r="O68" s="11"/>
      <c r="P68" s="7">
        <v>84.07</v>
      </c>
      <c r="Q68" s="2"/>
      <c r="R68" s="6">
        <f t="shared" si="40"/>
        <v>5.8824332016368941E-4</v>
      </c>
      <c r="S68" s="2"/>
      <c r="T68" s="7">
        <v>3400</v>
      </c>
      <c r="U68" s="2"/>
      <c r="V68" s="6">
        <f t="shared" si="41"/>
        <v>2.411823040287376E-2</v>
      </c>
      <c r="W68" s="2"/>
      <c r="X68" s="7">
        <f t="shared" si="42"/>
        <v>-3315.93</v>
      </c>
      <c r="Y68" s="2"/>
      <c r="Z68" s="6">
        <f t="shared" si="43"/>
        <v>-0.97527352941176471</v>
      </c>
    </row>
    <row r="69" spans="1:26" s="26" customFormat="1" outlineLevel="1" collapsed="1" x14ac:dyDescent="0.25">
      <c r="A69" s="27"/>
      <c r="B69" s="13" t="str">
        <f>CONCATENATE("     ","Services                                          ")</f>
        <v xml:space="preserve">     Services                                          </v>
      </c>
      <c r="C69" s="13"/>
      <c r="D69" s="1">
        <f>SUM(OSRRefD22_12x_0)</f>
        <v>340.88</v>
      </c>
      <c r="E69" s="1"/>
      <c r="F69" s="5">
        <f t="shared" ref="F69:F73" si="44">IF(D$12=0,0,D69/D$12)</f>
        <v>3.5175129590138744E-3</v>
      </c>
      <c r="G69" s="1"/>
      <c r="H69" s="1">
        <f>SUM(OSRRefH22_12x_0)</f>
        <v>400</v>
      </c>
      <c r="I69" s="1"/>
      <c r="J69" s="5">
        <f t="shared" ref="J69:J73" si="45">IF(H$12=0,0,H69/H$12)</f>
        <v>4.2407921799792201E-3</v>
      </c>
      <c r="K69" s="1"/>
      <c r="L69" s="1">
        <f t="shared" ref="L69:L73" si="46">+D69-H69</f>
        <v>-59.120000000000005</v>
      </c>
      <c r="M69" s="1"/>
      <c r="N69" s="5">
        <f t="shared" ref="N69:N73" si="47">IF(H69=0,0,L69/H69)</f>
        <v>-0.14780000000000001</v>
      </c>
      <c r="O69" s="13"/>
      <c r="P69" s="1">
        <f>SUM(OSRRefP22_12x_0)</f>
        <v>1076.98</v>
      </c>
      <c r="Q69" s="1"/>
      <c r="R69" s="5">
        <f t="shared" ref="R69:R73" si="48">IF(P$12=0,0,P69/P$12)</f>
        <v>7.5356999042451552E-3</v>
      </c>
      <c r="S69" s="1"/>
      <c r="T69" s="1">
        <f>SUM(OSRRefT22_12x_0)</f>
        <v>1110</v>
      </c>
      <c r="U69" s="1"/>
      <c r="V69" s="5">
        <f t="shared" ref="V69:V73" si="49">IF(T$12=0,0,T69/T$12)</f>
        <v>7.8738928668205515E-3</v>
      </c>
      <c r="W69" s="1"/>
      <c r="X69" s="1">
        <f t="shared" ref="X69:X73" si="50">+P69-T69</f>
        <v>-33.019999999999982</v>
      </c>
      <c r="Y69" s="1"/>
      <c r="Z69" s="5">
        <f t="shared" ref="Z69:Z73" si="51">IF(T69=0,0,X69/T69)</f>
        <v>-2.974774774774773E-2</v>
      </c>
    </row>
    <row r="70" spans="1:26" s="24" customFormat="1" hidden="1" outlineLevel="2" x14ac:dyDescent="0.25">
      <c r="A70" s="25"/>
      <c r="B70" s="11" t="str">
        <f>CONCATENATE("          ", "6281", " - ", "STORAGE FEE")</f>
        <v xml:space="preserve">          6281 - STORAGE FEE</v>
      </c>
      <c r="C70" s="11"/>
      <c r="D70" s="7"/>
      <c r="E70" s="2"/>
      <c r="F70" s="6">
        <f t="shared" si="44"/>
        <v>0</v>
      </c>
      <c r="G70" s="2"/>
      <c r="H70" s="7"/>
      <c r="I70" s="2"/>
      <c r="J70" s="6">
        <f t="shared" si="45"/>
        <v>0</v>
      </c>
      <c r="K70" s="2"/>
      <c r="L70" s="7">
        <f t="shared" si="46"/>
        <v>0</v>
      </c>
      <c r="M70" s="2"/>
      <c r="N70" s="6">
        <f t="shared" si="47"/>
        <v>0</v>
      </c>
      <c r="O70" s="11"/>
      <c r="P70" s="7"/>
      <c r="Q70" s="2"/>
      <c r="R70" s="6">
        <f t="shared" si="48"/>
        <v>0</v>
      </c>
      <c r="S70" s="2"/>
      <c r="T70" s="7">
        <v>0</v>
      </c>
      <c r="U70" s="2"/>
      <c r="V70" s="6">
        <f t="shared" si="49"/>
        <v>0</v>
      </c>
      <c r="W70" s="2"/>
      <c r="X70" s="7">
        <f t="shared" si="50"/>
        <v>0</v>
      </c>
      <c r="Y70" s="2"/>
      <c r="Z70" s="6">
        <f t="shared" si="51"/>
        <v>0</v>
      </c>
    </row>
    <row r="71" spans="1:26" s="24" customFormat="1" hidden="1" outlineLevel="2" x14ac:dyDescent="0.25">
      <c r="A71" s="25"/>
      <c r="B71" s="11" t="str">
        <f>CONCATENATE("          ", "6282", " - ", "JANITORIAL/EXTERMINATOR EXPENS")</f>
        <v xml:space="preserve">          6282 - JANITORIAL/EXTERMINATOR EXPENS</v>
      </c>
      <c r="C71" s="11"/>
      <c r="D71" s="7"/>
      <c r="E71" s="2"/>
      <c r="F71" s="6">
        <f t="shared" si="44"/>
        <v>0</v>
      </c>
      <c r="G71" s="2"/>
      <c r="H71" s="7">
        <v>160</v>
      </c>
      <c r="I71" s="2"/>
      <c r="J71" s="6">
        <f t="shared" si="45"/>
        <v>1.6963168719916881E-3</v>
      </c>
      <c r="K71" s="2"/>
      <c r="L71" s="7">
        <f t="shared" si="46"/>
        <v>-160</v>
      </c>
      <c r="M71" s="2"/>
      <c r="N71" s="6">
        <f t="shared" si="47"/>
        <v>-1</v>
      </c>
      <c r="O71" s="11"/>
      <c r="P71" s="7">
        <v>314.7</v>
      </c>
      <c r="Q71" s="2"/>
      <c r="R71" s="6">
        <f t="shared" si="48"/>
        <v>2.2019766011123236E-3</v>
      </c>
      <c r="S71" s="2"/>
      <c r="T71" s="7">
        <v>480</v>
      </c>
      <c r="U71" s="2"/>
      <c r="V71" s="6">
        <f t="shared" si="49"/>
        <v>3.40492664511159E-3</v>
      </c>
      <c r="W71" s="2"/>
      <c r="X71" s="7">
        <f t="shared" si="50"/>
        <v>-165.3</v>
      </c>
      <c r="Y71" s="2"/>
      <c r="Z71" s="6">
        <f t="shared" si="51"/>
        <v>-0.34437500000000004</v>
      </c>
    </row>
    <row r="72" spans="1:26" s="24" customFormat="1" hidden="1" outlineLevel="2" x14ac:dyDescent="0.25">
      <c r="A72" s="25"/>
      <c r="B72" s="11" t="str">
        <f>CONCATENATE("          ", "6284", " - ", "TRASH REMOVAL EXPENSE")</f>
        <v xml:space="preserve">          6284 - TRASH REMOVAL EXPENSE</v>
      </c>
      <c r="C72" s="11"/>
      <c r="D72" s="7">
        <v>237</v>
      </c>
      <c r="E72" s="2"/>
      <c r="F72" s="6">
        <f t="shared" si="44"/>
        <v>2.4455836989154198E-3</v>
      </c>
      <c r="G72" s="2"/>
      <c r="H72" s="7">
        <v>150</v>
      </c>
      <c r="I72" s="2"/>
      <c r="J72" s="6">
        <f t="shared" si="45"/>
        <v>1.5902970674922076E-3</v>
      </c>
      <c r="K72" s="2"/>
      <c r="L72" s="7">
        <f t="shared" si="46"/>
        <v>87</v>
      </c>
      <c r="M72" s="2"/>
      <c r="N72" s="6">
        <f t="shared" si="47"/>
        <v>0.57999999999999996</v>
      </c>
      <c r="O72" s="11"/>
      <c r="P72" s="7">
        <v>474</v>
      </c>
      <c r="Q72" s="2"/>
      <c r="R72" s="6">
        <f t="shared" si="48"/>
        <v>3.3166091799403923E-3</v>
      </c>
      <c r="S72" s="2"/>
      <c r="T72" s="7">
        <v>450</v>
      </c>
      <c r="U72" s="2"/>
      <c r="V72" s="6">
        <f t="shared" si="49"/>
        <v>3.1921187297921155E-3</v>
      </c>
      <c r="W72" s="2"/>
      <c r="X72" s="7">
        <f t="shared" si="50"/>
        <v>24</v>
      </c>
      <c r="Y72" s="2"/>
      <c r="Z72" s="6">
        <f t="shared" si="51"/>
        <v>5.3333333333333337E-2</v>
      </c>
    </row>
    <row r="73" spans="1:26" s="24" customFormat="1" hidden="1" outlineLevel="2" x14ac:dyDescent="0.25">
      <c r="A73" s="25"/>
      <c r="B73" s="11" t="str">
        <f>CONCATENATE("          ", "6286", " - ", "LAUNDRY EXPENSE")</f>
        <v xml:space="preserve">          6286 - LAUNDRY EXPENSE</v>
      </c>
      <c r="C73" s="11"/>
      <c r="D73" s="7">
        <v>103.88</v>
      </c>
      <c r="E73" s="2"/>
      <c r="F73" s="6">
        <f t="shared" si="44"/>
        <v>1.0719292600984548E-3</v>
      </c>
      <c r="G73" s="2"/>
      <c r="H73" s="7">
        <v>90</v>
      </c>
      <c r="I73" s="2"/>
      <c r="J73" s="6">
        <f t="shared" si="45"/>
        <v>9.5417824049532458E-4</v>
      </c>
      <c r="K73" s="2"/>
      <c r="L73" s="7">
        <f t="shared" si="46"/>
        <v>13.879999999999995</v>
      </c>
      <c r="M73" s="2"/>
      <c r="N73" s="6">
        <f t="shared" si="47"/>
        <v>0.15422222222222218</v>
      </c>
      <c r="O73" s="11"/>
      <c r="P73" s="7">
        <v>288.27999999999997</v>
      </c>
      <c r="Q73" s="2"/>
      <c r="R73" s="6">
        <f t="shared" si="48"/>
        <v>2.0171141231924393E-3</v>
      </c>
      <c r="S73" s="2"/>
      <c r="T73" s="7">
        <v>180</v>
      </c>
      <c r="U73" s="2"/>
      <c r="V73" s="6">
        <f t="shared" si="49"/>
        <v>1.2768474919168462E-3</v>
      </c>
      <c r="W73" s="2"/>
      <c r="X73" s="7">
        <f t="shared" si="50"/>
        <v>108.27999999999997</v>
      </c>
      <c r="Y73" s="2"/>
      <c r="Z73" s="6">
        <f t="shared" si="51"/>
        <v>0.6015555555555554</v>
      </c>
    </row>
    <row r="74" spans="1:26" s="26" customFormat="1" outlineLevel="1" collapsed="1" x14ac:dyDescent="0.25">
      <c r="A74" s="27"/>
      <c r="B74" s="13" t="str">
        <f>CONCATENATE("     ","Subscriptions &amp; Dues                              ")</f>
        <v xml:space="preserve">     Subscriptions &amp; Dues                              </v>
      </c>
      <c r="C74" s="13"/>
      <c r="D74" s="1">
        <f>SUM(OSRRefD22_13x_0)</f>
        <v>176.4</v>
      </c>
      <c r="E74" s="1"/>
      <c r="F74" s="5">
        <f t="shared" ref="F74:F83" si="52">IF(D$12=0,0,D74/D$12)</f>
        <v>1.8202572341294515E-3</v>
      </c>
      <c r="G74" s="1"/>
      <c r="H74" s="1">
        <f>SUM(OSRRefH22_13x_0)</f>
        <v>180</v>
      </c>
      <c r="I74" s="1"/>
      <c r="J74" s="5">
        <f t="shared" ref="J74:J83" si="53">IF(H$12=0,0,H74/H$12)</f>
        <v>1.9083564809906492E-3</v>
      </c>
      <c r="K74" s="1"/>
      <c r="L74" s="1">
        <f t="shared" ref="L74:L83" si="54">+D74-H74</f>
        <v>-3.5999999999999943</v>
      </c>
      <c r="M74" s="1"/>
      <c r="N74" s="5">
        <f t="shared" ref="N74:N83" si="55">IF(H74=0,0,L74/H74)</f>
        <v>-1.9999999999999969E-2</v>
      </c>
      <c r="O74" s="13"/>
      <c r="P74" s="1">
        <f>SUM(OSRRefP22_13x_0)</f>
        <v>529.20000000000005</v>
      </c>
      <c r="Q74" s="1"/>
      <c r="R74" s="5">
        <f t="shared" ref="R74:R83" si="56">IF(P$12=0,0,P74/P$12)</f>
        <v>3.7028472110220583E-3</v>
      </c>
      <c r="S74" s="1"/>
      <c r="T74" s="1">
        <f>SUM(OSRRefT22_13x_0)</f>
        <v>540</v>
      </c>
      <c r="U74" s="1"/>
      <c r="V74" s="5">
        <f t="shared" ref="V74:V83" si="57">IF(T$12=0,0,T74/T$12)</f>
        <v>3.8305424757505385E-3</v>
      </c>
      <c r="W74" s="1"/>
      <c r="X74" s="1">
        <f t="shared" ref="X74:X83" si="58">+P74-T74</f>
        <v>-10.799999999999955</v>
      </c>
      <c r="Y74" s="1"/>
      <c r="Z74" s="5">
        <f t="shared" ref="Z74:Z83" si="59">IF(T74=0,0,X74/T74)</f>
        <v>-1.9999999999999917E-2</v>
      </c>
    </row>
    <row r="75" spans="1:26" s="24" customFormat="1" hidden="1" outlineLevel="2" x14ac:dyDescent="0.25">
      <c r="A75" s="25"/>
      <c r="B75" s="11" t="str">
        <f>CONCATENATE("          ", "6275", " - ", "SUBSCRIPTIONS")</f>
        <v xml:space="preserve">          6275 - SUBSCRIPTIONS</v>
      </c>
      <c r="C75" s="11"/>
      <c r="D75" s="7">
        <v>176.4</v>
      </c>
      <c r="E75" s="2"/>
      <c r="F75" s="6">
        <f t="shared" si="52"/>
        <v>1.8202572341294515E-3</v>
      </c>
      <c r="G75" s="2"/>
      <c r="H75" s="7">
        <v>180</v>
      </c>
      <c r="I75" s="2"/>
      <c r="J75" s="6">
        <f t="shared" si="53"/>
        <v>1.9083564809906492E-3</v>
      </c>
      <c r="K75" s="2"/>
      <c r="L75" s="7">
        <f t="shared" si="54"/>
        <v>-3.5999999999999943</v>
      </c>
      <c r="M75" s="2"/>
      <c r="N75" s="6">
        <f t="shared" si="55"/>
        <v>-1.9999999999999969E-2</v>
      </c>
      <c r="O75" s="11"/>
      <c r="P75" s="7">
        <v>529.20000000000005</v>
      </c>
      <c r="Q75" s="2"/>
      <c r="R75" s="6">
        <f t="shared" si="56"/>
        <v>3.7028472110220583E-3</v>
      </c>
      <c r="S75" s="2"/>
      <c r="T75" s="7">
        <v>540</v>
      </c>
      <c r="U75" s="2"/>
      <c r="V75" s="6">
        <f t="shared" si="57"/>
        <v>3.8305424757505385E-3</v>
      </c>
      <c r="W75" s="2"/>
      <c r="X75" s="7">
        <f t="shared" si="58"/>
        <v>-10.799999999999955</v>
      </c>
      <c r="Y75" s="2"/>
      <c r="Z75" s="6">
        <f t="shared" si="59"/>
        <v>-1.9999999999999917E-2</v>
      </c>
    </row>
    <row r="76" spans="1:26" s="26" customFormat="1" outlineLevel="1" collapsed="1" x14ac:dyDescent="0.25">
      <c r="A76" s="27"/>
      <c r="B76" s="13" t="str">
        <f>CONCATENATE("     ","Supplies                                          ")</f>
        <v xml:space="preserve">     Supplies                                          </v>
      </c>
      <c r="C76" s="13"/>
      <c r="D76" s="1">
        <f>SUM(OSRRefD22_14x_0)</f>
        <v>5687.8799999999992</v>
      </c>
      <c r="E76" s="1"/>
      <c r="F76" s="5">
        <f t="shared" si="52"/>
        <v>5.8692770503742761E-2</v>
      </c>
      <c r="G76" s="1"/>
      <c r="H76" s="1">
        <f>SUM(OSRRefH22_14x_0)</f>
        <v>220</v>
      </c>
      <c r="I76" s="1"/>
      <c r="J76" s="5">
        <f t="shared" si="53"/>
        <v>2.3324356989885709E-3</v>
      </c>
      <c r="K76" s="1"/>
      <c r="L76" s="1">
        <f t="shared" si="54"/>
        <v>5467.8799999999992</v>
      </c>
      <c r="M76" s="1"/>
      <c r="N76" s="5">
        <f t="shared" si="55"/>
        <v>24.853999999999996</v>
      </c>
      <c r="O76" s="13"/>
      <c r="P76" s="1">
        <f>SUM(OSRRefP22_14x_0)</f>
        <v>6937.05</v>
      </c>
      <c r="Q76" s="1"/>
      <c r="R76" s="5">
        <f t="shared" si="56"/>
        <v>4.853899517237447E-2</v>
      </c>
      <c r="S76" s="1"/>
      <c r="T76" s="1">
        <f>SUM(OSRRefT22_14x_0)</f>
        <v>4070</v>
      </c>
      <c r="U76" s="1"/>
      <c r="V76" s="5">
        <f t="shared" si="57"/>
        <v>2.8870940511675356E-2</v>
      </c>
      <c r="W76" s="1"/>
      <c r="X76" s="1">
        <f t="shared" si="58"/>
        <v>2867.05</v>
      </c>
      <c r="Y76" s="1"/>
      <c r="Z76" s="5">
        <f t="shared" si="59"/>
        <v>0.70443488943488952</v>
      </c>
    </row>
    <row r="77" spans="1:26" s="24" customFormat="1" hidden="1" outlineLevel="2" x14ac:dyDescent="0.25">
      <c r="A77" s="25"/>
      <c r="B77" s="11" t="str">
        <f>CONCATENATE("          ", "6234", " - ", "EXPENDABLE SUPPLIES &amp; EQUIPMEN")</f>
        <v xml:space="preserve">          6234 - EXPENDABLE SUPPLIES &amp; EQUIPMEN</v>
      </c>
      <c r="C77" s="11"/>
      <c r="D77" s="7"/>
      <c r="E77" s="2"/>
      <c r="F77" s="6">
        <f t="shared" si="52"/>
        <v>0</v>
      </c>
      <c r="G77" s="2"/>
      <c r="H77" s="7"/>
      <c r="I77" s="2"/>
      <c r="J77" s="6">
        <f t="shared" si="53"/>
        <v>0</v>
      </c>
      <c r="K77" s="2"/>
      <c r="L77" s="7">
        <f t="shared" si="54"/>
        <v>0</v>
      </c>
      <c r="M77" s="2"/>
      <c r="N77" s="6">
        <f t="shared" si="55"/>
        <v>0</v>
      </c>
      <c r="O77" s="11"/>
      <c r="P77" s="7"/>
      <c r="Q77" s="2"/>
      <c r="R77" s="6">
        <f t="shared" si="56"/>
        <v>0</v>
      </c>
      <c r="S77" s="2"/>
      <c r="T77" s="7">
        <v>3000</v>
      </c>
      <c r="U77" s="2"/>
      <c r="V77" s="6">
        <f t="shared" si="57"/>
        <v>2.1280791531947438E-2</v>
      </c>
      <c r="W77" s="2"/>
      <c r="X77" s="7">
        <f t="shared" si="58"/>
        <v>-3000</v>
      </c>
      <c r="Y77" s="2"/>
      <c r="Z77" s="6">
        <f t="shared" si="59"/>
        <v>-1</v>
      </c>
    </row>
    <row r="78" spans="1:26" s="24" customFormat="1" hidden="1" outlineLevel="2" x14ac:dyDescent="0.25">
      <c r="A78" s="25"/>
      <c r="B78" s="11" t="str">
        <f>CONCATENATE("          ", "6237", " - ", "JANITORIAL SUPPLIES")</f>
        <v xml:space="preserve">          6237 - JANITORIAL SUPPLIES</v>
      </c>
      <c r="C78" s="11"/>
      <c r="D78" s="7">
        <v>16.05</v>
      </c>
      <c r="E78" s="2"/>
      <c r="F78" s="6">
        <f t="shared" si="52"/>
        <v>1.6561864290123412E-4</v>
      </c>
      <c r="G78" s="2"/>
      <c r="H78" s="7">
        <v>100</v>
      </c>
      <c r="I78" s="2"/>
      <c r="J78" s="6">
        <f t="shared" si="53"/>
        <v>1.060198044994805E-3</v>
      </c>
      <c r="K78" s="2"/>
      <c r="L78" s="7">
        <f t="shared" si="54"/>
        <v>-83.95</v>
      </c>
      <c r="M78" s="2"/>
      <c r="N78" s="6">
        <f t="shared" si="55"/>
        <v>-0.83950000000000002</v>
      </c>
      <c r="O78" s="11"/>
      <c r="P78" s="7">
        <v>253.55</v>
      </c>
      <c r="Q78" s="2"/>
      <c r="R78" s="6">
        <f t="shared" si="56"/>
        <v>1.7741060286368914E-3</v>
      </c>
      <c r="S78" s="2"/>
      <c r="T78" s="7">
        <v>500</v>
      </c>
      <c r="U78" s="2"/>
      <c r="V78" s="6">
        <f t="shared" si="57"/>
        <v>3.5467985886579062E-3</v>
      </c>
      <c r="W78" s="2"/>
      <c r="X78" s="7">
        <f t="shared" si="58"/>
        <v>-246.45</v>
      </c>
      <c r="Y78" s="2"/>
      <c r="Z78" s="6">
        <f t="shared" si="59"/>
        <v>-0.4929</v>
      </c>
    </row>
    <row r="79" spans="1:26" s="24" customFormat="1" hidden="1" outlineLevel="2" x14ac:dyDescent="0.25">
      <c r="A79" s="25"/>
      <c r="B79" s="11" t="str">
        <f>CONCATENATE("          ", "6241", " - ", "OFFICE EXPENSE")</f>
        <v xml:space="preserve">          6241 - OFFICE EXPENSE</v>
      </c>
      <c r="C79" s="11"/>
      <c r="D79" s="7">
        <v>86.15</v>
      </c>
      <c r="E79" s="2"/>
      <c r="F79" s="6">
        <f t="shared" si="52"/>
        <v>8.8897483401503548E-4</v>
      </c>
      <c r="G79" s="2"/>
      <c r="H79" s="7">
        <v>120</v>
      </c>
      <c r="I79" s="2"/>
      <c r="J79" s="6">
        <f t="shared" si="53"/>
        <v>1.2722376539937661E-3</v>
      </c>
      <c r="K79" s="2"/>
      <c r="L79" s="7">
        <f t="shared" si="54"/>
        <v>-33.849999999999994</v>
      </c>
      <c r="M79" s="2"/>
      <c r="N79" s="6">
        <f t="shared" si="55"/>
        <v>-0.2820833333333333</v>
      </c>
      <c r="O79" s="11"/>
      <c r="P79" s="7">
        <v>292.58</v>
      </c>
      <c r="Q79" s="2"/>
      <c r="R79" s="6">
        <f t="shared" si="56"/>
        <v>2.0472015060484386E-3</v>
      </c>
      <c r="S79" s="2"/>
      <c r="T79" s="7">
        <v>240</v>
      </c>
      <c r="U79" s="2"/>
      <c r="V79" s="6">
        <f t="shared" si="57"/>
        <v>1.702463322555795E-3</v>
      </c>
      <c r="W79" s="2"/>
      <c r="X79" s="7">
        <f t="shared" si="58"/>
        <v>52.579999999999984</v>
      </c>
      <c r="Y79" s="2"/>
      <c r="Z79" s="6">
        <f t="shared" si="59"/>
        <v>0.21908333333333327</v>
      </c>
    </row>
    <row r="80" spans="1:26" s="24" customFormat="1" hidden="1" outlineLevel="2" x14ac:dyDescent="0.25">
      <c r="A80" s="25"/>
      <c r="B80" s="11" t="str">
        <f>CONCATENATE("          ", "6243", " - ", "PAPER SUPPLIES")</f>
        <v xml:space="preserve">          6243 - PAPER SUPPLIES</v>
      </c>
      <c r="C80" s="11"/>
      <c r="D80" s="7">
        <v>152.03</v>
      </c>
      <c r="E80" s="2"/>
      <c r="F80" s="6">
        <f t="shared" si="52"/>
        <v>1.5687851888021571E-3</v>
      </c>
      <c r="G80" s="2"/>
      <c r="H80" s="7"/>
      <c r="I80" s="2"/>
      <c r="J80" s="6">
        <f t="shared" si="53"/>
        <v>0</v>
      </c>
      <c r="K80" s="2"/>
      <c r="L80" s="7">
        <f t="shared" si="54"/>
        <v>152.03</v>
      </c>
      <c r="M80" s="2"/>
      <c r="N80" s="6">
        <f t="shared" si="55"/>
        <v>0</v>
      </c>
      <c r="O80" s="11"/>
      <c r="P80" s="7">
        <v>345.08</v>
      </c>
      <c r="Q80" s="2"/>
      <c r="R80" s="6">
        <f t="shared" si="56"/>
        <v>2.414547459522849E-3</v>
      </c>
      <c r="S80" s="2"/>
      <c r="T80" s="7"/>
      <c r="U80" s="2"/>
      <c r="V80" s="6">
        <f t="shared" si="57"/>
        <v>0</v>
      </c>
      <c r="W80" s="2"/>
      <c r="X80" s="7">
        <f t="shared" si="58"/>
        <v>345.08</v>
      </c>
      <c r="Y80" s="2"/>
      <c r="Z80" s="6">
        <f t="shared" si="59"/>
        <v>0</v>
      </c>
    </row>
    <row r="81" spans="1:26" s="24" customFormat="1" hidden="1" outlineLevel="2" x14ac:dyDescent="0.25">
      <c r="A81" s="25"/>
      <c r="B81" s="11" t="str">
        <f>CONCATENATE("          ", "6244", " - ", "SAFETY SUPPLY EXPENSE")</f>
        <v xml:space="preserve">          6244 - SAFETY SUPPLY EXPENSE</v>
      </c>
      <c r="C81" s="11"/>
      <c r="D81" s="7"/>
      <c r="E81" s="2"/>
      <c r="F81" s="6">
        <f t="shared" si="52"/>
        <v>0</v>
      </c>
      <c r="G81" s="2"/>
      <c r="H81" s="7"/>
      <c r="I81" s="2"/>
      <c r="J81" s="6">
        <f t="shared" si="53"/>
        <v>0</v>
      </c>
      <c r="K81" s="2"/>
      <c r="L81" s="7">
        <f t="shared" si="54"/>
        <v>0</v>
      </c>
      <c r="M81" s="2"/>
      <c r="N81" s="6">
        <f t="shared" si="55"/>
        <v>0</v>
      </c>
      <c r="O81" s="11"/>
      <c r="P81" s="7"/>
      <c r="Q81" s="2"/>
      <c r="R81" s="6">
        <f t="shared" si="56"/>
        <v>0</v>
      </c>
      <c r="S81" s="2"/>
      <c r="T81" s="7">
        <v>30</v>
      </c>
      <c r="U81" s="2"/>
      <c r="V81" s="6">
        <f t="shared" si="57"/>
        <v>2.1280791531947437E-4</v>
      </c>
      <c r="W81" s="2"/>
      <c r="X81" s="7">
        <f t="shared" si="58"/>
        <v>-30</v>
      </c>
      <c r="Y81" s="2"/>
      <c r="Z81" s="6">
        <f t="shared" si="59"/>
        <v>-1</v>
      </c>
    </row>
    <row r="82" spans="1:26" s="24" customFormat="1" hidden="1" outlineLevel="2" x14ac:dyDescent="0.25">
      <c r="A82" s="25"/>
      <c r="B82" s="11" t="str">
        <f>CONCATENATE("          ", "6247", " - ", "STORE SUPPLIES")</f>
        <v xml:space="preserve">          6247 - STORE SUPPLIES</v>
      </c>
      <c r="C82" s="11"/>
      <c r="D82" s="7">
        <v>5433.65</v>
      </c>
      <c r="E82" s="2"/>
      <c r="F82" s="6">
        <f t="shared" si="52"/>
        <v>5.6069391838024341E-2</v>
      </c>
      <c r="G82" s="2"/>
      <c r="H82" s="7"/>
      <c r="I82" s="2"/>
      <c r="J82" s="6">
        <f t="shared" si="53"/>
        <v>0</v>
      </c>
      <c r="K82" s="2"/>
      <c r="L82" s="7">
        <f t="shared" si="54"/>
        <v>5433.65</v>
      </c>
      <c r="M82" s="2"/>
      <c r="N82" s="6">
        <f t="shared" si="55"/>
        <v>0</v>
      </c>
      <c r="O82" s="11"/>
      <c r="P82" s="7">
        <v>6045.84</v>
      </c>
      <c r="Q82" s="2"/>
      <c r="R82" s="6">
        <f t="shared" si="56"/>
        <v>4.230314017816629E-2</v>
      </c>
      <c r="S82" s="2"/>
      <c r="T82" s="7"/>
      <c r="U82" s="2"/>
      <c r="V82" s="6">
        <f t="shared" si="57"/>
        <v>0</v>
      </c>
      <c r="W82" s="2"/>
      <c r="X82" s="7">
        <f t="shared" si="58"/>
        <v>6045.84</v>
      </c>
      <c r="Y82" s="2"/>
      <c r="Z82" s="6">
        <f t="shared" si="59"/>
        <v>0</v>
      </c>
    </row>
    <row r="83" spans="1:26" s="24" customFormat="1" hidden="1" outlineLevel="2" x14ac:dyDescent="0.25">
      <c r="A83" s="25"/>
      <c r="B83" s="11" t="str">
        <f>CONCATENATE("          ", "6248", " - ", "UNIFORMS")</f>
        <v xml:space="preserve">          6248 - UNIFORMS</v>
      </c>
      <c r="C83" s="11"/>
      <c r="D83" s="7"/>
      <c r="E83" s="2"/>
      <c r="F83" s="6">
        <f t="shared" si="52"/>
        <v>0</v>
      </c>
      <c r="G83" s="2"/>
      <c r="H83" s="7"/>
      <c r="I83" s="2"/>
      <c r="J83" s="6">
        <f t="shared" si="53"/>
        <v>0</v>
      </c>
      <c r="K83" s="2"/>
      <c r="L83" s="7">
        <f t="shared" si="54"/>
        <v>0</v>
      </c>
      <c r="M83" s="2"/>
      <c r="N83" s="6">
        <f t="shared" si="55"/>
        <v>0</v>
      </c>
      <c r="O83" s="11"/>
      <c r="P83" s="7"/>
      <c r="Q83" s="2"/>
      <c r="R83" s="6">
        <f t="shared" si="56"/>
        <v>0</v>
      </c>
      <c r="S83" s="2"/>
      <c r="T83" s="7">
        <v>300</v>
      </c>
      <c r="U83" s="2"/>
      <c r="V83" s="6">
        <f t="shared" si="57"/>
        <v>2.1280791531947435E-3</v>
      </c>
      <c r="W83" s="2"/>
      <c r="X83" s="7">
        <f t="shared" si="58"/>
        <v>-300</v>
      </c>
      <c r="Y83" s="2"/>
      <c r="Z83" s="6">
        <f t="shared" si="59"/>
        <v>-1</v>
      </c>
    </row>
    <row r="84" spans="1:26" s="26" customFormat="1" outlineLevel="1" collapsed="1" x14ac:dyDescent="0.25">
      <c r="A84" s="27"/>
      <c r="B84" s="13" t="str">
        <f>CONCATENATE("     ","Telephone/Data Lines                              ")</f>
        <v xml:space="preserve">     Telephone/Data Lines                              </v>
      </c>
      <c r="C84" s="13"/>
      <c r="D84" s="1">
        <f>SUM(OSRRefD22_15x_0)</f>
        <v>40</v>
      </c>
      <c r="E84" s="1"/>
      <c r="F84" s="5">
        <f t="shared" ref="F84:F89" si="60">IF(D$12=0,0,D84/D$12)</f>
        <v>4.1275674243298224E-4</v>
      </c>
      <c r="G84" s="1"/>
      <c r="H84" s="1">
        <f>SUM(OSRRefH22_15x_0)</f>
        <v>40</v>
      </c>
      <c r="I84" s="1"/>
      <c r="J84" s="5">
        <f t="shared" ref="J84:J89" si="61">IF(H$12=0,0,H84/H$12)</f>
        <v>4.2407921799792202E-4</v>
      </c>
      <c r="K84" s="1"/>
      <c r="L84" s="1">
        <f t="shared" ref="L84:L89" si="62">+D84-H84</f>
        <v>0</v>
      </c>
      <c r="M84" s="1"/>
      <c r="N84" s="5">
        <f t="shared" ref="N84:N89" si="63">IF(H84=0,0,L84/H84)</f>
        <v>0</v>
      </c>
      <c r="O84" s="13"/>
      <c r="P84" s="1">
        <f>SUM(OSRRefP22_15x_0)</f>
        <v>117.45</v>
      </c>
      <c r="Q84" s="1"/>
      <c r="R84" s="5">
        <f t="shared" ref="R84:R89" si="64">IF(P$12=0,0,P84/P$12)</f>
        <v>8.2180537591560983E-4</v>
      </c>
      <c r="S84" s="1"/>
      <c r="T84" s="1">
        <f>SUM(OSRRefT22_15x_0)</f>
        <v>120</v>
      </c>
      <c r="U84" s="1"/>
      <c r="V84" s="5">
        <f t="shared" ref="V84:V89" si="65">IF(T$12=0,0,T84/T$12)</f>
        <v>8.5123166127789749E-4</v>
      </c>
      <c r="W84" s="1"/>
      <c r="X84" s="1">
        <f t="shared" ref="X84:X89" si="66">+P84-T84</f>
        <v>-2.5499999999999972</v>
      </c>
      <c r="Y84" s="1"/>
      <c r="Z84" s="5">
        <f t="shared" ref="Z84:Z89" si="67">IF(T84=0,0,X84/T84)</f>
        <v>-2.1249999999999977E-2</v>
      </c>
    </row>
    <row r="85" spans="1:26" s="24" customFormat="1" hidden="1" outlineLevel="2" x14ac:dyDescent="0.25">
      <c r="A85" s="25"/>
      <c r="B85" s="11" t="str">
        <f>CONCATENATE("          ", "6309", " - ", "TELEPHONE")</f>
        <v xml:space="preserve">          6309 - TELEPHONE</v>
      </c>
      <c r="C85" s="11"/>
      <c r="D85" s="7">
        <v>40</v>
      </c>
      <c r="E85" s="2"/>
      <c r="F85" s="6">
        <f t="shared" si="60"/>
        <v>4.1275674243298224E-4</v>
      </c>
      <c r="G85" s="2"/>
      <c r="H85" s="7">
        <v>40</v>
      </c>
      <c r="I85" s="2"/>
      <c r="J85" s="6">
        <f t="shared" si="61"/>
        <v>4.2407921799792202E-4</v>
      </c>
      <c r="K85" s="2"/>
      <c r="L85" s="7">
        <f t="shared" si="62"/>
        <v>0</v>
      </c>
      <c r="M85" s="2"/>
      <c r="N85" s="6">
        <f t="shared" si="63"/>
        <v>0</v>
      </c>
      <c r="O85" s="11"/>
      <c r="P85" s="7">
        <v>117.45</v>
      </c>
      <c r="Q85" s="2"/>
      <c r="R85" s="6">
        <f t="shared" si="64"/>
        <v>8.2180537591560983E-4</v>
      </c>
      <c r="S85" s="2"/>
      <c r="T85" s="7">
        <v>120</v>
      </c>
      <c r="U85" s="2"/>
      <c r="V85" s="6">
        <f t="shared" si="65"/>
        <v>8.5123166127789749E-4</v>
      </c>
      <c r="W85" s="2"/>
      <c r="X85" s="7">
        <f t="shared" si="66"/>
        <v>-2.5499999999999972</v>
      </c>
      <c r="Y85" s="2"/>
      <c r="Z85" s="6">
        <f t="shared" si="67"/>
        <v>-2.1249999999999977E-2</v>
      </c>
    </row>
    <row r="86" spans="1:26" s="26" customFormat="1" outlineLevel="1" collapsed="1" x14ac:dyDescent="0.25">
      <c r="A86" s="27"/>
      <c r="B86" s="13" t="str">
        <f>CONCATENATE("     ","Training                                          ")</f>
        <v xml:space="preserve">     Training                                          </v>
      </c>
      <c r="C86" s="13"/>
      <c r="D86" s="1">
        <f>SUM(OSRRefD22_16x_0)</f>
        <v>0</v>
      </c>
      <c r="E86" s="1"/>
      <c r="F86" s="5">
        <f t="shared" si="60"/>
        <v>0</v>
      </c>
      <c r="G86" s="1"/>
      <c r="H86" s="1">
        <f>SUM(OSRRefH22_16x_0)</f>
        <v>0</v>
      </c>
      <c r="I86" s="1"/>
      <c r="J86" s="5">
        <f t="shared" si="61"/>
        <v>0</v>
      </c>
      <c r="K86" s="1"/>
      <c r="L86" s="1">
        <f t="shared" si="62"/>
        <v>0</v>
      </c>
      <c r="M86" s="1"/>
      <c r="N86" s="5">
        <f t="shared" si="63"/>
        <v>0</v>
      </c>
      <c r="O86" s="13"/>
      <c r="P86" s="1">
        <f>SUM(OSRRefP22_16x_0)</f>
        <v>0</v>
      </c>
      <c r="Q86" s="1"/>
      <c r="R86" s="5">
        <f t="shared" si="64"/>
        <v>0</v>
      </c>
      <c r="S86" s="1"/>
      <c r="T86" s="1">
        <f>SUM(OSRRefT22_16x_0)</f>
        <v>100</v>
      </c>
      <c r="U86" s="1"/>
      <c r="V86" s="5">
        <f t="shared" si="65"/>
        <v>7.0935971773158121E-4</v>
      </c>
      <c r="W86" s="1"/>
      <c r="X86" s="1">
        <f t="shared" si="66"/>
        <v>-100</v>
      </c>
      <c r="Y86" s="1"/>
      <c r="Z86" s="5">
        <f t="shared" si="67"/>
        <v>-1</v>
      </c>
    </row>
    <row r="87" spans="1:26" s="24" customFormat="1" hidden="1" outlineLevel="2" x14ac:dyDescent="0.25">
      <c r="A87" s="25"/>
      <c r="B87" s="11" t="str">
        <f>CONCATENATE("          ", "6376", " - ", "TRAINING")</f>
        <v xml:space="preserve">          6376 - TRAINING</v>
      </c>
      <c r="C87" s="11"/>
      <c r="D87" s="7"/>
      <c r="E87" s="2"/>
      <c r="F87" s="6">
        <f t="shared" si="60"/>
        <v>0</v>
      </c>
      <c r="G87" s="2"/>
      <c r="H87" s="7"/>
      <c r="I87" s="2"/>
      <c r="J87" s="6">
        <f t="shared" si="61"/>
        <v>0</v>
      </c>
      <c r="K87" s="2"/>
      <c r="L87" s="7">
        <f t="shared" si="62"/>
        <v>0</v>
      </c>
      <c r="M87" s="2"/>
      <c r="N87" s="6">
        <f t="shared" si="63"/>
        <v>0</v>
      </c>
      <c r="O87" s="11"/>
      <c r="P87" s="7"/>
      <c r="Q87" s="2"/>
      <c r="R87" s="6">
        <f t="shared" si="64"/>
        <v>0</v>
      </c>
      <c r="S87" s="2"/>
      <c r="T87" s="7">
        <v>100</v>
      </c>
      <c r="U87" s="2"/>
      <c r="V87" s="6">
        <f t="shared" si="65"/>
        <v>7.0935971773158121E-4</v>
      </c>
      <c r="W87" s="2"/>
      <c r="X87" s="7">
        <f t="shared" si="66"/>
        <v>-100</v>
      </c>
      <c r="Y87" s="2"/>
      <c r="Z87" s="6">
        <f t="shared" si="67"/>
        <v>-1</v>
      </c>
    </row>
    <row r="88" spans="1:26" s="26" customFormat="1" outlineLevel="1" collapsed="1" x14ac:dyDescent="0.25">
      <c r="A88" s="27"/>
      <c r="B88" s="13" t="str">
        <f>CONCATENATE("     ","Utilities                                         ")</f>
        <v xml:space="preserve">     Utilities                                         </v>
      </c>
      <c r="C88" s="13"/>
      <c r="D88" s="1">
        <f>SUM(OSRRefD22_17x_0)</f>
        <v>771</v>
      </c>
      <c r="E88" s="1"/>
      <c r="F88" s="5">
        <f t="shared" si="60"/>
        <v>7.9558862103957326E-3</v>
      </c>
      <c r="G88" s="1"/>
      <c r="H88" s="1">
        <f>SUM(OSRRefH22_17x_0)</f>
        <v>1100</v>
      </c>
      <c r="I88" s="1"/>
      <c r="J88" s="5">
        <f t="shared" si="61"/>
        <v>1.1662178494942855E-2</v>
      </c>
      <c r="K88" s="1"/>
      <c r="L88" s="1">
        <f t="shared" si="62"/>
        <v>-329</v>
      </c>
      <c r="M88" s="1"/>
      <c r="N88" s="5">
        <f t="shared" si="63"/>
        <v>-0.29909090909090907</v>
      </c>
      <c r="O88" s="13"/>
      <c r="P88" s="1">
        <f>SUM(OSRRefP22_17x_0)</f>
        <v>1542</v>
      </c>
      <c r="Q88" s="1"/>
      <c r="R88" s="5">
        <f t="shared" si="64"/>
        <v>1.0789475433476973E-2</v>
      </c>
      <c r="S88" s="1"/>
      <c r="T88" s="1">
        <f>SUM(OSRRefT22_17x_0)</f>
        <v>3300</v>
      </c>
      <c r="U88" s="1"/>
      <c r="V88" s="5">
        <f t="shared" si="65"/>
        <v>2.3408870685142181E-2</v>
      </c>
      <c r="W88" s="1"/>
      <c r="X88" s="1">
        <f t="shared" si="66"/>
        <v>-1758</v>
      </c>
      <c r="Y88" s="1"/>
      <c r="Z88" s="5">
        <f t="shared" si="67"/>
        <v>-0.53272727272727272</v>
      </c>
    </row>
    <row r="89" spans="1:26" s="24" customFormat="1" hidden="1" outlineLevel="2" x14ac:dyDescent="0.25">
      <c r="A89" s="25"/>
      <c r="B89" s="11" t="str">
        <f>CONCATENATE("          ", "6274", " - ", "UTILITIES")</f>
        <v xml:space="preserve">          6274 - UTILITIES</v>
      </c>
      <c r="C89" s="11"/>
      <c r="D89" s="7">
        <v>771</v>
      </c>
      <c r="E89" s="2"/>
      <c r="F89" s="6">
        <f t="shared" si="60"/>
        <v>7.9558862103957326E-3</v>
      </c>
      <c r="G89" s="2"/>
      <c r="H89" s="7">
        <v>1100</v>
      </c>
      <c r="I89" s="2"/>
      <c r="J89" s="6">
        <f t="shared" si="61"/>
        <v>1.1662178494942855E-2</v>
      </c>
      <c r="K89" s="2"/>
      <c r="L89" s="7">
        <f t="shared" si="62"/>
        <v>-329</v>
      </c>
      <c r="M89" s="2"/>
      <c r="N89" s="6">
        <f t="shared" si="63"/>
        <v>-0.29909090909090907</v>
      </c>
      <c r="O89" s="11"/>
      <c r="P89" s="7">
        <v>1542</v>
      </c>
      <c r="Q89" s="2"/>
      <c r="R89" s="6">
        <f t="shared" si="64"/>
        <v>1.0789475433476973E-2</v>
      </c>
      <c r="S89" s="2"/>
      <c r="T89" s="7">
        <v>3300</v>
      </c>
      <c r="U89" s="2"/>
      <c r="V89" s="6">
        <f t="shared" si="65"/>
        <v>2.3408870685142181E-2</v>
      </c>
      <c r="W89" s="2"/>
      <c r="X89" s="7">
        <f t="shared" si="66"/>
        <v>-1758</v>
      </c>
      <c r="Y89" s="2"/>
      <c r="Z89" s="6">
        <f t="shared" si="67"/>
        <v>-0.53272727272727272</v>
      </c>
    </row>
    <row r="90" spans="1:26" s="63" customFormat="1" x14ac:dyDescent="0.25">
      <c r="A90" s="36"/>
      <c r="B90" s="36"/>
      <c r="C90" s="36"/>
      <c r="D90" s="1"/>
      <c r="E90" s="1"/>
      <c r="F90" s="5"/>
      <c r="G90" s="1"/>
      <c r="H90" s="1"/>
      <c r="I90" s="1"/>
      <c r="J90" s="5"/>
      <c r="K90" s="1"/>
      <c r="L90" s="1"/>
      <c r="M90" s="1"/>
      <c r="N90" s="5"/>
      <c r="O90" s="36"/>
      <c r="P90" s="1"/>
      <c r="Q90" s="1"/>
      <c r="R90" s="5"/>
      <c r="S90" s="1"/>
      <c r="T90" s="1"/>
      <c r="U90" s="1"/>
      <c r="V90" s="5"/>
      <c r="W90" s="1"/>
      <c r="X90" s="1"/>
      <c r="Y90" s="1"/>
      <c r="Z90" s="5"/>
    </row>
    <row r="91" spans="1:26" s="23" customFormat="1" x14ac:dyDescent="0.25">
      <c r="A91" s="10"/>
      <c r="B91" s="28" t="s">
        <v>0</v>
      </c>
      <c r="C91" s="10"/>
      <c r="D91" s="4">
        <f>SUM(0)</f>
        <v>0</v>
      </c>
      <c r="E91" s="4"/>
      <c r="F91" s="12">
        <f>IF(D$12=0,0,D91/D$12)</f>
        <v>0</v>
      </c>
      <c r="G91" s="4"/>
      <c r="H91" s="4">
        <f>SUM(0)</f>
        <v>0</v>
      </c>
      <c r="I91" s="4"/>
      <c r="J91" s="12">
        <f>IF(H$12=0,0,H91/H$12)</f>
        <v>0</v>
      </c>
      <c r="K91" s="4"/>
      <c r="L91" s="4">
        <f>+D91-H91</f>
        <v>0</v>
      </c>
      <c r="M91" s="4"/>
      <c r="N91" s="12">
        <f>IF(H91=0,0,L91/H91)</f>
        <v>0</v>
      </c>
      <c r="O91" s="10"/>
      <c r="P91" s="4">
        <f>SUM(0)</f>
        <v>0</v>
      </c>
      <c r="Q91" s="4"/>
      <c r="R91" s="12">
        <f>IF(P$12=0,0,P91/P$12)</f>
        <v>0</v>
      </c>
      <c r="S91" s="4"/>
      <c r="T91" s="4">
        <f>SUM(0)</f>
        <v>0</v>
      </c>
      <c r="U91" s="4"/>
      <c r="V91" s="12">
        <f>IF(T$12=0,0,T91/T$12)</f>
        <v>0</v>
      </c>
      <c r="W91" s="4"/>
      <c r="X91" s="4">
        <f>+P91-T91</f>
        <v>0</v>
      </c>
      <c r="Y91" s="4"/>
      <c r="Z91" s="12">
        <f>IF(T91=0,0,X91/T91)</f>
        <v>0</v>
      </c>
    </row>
    <row r="92" spans="1:26" x14ac:dyDescent="0.25">
      <c r="A92" s="9"/>
      <c r="B92" s="10"/>
      <c r="C92" s="10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O92" s="10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10"/>
      <c r="B93" s="29" t="s">
        <v>3</v>
      </c>
      <c r="C93" s="29"/>
      <c r="D93" s="22">
        <f>+D22-D24+D91</f>
        <v>19276.760000000002</v>
      </c>
      <c r="E93" s="14"/>
      <c r="F93" s="20">
        <f>IF(D$12=0,0,D93/D$12)</f>
        <v>0.19891531655656039</v>
      </c>
      <c r="G93" s="14"/>
      <c r="H93" s="22">
        <f>+H22-H24+H91</f>
        <v>17342.285424000002</v>
      </c>
      <c r="I93" s="14"/>
      <c r="J93" s="20">
        <f>IF(H$12=0,0,H93/H$12)</f>
        <v>0.18386257102266704</v>
      </c>
      <c r="K93" s="15"/>
      <c r="L93" s="22">
        <f>+D93-H93</f>
        <v>1934.4745760000005</v>
      </c>
      <c r="M93" s="15"/>
      <c r="N93" s="20">
        <f>IF(H93=0,0,L93/H93)</f>
        <v>0.11154669230174702</v>
      </c>
      <c r="O93" s="28"/>
      <c r="P93" s="22">
        <f>+P22-P24+P91</f>
        <v>-4297.5800000000163</v>
      </c>
      <c r="Q93" s="14"/>
      <c r="R93" s="20">
        <f>IF(P$12=0,0,P93/P$12)</f>
        <v>-3.0070449956810727E-2</v>
      </c>
      <c r="S93" s="14"/>
      <c r="T93" s="22">
        <f>+T22-T24+T91</f>
        <v>-11551.542090750008</v>
      </c>
      <c r="U93" s="14"/>
      <c r="V93" s="20">
        <f>IF(T$12=0,0,T93/T$12)</f>
        <v>-8.1941986368589056E-2</v>
      </c>
      <c r="W93" s="15"/>
      <c r="X93" s="22">
        <f>+P93-T93</f>
        <v>7253.9620907499921</v>
      </c>
      <c r="Y93" s="15"/>
      <c r="Z93" s="20">
        <f>IF(T93=0,0,X93/T93)</f>
        <v>-0.62796482355015282</v>
      </c>
    </row>
    <row r="94" spans="1:26" x14ac:dyDescent="0.25">
      <c r="A94" s="9"/>
      <c r="B94" s="10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25">
      <c r="A95" s="52"/>
      <c r="B95" s="10" t="s">
        <v>14</v>
      </c>
      <c r="C95" s="10"/>
      <c r="D95" s="4">
        <v>9614.86</v>
      </c>
      <c r="E95" s="4"/>
      <c r="F95" s="12">
        <f>IF(D$12=0,0,D95/D$12)</f>
        <v>9.921495731372959E-2</v>
      </c>
      <c r="G95" s="4"/>
      <c r="H95" s="4">
        <v>10255</v>
      </c>
      <c r="I95" s="4"/>
      <c r="J95" s="12">
        <f>IF(H$12=0,0,H95/H$12)</f>
        <v>0.10872330951421726</v>
      </c>
      <c r="K95" s="4"/>
      <c r="L95" s="4">
        <f>+D95-H95</f>
        <v>-640.13999999999942</v>
      </c>
      <c r="M95" s="4"/>
      <c r="N95" s="12">
        <f>IF(H95=0,0,L95/H95)</f>
        <v>-6.2422233057045286E-2</v>
      </c>
      <c r="O95" s="10"/>
      <c r="P95" s="4">
        <v>15351.18</v>
      </c>
      <c r="Q95" s="4"/>
      <c r="R95" s="12">
        <f>IF(P$12=0,0,P95/P$12)</f>
        <v>0.10741321626775813</v>
      </c>
      <c r="S95" s="4"/>
      <c r="T95" s="4">
        <v>17831</v>
      </c>
      <c r="U95" s="4"/>
      <c r="V95" s="12">
        <f>IF(T$12=0,0,T95/T$12)</f>
        <v>0.12648593126871824</v>
      </c>
      <c r="W95" s="4"/>
      <c r="X95" s="4">
        <f>+P95-T95</f>
        <v>-2479.8199999999997</v>
      </c>
      <c r="Y95" s="4"/>
      <c r="Z95" s="12">
        <f>IF(T95=0,0,X95/T95)</f>
        <v>-0.13907352363860689</v>
      </c>
    </row>
    <row r="96" spans="1:26" x14ac:dyDescent="0.25">
      <c r="A96" s="9"/>
      <c r="B96" s="10"/>
      <c r="C96" s="10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O96" s="10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.75" thickBot="1" x14ac:dyDescent="0.3">
      <c r="A97" s="10"/>
      <c r="B97" s="29" t="s">
        <v>4</v>
      </c>
      <c r="C97" s="29"/>
      <c r="D97" s="35">
        <f>+D93-D95</f>
        <v>9661.9000000000015</v>
      </c>
      <c r="E97" s="14"/>
      <c r="F97" s="32">
        <f>IF(D$12=0,0,D97/D$12)</f>
        <v>9.9700359242830786E-2</v>
      </c>
      <c r="G97" s="14"/>
      <c r="H97" s="35">
        <f>+H93-H95</f>
        <v>7087.2854240000015</v>
      </c>
      <c r="I97" s="14"/>
      <c r="J97" s="32">
        <f>IF(H$12=0,0,H97/H$12)</f>
        <v>7.5139261508449795E-2</v>
      </c>
      <c r="K97" s="15"/>
      <c r="L97" s="35">
        <f>D97-H97</f>
        <v>2574.6145759999999</v>
      </c>
      <c r="M97" s="15"/>
      <c r="N97" s="32">
        <f>IF(H97=0,0,L97/H97)</f>
        <v>0.36327231400635623</v>
      </c>
      <c r="O97" s="28"/>
      <c r="P97" s="35">
        <f>+P93-P95</f>
        <v>-19648.760000000017</v>
      </c>
      <c r="Q97" s="14"/>
      <c r="R97" s="32">
        <f>IF(P$12=0,0,P97/P$12)</f>
        <v>-0.13748366622456887</v>
      </c>
      <c r="S97" s="14"/>
      <c r="T97" s="35">
        <f>+T93-T95</f>
        <v>-29382.542090750008</v>
      </c>
      <c r="U97" s="14"/>
      <c r="V97" s="32">
        <f>IF(T$12=0,0,T97/T$12)</f>
        <v>-0.20842791763730731</v>
      </c>
      <c r="W97" s="15"/>
      <c r="X97" s="35">
        <f>P97-T97</f>
        <v>9733.7820907499918</v>
      </c>
      <c r="Y97" s="15"/>
      <c r="Z97" s="32">
        <f>IF(T97=0,0,X97/T97)</f>
        <v>-0.33127773834838847</v>
      </c>
    </row>
    <row r="98" spans="1:26" ht="15.75" thickTop="1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x14ac:dyDescent="0.25">
      <c r="A99" s="9"/>
      <c r="B99" s="9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ht="15.75" thickBot="1" x14ac:dyDescent="0.3">
      <c r="A100" s="10"/>
      <c r="B100" s="29" t="s">
        <v>5</v>
      </c>
      <c r="C100" s="29"/>
      <c r="D100" s="30">
        <f>SUM(D97:D99)</f>
        <v>9661.9000000000015</v>
      </c>
      <c r="E100" s="14"/>
      <c r="F100" s="31">
        <f>IF(D$12=0,0,D100/D$12)</f>
        <v>9.9700359242830786E-2</v>
      </c>
      <c r="G100" s="14"/>
      <c r="H100" s="30">
        <f>SUM(H97:H99)</f>
        <v>7087.2854240000015</v>
      </c>
      <c r="I100" s="14"/>
      <c r="J100" s="31">
        <f>IF(H$12=0,0,H100/H$12)</f>
        <v>7.5139261508449795E-2</v>
      </c>
      <c r="K100" s="15"/>
      <c r="L100" s="30">
        <f>+D100-H100</f>
        <v>2574.6145759999999</v>
      </c>
      <c r="M100" s="15"/>
      <c r="N100" s="31">
        <f>IF(H100=0,0,L100/H100)</f>
        <v>0.36327231400635623</v>
      </c>
      <c r="O100" s="28"/>
      <c r="P100" s="30">
        <f>SUM(P97:P99)</f>
        <v>-19648.760000000017</v>
      </c>
      <c r="Q100" s="14"/>
      <c r="R100" s="31">
        <f>IF(P$12=0,0,P100/P$12)</f>
        <v>-0.13748366622456887</v>
      </c>
      <c r="S100" s="14"/>
      <c r="T100" s="30">
        <f>SUM(T97:T99)</f>
        <v>-29382.542090750008</v>
      </c>
      <c r="U100" s="14"/>
      <c r="V100" s="31">
        <f>IF(T$12=0,0,T100/T$12)</f>
        <v>-0.20842791763730731</v>
      </c>
      <c r="W100" s="15"/>
      <c r="X100" s="30">
        <f>+P100-T100</f>
        <v>9733.7820907499918</v>
      </c>
      <c r="Y100" s="15"/>
      <c r="Z100" s="31">
        <f>IF(T100=0,0,X100/T100)</f>
        <v>-0.33127773834838847</v>
      </c>
    </row>
    <row r="101" spans="1:26" ht="15.75" thickTop="1" x14ac:dyDescent="0.25">
      <c r="A101" s="9"/>
      <c r="C101" s="9"/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  <row r="102" spans="1:26" x14ac:dyDescent="0.25">
      <c r="A102" s="9"/>
      <c r="B102" s="53">
        <v>43756.452497453705</v>
      </c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  <row r="103" spans="1:26" x14ac:dyDescent="0.25">
      <c r="A103" s="9"/>
      <c r="B103" s="55" t="s">
        <v>314</v>
      </c>
      <c r="D103" s="18"/>
      <c r="E103" s="18"/>
      <c r="G103" s="18"/>
      <c r="H103" s="18"/>
      <c r="I103" s="18"/>
      <c r="J103" s="43"/>
      <c r="K103" s="18"/>
      <c r="L103" s="18"/>
      <c r="M103" s="18"/>
      <c r="P103" s="18"/>
      <c r="Q103" s="18"/>
      <c r="R103" s="43"/>
      <c r="S103" s="18"/>
      <c r="T103" s="18"/>
      <c r="U103" s="18"/>
      <c r="V103" s="43"/>
      <c r="W103" s="18"/>
      <c r="X103" s="18"/>
    </row>
    <row r="104" spans="1:26" x14ac:dyDescent="0.25">
      <c r="A104" s="9"/>
      <c r="B104" s="56"/>
      <c r="D104" s="18"/>
      <c r="E104" s="18"/>
      <c r="G104" s="18"/>
      <c r="H104" s="18"/>
      <c r="I104" s="18"/>
      <c r="J104" s="43"/>
      <c r="K104" s="18"/>
      <c r="L104" s="18"/>
      <c r="M104" s="18"/>
      <c r="P104" s="18"/>
      <c r="Q104" s="18"/>
      <c r="R104" s="43"/>
      <c r="S104" s="18"/>
      <c r="T104" s="18"/>
      <c r="U104" s="18"/>
      <c r="V104" s="43"/>
      <c r="W104" s="18"/>
      <c r="X104" s="18"/>
    </row>
    <row r="105" spans="1:26" x14ac:dyDescent="0.25">
      <c r="D105" s="18"/>
      <c r="E105" s="18"/>
      <c r="G105" s="18"/>
      <c r="H105" s="18"/>
      <c r="I105" s="18"/>
      <c r="J105" s="43"/>
      <c r="K105" s="18"/>
      <c r="L105" s="18"/>
      <c r="M105" s="18"/>
      <c r="P105" s="18"/>
      <c r="Q105" s="18"/>
      <c r="R105" s="43"/>
      <c r="S105" s="18"/>
      <c r="T105" s="18"/>
      <c r="U105" s="18"/>
      <c r="V105" s="43"/>
      <c r="W105" s="18"/>
      <c r="X105" s="18"/>
    </row>
  </sheetData>
  <pageMargins left="0.25" right="0.25" top="0.75" bottom="0.75" header="0.3" footer="0.3"/>
  <pageSetup scale="55" fitToWidth="2" orientation="landscape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str">
        <f>CONCATENATE("Period ",RIGHT(202003,2),", ",2020)</f>
        <v>Period 03, 2020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43736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tr">
        <f>CONCATENATE("Department ","327", " - ", "C-Store Vending Machine(s)")</f>
        <v>Department 327 - C-Store Vending Machine(s)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1942</v>
      </c>
      <c r="E12" s="4"/>
      <c r="F12" s="12"/>
      <c r="G12" s="4"/>
      <c r="H12" s="4">
        <f>SUM(OSRRefH13x_0)</f>
        <v>1516</v>
      </c>
      <c r="I12" s="4"/>
      <c r="J12" s="12"/>
      <c r="K12" s="4"/>
      <c r="L12" s="4">
        <f t="shared" ref="L12:L14" si="0">+D12-H12</f>
        <v>426</v>
      </c>
      <c r="M12" s="4"/>
      <c r="N12" s="12">
        <f t="shared" ref="N12:N14" si="1">IF(H12=0,0,L12/H12)</f>
        <v>0.28100263852242746</v>
      </c>
      <c r="O12" s="10"/>
      <c r="P12" s="4">
        <f>SUM(OSRRefP13x_0)</f>
        <v>2406.5</v>
      </c>
      <c r="Q12" s="4"/>
      <c r="R12" s="12"/>
      <c r="S12" s="4"/>
      <c r="T12" s="4">
        <f>SUM(OSRRefT13x_0)</f>
        <v>2024</v>
      </c>
      <c r="U12" s="4"/>
      <c r="V12" s="12"/>
      <c r="W12" s="4"/>
      <c r="X12" s="4">
        <f t="shared" ref="X12:X14" si="2">+P12-T12</f>
        <v>382.5</v>
      </c>
      <c r="Y12" s="4"/>
      <c r="Z12" s="12">
        <f t="shared" ref="Z12:Z14" si="3">IF(T12=0,0,X12/T12)</f>
        <v>0.18898221343873517</v>
      </c>
    </row>
    <row r="13" spans="1:26" s="24" customFormat="1" hidden="1" outlineLevel="1" x14ac:dyDescent="0.25">
      <c r="A13" s="46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19"/>
      <c r="G13" s="2"/>
      <c r="H13" s="2">
        <v>1516</v>
      </c>
      <c r="I13" s="2"/>
      <c r="J13" s="19"/>
      <c r="K13" s="2"/>
      <c r="L13" s="2">
        <f t="shared" si="0"/>
        <v>-1516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2024</v>
      </c>
      <c r="U13" s="2"/>
      <c r="V13" s="19"/>
      <c r="W13" s="2"/>
      <c r="X13" s="2">
        <f t="shared" si="2"/>
        <v>-2024</v>
      </c>
      <c r="Y13" s="2"/>
      <c r="Z13" s="19">
        <f t="shared" si="3"/>
        <v>-1</v>
      </c>
    </row>
    <row r="14" spans="1:26" s="24" customFormat="1" hidden="1" outlineLevel="1" x14ac:dyDescent="0.25">
      <c r="A14" s="46"/>
      <c r="B14" s="11" t="str">
        <f>CONCATENATE("          ", "4153", " - ", "NON-TAXABLE SALES-FOOD")</f>
        <v xml:space="preserve">          4153 - NON-TAXABLE SALES-FOOD</v>
      </c>
      <c r="C14" s="11"/>
      <c r="D14" s="2">
        <f>--1942</f>
        <v>1942</v>
      </c>
      <c r="E14" s="2"/>
      <c r="F14" s="19"/>
      <c r="G14" s="2"/>
      <c r="H14" s="2"/>
      <c r="I14" s="2"/>
      <c r="J14" s="19"/>
      <c r="K14" s="2"/>
      <c r="L14" s="2">
        <f t="shared" si="0"/>
        <v>1942</v>
      </c>
      <c r="M14" s="2"/>
      <c r="N14" s="19">
        <f t="shared" si="1"/>
        <v>0</v>
      </c>
      <c r="O14" s="11"/>
      <c r="P14" s="2">
        <f>--2406.5</f>
        <v>2406.5</v>
      </c>
      <c r="Q14" s="2"/>
      <c r="R14" s="19"/>
      <c r="S14" s="2"/>
      <c r="T14" s="2"/>
      <c r="U14" s="2"/>
      <c r="V14" s="19"/>
      <c r="W14" s="2"/>
      <c r="X14" s="2">
        <f t="shared" si="2"/>
        <v>2406.5</v>
      </c>
      <c r="Y14" s="2"/>
      <c r="Z14" s="19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381</v>
      </c>
      <c r="E16" s="4"/>
      <c r="F16" s="12">
        <f t="shared" ref="F16:F18" si="4">IF(D$12=0,0,D16/D$12)</f>
        <v>0.19618949536560248</v>
      </c>
      <c r="G16" s="4"/>
      <c r="H16" s="4">
        <f>SUM(OSRRefH16x_0)</f>
        <v>758</v>
      </c>
      <c r="I16" s="4"/>
      <c r="J16" s="12">
        <f t="shared" ref="J16:J18" si="5">IF(H$12=0,0,H16/H$12)</f>
        <v>0.5</v>
      </c>
      <c r="K16" s="4"/>
      <c r="L16" s="4">
        <f t="shared" ref="L16:L18" si="6">+D16-H16</f>
        <v>-377</v>
      </c>
      <c r="M16" s="4"/>
      <c r="N16" s="12">
        <f t="shared" ref="N16:N18" si="7">IF(H16=0,0,L16/H16)</f>
        <v>-0.49736147757255939</v>
      </c>
      <c r="O16" s="10"/>
      <c r="P16" s="4">
        <f>SUM(OSRRefP16x_0)</f>
        <v>869.96</v>
      </c>
      <c r="Q16" s="4"/>
      <c r="R16" s="12">
        <f t="shared" ref="R16:R18" si="8">IF(P$12=0,0,P16/P$12)</f>
        <v>0.36150425929773533</v>
      </c>
      <c r="S16" s="4"/>
      <c r="T16" s="4">
        <f>SUM(OSRRefT16x_0)</f>
        <v>1012</v>
      </c>
      <c r="U16" s="4"/>
      <c r="V16" s="12">
        <f t="shared" ref="V16:V18" si="9">IF(T$12=0,0,T16/T$12)</f>
        <v>0.5</v>
      </c>
      <c r="W16" s="4"/>
      <c r="X16" s="4">
        <f t="shared" ref="X16:X18" si="10">+P16-T16</f>
        <v>-142.03999999999996</v>
      </c>
      <c r="Y16" s="4"/>
      <c r="Z16" s="12">
        <f t="shared" ref="Z16:Z18" si="11">IF(T16=0,0,X16/T16)</f>
        <v>-0.1403557312252964</v>
      </c>
    </row>
    <row r="17" spans="1:26" s="24" customFormat="1" hidden="1" outlineLevel="1" x14ac:dyDescent="0.25">
      <c r="A17" s="46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19">
        <f t="shared" si="4"/>
        <v>0</v>
      </c>
      <c r="G17" s="2"/>
      <c r="H17" s="2">
        <v>758</v>
      </c>
      <c r="I17" s="2"/>
      <c r="J17" s="19">
        <f t="shared" si="5"/>
        <v>0.5</v>
      </c>
      <c r="K17" s="2"/>
      <c r="L17" s="2">
        <f t="shared" si="6"/>
        <v>-758</v>
      </c>
      <c r="M17" s="2"/>
      <c r="N17" s="19">
        <f t="shared" si="7"/>
        <v>-1</v>
      </c>
      <c r="O17" s="11"/>
      <c r="P17" s="2"/>
      <c r="Q17" s="2"/>
      <c r="R17" s="19">
        <f t="shared" si="8"/>
        <v>0</v>
      </c>
      <c r="S17" s="2"/>
      <c r="T17" s="2">
        <v>1012</v>
      </c>
      <c r="U17" s="2"/>
      <c r="V17" s="19">
        <f t="shared" si="9"/>
        <v>0.5</v>
      </c>
      <c r="W17" s="2"/>
      <c r="X17" s="2">
        <f t="shared" si="10"/>
        <v>-1012</v>
      </c>
      <c r="Y17" s="2"/>
      <c r="Z17" s="19">
        <f t="shared" si="11"/>
        <v>-1</v>
      </c>
    </row>
    <row r="18" spans="1:26" s="24" customFormat="1" hidden="1" outlineLevel="1" x14ac:dyDescent="0.25">
      <c r="A18" s="46"/>
      <c r="B18" s="11" t="str">
        <f>CONCATENATE("          ", "5059", " - ", "PURCHASES @ COST-FOOD")</f>
        <v xml:space="preserve">          5059 - PURCHASES @ COST-FOOD</v>
      </c>
      <c r="C18" s="11"/>
      <c r="D18" s="2">
        <v>381</v>
      </c>
      <c r="E18" s="2"/>
      <c r="F18" s="19">
        <f t="shared" si="4"/>
        <v>0.19618949536560248</v>
      </c>
      <c r="G18" s="2"/>
      <c r="H18" s="2"/>
      <c r="I18" s="2"/>
      <c r="J18" s="19">
        <f t="shared" si="5"/>
        <v>0</v>
      </c>
      <c r="K18" s="2"/>
      <c r="L18" s="2">
        <f t="shared" si="6"/>
        <v>381</v>
      </c>
      <c r="M18" s="2"/>
      <c r="N18" s="19">
        <f t="shared" si="7"/>
        <v>0</v>
      </c>
      <c r="O18" s="11"/>
      <c r="P18" s="2">
        <v>869.96</v>
      </c>
      <c r="Q18" s="2"/>
      <c r="R18" s="19">
        <f t="shared" si="8"/>
        <v>0.36150425929773533</v>
      </c>
      <c r="S18" s="2"/>
      <c r="T18" s="2"/>
      <c r="U18" s="2"/>
      <c r="V18" s="19">
        <f t="shared" si="9"/>
        <v>0</v>
      </c>
      <c r="W18" s="2"/>
      <c r="X18" s="2">
        <f t="shared" si="10"/>
        <v>869.96</v>
      </c>
      <c r="Y18" s="2"/>
      <c r="Z18" s="19">
        <f t="shared" si="11"/>
        <v>0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2">
        <f>D12-D16</f>
        <v>1561</v>
      </c>
      <c r="E20" s="14"/>
      <c r="F20" s="20">
        <f>IF(D$12=0,0,D20/D$12)</f>
        <v>0.80381050463439752</v>
      </c>
      <c r="G20" s="14"/>
      <c r="H20" s="22">
        <f>H12-H16</f>
        <v>758</v>
      </c>
      <c r="I20" s="14"/>
      <c r="J20" s="20">
        <f>IF(H$12=0,0,H20/H$12)</f>
        <v>0.5</v>
      </c>
      <c r="K20" s="15"/>
      <c r="L20" s="22">
        <f>+D20-H20</f>
        <v>803</v>
      </c>
      <c r="M20" s="15"/>
      <c r="N20" s="20">
        <f>IF(H20=0,0,L20/H20)</f>
        <v>1.0593667546174141</v>
      </c>
      <c r="O20" s="28"/>
      <c r="P20" s="22">
        <f>P12-P16</f>
        <v>1536.54</v>
      </c>
      <c r="Q20" s="14"/>
      <c r="R20" s="20">
        <f>IF(P$12=0,0,P20/P$12)</f>
        <v>0.63849574070226467</v>
      </c>
      <c r="S20" s="14"/>
      <c r="T20" s="22">
        <f>T12-T16</f>
        <v>1012</v>
      </c>
      <c r="U20" s="14"/>
      <c r="V20" s="20">
        <f>IF(T$12=0,0,T20/T$12)</f>
        <v>0.5</v>
      </c>
      <c r="W20" s="15"/>
      <c r="X20" s="22">
        <f>+P20-T20</f>
        <v>524.54</v>
      </c>
      <c r="Y20" s="15"/>
      <c r="Z20" s="20">
        <f>IF(T20=0,0,X20/T20)</f>
        <v>0.51832015810276677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1">
        <f>SUM(OSRRefD22x_0)</f>
        <v>109.89</v>
      </c>
      <c r="E22" s="21"/>
      <c r="F22" s="33">
        <f t="shared" ref="F22:F24" si="12">IF(D$12=0,0,D22/D$12)</f>
        <v>5.6585993820803294E-2</v>
      </c>
      <c r="G22" s="21"/>
      <c r="H22" s="21">
        <f>SUM(OSRRefH22x_0)</f>
        <v>130</v>
      </c>
      <c r="I22" s="21"/>
      <c r="J22" s="33">
        <f t="shared" ref="J22:J24" si="13">IF(H$12=0,0,H22/H$12)</f>
        <v>8.5751978891820582E-2</v>
      </c>
      <c r="K22" s="4"/>
      <c r="L22" s="21">
        <f t="shared" ref="L22:L24" si="14">+D22-H22</f>
        <v>-20.11</v>
      </c>
      <c r="M22" s="4"/>
      <c r="N22" s="33">
        <f t="shared" ref="N22:N24" si="15">IF(H22=0,0,L22/H22)</f>
        <v>-0.15469230769230768</v>
      </c>
      <c r="O22" s="10"/>
      <c r="P22" s="21">
        <f>SUM(OSRRefP22x_0)</f>
        <v>217.74</v>
      </c>
      <c r="Q22" s="21"/>
      <c r="R22" s="33">
        <f t="shared" ref="R22:R24" si="16">IF(P$12=0,0,P22/P$12)</f>
        <v>9.0479950135050904E-2</v>
      </c>
      <c r="S22" s="21"/>
      <c r="T22" s="21">
        <f>SUM(OSRRefT22x_0)</f>
        <v>174</v>
      </c>
      <c r="U22" s="21"/>
      <c r="V22" s="33">
        <f t="shared" ref="V22:V24" si="17">IF(T$12=0,0,T22/T$12)</f>
        <v>8.5968379446640319E-2</v>
      </c>
      <c r="W22" s="4"/>
      <c r="X22" s="21">
        <f t="shared" ref="X22:X24" si="18">+P22-T22</f>
        <v>43.740000000000009</v>
      </c>
      <c r="Y22" s="4"/>
      <c r="Z22" s="33">
        <f t="shared" ref="Z22:Z24" si="19">IF(T22=0,0,X22/T22)</f>
        <v>0.25137931034482763</v>
      </c>
    </row>
    <row r="23" spans="1:26" s="26" customFormat="1" outlineLevel="1" collapsed="1" x14ac:dyDescent="0.25">
      <c r="A23" s="27"/>
      <c r="B23" s="13" t="str">
        <f>CONCATENATE("     ","Bank/card Fees                                    ")</f>
        <v xml:space="preserve">     Bank/card Fees                                    </v>
      </c>
      <c r="C23" s="13"/>
      <c r="D23" s="1">
        <f>SUM(OSRRefD22_0x_0)</f>
        <v>109.89</v>
      </c>
      <c r="E23" s="1"/>
      <c r="F23" s="5">
        <f t="shared" si="12"/>
        <v>5.6585993820803294E-2</v>
      </c>
      <c r="G23" s="1"/>
      <c r="H23" s="1">
        <f>SUM(OSRRefH22_0x_0)</f>
        <v>130</v>
      </c>
      <c r="I23" s="1"/>
      <c r="J23" s="5">
        <f t="shared" si="13"/>
        <v>8.5751978891820582E-2</v>
      </c>
      <c r="K23" s="1"/>
      <c r="L23" s="1">
        <f t="shared" si="14"/>
        <v>-20.11</v>
      </c>
      <c r="M23" s="1"/>
      <c r="N23" s="5">
        <f t="shared" si="15"/>
        <v>-0.15469230769230768</v>
      </c>
      <c r="O23" s="13"/>
      <c r="P23" s="1">
        <f>SUM(OSRRefP22_0x_0)</f>
        <v>217.74</v>
      </c>
      <c r="Q23" s="1"/>
      <c r="R23" s="5">
        <f t="shared" si="16"/>
        <v>9.0479950135050904E-2</v>
      </c>
      <c r="S23" s="1"/>
      <c r="T23" s="1">
        <f>SUM(OSRRefT22_0x_0)</f>
        <v>174</v>
      </c>
      <c r="U23" s="1"/>
      <c r="V23" s="5">
        <f t="shared" si="17"/>
        <v>8.5968379446640319E-2</v>
      </c>
      <c r="W23" s="1"/>
      <c r="X23" s="1">
        <f t="shared" si="18"/>
        <v>43.740000000000009</v>
      </c>
      <c r="Y23" s="1"/>
      <c r="Z23" s="5">
        <f t="shared" si="19"/>
        <v>0.25137931034482763</v>
      </c>
    </row>
    <row r="24" spans="1:26" s="24" customFormat="1" hidden="1" outlineLevel="2" x14ac:dyDescent="0.25">
      <c r="A24" s="25"/>
      <c r="B24" s="11" t="str">
        <f>CONCATENATE("          ", "6381", " - ", "BANK/CREDIT CARD FEES")</f>
        <v xml:space="preserve">          6381 - BANK/CREDIT CARD FEES</v>
      </c>
      <c r="C24" s="11"/>
      <c r="D24" s="7">
        <v>109.89</v>
      </c>
      <c r="E24" s="2"/>
      <c r="F24" s="6">
        <f t="shared" si="12"/>
        <v>5.6585993820803294E-2</v>
      </c>
      <c r="G24" s="2"/>
      <c r="H24" s="7">
        <v>130</v>
      </c>
      <c r="I24" s="2"/>
      <c r="J24" s="6">
        <f t="shared" si="13"/>
        <v>8.5751978891820582E-2</v>
      </c>
      <c r="K24" s="2"/>
      <c r="L24" s="7">
        <f t="shared" si="14"/>
        <v>-20.11</v>
      </c>
      <c r="M24" s="2"/>
      <c r="N24" s="6">
        <f t="shared" si="15"/>
        <v>-0.15469230769230768</v>
      </c>
      <c r="O24" s="11"/>
      <c r="P24" s="7">
        <v>217.74</v>
      </c>
      <c r="Q24" s="2"/>
      <c r="R24" s="6">
        <f t="shared" si="16"/>
        <v>9.0479950135050904E-2</v>
      </c>
      <c r="S24" s="2"/>
      <c r="T24" s="7">
        <v>174</v>
      </c>
      <c r="U24" s="2"/>
      <c r="V24" s="6">
        <f t="shared" si="17"/>
        <v>8.5968379446640319E-2</v>
      </c>
      <c r="W24" s="2"/>
      <c r="X24" s="7">
        <f t="shared" si="18"/>
        <v>43.740000000000009</v>
      </c>
      <c r="Y24" s="2"/>
      <c r="Z24" s="6">
        <f t="shared" si="19"/>
        <v>0.25137931034482763</v>
      </c>
    </row>
    <row r="25" spans="1:26" s="63" customFormat="1" x14ac:dyDescent="0.25">
      <c r="A25" s="36"/>
      <c r="B25" s="36"/>
      <c r="C25" s="36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6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8" t="s">
        <v>0</v>
      </c>
      <c r="C26" s="10"/>
      <c r="D26" s="4">
        <f>SUM(0)</f>
        <v>0</v>
      </c>
      <c r="E26" s="4"/>
      <c r="F26" s="12">
        <f>IF(D$12=0,0,D26/D$12)</f>
        <v>0</v>
      </c>
      <c r="G26" s="4"/>
      <c r="H26" s="4">
        <f>SUM(0)</f>
        <v>0</v>
      </c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>
        <f>SUM(0)</f>
        <v>0</v>
      </c>
      <c r="Q26" s="4"/>
      <c r="R26" s="12">
        <f>IF(P$12=0,0,P26/P$12)</f>
        <v>0</v>
      </c>
      <c r="S26" s="4"/>
      <c r="T26" s="4">
        <f>SUM(0)</f>
        <v>0</v>
      </c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9" t="s">
        <v>3</v>
      </c>
      <c r="C28" s="29"/>
      <c r="D28" s="22">
        <f>+D20-D22+D26</f>
        <v>1451.11</v>
      </c>
      <c r="E28" s="14"/>
      <c r="F28" s="20">
        <f>IF(D$12=0,0,D28/D$12)</f>
        <v>0.7472245108135942</v>
      </c>
      <c r="G28" s="14"/>
      <c r="H28" s="22">
        <f>+H20-H22+H26</f>
        <v>628</v>
      </c>
      <c r="I28" s="14"/>
      <c r="J28" s="20">
        <f>IF(H$12=0,0,H28/H$12)</f>
        <v>0.41424802110817943</v>
      </c>
      <c r="K28" s="15"/>
      <c r="L28" s="22">
        <f>+D28-H28</f>
        <v>823.1099999999999</v>
      </c>
      <c r="M28" s="15"/>
      <c r="N28" s="20">
        <f>IF(H28=0,0,L28/H28)</f>
        <v>1.310684713375796</v>
      </c>
      <c r="O28" s="28"/>
      <c r="P28" s="22">
        <f>+P20-P22+P26</f>
        <v>1318.8</v>
      </c>
      <c r="Q28" s="14"/>
      <c r="R28" s="20">
        <f>IF(P$12=0,0,P28/P$12)</f>
        <v>0.54801579056721372</v>
      </c>
      <c r="S28" s="14"/>
      <c r="T28" s="22">
        <f>+T20-T22+T26</f>
        <v>838</v>
      </c>
      <c r="U28" s="14"/>
      <c r="V28" s="20">
        <f>IF(T$12=0,0,T28/T$12)</f>
        <v>0.41403162055335968</v>
      </c>
      <c r="W28" s="15"/>
      <c r="X28" s="22">
        <f>+P28-T28</f>
        <v>480.79999999999995</v>
      </c>
      <c r="Y28" s="15"/>
      <c r="Z28" s="20">
        <f>IF(T28=0,0,X28/T28)</f>
        <v>0.5737470167064439</v>
      </c>
    </row>
    <row r="29" spans="1:26" x14ac:dyDescent="0.25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52"/>
      <c r="B30" s="10" t="s">
        <v>14</v>
      </c>
      <c r="C30" s="10"/>
      <c r="D30" s="4">
        <v>200.58</v>
      </c>
      <c r="E30" s="4"/>
      <c r="F30" s="12">
        <f>IF(D$12=0,0,D30/D$12)</f>
        <v>0.10328527291452112</v>
      </c>
      <c r="G30" s="4"/>
      <c r="H30" s="4">
        <v>174</v>
      </c>
      <c r="I30" s="4"/>
      <c r="J30" s="12">
        <f>IF(H$12=0,0,H30/H$12)</f>
        <v>0.11477572559366754</v>
      </c>
      <c r="K30" s="4"/>
      <c r="L30" s="4">
        <f>+D30-H30</f>
        <v>26.580000000000013</v>
      </c>
      <c r="M30" s="4"/>
      <c r="N30" s="12">
        <f>IF(H30=0,0,L30/H30)</f>
        <v>0.15275862068965523</v>
      </c>
      <c r="O30" s="10"/>
      <c r="P30" s="4">
        <v>258.49</v>
      </c>
      <c r="Q30" s="4"/>
      <c r="R30" s="12">
        <f>IF(P$12=0,0,P30/P$12)</f>
        <v>0.10741325576563475</v>
      </c>
      <c r="S30" s="4"/>
      <c r="T30" s="4">
        <v>256</v>
      </c>
      <c r="U30" s="4"/>
      <c r="V30" s="12">
        <f>IF(T$12=0,0,T30/T$12)</f>
        <v>0.12648221343873517</v>
      </c>
      <c r="W30" s="4"/>
      <c r="X30" s="4">
        <f>+P30-T30</f>
        <v>2.4900000000000091</v>
      </c>
      <c r="Y30" s="4"/>
      <c r="Z30" s="12">
        <f>IF(T30=0,0,X30/T30)</f>
        <v>9.7265625000000355E-3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ht="15.75" thickBot="1" x14ac:dyDescent="0.3">
      <c r="A32" s="10"/>
      <c r="B32" s="29" t="s">
        <v>4</v>
      </c>
      <c r="C32" s="29"/>
      <c r="D32" s="35">
        <f>+D28-D30</f>
        <v>1250.53</v>
      </c>
      <c r="E32" s="14"/>
      <c r="F32" s="32">
        <f>IF(D$12=0,0,D32/D$12)</f>
        <v>0.64393923789907315</v>
      </c>
      <c r="G32" s="14"/>
      <c r="H32" s="35">
        <f>+H28-H30</f>
        <v>454</v>
      </c>
      <c r="I32" s="14"/>
      <c r="J32" s="32">
        <f>IF(H$12=0,0,H32/H$12)</f>
        <v>0.29947229551451188</v>
      </c>
      <c r="K32" s="15"/>
      <c r="L32" s="35">
        <f>D32-H32</f>
        <v>796.53</v>
      </c>
      <c r="M32" s="15"/>
      <c r="N32" s="32">
        <f>IF(H32=0,0,L32/H32)</f>
        <v>1.7544713656387665</v>
      </c>
      <c r="O32" s="28"/>
      <c r="P32" s="35">
        <f>+P28-P30</f>
        <v>1060.31</v>
      </c>
      <c r="Q32" s="14"/>
      <c r="R32" s="32">
        <f>IF(P$12=0,0,P32/P$12)</f>
        <v>0.44060253480157902</v>
      </c>
      <c r="S32" s="14"/>
      <c r="T32" s="35">
        <f>+T28-T30</f>
        <v>582</v>
      </c>
      <c r="U32" s="14"/>
      <c r="V32" s="32">
        <f>IF(T$12=0,0,T32/T$12)</f>
        <v>0.28754940711462451</v>
      </c>
      <c r="W32" s="15"/>
      <c r="X32" s="35">
        <f>P32-T32</f>
        <v>478.30999999999995</v>
      </c>
      <c r="Y32" s="15"/>
      <c r="Z32" s="32">
        <f>IF(T32=0,0,X32/T32)</f>
        <v>0.82183848797250847</v>
      </c>
    </row>
    <row r="33" spans="1:26" ht="15.75" thickTop="1" x14ac:dyDescent="0.25">
      <c r="A33" s="9"/>
      <c r="B33" s="9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x14ac:dyDescent="0.25">
      <c r="A34" s="9"/>
      <c r="B34" s="9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ht="15.75" thickBot="1" x14ac:dyDescent="0.3">
      <c r="A35" s="10"/>
      <c r="B35" s="29" t="s">
        <v>5</v>
      </c>
      <c r="C35" s="29"/>
      <c r="D35" s="30">
        <f>SUM(D32:D34)</f>
        <v>1250.53</v>
      </c>
      <c r="E35" s="14"/>
      <c r="F35" s="31">
        <f>IF(D$12=0,0,D35/D$12)</f>
        <v>0.64393923789907315</v>
      </c>
      <c r="G35" s="14"/>
      <c r="H35" s="30">
        <f>SUM(H32:H34)</f>
        <v>454</v>
      </c>
      <c r="I35" s="14"/>
      <c r="J35" s="31">
        <f>IF(H$12=0,0,H35/H$12)</f>
        <v>0.29947229551451188</v>
      </c>
      <c r="K35" s="15"/>
      <c r="L35" s="30">
        <f>+D35-H35</f>
        <v>796.53</v>
      </c>
      <c r="M35" s="15"/>
      <c r="N35" s="31">
        <f>IF(H35=0,0,L35/H35)</f>
        <v>1.7544713656387665</v>
      </c>
      <c r="O35" s="28"/>
      <c r="P35" s="30">
        <f>SUM(P32:P34)</f>
        <v>1060.31</v>
      </c>
      <c r="Q35" s="14"/>
      <c r="R35" s="31">
        <f>IF(P$12=0,0,P35/P$12)</f>
        <v>0.44060253480157902</v>
      </c>
      <c r="S35" s="14"/>
      <c r="T35" s="30">
        <f>SUM(T32:T34)</f>
        <v>582</v>
      </c>
      <c r="U35" s="14"/>
      <c r="V35" s="31">
        <f>IF(T$12=0,0,T35/T$12)</f>
        <v>0.28754940711462451</v>
      </c>
      <c r="W35" s="15"/>
      <c r="X35" s="30">
        <f>+P35-T35</f>
        <v>478.30999999999995</v>
      </c>
      <c r="Y35" s="15"/>
      <c r="Z35" s="31">
        <f>IF(T35=0,0,X35/T35)</f>
        <v>0.82183848797250847</v>
      </c>
    </row>
    <row r="36" spans="1:26" ht="15.75" thickTop="1" x14ac:dyDescent="0.25">
      <c r="A36" s="9"/>
      <c r="C36" s="9"/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  <row r="37" spans="1:26" x14ac:dyDescent="0.25">
      <c r="A37" s="9"/>
      <c r="B37" s="53">
        <v>43756.452529201386</v>
      </c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5" t="s">
        <v>314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/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</sheetData>
  <pageMargins left="0.25" right="0.25" top="0.75" bottom="0.75" header="0.3" footer="0.3"/>
  <pageSetup scale="55" fitToWidth="2" orientation="landscape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4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str">
        <f>CONCATENATE("Period ",RIGHT(202003,2),", ",2020)</f>
        <v>Period 03, 2020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43736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">
        <v>310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2172214.0600000005</v>
      </c>
      <c r="E12" s="4"/>
      <c r="F12" s="12"/>
      <c r="G12" s="4"/>
      <c r="H12" s="4">
        <f>SUM(OSRRefH13x_0)</f>
        <v>2271519</v>
      </c>
      <c r="I12" s="4"/>
      <c r="J12" s="12"/>
      <c r="K12" s="4"/>
      <c r="L12" s="4">
        <f t="shared" ref="L12:L24" si="0">+D12-H12</f>
        <v>-99304.939999999478</v>
      </c>
      <c r="M12" s="4"/>
      <c r="N12" s="12">
        <f t="shared" ref="N12:N24" si="1">IF(H12=0,0,L12/H12)</f>
        <v>-4.3717415526790433E-2</v>
      </c>
      <c r="O12" s="10"/>
      <c r="P12" s="4">
        <f>SUM(OSRRefP13x_0)</f>
        <v>3715195.15</v>
      </c>
      <c r="Q12" s="4"/>
      <c r="R12" s="12"/>
      <c r="S12" s="4"/>
      <c r="T12" s="4">
        <f>SUM(OSRRefT13x_0)</f>
        <v>3944447</v>
      </c>
      <c r="U12" s="4"/>
      <c r="V12" s="12"/>
      <c r="W12" s="4"/>
      <c r="X12" s="4">
        <f t="shared" ref="X12:X24" si="2">+P12-T12</f>
        <v>-229251.85000000009</v>
      </c>
      <c r="Y12" s="4"/>
      <c r="Z12" s="12">
        <f t="shared" ref="Z12:Z24" si="3">IF(T12=0,0,X12/T12)</f>
        <v>-5.8120149668635449E-2</v>
      </c>
    </row>
    <row r="13" spans="1:26" s="24" customFormat="1" hidden="1" outlineLevel="1" x14ac:dyDescent="0.25">
      <c r="A13" s="46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342370</v>
      </c>
      <c r="I13" s="2"/>
      <c r="J13" s="19"/>
      <c r="K13" s="2"/>
      <c r="L13" s="2">
        <f t="shared" si="0"/>
        <v>-342370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757079</v>
      </c>
      <c r="U13" s="2"/>
      <c r="V13" s="19"/>
      <c r="W13" s="2"/>
      <c r="X13" s="2">
        <f t="shared" si="2"/>
        <v>-757079</v>
      </c>
      <c r="Y13" s="2"/>
      <c r="Z13" s="19">
        <f t="shared" si="3"/>
        <v>-1</v>
      </c>
    </row>
    <row r="14" spans="1:26" s="24" customFormat="1" hidden="1" outlineLevel="1" x14ac:dyDescent="0.25">
      <c r="A14" s="46"/>
      <c r="B14" s="11" t="str">
        <f>CONCATENATE("          ", "4051", " - ", "TAXABLE SALES-FOOD")</f>
        <v xml:space="preserve">          4051 - TAXABLE SALES-FOOD</v>
      </c>
      <c r="C14" s="11"/>
      <c r="D14" s="2">
        <f>--82575.01</f>
        <v>82575.009999999995</v>
      </c>
      <c r="E14" s="2"/>
      <c r="F14" s="19"/>
      <c r="G14" s="2"/>
      <c r="H14" s="2"/>
      <c r="I14" s="2"/>
      <c r="J14" s="19"/>
      <c r="K14" s="2"/>
      <c r="L14" s="2">
        <f t="shared" si="0"/>
        <v>82575.009999999995</v>
      </c>
      <c r="M14" s="2"/>
      <c r="N14" s="19">
        <f t="shared" si="1"/>
        <v>0</v>
      </c>
      <c r="O14" s="11"/>
      <c r="P14" s="2">
        <f>--135770.76</f>
        <v>135770.76</v>
      </c>
      <c r="Q14" s="2"/>
      <c r="R14" s="19"/>
      <c r="S14" s="2"/>
      <c r="T14" s="2"/>
      <c r="U14" s="2"/>
      <c r="V14" s="19"/>
      <c r="W14" s="2"/>
      <c r="X14" s="2">
        <f t="shared" si="2"/>
        <v>135770.76</v>
      </c>
      <c r="Y14" s="2"/>
      <c r="Z14" s="19">
        <f t="shared" si="3"/>
        <v>0</v>
      </c>
    </row>
    <row r="15" spans="1:26" s="24" customFormat="1" hidden="1" outlineLevel="1" x14ac:dyDescent="0.25">
      <c r="A15" s="46"/>
      <c r="B15" s="11" t="str">
        <f>CONCATENATE("          ", "4052", " - ", "TAXABLE SALES-FOOD")</f>
        <v xml:space="preserve">          4052 - TAXABLE SALES-FOOD</v>
      </c>
      <c r="C15" s="11"/>
      <c r="D15" s="2">
        <f>--113975.81</f>
        <v>113975.81</v>
      </c>
      <c r="E15" s="2"/>
      <c r="F15" s="19"/>
      <c r="G15" s="2"/>
      <c r="H15" s="2"/>
      <c r="I15" s="2"/>
      <c r="J15" s="19"/>
      <c r="K15" s="2"/>
      <c r="L15" s="2">
        <f t="shared" si="0"/>
        <v>113975.81</v>
      </c>
      <c r="M15" s="2"/>
      <c r="N15" s="19">
        <f t="shared" si="1"/>
        <v>0</v>
      </c>
      <c r="O15" s="11"/>
      <c r="P15" s="2">
        <f>--253506.01</f>
        <v>253506.01</v>
      </c>
      <c r="Q15" s="2"/>
      <c r="R15" s="19"/>
      <c r="S15" s="2"/>
      <c r="T15" s="2"/>
      <c r="U15" s="2"/>
      <c r="V15" s="19"/>
      <c r="W15" s="2"/>
      <c r="X15" s="2">
        <f t="shared" si="2"/>
        <v>253506.01</v>
      </c>
      <c r="Y15" s="2"/>
      <c r="Z15" s="19">
        <f t="shared" si="3"/>
        <v>0</v>
      </c>
    </row>
    <row r="16" spans="1:26" s="24" customFormat="1" hidden="1" outlineLevel="1" x14ac:dyDescent="0.25">
      <c r="A16" s="46"/>
      <c r="B16" s="11" t="str">
        <f>CONCATENATE("          ", "4053", " - ", "TAXABLE SALES-FOOD")</f>
        <v xml:space="preserve">          4053 - TAXABLE SALES-FOOD</v>
      </c>
      <c r="C16" s="11"/>
      <c r="D16" s="2">
        <f>--3885.3</f>
        <v>3885.3</v>
      </c>
      <c r="E16" s="2"/>
      <c r="F16" s="19"/>
      <c r="G16" s="2"/>
      <c r="H16" s="2"/>
      <c r="I16" s="2"/>
      <c r="J16" s="19"/>
      <c r="K16" s="2"/>
      <c r="L16" s="2">
        <f t="shared" si="0"/>
        <v>3885.3</v>
      </c>
      <c r="M16" s="2"/>
      <c r="N16" s="19">
        <f t="shared" si="1"/>
        <v>0</v>
      </c>
      <c r="O16" s="11"/>
      <c r="P16" s="2">
        <f>--50166.43</f>
        <v>50166.43</v>
      </c>
      <c r="Q16" s="2"/>
      <c r="R16" s="19"/>
      <c r="S16" s="2"/>
      <c r="T16" s="2"/>
      <c r="U16" s="2"/>
      <c r="V16" s="19"/>
      <c r="W16" s="2"/>
      <c r="X16" s="2">
        <f t="shared" si="2"/>
        <v>50166.43</v>
      </c>
      <c r="Y16" s="2"/>
      <c r="Z16" s="19">
        <f t="shared" si="3"/>
        <v>0</v>
      </c>
    </row>
    <row r="17" spans="1:26" s="24" customFormat="1" hidden="1" outlineLevel="1" x14ac:dyDescent="0.25">
      <c r="A17" s="46"/>
      <c r="B17" s="11" t="str">
        <f>CONCATENATE("          ", "4055", " - ", "TAXABLE SALES-FOOD")</f>
        <v xml:space="preserve">          4055 - TAXABLE SALES-FOOD</v>
      </c>
      <c r="C17" s="11"/>
      <c r="D17" s="2">
        <f>--67132.28</f>
        <v>67132.28</v>
      </c>
      <c r="E17" s="2"/>
      <c r="F17" s="19"/>
      <c r="G17" s="2"/>
      <c r="H17" s="2"/>
      <c r="I17" s="2"/>
      <c r="J17" s="19"/>
      <c r="K17" s="2"/>
      <c r="L17" s="2">
        <f t="shared" si="0"/>
        <v>67132.28</v>
      </c>
      <c r="M17" s="2"/>
      <c r="N17" s="19">
        <f t="shared" si="1"/>
        <v>0</v>
      </c>
      <c r="O17" s="11"/>
      <c r="P17" s="2">
        <f>--111115</f>
        <v>111115</v>
      </c>
      <c r="Q17" s="2"/>
      <c r="R17" s="19"/>
      <c r="S17" s="2"/>
      <c r="T17" s="2"/>
      <c r="U17" s="2"/>
      <c r="V17" s="19"/>
      <c r="W17" s="2"/>
      <c r="X17" s="2">
        <f t="shared" si="2"/>
        <v>111115</v>
      </c>
      <c r="Y17" s="2"/>
      <c r="Z17" s="19">
        <f t="shared" si="3"/>
        <v>0</v>
      </c>
    </row>
    <row r="18" spans="1:26" s="24" customFormat="1" hidden="1" outlineLevel="1" x14ac:dyDescent="0.25">
      <c r="A18" s="46"/>
      <c r="B18" s="11" t="str">
        <f>CONCATENATE("          ", "4058", " - ", "TAXABLE SALES-FOOD")</f>
        <v xml:space="preserve">          4058 - TAXABLE SALES-FOOD</v>
      </c>
      <c r="C18" s="11"/>
      <c r="D18" s="2">
        <f>--24452.76</f>
        <v>24452.76</v>
      </c>
      <c r="E18" s="2"/>
      <c r="F18" s="19"/>
      <c r="G18" s="2"/>
      <c r="H18" s="2"/>
      <c r="I18" s="2"/>
      <c r="J18" s="19"/>
      <c r="K18" s="2"/>
      <c r="L18" s="2">
        <f t="shared" si="0"/>
        <v>24452.76</v>
      </c>
      <c r="M18" s="2"/>
      <c r="N18" s="19">
        <f t="shared" si="1"/>
        <v>0</v>
      </c>
      <c r="O18" s="11"/>
      <c r="P18" s="2">
        <f>--42290.9</f>
        <v>42290.9</v>
      </c>
      <c r="Q18" s="2"/>
      <c r="R18" s="19"/>
      <c r="S18" s="2"/>
      <c r="T18" s="2"/>
      <c r="U18" s="2"/>
      <c r="V18" s="19"/>
      <c r="W18" s="2"/>
      <c r="X18" s="2">
        <f t="shared" si="2"/>
        <v>42290.9</v>
      </c>
      <c r="Y18" s="2"/>
      <c r="Z18" s="19">
        <f t="shared" si="3"/>
        <v>0</v>
      </c>
    </row>
    <row r="19" spans="1:26" s="24" customFormat="1" hidden="1" outlineLevel="1" x14ac:dyDescent="0.25">
      <c r="A19" s="46"/>
      <c r="B19" s="11" t="str">
        <f>CONCATENATE("          ", "4100", " - ", "NON-TAXABLE SALES")</f>
        <v xml:space="preserve">          4100 - NON-TAXABLE SALES</v>
      </c>
      <c r="C19" s="11"/>
      <c r="D19" s="2">
        <f>0</f>
        <v>0</v>
      </c>
      <c r="E19" s="2"/>
      <c r="F19" s="19"/>
      <c r="G19" s="2"/>
      <c r="H19" s="2">
        <v>1929149</v>
      </c>
      <c r="I19" s="2"/>
      <c r="J19" s="19"/>
      <c r="K19" s="2"/>
      <c r="L19" s="2">
        <f t="shared" si="0"/>
        <v>-1929149</v>
      </c>
      <c r="M19" s="2"/>
      <c r="N19" s="19">
        <f t="shared" si="1"/>
        <v>-1</v>
      </c>
      <c r="O19" s="11"/>
      <c r="P19" s="2">
        <f>0</f>
        <v>0</v>
      </c>
      <c r="Q19" s="2"/>
      <c r="R19" s="19"/>
      <c r="S19" s="2"/>
      <c r="T19" s="2">
        <v>3187368</v>
      </c>
      <c r="U19" s="2"/>
      <c r="V19" s="19"/>
      <c r="W19" s="2"/>
      <c r="X19" s="2">
        <f t="shared" si="2"/>
        <v>-3187368</v>
      </c>
      <c r="Y19" s="2"/>
      <c r="Z19" s="19">
        <f t="shared" si="3"/>
        <v>-1</v>
      </c>
    </row>
    <row r="20" spans="1:26" s="24" customFormat="1" hidden="1" outlineLevel="1" x14ac:dyDescent="0.25">
      <c r="A20" s="46"/>
      <c r="B20" s="11" t="str">
        <f>CONCATENATE("          ", "4151", " - ", "NON-TAXABLE SALES-FOOD")</f>
        <v xml:space="preserve">          4151 - NON-TAXABLE SALES-FOOD</v>
      </c>
      <c r="C20" s="11"/>
      <c r="D20" s="2">
        <f>--1647621.37</f>
        <v>1647621.37</v>
      </c>
      <c r="E20" s="2"/>
      <c r="F20" s="19"/>
      <c r="G20" s="2"/>
      <c r="H20" s="2"/>
      <c r="I20" s="2"/>
      <c r="J20" s="19"/>
      <c r="K20" s="2"/>
      <c r="L20" s="2">
        <f t="shared" si="0"/>
        <v>1647621.37</v>
      </c>
      <c r="M20" s="2"/>
      <c r="N20" s="19">
        <f t="shared" si="1"/>
        <v>0</v>
      </c>
      <c r="O20" s="11"/>
      <c r="P20" s="2">
        <f>--2650999.13</f>
        <v>2650999.13</v>
      </c>
      <c r="Q20" s="2"/>
      <c r="R20" s="19"/>
      <c r="S20" s="2"/>
      <c r="T20" s="2"/>
      <c r="U20" s="2"/>
      <c r="V20" s="19"/>
      <c r="W20" s="2"/>
      <c r="X20" s="2">
        <f t="shared" si="2"/>
        <v>2650999.13</v>
      </c>
      <c r="Y20" s="2"/>
      <c r="Z20" s="19">
        <f t="shared" si="3"/>
        <v>0</v>
      </c>
    </row>
    <row r="21" spans="1:26" s="24" customFormat="1" hidden="1" outlineLevel="1" x14ac:dyDescent="0.25">
      <c r="A21" s="46"/>
      <c r="B21" s="11" t="str">
        <f>CONCATENATE("          ", "4152", " - ", "NON-TAXABLE SALES-FOOD")</f>
        <v xml:space="preserve">          4152 - NON-TAXABLE SALES-FOOD</v>
      </c>
      <c r="C21" s="11"/>
      <c r="D21" s="2">
        <f>--8131.54</f>
        <v>8131.54</v>
      </c>
      <c r="E21" s="2"/>
      <c r="F21" s="19"/>
      <c r="G21" s="2"/>
      <c r="H21" s="2"/>
      <c r="I21" s="2"/>
      <c r="J21" s="19"/>
      <c r="K21" s="2"/>
      <c r="L21" s="2">
        <f t="shared" si="0"/>
        <v>8131.54</v>
      </c>
      <c r="M21" s="2"/>
      <c r="N21" s="19">
        <f t="shared" si="1"/>
        <v>0</v>
      </c>
      <c r="O21" s="11"/>
      <c r="P21" s="2">
        <f>--15789.06</f>
        <v>15789.06</v>
      </c>
      <c r="Q21" s="2"/>
      <c r="R21" s="19"/>
      <c r="S21" s="2"/>
      <c r="T21" s="2"/>
      <c r="U21" s="2"/>
      <c r="V21" s="19"/>
      <c r="W21" s="2"/>
      <c r="X21" s="2">
        <f t="shared" si="2"/>
        <v>15789.06</v>
      </c>
      <c r="Y21" s="2"/>
      <c r="Z21" s="19">
        <f t="shared" si="3"/>
        <v>0</v>
      </c>
    </row>
    <row r="22" spans="1:26" s="24" customFormat="1" hidden="1" outlineLevel="1" x14ac:dyDescent="0.25">
      <c r="A22" s="46"/>
      <c r="B22" s="11" t="str">
        <f>CONCATENATE("          ", "4153", " - ", "NON-TAXABLE SALES-FOOD")</f>
        <v xml:space="preserve">          4153 - NON-TAXABLE SALES-FOOD</v>
      </c>
      <c r="C22" s="11"/>
      <c r="D22" s="2">
        <f>--39533.66</f>
        <v>39533.660000000003</v>
      </c>
      <c r="E22" s="2"/>
      <c r="F22" s="19"/>
      <c r="G22" s="2"/>
      <c r="H22" s="2"/>
      <c r="I22" s="2"/>
      <c r="J22" s="19"/>
      <c r="K22" s="2"/>
      <c r="L22" s="2">
        <f t="shared" si="0"/>
        <v>39533.660000000003</v>
      </c>
      <c r="M22" s="2"/>
      <c r="N22" s="19">
        <f t="shared" si="1"/>
        <v>0</v>
      </c>
      <c r="O22" s="11"/>
      <c r="P22" s="2">
        <f>--159285.58</f>
        <v>159285.57999999999</v>
      </c>
      <c r="Q22" s="2"/>
      <c r="R22" s="19"/>
      <c r="S22" s="2"/>
      <c r="T22" s="2"/>
      <c r="U22" s="2"/>
      <c r="V22" s="19"/>
      <c r="W22" s="2"/>
      <c r="X22" s="2">
        <f t="shared" si="2"/>
        <v>159285.57999999999</v>
      </c>
      <c r="Y22" s="2"/>
      <c r="Z22" s="19">
        <f t="shared" si="3"/>
        <v>0</v>
      </c>
    </row>
    <row r="23" spans="1:26" s="24" customFormat="1" hidden="1" outlineLevel="1" x14ac:dyDescent="0.25">
      <c r="A23" s="46"/>
      <c r="B23" s="11" t="str">
        <f>CONCATENATE("          ", "4155", " - ", "NON-TAXABLE SALES-FOOD")</f>
        <v xml:space="preserve">          4155 - NON-TAXABLE SALES-FOOD</v>
      </c>
      <c r="C23" s="11"/>
      <c r="D23" s="2">
        <f>--113029.61</f>
        <v>113029.61</v>
      </c>
      <c r="E23" s="2"/>
      <c r="F23" s="19"/>
      <c r="G23" s="2"/>
      <c r="H23" s="2"/>
      <c r="I23" s="2"/>
      <c r="J23" s="19"/>
      <c r="K23" s="2"/>
      <c r="L23" s="2">
        <f t="shared" si="0"/>
        <v>113029.61</v>
      </c>
      <c r="M23" s="2"/>
      <c r="N23" s="19">
        <f t="shared" si="1"/>
        <v>0</v>
      </c>
      <c r="O23" s="11"/>
      <c r="P23" s="2">
        <f>--184025.65</f>
        <v>184025.65</v>
      </c>
      <c r="Q23" s="2"/>
      <c r="R23" s="19"/>
      <c r="S23" s="2"/>
      <c r="T23" s="2"/>
      <c r="U23" s="2"/>
      <c r="V23" s="19"/>
      <c r="W23" s="2"/>
      <c r="X23" s="2">
        <f t="shared" si="2"/>
        <v>184025.65</v>
      </c>
      <c r="Y23" s="2"/>
      <c r="Z23" s="19">
        <f t="shared" si="3"/>
        <v>0</v>
      </c>
    </row>
    <row r="24" spans="1:26" s="24" customFormat="1" hidden="1" outlineLevel="1" x14ac:dyDescent="0.25">
      <c r="A24" s="46"/>
      <c r="B24" s="11" t="str">
        <f>CONCATENATE("          ", "4158", " - ", "NON-TAXABLE SALES-FOOD")</f>
        <v xml:space="preserve">          4158 - NON-TAXABLE SALES-FOOD</v>
      </c>
      <c r="C24" s="11"/>
      <c r="D24" s="2">
        <f>--71876.72</f>
        <v>71876.72</v>
      </c>
      <c r="E24" s="2"/>
      <c r="F24" s="19"/>
      <c r="G24" s="2"/>
      <c r="H24" s="2"/>
      <c r="I24" s="2"/>
      <c r="J24" s="19"/>
      <c r="K24" s="2"/>
      <c r="L24" s="2">
        <f t="shared" si="0"/>
        <v>71876.72</v>
      </c>
      <c r="M24" s="2"/>
      <c r="N24" s="19">
        <f t="shared" si="1"/>
        <v>0</v>
      </c>
      <c r="O24" s="11"/>
      <c r="P24" s="2">
        <f>--112246.63</f>
        <v>112246.63</v>
      </c>
      <c r="Q24" s="2"/>
      <c r="R24" s="19"/>
      <c r="S24" s="2"/>
      <c r="T24" s="2"/>
      <c r="U24" s="2"/>
      <c r="V24" s="19"/>
      <c r="W24" s="2"/>
      <c r="X24" s="2">
        <f t="shared" si="2"/>
        <v>112246.63</v>
      </c>
      <c r="Y24" s="2"/>
      <c r="Z24" s="19">
        <f t="shared" si="3"/>
        <v>0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collapsed="1" x14ac:dyDescent="0.25">
      <c r="A26" s="10"/>
      <c r="B26" s="28" t="s">
        <v>8</v>
      </c>
      <c r="C26" s="10"/>
      <c r="D26" s="4">
        <f>SUM(OSRRefD16x_0)</f>
        <v>571672.34</v>
      </c>
      <c r="E26" s="4"/>
      <c r="F26" s="12">
        <f t="shared" ref="F26:F29" si="4">IF(D$12=0,0,D26/D$12)</f>
        <v>0.26317495615510372</v>
      </c>
      <c r="G26" s="4"/>
      <c r="H26" s="4">
        <f>SUM(OSRRefH16x_0)</f>
        <v>606212.57000000007</v>
      </c>
      <c r="I26" s="4"/>
      <c r="J26" s="12">
        <f t="shared" ref="J26:J29" si="5">IF(H$12=0,0,H26/H$12)</f>
        <v>0.26687541244427188</v>
      </c>
      <c r="K26" s="4"/>
      <c r="L26" s="4">
        <f t="shared" ref="L26:L29" si="6">+D26-H26</f>
        <v>-34540.230000000098</v>
      </c>
      <c r="M26" s="4"/>
      <c r="N26" s="12">
        <f t="shared" ref="N26:N29" si="7">IF(H26=0,0,L26/H26)</f>
        <v>-5.6977093035203964E-2</v>
      </c>
      <c r="O26" s="10"/>
      <c r="P26" s="4">
        <f>SUM(OSRRefP16x_0)</f>
        <v>1050982.26</v>
      </c>
      <c r="Q26" s="4"/>
      <c r="R26" s="12">
        <f t="shared" ref="R26:R29" si="8">IF(P$12=0,0,P26/P$12)</f>
        <v>0.28288749784785872</v>
      </c>
      <c r="S26" s="4"/>
      <c r="T26" s="4">
        <f>SUM(OSRRefT16x_0)</f>
        <v>1153172.3999999999</v>
      </c>
      <c r="U26" s="4"/>
      <c r="V26" s="12">
        <f t="shared" ref="V26:V29" si="9">IF(T$12=0,0,T26/T$12)</f>
        <v>0.29235337678513612</v>
      </c>
      <c r="W26" s="4"/>
      <c r="X26" s="4">
        <f t="shared" ref="X26:X29" si="10">+P26-T26</f>
        <v>-102190.1399999999</v>
      </c>
      <c r="Y26" s="4"/>
      <c r="Z26" s="12">
        <f t="shared" ref="Z26:Z29" si="11">IF(T26=0,0,X26/T26)</f>
        <v>-8.861653296592939E-2</v>
      </c>
    </row>
    <row r="27" spans="1:26" s="24" customFormat="1" hidden="1" outlineLevel="1" x14ac:dyDescent="0.25">
      <c r="A27" s="46"/>
      <c r="B27" s="11" t="str">
        <f>CONCATENATE("          ", "5000", " - ", "PURCHASES @ COST")</f>
        <v xml:space="preserve">          5000 - PURCHASES @ COST</v>
      </c>
      <c r="C27" s="11"/>
      <c r="D27" s="2"/>
      <c r="E27" s="2"/>
      <c r="F27" s="19">
        <f t="shared" si="4"/>
        <v>0</v>
      </c>
      <c r="G27" s="2"/>
      <c r="H27" s="2">
        <v>606212.57000000007</v>
      </c>
      <c r="I27" s="2"/>
      <c r="J27" s="19">
        <f t="shared" si="5"/>
        <v>0.26687541244427188</v>
      </c>
      <c r="K27" s="2"/>
      <c r="L27" s="2">
        <f t="shared" si="6"/>
        <v>-606212.57000000007</v>
      </c>
      <c r="M27" s="2"/>
      <c r="N27" s="19">
        <f t="shared" si="7"/>
        <v>-1</v>
      </c>
      <c r="O27" s="11"/>
      <c r="P27" s="2"/>
      <c r="Q27" s="2"/>
      <c r="R27" s="19">
        <f t="shared" si="8"/>
        <v>0</v>
      </c>
      <c r="S27" s="2"/>
      <c r="T27" s="2">
        <v>1153172.3999999999</v>
      </c>
      <c r="U27" s="2"/>
      <c r="V27" s="19">
        <f t="shared" si="9"/>
        <v>0.29235337678513612</v>
      </c>
      <c r="W27" s="2"/>
      <c r="X27" s="2">
        <f t="shared" si="10"/>
        <v>-1153172.3999999999</v>
      </c>
      <c r="Y27" s="2"/>
      <c r="Z27" s="19">
        <f t="shared" si="11"/>
        <v>-1</v>
      </c>
    </row>
    <row r="28" spans="1:26" s="24" customFormat="1" hidden="1" outlineLevel="1" x14ac:dyDescent="0.25">
      <c r="A28" s="46"/>
      <c r="B28" s="11" t="str">
        <f>CONCATENATE("          ", "5053", " - ", "PURCHASES @ COST-FOOD")</f>
        <v xml:space="preserve">          5053 - PURCHASES @ COST-FOOD</v>
      </c>
      <c r="C28" s="11"/>
      <c r="D28" s="2">
        <v>551152.96</v>
      </c>
      <c r="E28" s="2"/>
      <c r="F28" s="19">
        <f t="shared" si="4"/>
        <v>0.2537286587676354</v>
      </c>
      <c r="G28" s="2"/>
      <c r="H28" s="2"/>
      <c r="I28" s="2"/>
      <c r="J28" s="19">
        <f t="shared" si="5"/>
        <v>0</v>
      </c>
      <c r="K28" s="2"/>
      <c r="L28" s="2">
        <f t="shared" si="6"/>
        <v>551152.96</v>
      </c>
      <c r="M28" s="2"/>
      <c r="N28" s="19">
        <f t="shared" si="7"/>
        <v>0</v>
      </c>
      <c r="O28" s="11"/>
      <c r="P28" s="2">
        <v>1079772.17</v>
      </c>
      <c r="Q28" s="2"/>
      <c r="R28" s="19">
        <f t="shared" si="8"/>
        <v>0.29063673007863394</v>
      </c>
      <c r="S28" s="2"/>
      <c r="T28" s="2"/>
      <c r="U28" s="2"/>
      <c r="V28" s="19">
        <f t="shared" si="9"/>
        <v>0</v>
      </c>
      <c r="W28" s="2"/>
      <c r="X28" s="2">
        <f t="shared" si="10"/>
        <v>1079772.17</v>
      </c>
      <c r="Y28" s="2"/>
      <c r="Z28" s="19">
        <f t="shared" si="11"/>
        <v>0</v>
      </c>
    </row>
    <row r="29" spans="1:26" s="24" customFormat="1" hidden="1" outlineLevel="1" x14ac:dyDescent="0.25">
      <c r="A29" s="46"/>
      <c r="B29" s="11" t="str">
        <f>CONCATENATE("          ", "5059", " - ", "PURCHASES @ COST-FOOD")</f>
        <v xml:space="preserve">          5059 - PURCHASES @ COST-FOOD</v>
      </c>
      <c r="C29" s="11"/>
      <c r="D29" s="2">
        <v>20519.38</v>
      </c>
      <c r="E29" s="2"/>
      <c r="F29" s="19">
        <f t="shared" si="4"/>
        <v>9.4462973874683397E-3</v>
      </c>
      <c r="G29" s="2"/>
      <c r="H29" s="2"/>
      <c r="I29" s="2"/>
      <c r="J29" s="19">
        <f t="shared" si="5"/>
        <v>0</v>
      </c>
      <c r="K29" s="2"/>
      <c r="L29" s="2">
        <f t="shared" si="6"/>
        <v>20519.38</v>
      </c>
      <c r="M29" s="2"/>
      <c r="N29" s="19">
        <f t="shared" si="7"/>
        <v>0</v>
      </c>
      <c r="O29" s="11"/>
      <c r="P29" s="2">
        <v>-28789.91</v>
      </c>
      <c r="Q29" s="2"/>
      <c r="R29" s="19">
        <f t="shared" si="8"/>
        <v>-7.74923223077528E-3</v>
      </c>
      <c r="S29" s="2"/>
      <c r="T29" s="2"/>
      <c r="U29" s="2"/>
      <c r="V29" s="19">
        <f t="shared" si="9"/>
        <v>0</v>
      </c>
      <c r="W29" s="2"/>
      <c r="X29" s="2">
        <f t="shared" si="10"/>
        <v>-28789.91</v>
      </c>
      <c r="Y29" s="2"/>
      <c r="Z29" s="19">
        <f t="shared" si="11"/>
        <v>0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25">
      <c r="A31" s="10"/>
      <c r="B31" s="29" t="s">
        <v>6</v>
      </c>
      <c r="C31" s="29"/>
      <c r="D31" s="22">
        <f>D12-D26</f>
        <v>1600541.7200000007</v>
      </c>
      <c r="E31" s="14"/>
      <c r="F31" s="20">
        <f>IF(D$12=0,0,D31/D$12)</f>
        <v>0.73682504384489633</v>
      </c>
      <c r="G31" s="14"/>
      <c r="H31" s="22">
        <f>H12-H26</f>
        <v>1665306.43</v>
      </c>
      <c r="I31" s="14"/>
      <c r="J31" s="20">
        <f>IF(H$12=0,0,H31/H$12)</f>
        <v>0.73312458755572807</v>
      </c>
      <c r="K31" s="15"/>
      <c r="L31" s="22">
        <f>+D31-H31</f>
        <v>-64764.709999999264</v>
      </c>
      <c r="M31" s="15"/>
      <c r="N31" s="20">
        <f>IF(H31=0,0,L31/H31)</f>
        <v>-3.8890566224499157E-2</v>
      </c>
      <c r="O31" s="28"/>
      <c r="P31" s="22">
        <f>P12-P26</f>
        <v>2664212.8899999997</v>
      </c>
      <c r="Q31" s="14"/>
      <c r="R31" s="20">
        <f>IF(P$12=0,0,P31/P$12)</f>
        <v>0.71711250215214128</v>
      </c>
      <c r="S31" s="14"/>
      <c r="T31" s="22">
        <f>T12-T26</f>
        <v>2791274.6</v>
      </c>
      <c r="U31" s="14"/>
      <c r="V31" s="20">
        <f>IF(T$12=0,0,T31/T$12)</f>
        <v>0.70764662321486382</v>
      </c>
      <c r="W31" s="15"/>
      <c r="X31" s="22">
        <f>+P31-T31</f>
        <v>-127061.71000000043</v>
      </c>
      <c r="Y31" s="15"/>
      <c r="Z31" s="20">
        <f>IF(T31=0,0,X31/T31)</f>
        <v>-4.5521035443807797E-2</v>
      </c>
    </row>
    <row r="32" spans="1:26" x14ac:dyDescent="0.25">
      <c r="A32" s="9"/>
      <c r="B32" s="10"/>
      <c r="C32" s="9"/>
      <c r="D32" s="1"/>
      <c r="E32" s="1"/>
      <c r="F32" s="5"/>
      <c r="G32" s="1"/>
      <c r="H32" s="1"/>
      <c r="I32" s="1"/>
      <c r="J32" s="5"/>
      <c r="K32" s="1"/>
      <c r="L32" s="1"/>
      <c r="M32" s="1"/>
      <c r="N32" s="5"/>
      <c r="O32" s="36"/>
      <c r="P32" s="1"/>
      <c r="Q32" s="1"/>
      <c r="R32" s="5"/>
      <c r="S32" s="1"/>
      <c r="T32" s="1"/>
      <c r="U32" s="1"/>
      <c r="V32" s="5"/>
      <c r="W32" s="1"/>
      <c r="X32" s="1"/>
      <c r="Y32" s="1"/>
      <c r="Z32" s="5"/>
    </row>
    <row r="33" spans="1:26" s="23" customFormat="1" x14ac:dyDescent="0.25">
      <c r="A33" s="10"/>
      <c r="B33" s="28" t="s">
        <v>9</v>
      </c>
      <c r="C33" s="10"/>
      <c r="D33" s="21">
        <f>SUM(OSRRefD22x_0)</f>
        <v>1100441.0300000003</v>
      </c>
      <c r="E33" s="21"/>
      <c r="F33" s="33">
        <f t="shared" ref="F33:F44" si="12">IF(D$12=0,0,D33/D$12)</f>
        <v>0.5065987971737923</v>
      </c>
      <c r="G33" s="21"/>
      <c r="H33" s="21">
        <f>SUM(OSRRefH22x_0)</f>
        <v>1033545.9766397006</v>
      </c>
      <c r="I33" s="21"/>
      <c r="J33" s="33">
        <f t="shared" ref="J33:J44" si="13">IF(H$12=0,0,H33/H$12)</f>
        <v>0.45500212705229431</v>
      </c>
      <c r="K33" s="4"/>
      <c r="L33" s="21">
        <f t="shared" ref="L33:L44" si="14">+D33-H33</f>
        <v>66895.053360299673</v>
      </c>
      <c r="M33" s="4"/>
      <c r="N33" s="33">
        <f t="shared" ref="N33:N44" si="15">IF(H33=0,0,L33/H33)</f>
        <v>6.4723829294746155E-2</v>
      </c>
      <c r="O33" s="10"/>
      <c r="P33" s="21">
        <f>SUM(OSRRefP22x_0)</f>
        <v>2670869.92</v>
      </c>
      <c r="Q33" s="21"/>
      <c r="R33" s="33">
        <f t="shared" ref="R33:R44" si="16">IF(P$12=0,0,P33/P$12)</f>
        <v>0.71890434073160325</v>
      </c>
      <c r="S33" s="21"/>
      <c r="T33" s="21">
        <f>SUM(OSRRefT22x_0)</f>
        <v>2681314.7524428181</v>
      </c>
      <c r="U33" s="21"/>
      <c r="V33" s="33">
        <f t="shared" ref="V33:V44" si="17">IF(T$12=0,0,T33/T$12)</f>
        <v>0.67976949682498411</v>
      </c>
      <c r="W33" s="4"/>
      <c r="X33" s="21">
        <f t="shared" ref="X33:X44" si="18">+P33-T33</f>
        <v>-10444.83244281821</v>
      </c>
      <c r="Y33" s="4"/>
      <c r="Z33" s="33">
        <f t="shared" ref="Z33:Z44" si="19">IF(T33=0,0,X33/T33)</f>
        <v>-3.8954145287502782E-3</v>
      </c>
    </row>
    <row r="34" spans="1:26" s="26" customFormat="1" outlineLevel="1" collapsed="1" x14ac:dyDescent="0.25">
      <c r="A34" s="27"/>
      <c r="B34" s="13" t="str">
        <f>CONCATENATE("     ","*Benefits                                         ")</f>
        <v xml:space="preserve">     *Benefits                                         </v>
      </c>
      <c r="C34" s="13"/>
      <c r="D34" s="1">
        <f>SUM(OSRRefD22_0x_0)</f>
        <v>168224.55000000002</v>
      </c>
      <c r="E34" s="1"/>
      <c r="F34" s="5">
        <f t="shared" si="12"/>
        <v>7.7443817852831678E-2</v>
      </c>
      <c r="G34" s="1"/>
      <c r="H34" s="1">
        <f>SUM(OSRRefH22_0x_0)</f>
        <v>151989.42288585444</v>
      </c>
      <c r="I34" s="1"/>
      <c r="J34" s="5">
        <f t="shared" si="13"/>
        <v>6.6910918590535426E-2</v>
      </c>
      <c r="K34" s="1"/>
      <c r="L34" s="1">
        <f t="shared" si="14"/>
        <v>16235.12711414558</v>
      </c>
      <c r="M34" s="1"/>
      <c r="N34" s="5">
        <f t="shared" si="15"/>
        <v>0.10681747983435874</v>
      </c>
      <c r="O34" s="13"/>
      <c r="P34" s="1">
        <f>SUM(OSRRefP22_0x_0)</f>
        <v>480117.90000000008</v>
      </c>
      <c r="Q34" s="1"/>
      <c r="R34" s="5">
        <f t="shared" si="16"/>
        <v>0.12923086960855881</v>
      </c>
      <c r="S34" s="1"/>
      <c r="T34" s="1">
        <f>SUM(OSRRefT22_0x_0)</f>
        <v>459692.80478481785</v>
      </c>
      <c r="U34" s="1"/>
      <c r="V34" s="5">
        <f t="shared" si="17"/>
        <v>0.1165417623268402</v>
      </c>
      <c r="W34" s="1"/>
      <c r="X34" s="1">
        <f t="shared" si="18"/>
        <v>20425.095215182228</v>
      </c>
      <c r="Y34" s="1"/>
      <c r="Z34" s="5">
        <f t="shared" si="19"/>
        <v>4.4432053324704991E-2</v>
      </c>
    </row>
    <row r="35" spans="1:26" s="24" customFormat="1" hidden="1" outlineLevel="2" x14ac:dyDescent="0.25">
      <c r="A35" s="25"/>
      <c r="B35" s="11" t="str">
        <f>CONCATENATE("          ", "6111", " - ", "F.I.C.A.")</f>
        <v xml:space="preserve">          6111 - F.I.C.A.</v>
      </c>
      <c r="C35" s="11"/>
      <c r="D35" s="7">
        <v>24286.969999999998</v>
      </c>
      <c r="E35" s="2"/>
      <c r="F35" s="6">
        <f t="shared" si="12"/>
        <v>1.1180744313937454E-2</v>
      </c>
      <c r="G35" s="2"/>
      <c r="H35" s="7">
        <v>22905.149156869851</v>
      </c>
      <c r="I35" s="2"/>
      <c r="J35" s="6">
        <f t="shared" si="13"/>
        <v>1.0083626488208926E-2</v>
      </c>
      <c r="K35" s="2"/>
      <c r="L35" s="7">
        <f t="shared" si="14"/>
        <v>1381.8208431301464</v>
      </c>
      <c r="M35" s="2"/>
      <c r="N35" s="6">
        <f t="shared" si="15"/>
        <v>6.0327956551014306E-2</v>
      </c>
      <c r="O35" s="11"/>
      <c r="P35" s="7">
        <v>73555.66</v>
      </c>
      <c r="Q35" s="2"/>
      <c r="R35" s="6">
        <f t="shared" si="16"/>
        <v>1.9798599274118887E-2</v>
      </c>
      <c r="S35" s="2"/>
      <c r="T35" s="7">
        <v>78059.177590461011</v>
      </c>
      <c r="U35" s="2"/>
      <c r="V35" s="6">
        <f t="shared" si="17"/>
        <v>1.9789637835281097E-2</v>
      </c>
      <c r="W35" s="2"/>
      <c r="X35" s="7">
        <f t="shared" si="18"/>
        <v>-4503.5175904610078</v>
      </c>
      <c r="Y35" s="2"/>
      <c r="Z35" s="6">
        <f t="shared" si="19"/>
        <v>-5.7693633592821078E-2</v>
      </c>
    </row>
    <row r="36" spans="1:26" s="24" customFormat="1" hidden="1" outlineLevel="2" x14ac:dyDescent="0.25">
      <c r="A36" s="25"/>
      <c r="B36" s="11" t="str">
        <f>CONCATENATE("          ", "6112", " - ", "COMPENSATION INSURANCE")</f>
        <v xml:space="preserve">          6112 - COMPENSATION INSURANCE</v>
      </c>
      <c r="C36" s="11"/>
      <c r="D36" s="7">
        <v>20010.919999999998</v>
      </c>
      <c r="E36" s="2"/>
      <c r="F36" s="6">
        <f t="shared" si="12"/>
        <v>9.2122228506337882E-3</v>
      </c>
      <c r="G36" s="2"/>
      <c r="H36" s="7">
        <v>20493.861746615392</v>
      </c>
      <c r="I36" s="2"/>
      <c r="J36" s="6">
        <f t="shared" si="13"/>
        <v>9.0220956754556714E-3</v>
      </c>
      <c r="K36" s="2"/>
      <c r="L36" s="7">
        <f t="shared" si="14"/>
        <v>-482.94174661539364</v>
      </c>
      <c r="M36" s="2"/>
      <c r="N36" s="6">
        <f t="shared" si="15"/>
        <v>-2.3565190035262758E-2</v>
      </c>
      <c r="O36" s="11"/>
      <c r="P36" s="7">
        <v>45188.060000000005</v>
      </c>
      <c r="Q36" s="2"/>
      <c r="R36" s="6">
        <f t="shared" si="16"/>
        <v>1.2163038057368267E-2</v>
      </c>
      <c r="S36" s="2"/>
      <c r="T36" s="7">
        <v>51464.556791860006</v>
      </c>
      <c r="U36" s="2"/>
      <c r="V36" s="6">
        <f t="shared" si="17"/>
        <v>1.3047343972896582E-2</v>
      </c>
      <c r="W36" s="2"/>
      <c r="X36" s="7">
        <f t="shared" si="18"/>
        <v>-6276.4967918600014</v>
      </c>
      <c r="Y36" s="2"/>
      <c r="Z36" s="6">
        <f t="shared" si="19"/>
        <v>-0.1219576575242699</v>
      </c>
    </row>
    <row r="37" spans="1:26" s="24" customFormat="1" hidden="1" outlineLevel="2" x14ac:dyDescent="0.25">
      <c r="A37" s="25"/>
      <c r="B37" s="11" t="str">
        <f>CONCATENATE("          ", "6113", " - ", "GROUP INSURANCE")</f>
        <v xml:space="preserve">          6113 - GROUP INSURANCE</v>
      </c>
      <c r="C37" s="11"/>
      <c r="D37" s="7">
        <v>66268.290000000008</v>
      </c>
      <c r="E37" s="2"/>
      <c r="F37" s="6">
        <f t="shared" si="12"/>
        <v>3.05072558088497E-2</v>
      </c>
      <c r="G37" s="2"/>
      <c r="H37" s="7">
        <v>68511.638461538416</v>
      </c>
      <c r="I37" s="2"/>
      <c r="J37" s="6">
        <f t="shared" si="13"/>
        <v>3.0161155799946385E-2</v>
      </c>
      <c r="K37" s="2"/>
      <c r="L37" s="7">
        <f t="shared" si="14"/>
        <v>-2243.3484615384077</v>
      </c>
      <c r="M37" s="2"/>
      <c r="N37" s="6">
        <f t="shared" si="15"/>
        <v>-3.2744049214321384E-2</v>
      </c>
      <c r="O37" s="11"/>
      <c r="P37" s="7">
        <v>197560.28999999998</v>
      </c>
      <c r="Q37" s="2"/>
      <c r="R37" s="6">
        <f t="shared" si="16"/>
        <v>5.3176288734119385E-2</v>
      </c>
      <c r="S37" s="2"/>
      <c r="T37" s="7">
        <v>206126.67692307686</v>
      </c>
      <c r="U37" s="2"/>
      <c r="V37" s="6">
        <f t="shared" si="17"/>
        <v>5.2257433532020295E-2</v>
      </c>
      <c r="W37" s="2"/>
      <c r="X37" s="7">
        <f t="shared" si="18"/>
        <v>-8566.386923076876</v>
      </c>
      <c r="Y37" s="2"/>
      <c r="Z37" s="6">
        <f t="shared" si="19"/>
        <v>-4.1558846486783041E-2</v>
      </c>
    </row>
    <row r="38" spans="1:26" s="24" customFormat="1" hidden="1" outlineLevel="2" x14ac:dyDescent="0.25">
      <c r="A38" s="25"/>
      <c r="B38" s="11" t="str">
        <f>CONCATENATE("          ", "6114", " - ", "STATE UNEMPLOYMENT INSURANCE")</f>
        <v xml:space="preserve">          6114 - STATE UNEMPLOYMENT INSURANCE</v>
      </c>
      <c r="C38" s="11"/>
      <c r="D38" s="7">
        <v>1383.96</v>
      </c>
      <c r="E38" s="2"/>
      <c r="F38" s="6">
        <f t="shared" si="12"/>
        <v>6.3711952955501985E-4</v>
      </c>
      <c r="G38" s="2"/>
      <c r="H38" s="7">
        <v>1411.0024659999999</v>
      </c>
      <c r="I38" s="2"/>
      <c r="J38" s="6">
        <f t="shared" si="13"/>
        <v>6.2117132456299064E-4</v>
      </c>
      <c r="K38" s="2"/>
      <c r="L38" s="7">
        <f t="shared" si="14"/>
        <v>-27.042465999999877</v>
      </c>
      <c r="M38" s="2"/>
      <c r="N38" s="6">
        <f t="shared" si="15"/>
        <v>-1.916542787955686E-2</v>
      </c>
      <c r="O38" s="11"/>
      <c r="P38" s="7">
        <v>3109.85</v>
      </c>
      <c r="Q38" s="2"/>
      <c r="R38" s="6">
        <f t="shared" si="16"/>
        <v>8.3706235458452295E-4</v>
      </c>
      <c r="S38" s="2"/>
      <c r="T38" s="7">
        <v>3577.2699552200002</v>
      </c>
      <c r="U38" s="2"/>
      <c r="V38" s="6">
        <f t="shared" si="17"/>
        <v>9.069129221966983E-4</v>
      </c>
      <c r="W38" s="2"/>
      <c r="X38" s="7">
        <f t="shared" si="18"/>
        <v>-467.41995522000025</v>
      </c>
      <c r="Y38" s="2"/>
      <c r="Z38" s="6">
        <f t="shared" si="19"/>
        <v>-0.13066387526553169</v>
      </c>
    </row>
    <row r="39" spans="1:26" s="24" customFormat="1" hidden="1" outlineLevel="2" x14ac:dyDescent="0.25">
      <c r="A39" s="25"/>
      <c r="B39" s="11" t="str">
        <f>CONCATENATE("          ", "6115", " - ", "P.E.R.S.")</f>
        <v xml:space="preserve">          6115 - P.E.R.S.</v>
      </c>
      <c r="C39" s="11"/>
      <c r="D39" s="7">
        <v>10199.94</v>
      </c>
      <c r="E39" s="2"/>
      <c r="F39" s="6">
        <f t="shared" si="12"/>
        <v>4.6956421965153828E-3</v>
      </c>
      <c r="G39" s="2"/>
      <c r="H39" s="7">
        <v>10432.659806830779</v>
      </c>
      <c r="I39" s="2"/>
      <c r="J39" s="6">
        <f t="shared" si="13"/>
        <v>4.5928120375972109E-3</v>
      </c>
      <c r="K39" s="2"/>
      <c r="L39" s="7">
        <f t="shared" si="14"/>
        <v>-232.71980683077891</v>
      </c>
      <c r="M39" s="2"/>
      <c r="N39" s="6">
        <f t="shared" si="15"/>
        <v>-2.2306852819873001E-2</v>
      </c>
      <c r="O39" s="11"/>
      <c r="P39" s="7">
        <v>29936.959999999999</v>
      </c>
      <c r="Q39" s="2"/>
      <c r="R39" s="6">
        <f t="shared" si="16"/>
        <v>8.0579777888652761E-3</v>
      </c>
      <c r="S39" s="2"/>
      <c r="T39" s="7">
        <v>33906.144372200026</v>
      </c>
      <c r="U39" s="2"/>
      <c r="V39" s="6">
        <f t="shared" si="17"/>
        <v>8.5959183561599446E-3</v>
      </c>
      <c r="W39" s="2"/>
      <c r="X39" s="7">
        <f t="shared" si="18"/>
        <v>-3969.1843722000267</v>
      </c>
      <c r="Y39" s="2"/>
      <c r="Z39" s="6">
        <f t="shared" si="19"/>
        <v>-0.11706386690945607</v>
      </c>
    </row>
    <row r="40" spans="1:26" s="24" customFormat="1" hidden="1" outlineLevel="2" x14ac:dyDescent="0.25">
      <c r="A40" s="25"/>
      <c r="B40" s="11" t="str">
        <f>CONCATENATE("          ", "6116", " - ", "EDUCATIONAL BENEFITS")</f>
        <v xml:space="preserve">          6116 - EDUCATIONAL BENEFITS</v>
      </c>
      <c r="C40" s="11"/>
      <c r="D40" s="7"/>
      <c r="E40" s="2"/>
      <c r="F40" s="6">
        <f t="shared" si="12"/>
        <v>0</v>
      </c>
      <c r="G40" s="2"/>
      <c r="H40" s="7">
        <v>0</v>
      </c>
      <c r="I40" s="2"/>
      <c r="J40" s="6">
        <f t="shared" si="13"/>
        <v>0</v>
      </c>
      <c r="K40" s="2"/>
      <c r="L40" s="7">
        <f t="shared" si="14"/>
        <v>0</v>
      </c>
      <c r="M40" s="2"/>
      <c r="N40" s="6">
        <f t="shared" si="15"/>
        <v>0</v>
      </c>
      <c r="O40" s="11"/>
      <c r="P40" s="7"/>
      <c r="Q40" s="2"/>
      <c r="R40" s="6">
        <f t="shared" si="16"/>
        <v>0</v>
      </c>
      <c r="S40" s="2"/>
      <c r="T40" s="7">
        <v>8000</v>
      </c>
      <c r="U40" s="2"/>
      <c r="V40" s="6">
        <f t="shared" si="17"/>
        <v>2.0281677000603634E-3</v>
      </c>
      <c r="W40" s="2"/>
      <c r="X40" s="7">
        <f t="shared" si="18"/>
        <v>-8000</v>
      </c>
      <c r="Y40" s="2"/>
      <c r="Z40" s="6">
        <f t="shared" si="19"/>
        <v>-1</v>
      </c>
    </row>
    <row r="41" spans="1:26" s="24" customFormat="1" hidden="1" outlineLevel="2" x14ac:dyDescent="0.25">
      <c r="A41" s="25"/>
      <c r="B41" s="11" t="str">
        <f>CONCATENATE("          ", "6117", " - ", "RETIREMENT STAFF HOURLY")</f>
        <v xml:space="preserve">          6117 - RETIREMENT STAFF HOURLY</v>
      </c>
      <c r="C41" s="11"/>
      <c r="D41" s="7">
        <v>2369.4699999999998</v>
      </c>
      <c r="E41" s="2"/>
      <c r="F41" s="6">
        <f t="shared" si="12"/>
        <v>1.0908087023430827E-3</v>
      </c>
      <c r="G41" s="2"/>
      <c r="H41" s="7"/>
      <c r="I41" s="2"/>
      <c r="J41" s="6">
        <f t="shared" si="13"/>
        <v>0</v>
      </c>
      <c r="K41" s="2"/>
      <c r="L41" s="7">
        <f t="shared" si="14"/>
        <v>2369.4699999999998</v>
      </c>
      <c r="M41" s="2"/>
      <c r="N41" s="6">
        <f t="shared" si="15"/>
        <v>0</v>
      </c>
      <c r="O41" s="11"/>
      <c r="P41" s="7">
        <v>5028.78</v>
      </c>
      <c r="Q41" s="2"/>
      <c r="R41" s="6">
        <f t="shared" si="16"/>
        <v>1.3535708884632883E-3</v>
      </c>
      <c r="S41" s="2"/>
      <c r="T41" s="7"/>
      <c r="U41" s="2"/>
      <c r="V41" s="6">
        <f t="shared" si="17"/>
        <v>0</v>
      </c>
      <c r="W41" s="2"/>
      <c r="X41" s="7">
        <f t="shared" si="18"/>
        <v>5028.78</v>
      </c>
      <c r="Y41" s="2"/>
      <c r="Z41" s="6">
        <f t="shared" si="19"/>
        <v>0</v>
      </c>
    </row>
    <row r="42" spans="1:26" s="24" customFormat="1" hidden="1" outlineLevel="2" x14ac:dyDescent="0.25">
      <c r="A42" s="25"/>
      <c r="B42" s="11" t="str">
        <f>CONCATENATE("          ", "6118", " - ", "VACATION")</f>
        <v xml:space="preserve">          6118 - VACATION</v>
      </c>
      <c r="C42" s="11"/>
      <c r="D42" s="7">
        <v>16940</v>
      </c>
      <c r="E42" s="2"/>
      <c r="F42" s="6">
        <f t="shared" si="12"/>
        <v>7.798494776338938E-3</v>
      </c>
      <c r="G42" s="2"/>
      <c r="H42" s="7">
        <v>9037.8247664615355</v>
      </c>
      <c r="I42" s="2"/>
      <c r="J42" s="6">
        <f t="shared" si="13"/>
        <v>3.9787581642335085E-3</v>
      </c>
      <c r="K42" s="2"/>
      <c r="L42" s="7">
        <f t="shared" si="14"/>
        <v>7902.1752335384645</v>
      </c>
      <c r="M42" s="2"/>
      <c r="N42" s="6">
        <f t="shared" si="15"/>
        <v>0.87434481611799408</v>
      </c>
      <c r="O42" s="11"/>
      <c r="P42" s="7">
        <v>49447.7</v>
      </c>
      <c r="Q42" s="2"/>
      <c r="R42" s="6">
        <f t="shared" si="16"/>
        <v>1.3309583481772148E-2</v>
      </c>
      <c r="S42" s="2"/>
      <c r="T42" s="7">
        <v>28666.111370999988</v>
      </c>
      <c r="U42" s="2"/>
      <c r="V42" s="6">
        <f t="shared" si="17"/>
        <v>7.2674601461244093E-3</v>
      </c>
      <c r="W42" s="2"/>
      <c r="X42" s="7">
        <f t="shared" si="18"/>
        <v>20781.588629000009</v>
      </c>
      <c r="Y42" s="2"/>
      <c r="Z42" s="6">
        <f t="shared" si="19"/>
        <v>0.72495318112883844</v>
      </c>
    </row>
    <row r="43" spans="1:26" s="24" customFormat="1" hidden="1" outlineLevel="2" x14ac:dyDescent="0.25">
      <c r="A43" s="25"/>
      <c r="B43" s="11" t="str">
        <f>CONCATENATE("          ", "6119", " - ", "SICK LEAVE")</f>
        <v xml:space="preserve">          6119 - SICK LEAVE</v>
      </c>
      <c r="C43" s="11"/>
      <c r="D43" s="7">
        <v>20372.05</v>
      </c>
      <c r="E43" s="2"/>
      <c r="F43" s="6">
        <f t="shared" si="12"/>
        <v>9.3784725801839223E-3</v>
      </c>
      <c r="G43" s="2"/>
      <c r="H43" s="7">
        <v>15972.286481538462</v>
      </c>
      <c r="I43" s="2"/>
      <c r="J43" s="6">
        <f t="shared" si="13"/>
        <v>7.0315443020896864E-3</v>
      </c>
      <c r="K43" s="2"/>
      <c r="L43" s="7">
        <f t="shared" si="14"/>
        <v>4399.7635184615374</v>
      </c>
      <c r="M43" s="2"/>
      <c r="N43" s="6">
        <f t="shared" si="15"/>
        <v>0.27546234683099352</v>
      </c>
      <c r="O43" s="11"/>
      <c r="P43" s="7">
        <v>58982.15</v>
      </c>
      <c r="Q43" s="2"/>
      <c r="R43" s="6">
        <f t="shared" si="16"/>
        <v>1.5875922426309155E-2</v>
      </c>
      <c r="S43" s="2"/>
      <c r="T43" s="7">
        <v>40217.867780999994</v>
      </c>
      <c r="U43" s="2"/>
      <c r="V43" s="6">
        <f t="shared" si="17"/>
        <v>1.0196072549840318E-2</v>
      </c>
      <c r="W43" s="2"/>
      <c r="X43" s="7">
        <f t="shared" si="18"/>
        <v>18764.282219000008</v>
      </c>
      <c r="Y43" s="2"/>
      <c r="Z43" s="6">
        <f t="shared" si="19"/>
        <v>0.4665658140102783</v>
      </c>
    </row>
    <row r="44" spans="1:26" s="24" customFormat="1" hidden="1" outlineLevel="2" x14ac:dyDescent="0.25">
      <c r="A44" s="25"/>
      <c r="B44" s="11" t="str">
        <f>CONCATENATE("          ", "6156", " - ", "EMPLOYEE MEALS")</f>
        <v xml:space="preserve">          6156 - EMPLOYEE MEALS</v>
      </c>
      <c r="C44" s="11"/>
      <c r="D44" s="7">
        <v>6392.95</v>
      </c>
      <c r="E44" s="2"/>
      <c r="F44" s="6">
        <f t="shared" si="12"/>
        <v>2.9430570944743808E-3</v>
      </c>
      <c r="G44" s="2"/>
      <c r="H44" s="7">
        <v>3225</v>
      </c>
      <c r="I44" s="2"/>
      <c r="J44" s="6">
        <f t="shared" si="13"/>
        <v>1.4197547984410432E-3</v>
      </c>
      <c r="K44" s="2"/>
      <c r="L44" s="7">
        <f t="shared" si="14"/>
        <v>3167.95</v>
      </c>
      <c r="M44" s="2"/>
      <c r="N44" s="6">
        <f t="shared" si="15"/>
        <v>0.98231007751937982</v>
      </c>
      <c r="O44" s="11"/>
      <c r="P44" s="7">
        <v>17308.449999999997</v>
      </c>
      <c r="Q44" s="2"/>
      <c r="R44" s="6">
        <f t="shared" si="16"/>
        <v>4.6588266029578551E-3</v>
      </c>
      <c r="S44" s="2"/>
      <c r="T44" s="7">
        <v>9675</v>
      </c>
      <c r="U44" s="2"/>
      <c r="V44" s="6">
        <f t="shared" si="17"/>
        <v>2.4528153122605019E-3</v>
      </c>
      <c r="W44" s="2"/>
      <c r="X44" s="7">
        <f t="shared" si="18"/>
        <v>7633.4499999999971</v>
      </c>
      <c r="Y44" s="2"/>
      <c r="Z44" s="6">
        <f t="shared" si="19"/>
        <v>0.78898708010335883</v>
      </c>
    </row>
    <row r="45" spans="1:26" s="26" customFormat="1" outlineLevel="1" collapsed="1" x14ac:dyDescent="0.25">
      <c r="A45" s="27"/>
      <c r="B45" s="13" t="str">
        <f>CONCATENATE("     ","*Payroll                                          ")</f>
        <v xml:space="preserve">     *Payroll                                          </v>
      </c>
      <c r="C45" s="13"/>
      <c r="D45" s="1">
        <f>SUM(OSRRefD22_1x_0)</f>
        <v>532741.05000000005</v>
      </c>
      <c r="E45" s="1"/>
      <c r="F45" s="5">
        <f t="shared" ref="F45:F55" si="20">IF(D$12=0,0,D45/D$12)</f>
        <v>0.24525255581855498</v>
      </c>
      <c r="G45" s="1"/>
      <c r="H45" s="1">
        <f>SUM(OSRRefH22_1x_0)</f>
        <v>516830.55375384621</v>
      </c>
      <c r="I45" s="1"/>
      <c r="J45" s="5">
        <f t="shared" ref="J45:J55" si="21">IF(H$12=0,0,H45/H$12)</f>
        <v>0.22752640579006655</v>
      </c>
      <c r="K45" s="1"/>
      <c r="L45" s="1">
        <f t="shared" ref="L45:L55" si="22">+D45-H45</f>
        <v>15910.496246153838</v>
      </c>
      <c r="M45" s="1"/>
      <c r="N45" s="5">
        <f t="shared" ref="N45:N55" si="23">IF(H45=0,0,L45/H45)</f>
        <v>3.0784743917697286E-2</v>
      </c>
      <c r="O45" s="13"/>
      <c r="P45" s="1">
        <f>SUM(OSRRefP22_1x_0)</f>
        <v>1275260.6800000002</v>
      </c>
      <c r="Q45" s="1"/>
      <c r="R45" s="5">
        <f t="shared" ref="R45:R55" si="24">IF(P$12=0,0,P45/P$12)</f>
        <v>0.34325536842930049</v>
      </c>
      <c r="S45" s="1"/>
      <c r="T45" s="1">
        <f>SUM(OSRRefT22_1x_0)</f>
        <v>1301587.617658</v>
      </c>
      <c r="U45" s="1"/>
      <c r="V45" s="5">
        <f t="shared" ref="V45:V55" si="25">IF(T$12=0,0,T45/T$12)</f>
        <v>0.32997974561655918</v>
      </c>
      <c r="W45" s="1"/>
      <c r="X45" s="1">
        <f t="shared" ref="X45:X55" si="26">+P45-T45</f>
        <v>-26326.937657999806</v>
      </c>
      <c r="Y45" s="1"/>
      <c r="Z45" s="5">
        <f t="shared" ref="Z45:Z55" si="27">IF(T45=0,0,X45/T45)</f>
        <v>-2.0226788654743769E-2</v>
      </c>
    </row>
    <row r="46" spans="1:26" s="24" customFormat="1" hidden="1" outlineLevel="2" x14ac:dyDescent="0.25">
      <c r="A46" s="25"/>
      <c r="B46" s="11" t="str">
        <f>CONCATENATE("          ", "6001", " - ", "ADMINISTRATIVE SALARIES")</f>
        <v xml:space="preserve">          6001 - ADMINISTRATIVE SALARIES</v>
      </c>
      <c r="C46" s="11"/>
      <c r="D46" s="7">
        <v>24356.91</v>
      </c>
      <c r="E46" s="2"/>
      <c r="F46" s="6">
        <f t="shared" si="20"/>
        <v>1.1212941877376485E-2</v>
      </c>
      <c r="G46" s="2"/>
      <c r="H46" s="7">
        <v>20213.021076923069</v>
      </c>
      <c r="I46" s="2"/>
      <c r="J46" s="6">
        <f t="shared" si="21"/>
        <v>8.8984600511477427E-3</v>
      </c>
      <c r="K46" s="2"/>
      <c r="L46" s="7">
        <f t="shared" si="22"/>
        <v>4143.888923076931</v>
      </c>
      <c r="M46" s="2"/>
      <c r="N46" s="6">
        <f t="shared" si="23"/>
        <v>0.20501086439809596</v>
      </c>
      <c r="O46" s="11"/>
      <c r="P46" s="7">
        <v>72871.62</v>
      </c>
      <c r="Q46" s="2"/>
      <c r="R46" s="6">
        <f t="shared" si="24"/>
        <v>1.961447974004811E-2</v>
      </c>
      <c r="S46" s="2"/>
      <c r="T46" s="7">
        <v>65692.318499999979</v>
      </c>
      <c r="U46" s="2"/>
      <c r="V46" s="6">
        <f t="shared" si="25"/>
        <v>1.6654379815472228E-2</v>
      </c>
      <c r="W46" s="2"/>
      <c r="X46" s="7">
        <f t="shared" si="26"/>
        <v>7179.3015000000159</v>
      </c>
      <c r="Y46" s="2"/>
      <c r="Z46" s="6">
        <f t="shared" si="27"/>
        <v>0.10928677300375718</v>
      </c>
    </row>
    <row r="47" spans="1:26" s="24" customFormat="1" hidden="1" outlineLevel="2" x14ac:dyDescent="0.25">
      <c r="A47" s="25"/>
      <c r="B47" s="11" t="str">
        <f>CONCATENATE("          ", "6002", " - ", "STAFF SALARIES")</f>
        <v xml:space="preserve">          6002 - STAFF SALARIES</v>
      </c>
      <c r="C47" s="11"/>
      <c r="D47" s="7">
        <v>93254.150000000009</v>
      </c>
      <c r="E47" s="2"/>
      <c r="F47" s="6">
        <f t="shared" si="20"/>
        <v>4.2930460545863511E-2</v>
      </c>
      <c r="G47" s="2"/>
      <c r="H47" s="7">
        <v>91046.740620923098</v>
      </c>
      <c r="I47" s="2"/>
      <c r="J47" s="6">
        <f t="shared" si="21"/>
        <v>4.0081875001231816E-2</v>
      </c>
      <c r="K47" s="2"/>
      <c r="L47" s="7">
        <f t="shared" si="22"/>
        <v>2207.4093790769111</v>
      </c>
      <c r="M47" s="2"/>
      <c r="N47" s="6">
        <f t="shared" si="23"/>
        <v>2.4244792993387342E-2</v>
      </c>
      <c r="O47" s="11"/>
      <c r="P47" s="7">
        <v>284103.63</v>
      </c>
      <c r="Q47" s="2"/>
      <c r="R47" s="6">
        <f t="shared" si="24"/>
        <v>7.6470715138611228E-2</v>
      </c>
      <c r="S47" s="2"/>
      <c r="T47" s="7">
        <v>295901.90701799997</v>
      </c>
      <c r="U47" s="2"/>
      <c r="V47" s="6">
        <f t="shared" si="25"/>
        <v>7.5017336275021565E-2</v>
      </c>
      <c r="W47" s="2"/>
      <c r="X47" s="7">
        <f t="shared" si="26"/>
        <v>-11798.277017999964</v>
      </c>
      <c r="Y47" s="2"/>
      <c r="Z47" s="6">
        <f t="shared" si="27"/>
        <v>-3.9872257454840479E-2</v>
      </c>
    </row>
    <row r="48" spans="1:26" s="24" customFormat="1" hidden="1" outlineLevel="2" x14ac:dyDescent="0.25">
      <c r="A48" s="25"/>
      <c r="B48" s="11" t="str">
        <f>CONCATENATE("          ", "6003", " - ", "STAFF HOURLY-9 MONTH")</f>
        <v xml:space="preserve">          6003 - STAFF HOURLY-9 MONTH</v>
      </c>
      <c r="C48" s="11"/>
      <c r="D48" s="7"/>
      <c r="E48" s="2"/>
      <c r="F48" s="6">
        <f t="shared" si="20"/>
        <v>0</v>
      </c>
      <c r="G48" s="2"/>
      <c r="H48" s="7">
        <v>0</v>
      </c>
      <c r="I48" s="2"/>
      <c r="J48" s="6">
        <f t="shared" si="21"/>
        <v>0</v>
      </c>
      <c r="K48" s="2"/>
      <c r="L48" s="7">
        <f t="shared" si="22"/>
        <v>0</v>
      </c>
      <c r="M48" s="2"/>
      <c r="N48" s="6">
        <f t="shared" si="23"/>
        <v>0</v>
      </c>
      <c r="O48" s="11"/>
      <c r="P48" s="7"/>
      <c r="Q48" s="2"/>
      <c r="R48" s="6">
        <f t="shared" si="24"/>
        <v>0</v>
      </c>
      <c r="S48" s="2"/>
      <c r="T48" s="7">
        <v>0</v>
      </c>
      <c r="U48" s="2"/>
      <c r="V48" s="6">
        <f t="shared" si="25"/>
        <v>0</v>
      </c>
      <c r="W48" s="2"/>
      <c r="X48" s="7">
        <f t="shared" si="26"/>
        <v>0</v>
      </c>
      <c r="Y48" s="2"/>
      <c r="Z48" s="6">
        <f t="shared" si="27"/>
        <v>0</v>
      </c>
    </row>
    <row r="49" spans="1:26" s="24" customFormat="1" hidden="1" outlineLevel="2" x14ac:dyDescent="0.25">
      <c r="A49" s="25"/>
      <c r="B49" s="11" t="str">
        <f>CONCATENATE("          ", "6004", " - ", "STAFF HOURLY")</f>
        <v xml:space="preserve">          6004 - STAFF HOURLY</v>
      </c>
      <c r="C49" s="11"/>
      <c r="D49" s="7">
        <v>83021.78</v>
      </c>
      <c r="E49" s="2"/>
      <c r="F49" s="6">
        <f t="shared" si="20"/>
        <v>3.8219888881485274E-2</v>
      </c>
      <c r="G49" s="2"/>
      <c r="H49" s="7">
        <v>135050.55664</v>
      </c>
      <c r="I49" s="2"/>
      <c r="J49" s="6">
        <f t="shared" si="21"/>
        <v>5.9453852967991903E-2</v>
      </c>
      <c r="K49" s="2"/>
      <c r="L49" s="7">
        <f t="shared" si="22"/>
        <v>-52028.776639999996</v>
      </c>
      <c r="M49" s="2"/>
      <c r="N49" s="6">
        <f t="shared" si="23"/>
        <v>-0.38525407028637032</v>
      </c>
      <c r="O49" s="11"/>
      <c r="P49" s="7">
        <v>199450.05</v>
      </c>
      <c r="Q49" s="2"/>
      <c r="R49" s="6">
        <f t="shared" si="24"/>
        <v>5.3684945728893943E-2</v>
      </c>
      <c r="S49" s="2"/>
      <c r="T49" s="7">
        <v>394982.66802000004</v>
      </c>
      <c r="U49" s="2"/>
      <c r="V49" s="6">
        <f t="shared" si="25"/>
        <v>0.10013638617022869</v>
      </c>
      <c r="W49" s="2"/>
      <c r="X49" s="7">
        <f t="shared" si="26"/>
        <v>-195532.61802000005</v>
      </c>
      <c r="Y49" s="2"/>
      <c r="Z49" s="6">
        <f t="shared" si="27"/>
        <v>-0.49504100774897597</v>
      </c>
    </row>
    <row r="50" spans="1:26" s="24" customFormat="1" hidden="1" outlineLevel="2" x14ac:dyDescent="0.25">
      <c r="A50" s="25"/>
      <c r="B50" s="11" t="str">
        <f>CONCATENATE("          ", "6005", " - ", "TEMPORARY WAGES-HOURLY")</f>
        <v xml:space="preserve">          6005 - TEMPORARY WAGES-HOURLY</v>
      </c>
      <c r="C50" s="11"/>
      <c r="D50" s="7">
        <v>104576.93000000001</v>
      </c>
      <c r="E50" s="2"/>
      <c r="F50" s="6">
        <f t="shared" si="20"/>
        <v>4.8143013124590482E-2</v>
      </c>
      <c r="G50" s="2"/>
      <c r="H50" s="7">
        <v>61616.155416000001</v>
      </c>
      <c r="I50" s="2"/>
      <c r="J50" s="6">
        <f t="shared" si="21"/>
        <v>2.7125529399489947E-2</v>
      </c>
      <c r="K50" s="2"/>
      <c r="L50" s="7">
        <f t="shared" si="22"/>
        <v>42960.774584000006</v>
      </c>
      <c r="M50" s="2"/>
      <c r="N50" s="6">
        <f t="shared" si="23"/>
        <v>0.69723231340792624</v>
      </c>
      <c r="O50" s="11"/>
      <c r="P50" s="7">
        <v>232465.56</v>
      </c>
      <c r="Q50" s="2"/>
      <c r="R50" s="6">
        <f t="shared" si="24"/>
        <v>6.2571561012077656E-2</v>
      </c>
      <c r="S50" s="2"/>
      <c r="T50" s="7">
        <v>135835.28912</v>
      </c>
      <c r="U50" s="2"/>
      <c r="V50" s="6">
        <f t="shared" si="25"/>
        <v>3.443709324019311E-2</v>
      </c>
      <c r="W50" s="2"/>
      <c r="X50" s="7">
        <f t="shared" si="26"/>
        <v>96630.270879999996</v>
      </c>
      <c r="Y50" s="2"/>
      <c r="Z50" s="6">
        <f t="shared" si="27"/>
        <v>0.71137825454646475</v>
      </c>
    </row>
    <row r="51" spans="1:26" s="24" customFormat="1" hidden="1" outlineLevel="2" x14ac:dyDescent="0.25">
      <c r="A51" s="25"/>
      <c r="B51" s="11" t="str">
        <f>CONCATENATE("          ", "6006", " - ", "TEMPORARY PART TIME")</f>
        <v xml:space="preserve">          6006 - TEMPORARY PART TIME</v>
      </c>
      <c r="C51" s="11"/>
      <c r="D51" s="7">
        <v>8153.85</v>
      </c>
      <c r="E51" s="2"/>
      <c r="F51" s="6">
        <f t="shared" si="20"/>
        <v>3.7537046417975943E-3</v>
      </c>
      <c r="G51" s="2"/>
      <c r="H51" s="7">
        <v>0</v>
      </c>
      <c r="I51" s="2"/>
      <c r="J51" s="6">
        <f t="shared" si="21"/>
        <v>0</v>
      </c>
      <c r="K51" s="2"/>
      <c r="L51" s="7">
        <f t="shared" si="22"/>
        <v>8153.85</v>
      </c>
      <c r="M51" s="2"/>
      <c r="N51" s="6">
        <f t="shared" si="23"/>
        <v>0</v>
      </c>
      <c r="O51" s="11"/>
      <c r="P51" s="7">
        <v>23832.75</v>
      </c>
      <c r="Q51" s="2"/>
      <c r="R51" s="6">
        <f t="shared" si="24"/>
        <v>6.4149389299240443E-3</v>
      </c>
      <c r="S51" s="2"/>
      <c r="T51" s="7">
        <v>0</v>
      </c>
      <c r="U51" s="2"/>
      <c r="V51" s="6">
        <f t="shared" si="25"/>
        <v>0</v>
      </c>
      <c r="W51" s="2"/>
      <c r="X51" s="7">
        <f t="shared" si="26"/>
        <v>23832.75</v>
      </c>
      <c r="Y51" s="2"/>
      <c r="Z51" s="6">
        <f t="shared" si="27"/>
        <v>0</v>
      </c>
    </row>
    <row r="52" spans="1:26" s="24" customFormat="1" hidden="1" outlineLevel="2" x14ac:dyDescent="0.25">
      <c r="A52" s="25"/>
      <c r="B52" s="11" t="str">
        <f>CONCATENATE("          ", "6007", " - ", "STUDENT HOURLY")</f>
        <v xml:space="preserve">          6007 - STUDENT HOURLY</v>
      </c>
      <c r="C52" s="11"/>
      <c r="D52" s="7">
        <v>190979.62</v>
      </c>
      <c r="E52" s="2"/>
      <c r="F52" s="6">
        <f t="shared" si="20"/>
        <v>8.7919337010460175E-2</v>
      </c>
      <c r="G52" s="2"/>
      <c r="H52" s="7">
        <v>37252.950000000004</v>
      </c>
      <c r="I52" s="2"/>
      <c r="J52" s="6">
        <f t="shared" si="21"/>
        <v>1.640001690498737E-2</v>
      </c>
      <c r="K52" s="2"/>
      <c r="L52" s="7">
        <f t="shared" si="22"/>
        <v>153726.66999999998</v>
      </c>
      <c r="M52" s="2"/>
      <c r="N52" s="6">
        <f t="shared" si="23"/>
        <v>4.1265636681121887</v>
      </c>
      <c r="O52" s="11"/>
      <c r="P52" s="7">
        <v>411256.60000000003</v>
      </c>
      <c r="Q52" s="2"/>
      <c r="R52" s="6">
        <f t="shared" si="24"/>
        <v>0.11069582710883977</v>
      </c>
      <c r="S52" s="2"/>
      <c r="T52" s="7">
        <v>204510.64249999999</v>
      </c>
      <c r="U52" s="2"/>
      <c r="V52" s="6">
        <f t="shared" si="25"/>
        <v>5.184773492963652E-2</v>
      </c>
      <c r="W52" s="2"/>
      <c r="X52" s="7">
        <f t="shared" si="26"/>
        <v>206745.95750000005</v>
      </c>
      <c r="Y52" s="2"/>
      <c r="Z52" s="6">
        <f t="shared" si="27"/>
        <v>1.0109300668790382</v>
      </c>
    </row>
    <row r="53" spans="1:26" s="24" customFormat="1" hidden="1" outlineLevel="2" x14ac:dyDescent="0.25">
      <c r="A53" s="25"/>
      <c r="B53" s="11" t="str">
        <f>CONCATENATE("          ", "6008", " - ", "STUDENT HOURLY-FICA EXEMPT")</f>
        <v xml:space="preserve">          6008 - STUDENT HOURLY-FICA EXEMPT</v>
      </c>
      <c r="C53" s="11"/>
      <c r="D53" s="7">
        <v>28397.809999999998</v>
      </c>
      <c r="E53" s="2"/>
      <c r="F53" s="6">
        <f t="shared" si="20"/>
        <v>1.3073209736981442E-2</v>
      </c>
      <c r="G53" s="2"/>
      <c r="H53" s="7">
        <v>171651.13</v>
      </c>
      <c r="I53" s="2"/>
      <c r="J53" s="6">
        <f t="shared" si="21"/>
        <v>7.5566671465217769E-2</v>
      </c>
      <c r="K53" s="2"/>
      <c r="L53" s="7">
        <f t="shared" si="22"/>
        <v>-143253.32</v>
      </c>
      <c r="M53" s="2"/>
      <c r="N53" s="6">
        <f t="shared" si="23"/>
        <v>-0.83456089103520614</v>
      </c>
      <c r="O53" s="11"/>
      <c r="P53" s="7">
        <v>51280.47</v>
      </c>
      <c r="Q53" s="2"/>
      <c r="R53" s="6">
        <f t="shared" si="24"/>
        <v>1.3802900770905669E-2</v>
      </c>
      <c r="S53" s="2"/>
      <c r="T53" s="7">
        <v>204664.79250000001</v>
      </c>
      <c r="U53" s="2"/>
      <c r="V53" s="6">
        <f t="shared" si="25"/>
        <v>5.1886815186007067E-2</v>
      </c>
      <c r="W53" s="2"/>
      <c r="X53" s="7">
        <f t="shared" si="26"/>
        <v>-153384.32250000001</v>
      </c>
      <c r="Y53" s="2"/>
      <c r="Z53" s="6">
        <f t="shared" si="27"/>
        <v>-0.74944166325040984</v>
      </c>
    </row>
    <row r="54" spans="1:26" s="24" customFormat="1" hidden="1" outlineLevel="2" x14ac:dyDescent="0.25">
      <c r="A54" s="25"/>
      <c r="B54" s="11" t="str">
        <f>CONCATENATE("          ", "6009", " - ", "TEMPORARY-SEASONAL")</f>
        <v xml:space="preserve">          6009 - TEMPORARY-SEASONAL</v>
      </c>
      <c r="C54" s="11"/>
      <c r="D54" s="7"/>
      <c r="E54" s="2"/>
      <c r="F54" s="6">
        <f t="shared" si="20"/>
        <v>0</v>
      </c>
      <c r="G54" s="2"/>
      <c r="H54" s="7">
        <v>0</v>
      </c>
      <c r="I54" s="2"/>
      <c r="J54" s="6">
        <f t="shared" si="21"/>
        <v>0</v>
      </c>
      <c r="K54" s="2"/>
      <c r="L54" s="7">
        <f t="shared" si="22"/>
        <v>0</v>
      </c>
      <c r="M54" s="2"/>
      <c r="N54" s="6">
        <f t="shared" si="23"/>
        <v>0</v>
      </c>
      <c r="O54" s="11"/>
      <c r="P54" s="7"/>
      <c r="Q54" s="2"/>
      <c r="R54" s="6">
        <f t="shared" si="24"/>
        <v>0</v>
      </c>
      <c r="S54" s="2"/>
      <c r="T54" s="7">
        <v>0</v>
      </c>
      <c r="U54" s="2"/>
      <c r="V54" s="6">
        <f t="shared" si="25"/>
        <v>0</v>
      </c>
      <c r="W54" s="2"/>
      <c r="X54" s="7">
        <f t="shared" si="26"/>
        <v>0</v>
      </c>
      <c r="Y54" s="2"/>
      <c r="Z54" s="6">
        <f t="shared" si="27"/>
        <v>0</v>
      </c>
    </row>
    <row r="55" spans="1:26" s="24" customFormat="1" hidden="1" outlineLevel="2" x14ac:dyDescent="0.25">
      <c r="A55" s="25"/>
      <c r="B55" s="11" t="str">
        <f>CONCATENATE("          ", "6010", " - ", "GRATUITY")</f>
        <v xml:space="preserve">          6010 - GRATUITY</v>
      </c>
      <c r="C55" s="11"/>
      <c r="D55" s="7"/>
      <c r="E55" s="2"/>
      <c r="F55" s="6">
        <f t="shared" si="20"/>
        <v>0</v>
      </c>
      <c r="G55" s="2"/>
      <c r="H55" s="7">
        <v>0</v>
      </c>
      <c r="I55" s="2"/>
      <c r="J55" s="6">
        <f t="shared" si="21"/>
        <v>0</v>
      </c>
      <c r="K55" s="2"/>
      <c r="L55" s="7">
        <f t="shared" si="22"/>
        <v>0</v>
      </c>
      <c r="M55" s="2"/>
      <c r="N55" s="6">
        <f t="shared" si="23"/>
        <v>0</v>
      </c>
      <c r="O55" s="11"/>
      <c r="P55" s="7"/>
      <c r="Q55" s="2"/>
      <c r="R55" s="6">
        <f t="shared" si="24"/>
        <v>0</v>
      </c>
      <c r="S55" s="2"/>
      <c r="T55" s="7">
        <v>0</v>
      </c>
      <c r="U55" s="2"/>
      <c r="V55" s="6">
        <f t="shared" si="25"/>
        <v>0</v>
      </c>
      <c r="W55" s="2"/>
      <c r="X55" s="7">
        <f t="shared" si="26"/>
        <v>0</v>
      </c>
      <c r="Y55" s="2"/>
      <c r="Z55" s="6">
        <f t="shared" si="27"/>
        <v>0</v>
      </c>
    </row>
    <row r="56" spans="1:26" s="26" customFormat="1" outlineLevel="1" collapsed="1" x14ac:dyDescent="0.25">
      <c r="A56" s="27"/>
      <c r="B56" s="13" t="str">
        <f>CONCATENATE("     ","Advertising/Promo                                 ")</f>
        <v xml:space="preserve">     Advertising/Promo                                 </v>
      </c>
      <c r="C56" s="13"/>
      <c r="D56" s="1">
        <f>SUM(OSRRefD22_2x_0)</f>
        <v>1550.75</v>
      </c>
      <c r="E56" s="1"/>
      <c r="F56" s="5">
        <f t="shared" ref="F56:F60" si="28">IF(D$12=0,0,D56/D$12)</f>
        <v>7.1390293827671824E-4</v>
      </c>
      <c r="G56" s="1"/>
      <c r="H56" s="1">
        <f>SUM(OSRRefH22_2x_0)</f>
        <v>5300</v>
      </c>
      <c r="I56" s="1"/>
      <c r="J56" s="5">
        <f t="shared" ref="J56:J60" si="29">IF(H$12=0,0,H56/H$12)</f>
        <v>2.3332404439496213E-3</v>
      </c>
      <c r="K56" s="1"/>
      <c r="L56" s="1">
        <f t="shared" ref="L56:L60" si="30">+D56-H56</f>
        <v>-3749.25</v>
      </c>
      <c r="M56" s="1"/>
      <c r="N56" s="5">
        <f t="shared" ref="N56:N60" si="31">IF(H56=0,0,L56/H56)</f>
        <v>-0.70740566037735853</v>
      </c>
      <c r="O56" s="13"/>
      <c r="P56" s="1">
        <f>SUM(OSRRefP22_2x_0)</f>
        <v>13519.49</v>
      </c>
      <c r="Q56" s="1"/>
      <c r="R56" s="5">
        <f t="shared" ref="R56:R60" si="32">IF(P$12=0,0,P56/P$12)</f>
        <v>3.6389716970856834E-3</v>
      </c>
      <c r="S56" s="1"/>
      <c r="T56" s="1">
        <f>SUM(OSRRefT22_2x_0)</f>
        <v>16100</v>
      </c>
      <c r="U56" s="1"/>
      <c r="V56" s="5">
        <f t="shared" ref="V56:V60" si="33">IF(T$12=0,0,T56/T$12)</f>
        <v>4.0816874963714809E-3</v>
      </c>
      <c r="W56" s="1"/>
      <c r="X56" s="1">
        <f t="shared" ref="X56:X60" si="34">+P56-T56</f>
        <v>-2580.5100000000002</v>
      </c>
      <c r="Y56" s="1"/>
      <c r="Z56" s="5">
        <f t="shared" ref="Z56:Z60" si="35">IF(T56=0,0,X56/T56)</f>
        <v>-0.16028012422360249</v>
      </c>
    </row>
    <row r="57" spans="1:26" s="24" customFormat="1" hidden="1" outlineLevel="2" x14ac:dyDescent="0.25">
      <c r="A57" s="25"/>
      <c r="B57" s="11" t="str">
        <f>CONCATENATE("          ", "6362", " - ", "ADVERTISING EXPENSE")</f>
        <v xml:space="preserve">          6362 - ADVERTISING EXPENSE</v>
      </c>
      <c r="C57" s="11"/>
      <c r="D57" s="7">
        <v>1550.75</v>
      </c>
      <c r="E57" s="2"/>
      <c r="F57" s="6">
        <f t="shared" si="28"/>
        <v>7.1390293827671824E-4</v>
      </c>
      <c r="G57" s="2"/>
      <c r="H57" s="7">
        <v>5300</v>
      </c>
      <c r="I57" s="2"/>
      <c r="J57" s="6">
        <f t="shared" si="29"/>
        <v>2.3332404439496213E-3</v>
      </c>
      <c r="K57" s="2"/>
      <c r="L57" s="7">
        <f t="shared" si="30"/>
        <v>-3749.25</v>
      </c>
      <c r="M57" s="2"/>
      <c r="N57" s="6">
        <f t="shared" si="31"/>
        <v>-0.70740566037735853</v>
      </c>
      <c r="O57" s="11"/>
      <c r="P57" s="7">
        <v>13519.49</v>
      </c>
      <c r="Q57" s="2"/>
      <c r="R57" s="6">
        <f t="shared" si="32"/>
        <v>3.6389716970856834E-3</v>
      </c>
      <c r="S57" s="2"/>
      <c r="T57" s="7">
        <v>16100</v>
      </c>
      <c r="U57" s="2"/>
      <c r="V57" s="6">
        <f t="shared" si="33"/>
        <v>4.0816874963714809E-3</v>
      </c>
      <c r="W57" s="2"/>
      <c r="X57" s="7">
        <f t="shared" si="34"/>
        <v>-2580.5100000000002</v>
      </c>
      <c r="Y57" s="2"/>
      <c r="Z57" s="6">
        <f t="shared" si="35"/>
        <v>-0.16028012422360249</v>
      </c>
    </row>
    <row r="58" spans="1:26" s="26" customFormat="1" outlineLevel="1" collapsed="1" x14ac:dyDescent="0.25">
      <c r="A58" s="27"/>
      <c r="B58" s="13" t="str">
        <f>CONCATENATE("     ","Bad Debts/Over/Short                              ")</f>
        <v xml:space="preserve">     Bad Debts/Over/Short                              </v>
      </c>
      <c r="C58" s="13"/>
      <c r="D58" s="1">
        <f>SUM(OSRRefD22_3x_0)</f>
        <v>-19.16</v>
      </c>
      <c r="E58" s="1"/>
      <c r="F58" s="5">
        <f t="shared" si="28"/>
        <v>-8.8204935014553739E-6</v>
      </c>
      <c r="G58" s="1"/>
      <c r="H58" s="1">
        <f>SUM(OSRRefH22_3x_0)</f>
        <v>257</v>
      </c>
      <c r="I58" s="1"/>
      <c r="J58" s="5">
        <f t="shared" si="29"/>
        <v>1.1314014982925522E-4</v>
      </c>
      <c r="K58" s="1"/>
      <c r="L58" s="1">
        <f t="shared" si="30"/>
        <v>-276.16000000000003</v>
      </c>
      <c r="M58" s="1"/>
      <c r="N58" s="5">
        <f t="shared" si="31"/>
        <v>-1.0745525291828795</v>
      </c>
      <c r="O58" s="13"/>
      <c r="P58" s="1">
        <f>SUM(OSRRefP22_3x_0)</f>
        <v>-34.29</v>
      </c>
      <c r="Q58" s="1"/>
      <c r="R58" s="5">
        <f t="shared" si="32"/>
        <v>-9.2296632116350608E-6</v>
      </c>
      <c r="S58" s="1"/>
      <c r="T58" s="1">
        <f>SUM(OSRRefT22_3x_0)</f>
        <v>683</v>
      </c>
      <c r="U58" s="1"/>
      <c r="V58" s="5">
        <f t="shared" si="33"/>
        <v>1.7315481739265352E-4</v>
      </c>
      <c r="W58" s="1"/>
      <c r="X58" s="1">
        <f t="shared" si="34"/>
        <v>-717.29</v>
      </c>
      <c r="Y58" s="1"/>
      <c r="Z58" s="5">
        <f t="shared" si="35"/>
        <v>-1.0502049780380673</v>
      </c>
    </row>
    <row r="59" spans="1:26" s="24" customFormat="1" hidden="1" outlineLevel="2" x14ac:dyDescent="0.25">
      <c r="A59" s="25"/>
      <c r="B59" s="11" t="str">
        <f>CONCATENATE("          ", "6272", " - ", "CASH (OVER/SHORT)")</f>
        <v xml:space="preserve">          6272 - CASH (OVER/SHORT)</v>
      </c>
      <c r="C59" s="11"/>
      <c r="D59" s="7">
        <v>-19.16</v>
      </c>
      <c r="E59" s="2"/>
      <c r="F59" s="6">
        <f t="shared" si="28"/>
        <v>-8.8204935014553739E-6</v>
      </c>
      <c r="G59" s="2"/>
      <c r="H59" s="7">
        <v>207</v>
      </c>
      <c r="I59" s="2"/>
      <c r="J59" s="6">
        <f t="shared" si="29"/>
        <v>9.1128447527843707E-5</v>
      </c>
      <c r="K59" s="2"/>
      <c r="L59" s="7">
        <f t="shared" si="30"/>
        <v>-226.16</v>
      </c>
      <c r="M59" s="2"/>
      <c r="N59" s="6">
        <f t="shared" si="31"/>
        <v>-1.0925603864734299</v>
      </c>
      <c r="O59" s="11"/>
      <c r="P59" s="7">
        <v>-34.29</v>
      </c>
      <c r="Q59" s="2"/>
      <c r="R59" s="6">
        <f t="shared" si="32"/>
        <v>-9.2296632116350608E-6</v>
      </c>
      <c r="S59" s="2"/>
      <c r="T59" s="7">
        <v>583</v>
      </c>
      <c r="U59" s="2"/>
      <c r="V59" s="6">
        <f t="shared" si="33"/>
        <v>1.4780272114189898E-4</v>
      </c>
      <c r="W59" s="2"/>
      <c r="X59" s="7">
        <f t="shared" si="34"/>
        <v>-617.29</v>
      </c>
      <c r="Y59" s="2"/>
      <c r="Z59" s="6">
        <f t="shared" si="35"/>
        <v>-1.0588164665523156</v>
      </c>
    </row>
    <row r="60" spans="1:26" s="24" customFormat="1" hidden="1" outlineLevel="2" x14ac:dyDescent="0.25">
      <c r="A60" s="25"/>
      <c r="B60" s="11" t="str">
        <f>CONCATENATE("          ", "6342", " - ", "BAD DEBT")</f>
        <v xml:space="preserve">          6342 - BAD DEBT</v>
      </c>
      <c r="C60" s="11"/>
      <c r="D60" s="7"/>
      <c r="E60" s="2"/>
      <c r="F60" s="6">
        <f t="shared" si="28"/>
        <v>0</v>
      </c>
      <c r="G60" s="2"/>
      <c r="H60" s="7">
        <v>50</v>
      </c>
      <c r="I60" s="2"/>
      <c r="J60" s="6">
        <f t="shared" si="29"/>
        <v>2.2011702301411521E-5</v>
      </c>
      <c r="K60" s="2"/>
      <c r="L60" s="7">
        <f t="shared" si="30"/>
        <v>-50</v>
      </c>
      <c r="M60" s="2"/>
      <c r="N60" s="6">
        <f t="shared" si="31"/>
        <v>-1</v>
      </c>
      <c r="O60" s="11"/>
      <c r="P60" s="7"/>
      <c r="Q60" s="2"/>
      <c r="R60" s="6">
        <f t="shared" si="32"/>
        <v>0</v>
      </c>
      <c r="S60" s="2"/>
      <c r="T60" s="7">
        <v>100</v>
      </c>
      <c r="U60" s="2"/>
      <c r="V60" s="6">
        <f t="shared" si="33"/>
        <v>2.5352096250754543E-5</v>
      </c>
      <c r="W60" s="2"/>
      <c r="X60" s="7">
        <f t="shared" si="34"/>
        <v>-100</v>
      </c>
      <c r="Y60" s="2"/>
      <c r="Z60" s="6">
        <f t="shared" si="35"/>
        <v>-1</v>
      </c>
    </row>
    <row r="61" spans="1:26" s="26" customFormat="1" outlineLevel="1" collapsed="1" x14ac:dyDescent="0.25">
      <c r="A61" s="27"/>
      <c r="B61" s="13" t="str">
        <f>CONCATENATE("     ","Bank/card Fees                                    ")</f>
        <v xml:space="preserve">     Bank/card Fees                                    </v>
      </c>
      <c r="C61" s="13"/>
      <c r="D61" s="1">
        <f>SUM(OSRRefD22_4x_0)</f>
        <v>21564.449999999997</v>
      </c>
      <c r="E61" s="1"/>
      <c r="F61" s="5">
        <f t="shared" ref="F61:F67" si="36">IF(D$12=0,0,D61/D$12)</f>
        <v>9.927405589115831E-3</v>
      </c>
      <c r="G61" s="1"/>
      <c r="H61" s="1">
        <f>SUM(OSRRefH22_4x_0)</f>
        <v>13797</v>
      </c>
      <c r="I61" s="1"/>
      <c r="J61" s="5">
        <f t="shared" ref="J61:J67" si="37">IF(H$12=0,0,H61/H$12)</f>
        <v>6.0739091330514958E-3</v>
      </c>
      <c r="K61" s="1"/>
      <c r="L61" s="1">
        <f t="shared" ref="L61:L67" si="38">+D61-H61</f>
        <v>7767.4499999999971</v>
      </c>
      <c r="M61" s="1"/>
      <c r="N61" s="5">
        <f t="shared" ref="N61:N67" si="39">IF(H61=0,0,L61/H61)</f>
        <v>0.56298108284409631</v>
      </c>
      <c r="O61" s="13"/>
      <c r="P61" s="1">
        <f>SUM(OSRRefP22_4x_0)</f>
        <v>35131.17</v>
      </c>
      <c r="Q61" s="1"/>
      <c r="R61" s="5">
        <f t="shared" ref="R61:R67" si="40">IF(P$12=0,0,P61/P$12)</f>
        <v>9.4560766209010588E-3</v>
      </c>
      <c r="S61" s="1"/>
      <c r="T61" s="1">
        <f>SUM(OSRRefT22_4x_0)</f>
        <v>27248</v>
      </c>
      <c r="U61" s="1"/>
      <c r="V61" s="5">
        <f t="shared" ref="V61:V67" si="41">IF(T$12=0,0,T61/T$12)</f>
        <v>6.9079391864055976E-3</v>
      </c>
      <c r="W61" s="1"/>
      <c r="X61" s="1">
        <f t="shared" ref="X61:X67" si="42">+P61-T61</f>
        <v>7883.1699999999983</v>
      </c>
      <c r="Y61" s="1"/>
      <c r="Z61" s="5">
        <f t="shared" ref="Z61:Z67" si="43">IF(T61=0,0,X61/T61)</f>
        <v>0.28931187610099818</v>
      </c>
    </row>
    <row r="62" spans="1:26" s="24" customFormat="1" hidden="1" outlineLevel="2" x14ac:dyDescent="0.25">
      <c r="A62" s="25"/>
      <c r="B62" s="11" t="str">
        <f>CONCATENATE("          ", "6381", " - ", "BANK/CREDIT CARD FEES")</f>
        <v xml:space="preserve">          6381 - BANK/CREDIT CARD FEES</v>
      </c>
      <c r="C62" s="11"/>
      <c r="D62" s="7">
        <v>21564.449999999997</v>
      </c>
      <c r="E62" s="2"/>
      <c r="F62" s="6">
        <f t="shared" si="36"/>
        <v>9.927405589115831E-3</v>
      </c>
      <c r="G62" s="2"/>
      <c r="H62" s="7">
        <v>13797</v>
      </c>
      <c r="I62" s="2"/>
      <c r="J62" s="6">
        <f t="shared" si="37"/>
        <v>6.0739091330514958E-3</v>
      </c>
      <c r="K62" s="2"/>
      <c r="L62" s="7">
        <f t="shared" si="38"/>
        <v>7767.4499999999971</v>
      </c>
      <c r="M62" s="2"/>
      <c r="N62" s="6">
        <f t="shared" si="39"/>
        <v>0.56298108284409631</v>
      </c>
      <c r="O62" s="11"/>
      <c r="P62" s="7">
        <v>35131.17</v>
      </c>
      <c r="Q62" s="2"/>
      <c r="R62" s="6">
        <f t="shared" si="40"/>
        <v>9.4560766209010588E-3</v>
      </c>
      <c r="S62" s="2"/>
      <c r="T62" s="7">
        <v>27248</v>
      </c>
      <c r="U62" s="2"/>
      <c r="V62" s="6">
        <f t="shared" si="41"/>
        <v>6.9079391864055976E-3</v>
      </c>
      <c r="W62" s="2"/>
      <c r="X62" s="7">
        <f t="shared" si="42"/>
        <v>7883.1699999999983</v>
      </c>
      <c r="Y62" s="2"/>
      <c r="Z62" s="6">
        <f t="shared" si="43"/>
        <v>0.28931187610099818</v>
      </c>
    </row>
    <row r="63" spans="1:26" s="26" customFormat="1" outlineLevel="1" collapsed="1" x14ac:dyDescent="0.25">
      <c r="A63" s="27"/>
      <c r="B63" s="13" t="str">
        <f>CONCATENATE("     ","Depreciation                                      ")</f>
        <v xml:space="preserve">     Depreciation                                      </v>
      </c>
      <c r="C63" s="13"/>
      <c r="D63" s="1">
        <f>SUM(OSRRefD22_5x_0)</f>
        <v>39571.050000000003</v>
      </c>
      <c r="E63" s="1"/>
      <c r="F63" s="5">
        <f t="shared" si="36"/>
        <v>1.8216920113296751E-2</v>
      </c>
      <c r="G63" s="1"/>
      <c r="H63" s="1">
        <f>SUM(OSRRefH22_5x_0)</f>
        <v>41088</v>
      </c>
      <c r="I63" s="1"/>
      <c r="J63" s="5">
        <f t="shared" si="37"/>
        <v>1.8088336483207932E-2</v>
      </c>
      <c r="K63" s="1"/>
      <c r="L63" s="1">
        <f t="shared" si="38"/>
        <v>-1516.9499999999971</v>
      </c>
      <c r="M63" s="1"/>
      <c r="N63" s="5">
        <f t="shared" si="39"/>
        <v>-3.6919538551401801E-2</v>
      </c>
      <c r="O63" s="13"/>
      <c r="P63" s="1">
        <f>SUM(OSRRefP22_5x_0)</f>
        <v>118713.15</v>
      </c>
      <c r="Q63" s="1"/>
      <c r="R63" s="5">
        <f t="shared" si="40"/>
        <v>3.1953408961572317E-2</v>
      </c>
      <c r="S63" s="1"/>
      <c r="T63" s="1">
        <f>SUM(OSRRefT22_5x_0)</f>
        <v>119462</v>
      </c>
      <c r="U63" s="1"/>
      <c r="V63" s="5">
        <f t="shared" si="41"/>
        <v>3.028612122307639E-2</v>
      </c>
      <c r="W63" s="1"/>
      <c r="X63" s="1">
        <f t="shared" si="42"/>
        <v>-748.85000000000582</v>
      </c>
      <c r="Y63" s="1"/>
      <c r="Z63" s="5">
        <f t="shared" si="43"/>
        <v>-6.2685205337262547E-3</v>
      </c>
    </row>
    <row r="64" spans="1:26" s="24" customFormat="1" hidden="1" outlineLevel="2" x14ac:dyDescent="0.25">
      <c r="A64" s="25"/>
      <c r="B64" s="11" t="str">
        <f>CONCATENATE("          ", "6321", " - ", "BUILDING DEPRECIATION")</f>
        <v xml:space="preserve">          6321 - BUILDING DEPRECIATION</v>
      </c>
      <c r="C64" s="11"/>
      <c r="D64" s="7">
        <v>24042.959999999999</v>
      </c>
      <c r="E64" s="2"/>
      <c r="F64" s="6">
        <f t="shared" si="36"/>
        <v>1.1068411922534004E-2</v>
      </c>
      <c r="G64" s="2"/>
      <c r="H64" s="7">
        <v>23119</v>
      </c>
      <c r="I64" s="2"/>
      <c r="J64" s="6">
        <f t="shared" si="37"/>
        <v>1.0177770910126659E-2</v>
      </c>
      <c r="K64" s="2"/>
      <c r="L64" s="7">
        <f t="shared" si="38"/>
        <v>923.95999999999913</v>
      </c>
      <c r="M64" s="2"/>
      <c r="N64" s="6">
        <f t="shared" si="39"/>
        <v>3.9965396427181069E-2</v>
      </c>
      <c r="O64" s="11"/>
      <c r="P64" s="7">
        <v>72128.88</v>
      </c>
      <c r="Q64" s="2"/>
      <c r="R64" s="6">
        <f t="shared" si="40"/>
        <v>1.9414560228417612E-2</v>
      </c>
      <c r="S64" s="2"/>
      <c r="T64" s="7">
        <v>69357</v>
      </c>
      <c r="U64" s="2"/>
      <c r="V64" s="6">
        <f t="shared" si="41"/>
        <v>1.7583453396635827E-2</v>
      </c>
      <c r="W64" s="2"/>
      <c r="X64" s="7">
        <f t="shared" si="42"/>
        <v>2771.8800000000047</v>
      </c>
      <c r="Y64" s="2"/>
      <c r="Z64" s="6">
        <f t="shared" si="43"/>
        <v>3.9965396427181173E-2</v>
      </c>
    </row>
    <row r="65" spans="1:26" s="24" customFormat="1" hidden="1" outlineLevel="2" x14ac:dyDescent="0.25">
      <c r="A65" s="25"/>
      <c r="B65" s="11" t="str">
        <f>CONCATENATE("          ", "6322", " - ", "EQUIPMENT DEPRECIATION EXPENSE")</f>
        <v xml:space="preserve">          6322 - EQUIPMENT DEPRECIATION EXPENSE</v>
      </c>
      <c r="C65" s="11"/>
      <c r="D65" s="7">
        <v>15103.84</v>
      </c>
      <c r="E65" s="2"/>
      <c r="F65" s="6">
        <f t="shared" si="36"/>
        <v>6.9532005515147051E-3</v>
      </c>
      <c r="G65" s="2"/>
      <c r="H65" s="7">
        <v>15301</v>
      </c>
      <c r="I65" s="2"/>
      <c r="J65" s="6">
        <f t="shared" si="37"/>
        <v>6.7360211382779542E-3</v>
      </c>
      <c r="K65" s="2"/>
      <c r="L65" s="7">
        <f t="shared" si="38"/>
        <v>-197.15999999999985</v>
      </c>
      <c r="M65" s="2"/>
      <c r="N65" s="6">
        <f t="shared" si="39"/>
        <v>-1.2885432324684651E-2</v>
      </c>
      <c r="O65" s="11"/>
      <c r="P65" s="7">
        <v>45311.519999999997</v>
      </c>
      <c r="Q65" s="2"/>
      <c r="R65" s="6">
        <f t="shared" si="40"/>
        <v>1.2196269151567986E-2</v>
      </c>
      <c r="S65" s="2"/>
      <c r="T65" s="7">
        <v>45903</v>
      </c>
      <c r="U65" s="2"/>
      <c r="V65" s="6">
        <f t="shared" si="41"/>
        <v>1.1637372741983858E-2</v>
      </c>
      <c r="W65" s="2"/>
      <c r="X65" s="7">
        <f t="shared" si="42"/>
        <v>-591.4800000000032</v>
      </c>
      <c r="Y65" s="2"/>
      <c r="Z65" s="6">
        <f t="shared" si="43"/>
        <v>-1.2885432324684731E-2</v>
      </c>
    </row>
    <row r="66" spans="1:26" s="24" customFormat="1" hidden="1" outlineLevel="2" x14ac:dyDescent="0.25">
      <c r="A66" s="25"/>
      <c r="B66" s="11" t="str">
        <f>CONCATENATE("          ", "6324", " - ", "FURNITURE + FIXT DEPRECIATION")</f>
        <v xml:space="preserve">          6324 - FURNITURE + FIXT DEPRECIATION</v>
      </c>
      <c r="C66" s="11"/>
      <c r="D66" s="7"/>
      <c r="E66" s="2"/>
      <c r="F66" s="6">
        <f t="shared" si="36"/>
        <v>0</v>
      </c>
      <c r="G66" s="2"/>
      <c r="H66" s="7">
        <v>2244</v>
      </c>
      <c r="I66" s="2"/>
      <c r="J66" s="6">
        <f t="shared" si="37"/>
        <v>9.8788519928734919E-4</v>
      </c>
      <c r="K66" s="2"/>
      <c r="L66" s="7">
        <f t="shared" si="38"/>
        <v>-2244</v>
      </c>
      <c r="M66" s="2"/>
      <c r="N66" s="6">
        <f t="shared" si="39"/>
        <v>-1</v>
      </c>
      <c r="O66" s="11"/>
      <c r="P66" s="7"/>
      <c r="Q66" s="2"/>
      <c r="R66" s="6">
        <f t="shared" si="40"/>
        <v>0</v>
      </c>
      <c r="S66" s="2"/>
      <c r="T66" s="7">
        <v>2930</v>
      </c>
      <c r="U66" s="2"/>
      <c r="V66" s="6">
        <f t="shared" si="41"/>
        <v>7.4281642014710806E-4</v>
      </c>
      <c r="W66" s="2"/>
      <c r="X66" s="7">
        <f t="shared" si="42"/>
        <v>-2930</v>
      </c>
      <c r="Y66" s="2"/>
      <c r="Z66" s="6">
        <f t="shared" si="43"/>
        <v>-1</v>
      </c>
    </row>
    <row r="67" spans="1:26" s="24" customFormat="1" hidden="1" outlineLevel="2" x14ac:dyDescent="0.25">
      <c r="A67" s="25"/>
      <c r="B67" s="11" t="str">
        <f>CONCATENATE("          ", "6326", " - ", "VEHICLES DEPRECIATION EXPENSE")</f>
        <v xml:space="preserve">          6326 - VEHICLES DEPRECIATION EXPENSE</v>
      </c>
      <c r="C67" s="11"/>
      <c r="D67" s="7">
        <v>424.25</v>
      </c>
      <c r="E67" s="2"/>
      <c r="F67" s="6">
        <f t="shared" si="36"/>
        <v>1.9530763924803982E-4</v>
      </c>
      <c r="G67" s="2"/>
      <c r="H67" s="7">
        <v>424</v>
      </c>
      <c r="I67" s="2"/>
      <c r="J67" s="6">
        <f t="shared" si="37"/>
        <v>1.866592355159697E-4</v>
      </c>
      <c r="K67" s="2"/>
      <c r="L67" s="7">
        <f t="shared" si="38"/>
        <v>0.25</v>
      </c>
      <c r="M67" s="2"/>
      <c r="N67" s="6">
        <f t="shared" si="39"/>
        <v>5.8962264150943394E-4</v>
      </c>
      <c r="O67" s="11"/>
      <c r="P67" s="7">
        <v>1272.75</v>
      </c>
      <c r="Q67" s="2"/>
      <c r="R67" s="6">
        <f t="shared" si="40"/>
        <v>3.4257958158671691E-4</v>
      </c>
      <c r="S67" s="2"/>
      <c r="T67" s="7">
        <v>1272</v>
      </c>
      <c r="U67" s="2"/>
      <c r="V67" s="6">
        <f t="shared" si="41"/>
        <v>3.2247866430959779E-4</v>
      </c>
      <c r="W67" s="2"/>
      <c r="X67" s="7">
        <f t="shared" si="42"/>
        <v>0.75</v>
      </c>
      <c r="Y67" s="2"/>
      <c r="Z67" s="6">
        <f t="shared" si="43"/>
        <v>5.8962264150943394E-4</v>
      </c>
    </row>
    <row r="68" spans="1:26" s="26" customFormat="1" outlineLevel="1" collapsed="1" x14ac:dyDescent="0.25">
      <c r="A68" s="27"/>
      <c r="B68" s="13" t="str">
        <f>CONCATENATE("     ","Donations                                         ")</f>
        <v xml:space="preserve">     Donations                                         </v>
      </c>
      <c r="C68" s="13"/>
      <c r="D68" s="1">
        <f>SUM(OSRRefD22_6x_0)</f>
        <v>18816</v>
      </c>
      <c r="E68" s="1"/>
      <c r="F68" s="5">
        <f t="shared" ref="F68:F70" si="44">IF(D$12=0,0,D68/D$12)</f>
        <v>8.6621297350409354E-3</v>
      </c>
      <c r="G68" s="1"/>
      <c r="H68" s="1">
        <f>SUM(OSRRefH22_6x_0)</f>
        <v>17530</v>
      </c>
      <c r="I68" s="1"/>
      <c r="J68" s="5">
        <f t="shared" ref="J68:J70" si="45">IF(H$12=0,0,H68/H$12)</f>
        <v>7.7173028268748799E-3</v>
      </c>
      <c r="K68" s="1"/>
      <c r="L68" s="1">
        <f t="shared" ref="L68:L70" si="46">+D68-H68</f>
        <v>1286</v>
      </c>
      <c r="M68" s="1"/>
      <c r="N68" s="5">
        <f t="shared" ref="N68:N70" si="47">IF(H68=0,0,L68/H68)</f>
        <v>7.3359954363947516E-2</v>
      </c>
      <c r="O68" s="13"/>
      <c r="P68" s="1">
        <f>SUM(OSRRefP22_6x_0)</f>
        <v>26596.75</v>
      </c>
      <c r="Q68" s="1"/>
      <c r="R68" s="5">
        <f t="shared" ref="R68:R70" si="48">IF(P$12=0,0,P68/P$12)</f>
        <v>7.1589106160412598E-3</v>
      </c>
      <c r="S68" s="1"/>
      <c r="T68" s="1">
        <f>SUM(OSRRefT22_6x_0)</f>
        <v>26837</v>
      </c>
      <c r="U68" s="1"/>
      <c r="V68" s="5">
        <f t="shared" ref="V68:V70" si="49">IF(T$12=0,0,T68/T$12)</f>
        <v>6.803742070814996E-3</v>
      </c>
      <c r="W68" s="1"/>
      <c r="X68" s="1">
        <f t="shared" ref="X68:X70" si="50">+P68-T68</f>
        <v>-240.25</v>
      </c>
      <c r="Y68" s="1"/>
      <c r="Z68" s="5">
        <f t="shared" ref="Z68:Z70" si="51">IF(T68=0,0,X68/T68)</f>
        <v>-8.9521928680552972E-3</v>
      </c>
    </row>
    <row r="69" spans="1:26" s="24" customFormat="1" hidden="1" outlineLevel="2" x14ac:dyDescent="0.25">
      <c r="A69" s="25"/>
      <c r="B69" s="11" t="str">
        <f>CONCATENATE("          ", "6396", " - ", "COUPONS-CHARTROOM")</f>
        <v xml:space="preserve">          6396 - COUPONS-CHARTROOM</v>
      </c>
      <c r="C69" s="11"/>
      <c r="D69" s="7"/>
      <c r="E69" s="2"/>
      <c r="F69" s="6">
        <f t="shared" si="44"/>
        <v>0</v>
      </c>
      <c r="G69" s="2"/>
      <c r="H69" s="7">
        <v>100</v>
      </c>
      <c r="I69" s="2"/>
      <c r="J69" s="6">
        <f t="shared" si="45"/>
        <v>4.4023404602823042E-5</v>
      </c>
      <c r="K69" s="2"/>
      <c r="L69" s="7">
        <f t="shared" si="46"/>
        <v>-100</v>
      </c>
      <c r="M69" s="2"/>
      <c r="N69" s="6">
        <f t="shared" si="47"/>
        <v>-1</v>
      </c>
      <c r="O69" s="11"/>
      <c r="P69" s="7"/>
      <c r="Q69" s="2"/>
      <c r="R69" s="6">
        <f t="shared" si="48"/>
        <v>0</v>
      </c>
      <c r="S69" s="2"/>
      <c r="T69" s="7">
        <v>300</v>
      </c>
      <c r="U69" s="2"/>
      <c r="V69" s="6">
        <f t="shared" si="49"/>
        <v>7.6056288752263628E-5</v>
      </c>
      <c r="W69" s="2"/>
      <c r="X69" s="7">
        <f t="shared" si="50"/>
        <v>-300</v>
      </c>
      <c r="Y69" s="2"/>
      <c r="Z69" s="6">
        <f t="shared" si="51"/>
        <v>-1</v>
      </c>
    </row>
    <row r="70" spans="1:26" s="24" customFormat="1" hidden="1" outlineLevel="2" x14ac:dyDescent="0.25">
      <c r="A70" s="25"/>
      <c r="B70" s="11" t="str">
        <f>CONCATENATE("          ", "6399", " - ", "DONATION-ON CAMPUS")</f>
        <v xml:space="preserve">          6399 - DONATION-ON CAMPUS</v>
      </c>
      <c r="C70" s="11"/>
      <c r="D70" s="7">
        <v>18816</v>
      </c>
      <c r="E70" s="2"/>
      <c r="F70" s="6">
        <f t="shared" si="44"/>
        <v>8.6621297350409354E-3</v>
      </c>
      <c r="G70" s="2"/>
      <c r="H70" s="7">
        <v>17430</v>
      </c>
      <c r="I70" s="2"/>
      <c r="J70" s="6">
        <f t="shared" si="45"/>
        <v>7.6732794222720566E-3</v>
      </c>
      <c r="K70" s="2"/>
      <c r="L70" s="7">
        <f t="shared" si="46"/>
        <v>1386</v>
      </c>
      <c r="M70" s="2"/>
      <c r="N70" s="6">
        <f t="shared" si="47"/>
        <v>7.9518072289156624E-2</v>
      </c>
      <c r="O70" s="11"/>
      <c r="P70" s="7">
        <v>26596.75</v>
      </c>
      <c r="Q70" s="2"/>
      <c r="R70" s="6">
        <f t="shared" si="48"/>
        <v>7.1589106160412598E-3</v>
      </c>
      <c r="S70" s="2"/>
      <c r="T70" s="7">
        <v>26537</v>
      </c>
      <c r="U70" s="2"/>
      <c r="V70" s="6">
        <f t="shared" si="49"/>
        <v>6.7276857820627329E-3</v>
      </c>
      <c r="W70" s="2"/>
      <c r="X70" s="7">
        <f t="shared" si="50"/>
        <v>59.75</v>
      </c>
      <c r="Y70" s="2"/>
      <c r="Z70" s="6">
        <f t="shared" si="51"/>
        <v>2.2515732750499301E-3</v>
      </c>
    </row>
    <row r="71" spans="1:26" s="26" customFormat="1" outlineLevel="1" collapsed="1" x14ac:dyDescent="0.25">
      <c r="A71" s="27"/>
      <c r="B71" s="13" t="str">
        <f>CONCATENATE("     ","Employees' Appreciation                           ")</f>
        <v xml:space="preserve">     Employees' Appreciation                           </v>
      </c>
      <c r="C71" s="13"/>
      <c r="D71" s="1">
        <f>SUM(OSRRefD22_7x_0)</f>
        <v>755.08</v>
      </c>
      <c r="E71" s="1"/>
      <c r="F71" s="5">
        <f t="shared" ref="F71:F79" si="52">IF(D$12=0,0,D71/D$12)</f>
        <v>3.4760846727969336E-4</v>
      </c>
      <c r="G71" s="1"/>
      <c r="H71" s="1">
        <f>SUM(OSRRefH22_7x_0)</f>
        <v>820</v>
      </c>
      <c r="I71" s="1"/>
      <c r="J71" s="5">
        <f t="shared" ref="J71:J79" si="53">IF(H$12=0,0,H71/H$12)</f>
        <v>3.6099191774314896E-4</v>
      </c>
      <c r="K71" s="1"/>
      <c r="L71" s="1">
        <f t="shared" ref="L71:L79" si="54">+D71-H71</f>
        <v>-64.919999999999959</v>
      </c>
      <c r="M71" s="1"/>
      <c r="N71" s="5">
        <f t="shared" ref="N71:N79" si="55">IF(H71=0,0,L71/H71)</f>
        <v>-7.9170731707317019E-2</v>
      </c>
      <c r="O71" s="13"/>
      <c r="P71" s="1">
        <f>SUM(OSRRefP22_7x_0)</f>
        <v>1267.8599999999999</v>
      </c>
      <c r="Q71" s="1"/>
      <c r="R71" s="5">
        <f t="shared" ref="R71:R79" si="56">IF(P$12=0,0,P71/P$12)</f>
        <v>3.4126336539818102E-4</v>
      </c>
      <c r="S71" s="1"/>
      <c r="T71" s="1">
        <f>SUM(OSRRefT22_7x_0)</f>
        <v>2735</v>
      </c>
      <c r="U71" s="1"/>
      <c r="V71" s="5">
        <f t="shared" ref="V71:V79" si="57">IF(T$12=0,0,T71/T$12)</f>
        <v>6.9337983245813676E-4</v>
      </c>
      <c r="W71" s="1"/>
      <c r="X71" s="1">
        <f t="shared" ref="X71:X79" si="58">+P71-T71</f>
        <v>-1467.14</v>
      </c>
      <c r="Y71" s="1"/>
      <c r="Z71" s="5">
        <f t="shared" ref="Z71:Z79" si="59">IF(T71=0,0,X71/T71)</f>
        <v>-0.53643144424131628</v>
      </c>
    </row>
    <row r="72" spans="1:26" s="24" customFormat="1" hidden="1" outlineLevel="2" x14ac:dyDescent="0.25">
      <c r="A72" s="25"/>
      <c r="B72" s="11" t="str">
        <f>CONCATENATE("          ", "6277", " - ", "EMPLOYEE APPRECIATION")</f>
        <v xml:space="preserve">          6277 - EMPLOYEE APPRECIATION</v>
      </c>
      <c r="C72" s="11"/>
      <c r="D72" s="7">
        <v>755.08</v>
      </c>
      <c r="E72" s="2"/>
      <c r="F72" s="6">
        <f t="shared" si="52"/>
        <v>3.4760846727969336E-4</v>
      </c>
      <c r="G72" s="2"/>
      <c r="H72" s="7">
        <v>820</v>
      </c>
      <c r="I72" s="2"/>
      <c r="J72" s="6">
        <f t="shared" si="53"/>
        <v>3.6099191774314896E-4</v>
      </c>
      <c r="K72" s="2"/>
      <c r="L72" s="7">
        <f t="shared" si="54"/>
        <v>-64.919999999999959</v>
      </c>
      <c r="M72" s="2"/>
      <c r="N72" s="6">
        <f t="shared" si="55"/>
        <v>-7.9170731707317019E-2</v>
      </c>
      <c r="O72" s="11"/>
      <c r="P72" s="7">
        <v>1267.8599999999999</v>
      </c>
      <c r="Q72" s="2"/>
      <c r="R72" s="6">
        <f t="shared" si="56"/>
        <v>3.4126336539818102E-4</v>
      </c>
      <c r="S72" s="2"/>
      <c r="T72" s="7">
        <v>2735</v>
      </c>
      <c r="U72" s="2"/>
      <c r="V72" s="6">
        <f t="shared" si="57"/>
        <v>6.9337983245813676E-4</v>
      </c>
      <c r="W72" s="2"/>
      <c r="X72" s="7">
        <f t="shared" si="58"/>
        <v>-1467.14</v>
      </c>
      <c r="Y72" s="2"/>
      <c r="Z72" s="6">
        <f t="shared" si="59"/>
        <v>-0.53643144424131628</v>
      </c>
    </row>
    <row r="73" spans="1:26" s="26" customFormat="1" outlineLevel="1" collapsed="1" x14ac:dyDescent="0.25">
      <c r="A73" s="27"/>
      <c r="B73" s="13" t="str">
        <f>CONCATENATE("     ","Equipment Rental                                  ")</f>
        <v xml:space="preserve">     Equipment Rental                                  </v>
      </c>
      <c r="C73" s="13"/>
      <c r="D73" s="1">
        <f>SUM(OSRRefD22_8x_0)</f>
        <v>747.36</v>
      </c>
      <c r="E73" s="1"/>
      <c r="F73" s="5">
        <f t="shared" si="52"/>
        <v>3.4405448973109026E-4</v>
      </c>
      <c r="G73" s="1"/>
      <c r="H73" s="1">
        <f>SUM(OSRRefH22_8x_0)</f>
        <v>2470</v>
      </c>
      <c r="I73" s="1"/>
      <c r="J73" s="5">
        <f t="shared" si="53"/>
        <v>1.0873780936897291E-3</v>
      </c>
      <c r="K73" s="1"/>
      <c r="L73" s="1">
        <f t="shared" si="54"/>
        <v>-1722.6399999999999</v>
      </c>
      <c r="M73" s="1"/>
      <c r="N73" s="5">
        <f t="shared" si="55"/>
        <v>-0.69742510121457479</v>
      </c>
      <c r="O73" s="13"/>
      <c r="P73" s="1">
        <f>SUM(OSRRefP22_8x_0)</f>
        <v>7614.03</v>
      </c>
      <c r="Q73" s="1"/>
      <c r="R73" s="5">
        <f t="shared" si="56"/>
        <v>2.04942935500979E-3</v>
      </c>
      <c r="S73" s="1"/>
      <c r="T73" s="1">
        <f>SUM(OSRRefT22_8x_0)</f>
        <v>6905</v>
      </c>
      <c r="U73" s="1"/>
      <c r="V73" s="5">
        <f t="shared" si="57"/>
        <v>1.7505622461146011E-3</v>
      </c>
      <c r="W73" s="1"/>
      <c r="X73" s="1">
        <f t="shared" si="58"/>
        <v>709.02999999999975</v>
      </c>
      <c r="Y73" s="1"/>
      <c r="Z73" s="5">
        <f t="shared" si="59"/>
        <v>0.10268356263577115</v>
      </c>
    </row>
    <row r="74" spans="1:26" s="24" customFormat="1" hidden="1" outlineLevel="2" x14ac:dyDescent="0.25">
      <c r="A74" s="25"/>
      <c r="B74" s="11" t="str">
        <f>CONCATENATE("          ", "6351", " - ", "EQUIPMENT RENTAL")</f>
        <v xml:space="preserve">          6351 - EQUIPMENT RENTAL</v>
      </c>
      <c r="C74" s="11"/>
      <c r="D74" s="7">
        <v>747.36</v>
      </c>
      <c r="E74" s="2"/>
      <c r="F74" s="6">
        <f t="shared" si="52"/>
        <v>3.4405448973109026E-4</v>
      </c>
      <c r="G74" s="2"/>
      <c r="H74" s="7">
        <v>2470</v>
      </c>
      <c r="I74" s="2"/>
      <c r="J74" s="6">
        <f t="shared" si="53"/>
        <v>1.0873780936897291E-3</v>
      </c>
      <c r="K74" s="2"/>
      <c r="L74" s="7">
        <f t="shared" si="54"/>
        <v>-1722.6399999999999</v>
      </c>
      <c r="M74" s="2"/>
      <c r="N74" s="6">
        <f t="shared" si="55"/>
        <v>-0.69742510121457479</v>
      </c>
      <c r="O74" s="11"/>
      <c r="P74" s="7">
        <v>7614.03</v>
      </c>
      <c r="Q74" s="2"/>
      <c r="R74" s="6">
        <f t="shared" si="56"/>
        <v>2.04942935500979E-3</v>
      </c>
      <c r="S74" s="2"/>
      <c r="T74" s="7">
        <v>6905</v>
      </c>
      <c r="U74" s="2"/>
      <c r="V74" s="6">
        <f t="shared" si="57"/>
        <v>1.7505622461146011E-3</v>
      </c>
      <c r="W74" s="2"/>
      <c r="X74" s="7">
        <f t="shared" si="58"/>
        <v>709.02999999999975</v>
      </c>
      <c r="Y74" s="2"/>
      <c r="Z74" s="6">
        <f t="shared" si="59"/>
        <v>0.10268356263577115</v>
      </c>
    </row>
    <row r="75" spans="1:26" s="26" customFormat="1" outlineLevel="1" collapsed="1" x14ac:dyDescent="0.25">
      <c r="A75" s="27"/>
      <c r="B75" s="13" t="str">
        <f>CONCATENATE("     ","Freight out/Postage                               ")</f>
        <v xml:space="preserve">     Freight out/Postage                               </v>
      </c>
      <c r="C75" s="13"/>
      <c r="D75" s="1">
        <f>SUM(OSRRefD22_9x_0)</f>
        <v>0</v>
      </c>
      <c r="E75" s="1"/>
      <c r="F75" s="5">
        <f t="shared" si="52"/>
        <v>0</v>
      </c>
      <c r="G75" s="1"/>
      <c r="H75" s="1">
        <f>SUM(OSRRefH22_9x_0)</f>
        <v>1</v>
      </c>
      <c r="I75" s="1"/>
      <c r="J75" s="5">
        <f t="shared" si="53"/>
        <v>4.4023404602823047E-7</v>
      </c>
      <c r="K75" s="1"/>
      <c r="L75" s="1">
        <f t="shared" si="54"/>
        <v>-1</v>
      </c>
      <c r="M75" s="1"/>
      <c r="N75" s="5">
        <f t="shared" si="55"/>
        <v>-1</v>
      </c>
      <c r="O75" s="13"/>
      <c r="P75" s="1">
        <f>SUM(OSRRefP22_9x_0)</f>
        <v>0</v>
      </c>
      <c r="Q75" s="1"/>
      <c r="R75" s="5">
        <f t="shared" si="56"/>
        <v>0</v>
      </c>
      <c r="S75" s="1"/>
      <c r="T75" s="1">
        <f>SUM(OSRRefT22_9x_0)</f>
        <v>3</v>
      </c>
      <c r="U75" s="1"/>
      <c r="V75" s="5">
        <f t="shared" si="57"/>
        <v>7.6056288752263629E-7</v>
      </c>
      <c r="W75" s="1"/>
      <c r="X75" s="1">
        <f t="shared" si="58"/>
        <v>-3</v>
      </c>
      <c r="Y75" s="1"/>
      <c r="Z75" s="5">
        <f t="shared" si="59"/>
        <v>-1</v>
      </c>
    </row>
    <row r="76" spans="1:26" s="24" customFormat="1" hidden="1" outlineLevel="2" x14ac:dyDescent="0.25">
      <c r="A76" s="25"/>
      <c r="B76" s="11" t="str">
        <f>CONCATENATE("          ", "6307", " - ", "POSTAGE")</f>
        <v xml:space="preserve">          6307 - POSTAGE</v>
      </c>
      <c r="C76" s="11"/>
      <c r="D76" s="7"/>
      <c r="E76" s="2"/>
      <c r="F76" s="6">
        <f t="shared" si="52"/>
        <v>0</v>
      </c>
      <c r="G76" s="2"/>
      <c r="H76" s="7">
        <v>1</v>
      </c>
      <c r="I76" s="2"/>
      <c r="J76" s="6">
        <f t="shared" si="53"/>
        <v>4.4023404602823047E-7</v>
      </c>
      <c r="K76" s="2"/>
      <c r="L76" s="7">
        <f t="shared" si="54"/>
        <v>-1</v>
      </c>
      <c r="M76" s="2"/>
      <c r="N76" s="6">
        <f t="shared" si="55"/>
        <v>-1</v>
      </c>
      <c r="O76" s="11"/>
      <c r="P76" s="7"/>
      <c r="Q76" s="2"/>
      <c r="R76" s="6">
        <f t="shared" si="56"/>
        <v>0</v>
      </c>
      <c r="S76" s="2"/>
      <c r="T76" s="7">
        <v>3</v>
      </c>
      <c r="U76" s="2"/>
      <c r="V76" s="6">
        <f t="shared" si="57"/>
        <v>7.6056288752263629E-7</v>
      </c>
      <c r="W76" s="2"/>
      <c r="X76" s="7">
        <f t="shared" si="58"/>
        <v>-3</v>
      </c>
      <c r="Y76" s="2"/>
      <c r="Z76" s="6">
        <f t="shared" si="59"/>
        <v>-1</v>
      </c>
    </row>
    <row r="77" spans="1:26" s="26" customFormat="1" outlineLevel="1" collapsed="1" x14ac:dyDescent="0.25">
      <c r="A77" s="27"/>
      <c r="B77" s="13" t="str">
        <f>CONCATENATE("     ","General                                           ")</f>
        <v xml:space="preserve">     General                                           </v>
      </c>
      <c r="C77" s="13"/>
      <c r="D77" s="1">
        <f>SUM(OSRRefD22_10x_0)</f>
        <v>7536.15</v>
      </c>
      <c r="E77" s="1"/>
      <c r="F77" s="5">
        <f t="shared" si="52"/>
        <v>3.469340401930737E-3</v>
      </c>
      <c r="G77" s="1"/>
      <c r="H77" s="1">
        <f>SUM(OSRRefH22_10x_0)</f>
        <v>4450</v>
      </c>
      <c r="I77" s="1"/>
      <c r="J77" s="5">
        <f t="shared" si="53"/>
        <v>1.9590415048256257E-3</v>
      </c>
      <c r="K77" s="1"/>
      <c r="L77" s="1">
        <f t="shared" si="54"/>
        <v>3086.1499999999996</v>
      </c>
      <c r="M77" s="1"/>
      <c r="N77" s="5">
        <f t="shared" si="55"/>
        <v>0.69351685393258422</v>
      </c>
      <c r="O77" s="13"/>
      <c r="P77" s="1">
        <f>SUM(OSRRefP22_10x_0)</f>
        <v>35712.990000000005</v>
      </c>
      <c r="Q77" s="1"/>
      <c r="R77" s="5">
        <f t="shared" si="56"/>
        <v>9.6126821224990049E-3</v>
      </c>
      <c r="S77" s="1"/>
      <c r="T77" s="1">
        <f>SUM(OSRRefT22_10x_0)</f>
        <v>25624</v>
      </c>
      <c r="U77" s="1"/>
      <c r="V77" s="5">
        <f t="shared" si="57"/>
        <v>6.4962211432933441E-3</v>
      </c>
      <c r="W77" s="1"/>
      <c r="X77" s="1">
        <f t="shared" si="58"/>
        <v>10088.990000000005</v>
      </c>
      <c r="Y77" s="1"/>
      <c r="Z77" s="5">
        <f t="shared" si="59"/>
        <v>0.39373204807992529</v>
      </c>
    </row>
    <row r="78" spans="1:26" s="24" customFormat="1" hidden="1" outlineLevel="2" x14ac:dyDescent="0.25">
      <c r="A78" s="25"/>
      <c r="B78" s="11" t="str">
        <f>CONCATENATE("          ", "6269", " - ", "ENTERTAINMENT")</f>
        <v xml:space="preserve">          6269 - ENTERTAINMENT</v>
      </c>
      <c r="C78" s="11"/>
      <c r="D78" s="7">
        <v>1050</v>
      </c>
      <c r="E78" s="2"/>
      <c r="F78" s="6">
        <f t="shared" si="52"/>
        <v>4.8337777539290939E-4</v>
      </c>
      <c r="G78" s="2"/>
      <c r="H78" s="7">
        <v>900</v>
      </c>
      <c r="I78" s="2"/>
      <c r="J78" s="6">
        <f t="shared" si="53"/>
        <v>3.9621064142540739E-4</v>
      </c>
      <c r="K78" s="2"/>
      <c r="L78" s="7">
        <f t="shared" si="54"/>
        <v>150</v>
      </c>
      <c r="M78" s="2"/>
      <c r="N78" s="6">
        <f t="shared" si="55"/>
        <v>0.16666666666666666</v>
      </c>
      <c r="O78" s="11"/>
      <c r="P78" s="7">
        <v>3650</v>
      </c>
      <c r="Q78" s="2"/>
      <c r="R78" s="6">
        <f t="shared" si="56"/>
        <v>9.8245175626911554E-4</v>
      </c>
      <c r="S78" s="2"/>
      <c r="T78" s="7">
        <v>2400</v>
      </c>
      <c r="U78" s="2"/>
      <c r="V78" s="6">
        <f t="shared" si="57"/>
        <v>6.0845031001810902E-4</v>
      </c>
      <c r="W78" s="2"/>
      <c r="X78" s="7">
        <f t="shared" si="58"/>
        <v>1250</v>
      </c>
      <c r="Y78" s="2"/>
      <c r="Z78" s="6">
        <f t="shared" si="59"/>
        <v>0.52083333333333337</v>
      </c>
    </row>
    <row r="79" spans="1:26" s="24" customFormat="1" hidden="1" outlineLevel="2" x14ac:dyDescent="0.25">
      <c r="A79" s="25"/>
      <c r="B79" s="11" t="str">
        <f>CONCATENATE("          ", "6279", " - ", "GENERAL EXPENSE")</f>
        <v xml:space="preserve">          6279 - GENERAL EXPENSE</v>
      </c>
      <c r="C79" s="11"/>
      <c r="D79" s="7">
        <v>6486.15</v>
      </c>
      <c r="E79" s="2"/>
      <c r="F79" s="6">
        <f t="shared" si="52"/>
        <v>2.9859626265378277E-3</v>
      </c>
      <c r="G79" s="2"/>
      <c r="H79" s="7">
        <v>3550</v>
      </c>
      <c r="I79" s="2"/>
      <c r="J79" s="6">
        <f t="shared" si="53"/>
        <v>1.5628308634002182E-3</v>
      </c>
      <c r="K79" s="2"/>
      <c r="L79" s="7">
        <f t="shared" si="54"/>
        <v>2936.1499999999996</v>
      </c>
      <c r="M79" s="2"/>
      <c r="N79" s="6">
        <f t="shared" si="55"/>
        <v>0.82708450704225345</v>
      </c>
      <c r="O79" s="11"/>
      <c r="P79" s="7">
        <v>32062.99</v>
      </c>
      <c r="Q79" s="2"/>
      <c r="R79" s="6">
        <f t="shared" si="56"/>
        <v>8.6302303662298876E-3</v>
      </c>
      <c r="S79" s="2"/>
      <c r="T79" s="7">
        <v>23224</v>
      </c>
      <c r="U79" s="2"/>
      <c r="V79" s="6">
        <f t="shared" si="57"/>
        <v>5.8877708332752349E-3</v>
      </c>
      <c r="W79" s="2"/>
      <c r="X79" s="7">
        <f t="shared" si="58"/>
        <v>8838.9900000000016</v>
      </c>
      <c r="Y79" s="2"/>
      <c r="Z79" s="6">
        <f t="shared" si="59"/>
        <v>0.38059722700654502</v>
      </c>
    </row>
    <row r="80" spans="1:26" s="26" customFormat="1" outlineLevel="1" collapsed="1" x14ac:dyDescent="0.25">
      <c r="A80" s="27"/>
      <c r="B80" s="13" t="str">
        <f>CONCATENATE("     ","Insurance                                         ")</f>
        <v xml:space="preserve">     Insurance                                         </v>
      </c>
      <c r="C80" s="13"/>
      <c r="D80" s="1">
        <f>SUM(OSRRefD22_11x_0)</f>
        <v>4246.03</v>
      </c>
      <c r="E80" s="1"/>
      <c r="F80" s="5">
        <f t="shared" ref="F80:F94" si="60">IF(D$12=0,0,D80/D$12)</f>
        <v>1.9547014625252903E-3</v>
      </c>
      <c r="G80" s="1"/>
      <c r="H80" s="1">
        <f>SUM(OSRRefH22_11x_0)</f>
        <v>4009</v>
      </c>
      <c r="I80" s="1"/>
      <c r="J80" s="5">
        <f t="shared" ref="J80:J94" si="61">IF(H$12=0,0,H80/H$12)</f>
        <v>1.7648982905271759E-3</v>
      </c>
      <c r="K80" s="1"/>
      <c r="L80" s="1">
        <f t="shared" ref="L80:L94" si="62">+D80-H80</f>
        <v>237.02999999999975</v>
      </c>
      <c r="M80" s="1"/>
      <c r="N80" s="5">
        <f t="shared" ref="N80:N94" si="63">IF(H80=0,0,L80/H80)</f>
        <v>5.9124469942629022E-2</v>
      </c>
      <c r="O80" s="13"/>
      <c r="P80" s="1">
        <f>SUM(OSRRefP22_11x_0)</f>
        <v>12738.09</v>
      </c>
      <c r="Q80" s="1"/>
      <c r="R80" s="5">
        <f t="shared" ref="R80:R94" si="64">IF(P$12=0,0,P80/P$12)</f>
        <v>3.4286462717846734E-3</v>
      </c>
      <c r="S80" s="1"/>
      <c r="T80" s="1">
        <f>SUM(OSRRefT22_11x_0)</f>
        <v>12027</v>
      </c>
      <c r="U80" s="1"/>
      <c r="V80" s="5">
        <f t="shared" ref="V80:V94" si="65">IF(T$12=0,0,T80/T$12)</f>
        <v>3.0490966160782486E-3</v>
      </c>
      <c r="W80" s="1"/>
      <c r="X80" s="1">
        <f t="shared" ref="X80:X94" si="66">+P80-T80</f>
        <v>711.09000000000015</v>
      </c>
      <c r="Y80" s="1"/>
      <c r="Z80" s="5">
        <f t="shared" ref="Z80:Z94" si="67">IF(T80=0,0,X80/T80)</f>
        <v>5.9124469942629099E-2</v>
      </c>
    </row>
    <row r="81" spans="1:26" s="24" customFormat="1" hidden="1" outlineLevel="2" x14ac:dyDescent="0.25">
      <c r="A81" s="25"/>
      <c r="B81" s="11" t="str">
        <f>CONCATENATE("          ", "6314", " - ", "LIABILITY INSURANCE")</f>
        <v xml:space="preserve">          6314 - LIABILITY INSURANCE</v>
      </c>
      <c r="C81" s="11"/>
      <c r="D81" s="7">
        <v>4246.03</v>
      </c>
      <c r="E81" s="2"/>
      <c r="F81" s="6">
        <f t="shared" si="60"/>
        <v>1.9547014625252903E-3</v>
      </c>
      <c r="G81" s="2"/>
      <c r="H81" s="7">
        <v>4009</v>
      </c>
      <c r="I81" s="2"/>
      <c r="J81" s="6">
        <f t="shared" si="61"/>
        <v>1.7648982905271759E-3</v>
      </c>
      <c r="K81" s="2"/>
      <c r="L81" s="7">
        <f t="shared" si="62"/>
        <v>237.02999999999975</v>
      </c>
      <c r="M81" s="2"/>
      <c r="N81" s="6">
        <f t="shared" si="63"/>
        <v>5.9124469942629022E-2</v>
      </c>
      <c r="O81" s="11"/>
      <c r="P81" s="7">
        <v>12738.09</v>
      </c>
      <c r="Q81" s="2"/>
      <c r="R81" s="6">
        <f t="shared" si="64"/>
        <v>3.4286462717846734E-3</v>
      </c>
      <c r="S81" s="2"/>
      <c r="T81" s="7">
        <v>12027</v>
      </c>
      <c r="U81" s="2"/>
      <c r="V81" s="6">
        <f t="shared" si="65"/>
        <v>3.0490966160782486E-3</v>
      </c>
      <c r="W81" s="2"/>
      <c r="X81" s="7">
        <f t="shared" si="66"/>
        <v>711.09000000000015</v>
      </c>
      <c r="Y81" s="2"/>
      <c r="Z81" s="6">
        <f t="shared" si="67"/>
        <v>5.9124469942629099E-2</v>
      </c>
    </row>
    <row r="82" spans="1:26" s="26" customFormat="1" outlineLevel="1" collapsed="1" x14ac:dyDescent="0.25">
      <c r="A82" s="27"/>
      <c r="B82" s="13" t="str">
        <f>CONCATENATE("     ","Interest                                          ")</f>
        <v xml:space="preserve">     Interest                                          </v>
      </c>
      <c r="C82" s="13"/>
      <c r="D82" s="1">
        <f>SUM(OSRRefD22_12x_0)</f>
        <v>7630</v>
      </c>
      <c r="E82" s="1"/>
      <c r="F82" s="5">
        <f t="shared" si="60"/>
        <v>3.5125451678551414E-3</v>
      </c>
      <c r="G82" s="1"/>
      <c r="H82" s="1">
        <f>SUM(OSRRefH22_12x_0)</f>
        <v>7754</v>
      </c>
      <c r="I82" s="1"/>
      <c r="J82" s="5">
        <f t="shared" si="61"/>
        <v>3.4135747929028991E-3</v>
      </c>
      <c r="K82" s="1"/>
      <c r="L82" s="1">
        <f t="shared" si="62"/>
        <v>-124</v>
      </c>
      <c r="M82" s="1"/>
      <c r="N82" s="5">
        <f t="shared" si="63"/>
        <v>-1.5991746195511993E-2</v>
      </c>
      <c r="O82" s="13"/>
      <c r="P82" s="1">
        <f>SUM(OSRRefP22_12x_0)</f>
        <v>22890</v>
      </c>
      <c r="Q82" s="1"/>
      <c r="R82" s="5">
        <f t="shared" si="64"/>
        <v>6.1611837536986449E-3</v>
      </c>
      <c r="S82" s="1"/>
      <c r="T82" s="1">
        <f>SUM(OSRRefT22_12x_0)</f>
        <v>23262</v>
      </c>
      <c r="U82" s="1"/>
      <c r="V82" s="5">
        <f t="shared" si="65"/>
        <v>5.8974046298505218E-3</v>
      </c>
      <c r="W82" s="1"/>
      <c r="X82" s="1">
        <f t="shared" si="66"/>
        <v>-372</v>
      </c>
      <c r="Y82" s="1"/>
      <c r="Z82" s="5">
        <f t="shared" si="67"/>
        <v>-1.5991746195511993E-2</v>
      </c>
    </row>
    <row r="83" spans="1:26" s="24" customFormat="1" hidden="1" outlineLevel="2" x14ac:dyDescent="0.25">
      <c r="A83" s="25"/>
      <c r="B83" s="11" t="str">
        <f>CONCATENATE("          ", "6401", " - ", "INTEREST EXPENSE")</f>
        <v xml:space="preserve">          6401 - INTEREST EXPENSE</v>
      </c>
      <c r="C83" s="11"/>
      <c r="D83" s="7">
        <v>7630</v>
      </c>
      <c r="E83" s="2"/>
      <c r="F83" s="6">
        <f t="shared" si="60"/>
        <v>3.5125451678551414E-3</v>
      </c>
      <c r="G83" s="2"/>
      <c r="H83" s="7">
        <v>7754</v>
      </c>
      <c r="I83" s="2"/>
      <c r="J83" s="6">
        <f t="shared" si="61"/>
        <v>3.4135747929028991E-3</v>
      </c>
      <c r="K83" s="2"/>
      <c r="L83" s="7">
        <f t="shared" si="62"/>
        <v>-124</v>
      </c>
      <c r="M83" s="2"/>
      <c r="N83" s="6">
        <f t="shared" si="63"/>
        <v>-1.5991746195511993E-2</v>
      </c>
      <c r="O83" s="11"/>
      <c r="P83" s="7">
        <v>22890</v>
      </c>
      <c r="Q83" s="2"/>
      <c r="R83" s="6">
        <f t="shared" si="64"/>
        <v>6.1611837536986449E-3</v>
      </c>
      <c r="S83" s="2"/>
      <c r="T83" s="7">
        <v>23262</v>
      </c>
      <c r="U83" s="2"/>
      <c r="V83" s="6">
        <f t="shared" si="65"/>
        <v>5.8974046298505218E-3</v>
      </c>
      <c r="W83" s="2"/>
      <c r="X83" s="7">
        <f t="shared" si="66"/>
        <v>-372</v>
      </c>
      <c r="Y83" s="2"/>
      <c r="Z83" s="6">
        <f t="shared" si="67"/>
        <v>-1.5991746195511993E-2</v>
      </c>
    </row>
    <row r="84" spans="1:26" s="26" customFormat="1" outlineLevel="1" collapsed="1" x14ac:dyDescent="0.25">
      <c r="A84" s="27"/>
      <c r="B84" s="13" t="str">
        <f>CONCATENATE("     ","Professional Services                             ")</f>
        <v xml:space="preserve">     Professional Services                             </v>
      </c>
      <c r="C84" s="13"/>
      <c r="D84" s="1">
        <f>SUM(OSRRefD22_13x_0)</f>
        <v>0</v>
      </c>
      <c r="E84" s="1"/>
      <c r="F84" s="5">
        <f t="shared" si="60"/>
        <v>0</v>
      </c>
      <c r="G84" s="1"/>
      <c r="H84" s="1">
        <f>SUM(OSRRefH22_13x_0)</f>
        <v>0</v>
      </c>
      <c r="I84" s="1"/>
      <c r="J84" s="5">
        <f t="shared" si="61"/>
        <v>0</v>
      </c>
      <c r="K84" s="1"/>
      <c r="L84" s="1">
        <f t="shared" si="62"/>
        <v>0</v>
      </c>
      <c r="M84" s="1"/>
      <c r="N84" s="5">
        <f t="shared" si="63"/>
        <v>0</v>
      </c>
      <c r="O84" s="13"/>
      <c r="P84" s="1">
        <f>SUM(OSRRefP22_13x_0)</f>
        <v>125</v>
      </c>
      <c r="Q84" s="1"/>
      <c r="R84" s="5">
        <f t="shared" si="64"/>
        <v>3.3645608091408066E-5</v>
      </c>
      <c r="S84" s="1"/>
      <c r="T84" s="1">
        <f>SUM(OSRRefT22_13x_0)</f>
        <v>0</v>
      </c>
      <c r="U84" s="1"/>
      <c r="V84" s="5">
        <f t="shared" si="65"/>
        <v>0</v>
      </c>
      <c r="W84" s="1"/>
      <c r="X84" s="1">
        <f t="shared" si="66"/>
        <v>125</v>
      </c>
      <c r="Y84" s="1"/>
      <c r="Z84" s="5">
        <f t="shared" si="67"/>
        <v>0</v>
      </c>
    </row>
    <row r="85" spans="1:26" s="24" customFormat="1" hidden="1" outlineLevel="2" x14ac:dyDescent="0.25">
      <c r="A85" s="25"/>
      <c r="B85" s="11" t="str">
        <f>CONCATENATE("          ", "6336", " - ", "PROFESSIONAL SERVICES")</f>
        <v xml:space="preserve">          6336 - PROFESSIONAL SERVICES</v>
      </c>
      <c r="C85" s="11"/>
      <c r="D85" s="7"/>
      <c r="E85" s="2"/>
      <c r="F85" s="6">
        <f t="shared" si="60"/>
        <v>0</v>
      </c>
      <c r="G85" s="2"/>
      <c r="H85" s="7"/>
      <c r="I85" s="2"/>
      <c r="J85" s="6">
        <f t="shared" si="61"/>
        <v>0</v>
      </c>
      <c r="K85" s="2"/>
      <c r="L85" s="7">
        <f t="shared" si="62"/>
        <v>0</v>
      </c>
      <c r="M85" s="2"/>
      <c r="N85" s="6">
        <f t="shared" si="63"/>
        <v>0</v>
      </c>
      <c r="O85" s="11"/>
      <c r="P85" s="7">
        <v>125</v>
      </c>
      <c r="Q85" s="2"/>
      <c r="R85" s="6">
        <f t="shared" si="64"/>
        <v>3.3645608091408066E-5</v>
      </c>
      <c r="S85" s="2"/>
      <c r="T85" s="7"/>
      <c r="U85" s="2"/>
      <c r="V85" s="6">
        <f t="shared" si="65"/>
        <v>0</v>
      </c>
      <c r="W85" s="2"/>
      <c r="X85" s="7">
        <f t="shared" si="66"/>
        <v>125</v>
      </c>
      <c r="Y85" s="2"/>
      <c r="Z85" s="6">
        <f t="shared" si="67"/>
        <v>0</v>
      </c>
    </row>
    <row r="86" spans="1:26" s="26" customFormat="1" outlineLevel="1" collapsed="1" x14ac:dyDescent="0.25">
      <c r="A86" s="27"/>
      <c r="B86" s="13" t="str">
        <f>CONCATENATE("     ","R/H Commissions                                   ")</f>
        <v xml:space="preserve">     R/H Commissions                                   </v>
      </c>
      <c r="C86" s="13"/>
      <c r="D86" s="1">
        <f>SUM(OSRRefD22_14x_0)</f>
        <v>115888.45000000001</v>
      </c>
      <c r="E86" s="1"/>
      <c r="F86" s="5">
        <f t="shared" si="60"/>
        <v>5.3350382052126111E-2</v>
      </c>
      <c r="G86" s="1"/>
      <c r="H86" s="1">
        <f>SUM(OSRRefH22_14x_0)</f>
        <v>119869</v>
      </c>
      <c r="I86" s="1"/>
      <c r="J86" s="5">
        <f t="shared" si="61"/>
        <v>5.2770414863357956E-2</v>
      </c>
      <c r="K86" s="1"/>
      <c r="L86" s="1">
        <f t="shared" si="62"/>
        <v>-3980.5499999999884</v>
      </c>
      <c r="M86" s="1"/>
      <c r="N86" s="5">
        <f t="shared" si="63"/>
        <v>-3.320750152249529E-2</v>
      </c>
      <c r="O86" s="13"/>
      <c r="P86" s="1">
        <f>SUM(OSRRefP22_14x_0)</f>
        <v>187921.28</v>
      </c>
      <c r="Q86" s="1"/>
      <c r="R86" s="5">
        <f t="shared" si="64"/>
        <v>5.0581805911326085E-2</v>
      </c>
      <c r="S86" s="1"/>
      <c r="T86" s="1">
        <f>SUM(OSRRefT22_14x_0)</f>
        <v>197593</v>
      </c>
      <c r="U86" s="1"/>
      <c r="V86" s="5">
        <f t="shared" si="65"/>
        <v>5.0093967544753419E-2</v>
      </c>
      <c r="W86" s="1"/>
      <c r="X86" s="1">
        <f t="shared" si="66"/>
        <v>-9671.7200000000012</v>
      </c>
      <c r="Y86" s="1"/>
      <c r="Z86" s="5">
        <f t="shared" si="67"/>
        <v>-4.8947685393713344E-2</v>
      </c>
    </row>
    <row r="87" spans="1:26" s="24" customFormat="1" hidden="1" outlineLevel="2" x14ac:dyDescent="0.25">
      <c r="A87" s="25"/>
      <c r="B87" s="11" t="str">
        <f>CONCATENATE("          ", "6387", " - ", "COMMISSION DUE HOUSING")</f>
        <v xml:space="preserve">          6387 - COMMISSION DUE HOUSING</v>
      </c>
      <c r="C87" s="11"/>
      <c r="D87" s="7">
        <v>115888.45000000001</v>
      </c>
      <c r="E87" s="2"/>
      <c r="F87" s="6">
        <f t="shared" si="60"/>
        <v>5.3350382052126111E-2</v>
      </c>
      <c r="G87" s="2"/>
      <c r="H87" s="7">
        <v>119869</v>
      </c>
      <c r="I87" s="2"/>
      <c r="J87" s="6">
        <f t="shared" si="61"/>
        <v>5.2770414863357956E-2</v>
      </c>
      <c r="K87" s="2"/>
      <c r="L87" s="7">
        <f t="shared" si="62"/>
        <v>-3980.5499999999884</v>
      </c>
      <c r="M87" s="2"/>
      <c r="N87" s="6">
        <f t="shared" si="63"/>
        <v>-3.320750152249529E-2</v>
      </c>
      <c r="O87" s="11"/>
      <c r="P87" s="7">
        <v>187921.28</v>
      </c>
      <c r="Q87" s="2"/>
      <c r="R87" s="6">
        <f t="shared" si="64"/>
        <v>5.0581805911326085E-2</v>
      </c>
      <c r="S87" s="2"/>
      <c r="T87" s="7">
        <v>197593</v>
      </c>
      <c r="U87" s="2"/>
      <c r="V87" s="6">
        <f t="shared" si="65"/>
        <v>5.0093967544753419E-2</v>
      </c>
      <c r="W87" s="2"/>
      <c r="X87" s="7">
        <f t="shared" si="66"/>
        <v>-9671.7200000000012</v>
      </c>
      <c r="Y87" s="2"/>
      <c r="Z87" s="6">
        <f t="shared" si="67"/>
        <v>-4.8947685393713344E-2</v>
      </c>
    </row>
    <row r="88" spans="1:26" s="26" customFormat="1" outlineLevel="1" collapsed="1" x14ac:dyDescent="0.25">
      <c r="A88" s="27"/>
      <c r="B88" s="13" t="str">
        <f>CONCATENATE("     ","Rent                                              ")</f>
        <v xml:space="preserve">     Rent                                              </v>
      </c>
      <c r="C88" s="13"/>
      <c r="D88" s="1">
        <f>SUM(OSRRefD22_15x_0)</f>
        <v>1850</v>
      </c>
      <c r="E88" s="1"/>
      <c r="F88" s="5">
        <f t="shared" si="60"/>
        <v>8.5166560426369749E-4</v>
      </c>
      <c r="G88" s="1"/>
      <c r="H88" s="1">
        <f>SUM(OSRRefH22_15x_0)</f>
        <v>1850</v>
      </c>
      <c r="I88" s="1"/>
      <c r="J88" s="5">
        <f t="shared" si="61"/>
        <v>8.1443298515222631E-4</v>
      </c>
      <c r="K88" s="1"/>
      <c r="L88" s="1">
        <f t="shared" si="62"/>
        <v>0</v>
      </c>
      <c r="M88" s="1"/>
      <c r="N88" s="5">
        <f t="shared" si="63"/>
        <v>0</v>
      </c>
      <c r="O88" s="13"/>
      <c r="P88" s="1">
        <f>SUM(OSRRefP22_15x_0)</f>
        <v>5550</v>
      </c>
      <c r="Q88" s="1"/>
      <c r="R88" s="5">
        <f t="shared" si="64"/>
        <v>1.4938649992585181E-3</v>
      </c>
      <c r="S88" s="1"/>
      <c r="T88" s="1">
        <f>SUM(OSRRefT22_15x_0)</f>
        <v>5550</v>
      </c>
      <c r="U88" s="1"/>
      <c r="V88" s="5">
        <f t="shared" si="65"/>
        <v>1.4070413419168771E-3</v>
      </c>
      <c r="W88" s="1"/>
      <c r="X88" s="1">
        <f t="shared" si="66"/>
        <v>0</v>
      </c>
      <c r="Y88" s="1"/>
      <c r="Z88" s="5">
        <f t="shared" si="67"/>
        <v>0</v>
      </c>
    </row>
    <row r="89" spans="1:26" s="24" customFormat="1" hidden="1" outlineLevel="2" x14ac:dyDescent="0.25">
      <c r="A89" s="25"/>
      <c r="B89" s="11" t="str">
        <f>CONCATENATE("          ", "6273", " - ", "RENT")</f>
        <v xml:space="preserve">          6273 - RENT</v>
      </c>
      <c r="C89" s="11"/>
      <c r="D89" s="7">
        <v>1850</v>
      </c>
      <c r="E89" s="2"/>
      <c r="F89" s="6">
        <f t="shared" si="60"/>
        <v>8.5166560426369749E-4</v>
      </c>
      <c r="G89" s="2"/>
      <c r="H89" s="7">
        <v>1850</v>
      </c>
      <c r="I89" s="2"/>
      <c r="J89" s="6">
        <f t="shared" si="61"/>
        <v>8.1443298515222631E-4</v>
      </c>
      <c r="K89" s="2"/>
      <c r="L89" s="7">
        <f t="shared" si="62"/>
        <v>0</v>
      </c>
      <c r="M89" s="2"/>
      <c r="N89" s="6">
        <f t="shared" si="63"/>
        <v>0</v>
      </c>
      <c r="O89" s="11"/>
      <c r="P89" s="7">
        <v>5550</v>
      </c>
      <c r="Q89" s="2"/>
      <c r="R89" s="6">
        <f t="shared" si="64"/>
        <v>1.4938649992585181E-3</v>
      </c>
      <c r="S89" s="2"/>
      <c r="T89" s="7">
        <v>5550</v>
      </c>
      <c r="U89" s="2"/>
      <c r="V89" s="6">
        <f t="shared" si="65"/>
        <v>1.4070413419168771E-3</v>
      </c>
      <c r="W89" s="2"/>
      <c r="X89" s="7">
        <f t="shared" si="66"/>
        <v>0</v>
      </c>
      <c r="Y89" s="2"/>
      <c r="Z89" s="6">
        <f t="shared" si="67"/>
        <v>0</v>
      </c>
    </row>
    <row r="90" spans="1:26" s="26" customFormat="1" outlineLevel="1" collapsed="1" x14ac:dyDescent="0.25">
      <c r="A90" s="27"/>
      <c r="B90" s="13" t="str">
        <f>CONCATENATE("     ","Repair and Maintenance                            ")</f>
        <v xml:space="preserve">     Repair and Maintenance                            </v>
      </c>
      <c r="C90" s="13"/>
      <c r="D90" s="1">
        <f>SUM(OSRRefD22_16x_0)</f>
        <v>38752.29</v>
      </c>
      <c r="E90" s="1"/>
      <c r="F90" s="5">
        <f t="shared" si="60"/>
        <v>1.783999593483894E-2</v>
      </c>
      <c r="G90" s="1"/>
      <c r="H90" s="1">
        <f>SUM(OSRRefH22_16x_0)</f>
        <v>20630</v>
      </c>
      <c r="I90" s="1"/>
      <c r="J90" s="5">
        <f t="shared" si="61"/>
        <v>9.0820283695623935E-3</v>
      </c>
      <c r="K90" s="1"/>
      <c r="L90" s="1">
        <f t="shared" si="62"/>
        <v>18122.29</v>
      </c>
      <c r="M90" s="1"/>
      <c r="N90" s="5">
        <f t="shared" si="63"/>
        <v>0.87844352884149302</v>
      </c>
      <c r="O90" s="13"/>
      <c r="P90" s="1">
        <f>SUM(OSRRefP22_16x_0)</f>
        <v>86591.31</v>
      </c>
      <c r="Q90" s="1"/>
      <c r="R90" s="5">
        <f t="shared" si="64"/>
        <v>2.3307338243052991E-2</v>
      </c>
      <c r="S90" s="1"/>
      <c r="T90" s="1">
        <f>SUM(OSRRefT22_16x_0)</f>
        <v>73529</v>
      </c>
      <c r="U90" s="1"/>
      <c r="V90" s="5">
        <f t="shared" si="65"/>
        <v>1.8641142852217307E-2</v>
      </c>
      <c r="W90" s="1"/>
      <c r="X90" s="1">
        <f t="shared" si="66"/>
        <v>13062.309999999998</v>
      </c>
      <c r="Y90" s="1"/>
      <c r="Z90" s="5">
        <f t="shared" si="67"/>
        <v>0.17764841083110061</v>
      </c>
    </row>
    <row r="91" spans="1:26" s="24" customFormat="1" hidden="1" outlineLevel="2" x14ac:dyDescent="0.25">
      <c r="A91" s="25"/>
      <c r="B91" s="11" t="str">
        <f>CONCATENATE("          ", "6371", " - ", "COMPUTER SOFTWARE MAINTENANCE")</f>
        <v xml:space="preserve">          6371 - COMPUTER SOFTWARE MAINTENANCE</v>
      </c>
      <c r="C91" s="11"/>
      <c r="D91" s="7">
        <v>17273.12</v>
      </c>
      <c r="E91" s="2"/>
      <c r="F91" s="6">
        <f t="shared" si="60"/>
        <v>7.9518498282807326E-3</v>
      </c>
      <c r="G91" s="2"/>
      <c r="H91" s="7">
        <v>1547</v>
      </c>
      <c r="I91" s="2"/>
      <c r="J91" s="6">
        <f t="shared" si="61"/>
        <v>6.8104206920567253E-4</v>
      </c>
      <c r="K91" s="2"/>
      <c r="L91" s="7">
        <f t="shared" si="62"/>
        <v>15726.119999999999</v>
      </c>
      <c r="M91" s="2"/>
      <c r="N91" s="6">
        <f t="shared" si="63"/>
        <v>10.165559146735617</v>
      </c>
      <c r="O91" s="11"/>
      <c r="P91" s="7">
        <v>17273.12</v>
      </c>
      <c r="Q91" s="2"/>
      <c r="R91" s="6">
        <f t="shared" si="64"/>
        <v>4.6493170082868998E-3</v>
      </c>
      <c r="S91" s="2"/>
      <c r="T91" s="7">
        <v>5141</v>
      </c>
      <c r="U91" s="2"/>
      <c r="V91" s="6">
        <f t="shared" si="65"/>
        <v>1.3033512682512911E-3</v>
      </c>
      <c r="W91" s="2"/>
      <c r="X91" s="7">
        <f t="shared" si="66"/>
        <v>12132.119999999999</v>
      </c>
      <c r="Y91" s="2"/>
      <c r="Z91" s="6">
        <f t="shared" si="67"/>
        <v>2.3598755106010501</v>
      </c>
    </row>
    <row r="92" spans="1:26" s="24" customFormat="1" hidden="1" outlineLevel="2" x14ac:dyDescent="0.25">
      <c r="A92" s="25"/>
      <c r="B92" s="11" t="str">
        <f>CONCATENATE("          ", "6372", " - ", "COMPUTER HARDWARE MAINTENANCE")</f>
        <v xml:space="preserve">          6372 - COMPUTER HARDWARE MAINTENANCE</v>
      </c>
      <c r="C92" s="11"/>
      <c r="D92" s="7"/>
      <c r="E92" s="2"/>
      <c r="F92" s="6">
        <f t="shared" si="60"/>
        <v>0</v>
      </c>
      <c r="G92" s="2"/>
      <c r="H92" s="7">
        <v>70</v>
      </c>
      <c r="I92" s="2"/>
      <c r="J92" s="6">
        <f t="shared" si="61"/>
        <v>3.081638322197613E-5</v>
      </c>
      <c r="K92" s="2"/>
      <c r="L92" s="7">
        <f t="shared" si="62"/>
        <v>-70</v>
      </c>
      <c r="M92" s="2"/>
      <c r="N92" s="6">
        <f t="shared" si="63"/>
        <v>-1</v>
      </c>
      <c r="O92" s="11"/>
      <c r="P92" s="7"/>
      <c r="Q92" s="2"/>
      <c r="R92" s="6">
        <f t="shared" si="64"/>
        <v>0</v>
      </c>
      <c r="S92" s="2"/>
      <c r="T92" s="7">
        <v>270</v>
      </c>
      <c r="U92" s="2"/>
      <c r="V92" s="6">
        <f t="shared" si="65"/>
        <v>6.8450659877037259E-5</v>
      </c>
      <c r="W92" s="2"/>
      <c r="X92" s="7">
        <f t="shared" si="66"/>
        <v>-270</v>
      </c>
      <c r="Y92" s="2"/>
      <c r="Z92" s="6">
        <f t="shared" si="67"/>
        <v>-1</v>
      </c>
    </row>
    <row r="93" spans="1:26" s="24" customFormat="1" hidden="1" outlineLevel="2" x14ac:dyDescent="0.25">
      <c r="A93" s="25"/>
      <c r="B93" s="11" t="str">
        <f>CONCATENATE("          ", "6373", " - ", "MAINTENANCE CONTRACTS")</f>
        <v xml:space="preserve">          6373 - MAINTENANCE CONTRACTS</v>
      </c>
      <c r="C93" s="11"/>
      <c r="D93" s="7">
        <v>8726.11</v>
      </c>
      <c r="E93" s="2"/>
      <c r="F93" s="6">
        <f t="shared" si="60"/>
        <v>4.0171501329845909E-3</v>
      </c>
      <c r="G93" s="2"/>
      <c r="H93" s="7">
        <v>2603</v>
      </c>
      <c r="I93" s="2"/>
      <c r="J93" s="6">
        <f t="shared" si="61"/>
        <v>1.1459292218114839E-3</v>
      </c>
      <c r="K93" s="2"/>
      <c r="L93" s="7">
        <f t="shared" si="62"/>
        <v>6123.1100000000006</v>
      </c>
      <c r="M93" s="2"/>
      <c r="N93" s="6">
        <f t="shared" si="63"/>
        <v>2.3523280829811757</v>
      </c>
      <c r="O93" s="11"/>
      <c r="P93" s="7">
        <v>24846.52</v>
      </c>
      <c r="Q93" s="2"/>
      <c r="R93" s="6">
        <f t="shared" si="64"/>
        <v>6.6878101948426591E-3</v>
      </c>
      <c r="S93" s="2"/>
      <c r="T93" s="7">
        <v>8863</v>
      </c>
      <c r="U93" s="2"/>
      <c r="V93" s="6">
        <f t="shared" si="65"/>
        <v>2.2469562907043751E-3</v>
      </c>
      <c r="W93" s="2"/>
      <c r="X93" s="7">
        <f t="shared" si="66"/>
        <v>15983.52</v>
      </c>
      <c r="Y93" s="2"/>
      <c r="Z93" s="6">
        <f t="shared" si="67"/>
        <v>1.8033983978336907</v>
      </c>
    </row>
    <row r="94" spans="1:26" s="24" customFormat="1" hidden="1" outlineLevel="2" x14ac:dyDescent="0.25">
      <c r="A94" s="25"/>
      <c r="B94" s="11" t="str">
        <f>CONCATENATE("          ", "6375", " - ", "OUTSIDE REPAIRS &amp; MAINTENANCE")</f>
        <v xml:space="preserve">          6375 - OUTSIDE REPAIRS &amp; MAINTENANCE</v>
      </c>
      <c r="C94" s="11"/>
      <c r="D94" s="7">
        <v>12753.06</v>
      </c>
      <c r="E94" s="2"/>
      <c r="F94" s="6">
        <f t="shared" si="60"/>
        <v>5.8709959735736153E-3</v>
      </c>
      <c r="G94" s="2"/>
      <c r="H94" s="7">
        <v>16410</v>
      </c>
      <c r="I94" s="2"/>
      <c r="J94" s="6">
        <f t="shared" si="61"/>
        <v>7.2242406953232615E-3</v>
      </c>
      <c r="K94" s="2"/>
      <c r="L94" s="7">
        <f t="shared" si="62"/>
        <v>-3656.9400000000005</v>
      </c>
      <c r="M94" s="2"/>
      <c r="N94" s="6">
        <f t="shared" si="63"/>
        <v>-0.22284826325411339</v>
      </c>
      <c r="O94" s="11"/>
      <c r="P94" s="7">
        <v>44471.67</v>
      </c>
      <c r="Q94" s="2"/>
      <c r="R94" s="6">
        <f t="shared" si="64"/>
        <v>1.1970211039923434E-2</v>
      </c>
      <c r="S94" s="2"/>
      <c r="T94" s="7">
        <v>59255.000000000007</v>
      </c>
      <c r="U94" s="2"/>
      <c r="V94" s="6">
        <f t="shared" si="65"/>
        <v>1.5022384633384605E-2</v>
      </c>
      <c r="W94" s="2"/>
      <c r="X94" s="7">
        <f t="shared" si="66"/>
        <v>-14783.330000000009</v>
      </c>
      <c r="Y94" s="2"/>
      <c r="Z94" s="6">
        <f t="shared" si="67"/>
        <v>-0.24948662560121521</v>
      </c>
    </row>
    <row r="95" spans="1:26" s="26" customFormat="1" outlineLevel="1" collapsed="1" x14ac:dyDescent="0.25">
      <c r="A95" s="27"/>
      <c r="B95" s="13" t="str">
        <f>CONCATENATE("     ","Royalty &amp; Commissions                             ")</f>
        <v xml:space="preserve">     Royalty &amp; Commissions                             </v>
      </c>
      <c r="C95" s="13"/>
      <c r="D95" s="1">
        <f>SUM(OSRRefD22_17x_0)</f>
        <v>26561.729999999996</v>
      </c>
      <c r="E95" s="1"/>
      <c r="F95" s="5">
        <f t="shared" ref="F95:F98" si="68">IF(D$12=0,0,D95/D$12)</f>
        <v>1.2227952340940096E-2</v>
      </c>
      <c r="G95" s="1"/>
      <c r="H95" s="1">
        <f>SUM(OSRRefH22_17x_0)</f>
        <v>23064</v>
      </c>
      <c r="I95" s="1"/>
      <c r="J95" s="5">
        <f t="shared" ref="J95:J98" si="69">IF(H$12=0,0,H95/H$12)</f>
        <v>1.0153558037595108E-2</v>
      </c>
      <c r="K95" s="1"/>
      <c r="L95" s="1">
        <f t="shared" ref="L95:L98" si="70">+D95-H95</f>
        <v>3497.7299999999959</v>
      </c>
      <c r="M95" s="1"/>
      <c r="N95" s="5">
        <f t="shared" ref="N95:N98" si="71">IF(H95=0,0,L95/H95)</f>
        <v>0.15165322580645144</v>
      </c>
      <c r="O95" s="13"/>
      <c r="P95" s="1">
        <f>SUM(OSRRefP22_17x_0)</f>
        <v>60263.770000000004</v>
      </c>
      <c r="Q95" s="1"/>
      <c r="R95" s="5">
        <f t="shared" ref="R95:R98" si="72">IF(P$12=0,0,P95/P$12)</f>
        <v>1.6220889500246038E-2</v>
      </c>
      <c r="S95" s="1"/>
      <c r="T95" s="1">
        <f>SUM(OSRRefT22_17x_0)</f>
        <v>49421</v>
      </c>
      <c r="U95" s="1"/>
      <c r="V95" s="5">
        <f t="shared" ref="V95:V98" si="73">IF(T$12=0,0,T95/T$12)</f>
        <v>1.2529259488085403E-2</v>
      </c>
      <c r="W95" s="1"/>
      <c r="X95" s="1">
        <f t="shared" ref="X95:X98" si="74">+P95-T95</f>
        <v>10842.770000000004</v>
      </c>
      <c r="Y95" s="1"/>
      <c r="Z95" s="5">
        <f t="shared" ref="Z95:Z98" si="75">IF(T95=0,0,X95/T95)</f>
        <v>0.21939600574654508</v>
      </c>
    </row>
    <row r="96" spans="1:26" s="24" customFormat="1" hidden="1" outlineLevel="2" x14ac:dyDescent="0.25">
      <c r="A96" s="25"/>
      <c r="B96" s="11" t="str">
        <f>CONCATENATE("          ", "6253", " - ", "ROYALTY DUE ATHLETICS-LRG")</f>
        <v xml:space="preserve">          6253 - ROYALTY DUE ATHLETICS-LRG</v>
      </c>
      <c r="C96" s="11"/>
      <c r="D96" s="7"/>
      <c r="E96" s="2"/>
      <c r="F96" s="6">
        <f t="shared" si="68"/>
        <v>0</v>
      </c>
      <c r="G96" s="2"/>
      <c r="H96" s="7">
        <v>3000</v>
      </c>
      <c r="I96" s="2"/>
      <c r="J96" s="6">
        <f t="shared" si="69"/>
        <v>1.3207021380846912E-3</v>
      </c>
      <c r="K96" s="2"/>
      <c r="L96" s="7">
        <f t="shared" si="70"/>
        <v>-3000</v>
      </c>
      <c r="M96" s="2"/>
      <c r="N96" s="6">
        <f t="shared" si="71"/>
        <v>-1</v>
      </c>
      <c r="O96" s="11"/>
      <c r="P96" s="7"/>
      <c r="Q96" s="2"/>
      <c r="R96" s="6">
        <f t="shared" si="72"/>
        <v>0</v>
      </c>
      <c r="S96" s="2"/>
      <c r="T96" s="7">
        <v>9000</v>
      </c>
      <c r="U96" s="2"/>
      <c r="V96" s="6">
        <f t="shared" si="73"/>
        <v>2.2816886625679086E-3</v>
      </c>
      <c r="W96" s="2"/>
      <c r="X96" s="7">
        <f t="shared" si="74"/>
        <v>-9000</v>
      </c>
      <c r="Y96" s="2"/>
      <c r="Z96" s="6">
        <f t="shared" si="75"/>
        <v>-1</v>
      </c>
    </row>
    <row r="97" spans="1:26" s="24" customFormat="1" hidden="1" outlineLevel="2" x14ac:dyDescent="0.25">
      <c r="A97" s="25"/>
      <c r="B97" s="11" t="str">
        <f>CONCATENATE("          ", "6254", " - ", "ROYALTY &amp; COMMISSIONS")</f>
        <v xml:space="preserve">          6254 - ROYALTY &amp; COMMISSIONS</v>
      </c>
      <c r="C97" s="11"/>
      <c r="D97" s="7">
        <v>9813.9699999999993</v>
      </c>
      <c r="E97" s="2"/>
      <c r="F97" s="6">
        <f t="shared" si="68"/>
        <v>4.5179571298788095E-3</v>
      </c>
      <c r="G97" s="2"/>
      <c r="H97" s="7"/>
      <c r="I97" s="2"/>
      <c r="J97" s="6">
        <f t="shared" si="69"/>
        <v>0</v>
      </c>
      <c r="K97" s="2"/>
      <c r="L97" s="7">
        <f t="shared" si="70"/>
        <v>9813.9699999999993</v>
      </c>
      <c r="M97" s="2"/>
      <c r="N97" s="6">
        <f t="shared" si="71"/>
        <v>0</v>
      </c>
      <c r="O97" s="11"/>
      <c r="P97" s="7">
        <v>34657.61</v>
      </c>
      <c r="Q97" s="2"/>
      <c r="R97" s="6">
        <f t="shared" si="72"/>
        <v>9.3286109075589214E-3</v>
      </c>
      <c r="S97" s="2"/>
      <c r="T97" s="7">
        <v>4117</v>
      </c>
      <c r="U97" s="2"/>
      <c r="V97" s="6">
        <f t="shared" si="73"/>
        <v>1.0437458026435645E-3</v>
      </c>
      <c r="W97" s="2"/>
      <c r="X97" s="7">
        <f t="shared" si="74"/>
        <v>30540.61</v>
      </c>
      <c r="Y97" s="2"/>
      <c r="Z97" s="6">
        <f t="shared" si="75"/>
        <v>7.4181709982997326</v>
      </c>
    </row>
    <row r="98" spans="1:26" s="24" customFormat="1" hidden="1" outlineLevel="2" x14ac:dyDescent="0.25">
      <c r="A98" s="25"/>
      <c r="B98" s="11" t="str">
        <f>CONCATENATE("          ", "6259", " - ", "ROYALTY &amp; COMMISSIONS")</f>
        <v xml:space="preserve">          6259 - ROYALTY &amp; COMMISSIONS</v>
      </c>
      <c r="C98" s="11"/>
      <c r="D98" s="7">
        <v>16747.759999999998</v>
      </c>
      <c r="E98" s="2"/>
      <c r="F98" s="6">
        <f t="shared" si="68"/>
        <v>7.7099952110612864E-3</v>
      </c>
      <c r="G98" s="2"/>
      <c r="H98" s="7">
        <v>20064</v>
      </c>
      <c r="I98" s="2"/>
      <c r="J98" s="6">
        <f t="shared" si="69"/>
        <v>8.8328558995104164E-3</v>
      </c>
      <c r="K98" s="2"/>
      <c r="L98" s="7">
        <f t="shared" si="70"/>
        <v>-3316.2400000000016</v>
      </c>
      <c r="M98" s="2"/>
      <c r="N98" s="6">
        <f t="shared" si="71"/>
        <v>-0.16528309409888364</v>
      </c>
      <c r="O98" s="11"/>
      <c r="P98" s="7">
        <v>25606.16</v>
      </c>
      <c r="Q98" s="2"/>
      <c r="R98" s="6">
        <f t="shared" si="72"/>
        <v>6.8922785926871163E-3</v>
      </c>
      <c r="S98" s="2"/>
      <c r="T98" s="7">
        <v>36304</v>
      </c>
      <c r="U98" s="2"/>
      <c r="V98" s="6">
        <f t="shared" si="73"/>
        <v>9.203825022873929E-3</v>
      </c>
      <c r="W98" s="2"/>
      <c r="X98" s="7">
        <f t="shared" si="74"/>
        <v>-10697.84</v>
      </c>
      <c r="Y98" s="2"/>
      <c r="Z98" s="6">
        <f t="shared" si="75"/>
        <v>-0.29467386513882771</v>
      </c>
    </row>
    <row r="99" spans="1:26" s="26" customFormat="1" outlineLevel="1" collapsed="1" x14ac:dyDescent="0.25">
      <c r="A99" s="27"/>
      <c r="B99" s="13" t="str">
        <f>CONCATENATE("     ","Services                                          ")</f>
        <v xml:space="preserve">     Services                                          </v>
      </c>
      <c r="C99" s="13"/>
      <c r="D99" s="1">
        <f>SUM(OSRRefD22_18x_0)</f>
        <v>40984.65</v>
      </c>
      <c r="E99" s="1"/>
      <c r="F99" s="5">
        <f t="shared" ref="F99:F104" si="76">IF(D$12=0,0,D99/D$12)</f>
        <v>1.8867684706911431E-2</v>
      </c>
      <c r="G99" s="1"/>
      <c r="H99" s="1">
        <f>SUM(OSRRefH22_18x_0)</f>
        <v>41288</v>
      </c>
      <c r="I99" s="1"/>
      <c r="J99" s="5">
        <f t="shared" ref="J99:J104" si="77">IF(H$12=0,0,H99/H$12)</f>
        <v>1.817638329241358E-2</v>
      </c>
      <c r="K99" s="1"/>
      <c r="L99" s="1">
        <f t="shared" ref="L99:L104" si="78">+D99-H99</f>
        <v>-303.34999999999854</v>
      </c>
      <c r="M99" s="1"/>
      <c r="N99" s="5">
        <f t="shared" ref="N99:N104" si="79">IF(H99=0,0,L99/H99)</f>
        <v>-7.3471710908738263E-3</v>
      </c>
      <c r="O99" s="13"/>
      <c r="P99" s="1">
        <f>SUM(OSRRefP22_18x_0)</f>
        <v>117733.61</v>
      </c>
      <c r="Q99" s="1"/>
      <c r="R99" s="5">
        <f t="shared" ref="R99:R104" si="80">IF(P$12=0,0,P99/P$12)</f>
        <v>3.168975120997345E-2</v>
      </c>
      <c r="S99" s="1"/>
      <c r="T99" s="1">
        <f>SUM(OSRRefT22_18x_0)</f>
        <v>119005</v>
      </c>
      <c r="U99" s="1"/>
      <c r="V99" s="5">
        <f t="shared" ref="V99:V104" si="81">IF(T$12=0,0,T99/T$12)</f>
        <v>3.0170262143210443E-2</v>
      </c>
      <c r="W99" s="1"/>
      <c r="X99" s="1">
        <f t="shared" ref="X99:X104" si="82">+P99-T99</f>
        <v>-1271.3899999999994</v>
      </c>
      <c r="Y99" s="1"/>
      <c r="Z99" s="5">
        <f t="shared" ref="Z99:Z104" si="83">IF(T99=0,0,X99/T99)</f>
        <v>-1.0683500693248178E-2</v>
      </c>
    </row>
    <row r="100" spans="1:26" s="24" customFormat="1" hidden="1" outlineLevel="2" x14ac:dyDescent="0.25">
      <c r="A100" s="25"/>
      <c r="B100" s="11" t="str">
        <f>CONCATENATE("          ", "6282", " - ", "JANITORIAL/EXTERMINATOR EXPENS")</f>
        <v xml:space="preserve">          6282 - JANITORIAL/EXTERMINATOR EXPENS</v>
      </c>
      <c r="C100" s="11"/>
      <c r="D100" s="7">
        <v>2905.87</v>
      </c>
      <c r="E100" s="2"/>
      <c r="F100" s="6">
        <f t="shared" si="76"/>
        <v>1.3377456916009462E-3</v>
      </c>
      <c r="G100" s="2"/>
      <c r="H100" s="7">
        <v>2985</v>
      </c>
      <c r="I100" s="2"/>
      <c r="J100" s="6">
        <f t="shared" si="77"/>
        <v>1.3140986273942679E-3</v>
      </c>
      <c r="K100" s="2"/>
      <c r="L100" s="7">
        <f t="shared" si="78"/>
        <v>-79.130000000000109</v>
      </c>
      <c r="M100" s="2"/>
      <c r="N100" s="6">
        <f t="shared" si="79"/>
        <v>-2.6509212730318296E-2</v>
      </c>
      <c r="O100" s="11"/>
      <c r="P100" s="7">
        <v>8627.61</v>
      </c>
      <c r="Q100" s="2"/>
      <c r="R100" s="6">
        <f t="shared" si="80"/>
        <v>2.3222494786041053E-3</v>
      </c>
      <c r="S100" s="2"/>
      <c r="T100" s="7">
        <v>8740</v>
      </c>
      <c r="U100" s="2"/>
      <c r="V100" s="6">
        <f t="shared" si="81"/>
        <v>2.2157732123159468E-3</v>
      </c>
      <c r="W100" s="2"/>
      <c r="X100" s="7">
        <f t="shared" si="82"/>
        <v>-112.38999999999942</v>
      </c>
      <c r="Y100" s="2"/>
      <c r="Z100" s="6">
        <f t="shared" si="83"/>
        <v>-1.2859267734553708E-2</v>
      </c>
    </row>
    <row r="101" spans="1:26" s="24" customFormat="1" hidden="1" outlineLevel="2" x14ac:dyDescent="0.25">
      <c r="A101" s="25"/>
      <c r="B101" s="11" t="str">
        <f>CONCATENATE("          ", "6283", " - ", "PLANT SERVICE")</f>
        <v xml:space="preserve">          6283 - PLANT SERVICE</v>
      </c>
      <c r="C101" s="11"/>
      <c r="D101" s="7">
        <v>199.78</v>
      </c>
      <c r="E101" s="2"/>
      <c r="F101" s="6">
        <f t="shared" si="76"/>
        <v>9.1970678064757556E-5</v>
      </c>
      <c r="G101" s="2"/>
      <c r="H101" s="7">
        <v>185</v>
      </c>
      <c r="I101" s="2"/>
      <c r="J101" s="6">
        <f t="shared" si="77"/>
        <v>8.1443298515222631E-5</v>
      </c>
      <c r="K101" s="2"/>
      <c r="L101" s="7">
        <f t="shared" si="78"/>
        <v>14.780000000000001</v>
      </c>
      <c r="M101" s="2"/>
      <c r="N101" s="6">
        <f t="shared" si="79"/>
        <v>7.98918918918919E-2</v>
      </c>
      <c r="O101" s="11"/>
      <c r="P101" s="7">
        <v>599.34</v>
      </c>
      <c r="Q101" s="2"/>
      <c r="R101" s="6">
        <f t="shared" si="80"/>
        <v>1.6132127002803609E-4</v>
      </c>
      <c r="S101" s="2"/>
      <c r="T101" s="7">
        <v>520</v>
      </c>
      <c r="U101" s="2"/>
      <c r="V101" s="6">
        <f t="shared" si="81"/>
        <v>1.3183090050392362E-4</v>
      </c>
      <c r="W101" s="2"/>
      <c r="X101" s="7">
        <f t="shared" si="82"/>
        <v>79.340000000000032</v>
      </c>
      <c r="Y101" s="2"/>
      <c r="Z101" s="6">
        <f t="shared" si="83"/>
        <v>0.15257692307692314</v>
      </c>
    </row>
    <row r="102" spans="1:26" s="24" customFormat="1" hidden="1" outlineLevel="2" x14ac:dyDescent="0.25">
      <c r="A102" s="25"/>
      <c r="B102" s="11" t="str">
        <f>CONCATENATE("          ", "6284", " - ", "TRASH REMOVAL EXPENSE")</f>
        <v xml:space="preserve">          6284 - TRASH REMOVAL EXPENSE</v>
      </c>
      <c r="C102" s="11"/>
      <c r="D102" s="7">
        <v>623</v>
      </c>
      <c r="E102" s="2"/>
      <c r="F102" s="6">
        <f t="shared" si="76"/>
        <v>2.8680414673312623E-4</v>
      </c>
      <c r="G102" s="2"/>
      <c r="H102" s="7">
        <v>4015</v>
      </c>
      <c r="I102" s="2"/>
      <c r="J102" s="6">
        <f t="shared" si="77"/>
        <v>1.7675396948033453E-3</v>
      </c>
      <c r="K102" s="2"/>
      <c r="L102" s="7">
        <f t="shared" si="78"/>
        <v>-3392</v>
      </c>
      <c r="M102" s="2"/>
      <c r="N102" s="6">
        <f t="shared" si="79"/>
        <v>-0.84483188044831881</v>
      </c>
      <c r="O102" s="11"/>
      <c r="P102" s="7">
        <v>4822</v>
      </c>
      <c r="Q102" s="2"/>
      <c r="R102" s="6">
        <f t="shared" si="80"/>
        <v>1.2979129777341575E-3</v>
      </c>
      <c r="S102" s="2"/>
      <c r="T102" s="7">
        <v>12145</v>
      </c>
      <c r="U102" s="2"/>
      <c r="V102" s="6">
        <f t="shared" si="81"/>
        <v>3.079012089654139E-3</v>
      </c>
      <c r="W102" s="2"/>
      <c r="X102" s="7">
        <f t="shared" si="82"/>
        <v>-7323</v>
      </c>
      <c r="Y102" s="2"/>
      <c r="Z102" s="6">
        <f t="shared" si="83"/>
        <v>-0.60296418279127217</v>
      </c>
    </row>
    <row r="103" spans="1:26" s="24" customFormat="1" hidden="1" outlineLevel="2" x14ac:dyDescent="0.25">
      <c r="A103" s="25"/>
      <c r="B103" s="11" t="str">
        <f>CONCATENATE("          ", "6285", " - ", "JANITORIAL SERVICES")</f>
        <v xml:space="preserve">          6285 - JANITORIAL SERVICES</v>
      </c>
      <c r="C103" s="11"/>
      <c r="D103" s="7">
        <v>28773.47</v>
      </c>
      <c r="E103" s="2"/>
      <c r="F103" s="6">
        <f t="shared" si="76"/>
        <v>1.3246148494223444E-2</v>
      </c>
      <c r="G103" s="2"/>
      <c r="H103" s="7">
        <v>25093</v>
      </c>
      <c r="I103" s="2"/>
      <c r="J103" s="6">
        <f t="shared" si="77"/>
        <v>1.1046792916986386E-2</v>
      </c>
      <c r="K103" s="2"/>
      <c r="L103" s="7">
        <f t="shared" si="78"/>
        <v>3680.4700000000012</v>
      </c>
      <c r="M103" s="2"/>
      <c r="N103" s="6">
        <f t="shared" si="79"/>
        <v>0.14667317578607583</v>
      </c>
      <c r="O103" s="11"/>
      <c r="P103" s="7">
        <v>79584.37000000001</v>
      </c>
      <c r="Q103" s="2"/>
      <c r="R103" s="6">
        <f t="shared" si="80"/>
        <v>2.142131618577291E-2</v>
      </c>
      <c r="S103" s="2"/>
      <c r="T103" s="7">
        <v>73399</v>
      </c>
      <c r="U103" s="2"/>
      <c r="V103" s="6">
        <f t="shared" si="81"/>
        <v>1.8608185127091326E-2</v>
      </c>
      <c r="W103" s="2"/>
      <c r="X103" s="7">
        <f t="shared" si="82"/>
        <v>6185.3700000000099</v>
      </c>
      <c r="Y103" s="2"/>
      <c r="Z103" s="6">
        <f t="shared" si="83"/>
        <v>8.4270494148421776E-2</v>
      </c>
    </row>
    <row r="104" spans="1:26" s="24" customFormat="1" hidden="1" outlineLevel="2" x14ac:dyDescent="0.25">
      <c r="A104" s="25"/>
      <c r="B104" s="11" t="str">
        <f>CONCATENATE("          ", "6286", " - ", "LAUNDRY EXPENSE")</f>
        <v xml:space="preserve">          6286 - LAUNDRY EXPENSE</v>
      </c>
      <c r="C104" s="11"/>
      <c r="D104" s="7">
        <v>8482.5300000000007</v>
      </c>
      <c r="E104" s="2"/>
      <c r="F104" s="6">
        <f t="shared" si="76"/>
        <v>3.9050156962891578E-3</v>
      </c>
      <c r="G104" s="2"/>
      <c r="H104" s="7">
        <v>9010</v>
      </c>
      <c r="I104" s="2"/>
      <c r="J104" s="6">
        <f t="shared" si="77"/>
        <v>3.9665087547143566E-3</v>
      </c>
      <c r="K104" s="2"/>
      <c r="L104" s="7">
        <f t="shared" si="78"/>
        <v>-527.46999999999935</v>
      </c>
      <c r="M104" s="2"/>
      <c r="N104" s="6">
        <f t="shared" si="79"/>
        <v>-5.8542730299666966E-2</v>
      </c>
      <c r="O104" s="11"/>
      <c r="P104" s="7">
        <v>24100.289999999997</v>
      </c>
      <c r="Q104" s="2"/>
      <c r="R104" s="6">
        <f t="shared" si="80"/>
        <v>6.4869512978342463E-3</v>
      </c>
      <c r="S104" s="2"/>
      <c r="T104" s="7">
        <v>24201</v>
      </c>
      <c r="U104" s="2"/>
      <c r="V104" s="6">
        <f t="shared" si="81"/>
        <v>6.1354608136451067E-3</v>
      </c>
      <c r="W104" s="2"/>
      <c r="X104" s="7">
        <f t="shared" si="82"/>
        <v>-100.71000000000276</v>
      </c>
      <c r="Y104" s="2"/>
      <c r="Z104" s="6">
        <f t="shared" si="83"/>
        <v>-4.1613982893270018E-3</v>
      </c>
    </row>
    <row r="105" spans="1:26" s="26" customFormat="1" outlineLevel="1" collapsed="1" x14ac:dyDescent="0.25">
      <c r="A105" s="27"/>
      <c r="B105" s="13" t="str">
        <f>CONCATENATE("     ","Subscriptions &amp; Dues                              ")</f>
        <v xml:space="preserve">     Subscriptions &amp; Dues                              </v>
      </c>
      <c r="C105" s="13"/>
      <c r="D105" s="1">
        <f>SUM(OSRRefD22_19x_0)</f>
        <v>454.78</v>
      </c>
      <c r="E105" s="1"/>
      <c r="F105" s="5">
        <f t="shared" ref="F105:F117" si="84">IF(D$12=0,0,D105/D$12)</f>
        <v>2.0936242351732125E-4</v>
      </c>
      <c r="G105" s="1"/>
      <c r="H105" s="1">
        <f>SUM(OSRRefH22_19x_0)</f>
        <v>394</v>
      </c>
      <c r="I105" s="1"/>
      <c r="J105" s="5">
        <f t="shared" ref="J105:J117" si="85">IF(H$12=0,0,H105/H$12)</f>
        <v>1.7345221413512279E-4</v>
      </c>
      <c r="K105" s="1"/>
      <c r="L105" s="1">
        <f t="shared" ref="L105:L117" si="86">+D105-H105</f>
        <v>60.779999999999973</v>
      </c>
      <c r="M105" s="1"/>
      <c r="N105" s="5">
        <f t="shared" ref="N105:N117" si="87">IF(H105=0,0,L105/H105)</f>
        <v>0.15426395939086288</v>
      </c>
      <c r="O105" s="13"/>
      <c r="P105" s="1">
        <f>SUM(OSRRefP22_19x_0)</f>
        <v>1302.98</v>
      </c>
      <c r="Q105" s="1"/>
      <c r="R105" s="5">
        <f t="shared" ref="R105:R117" si="88">IF(P$12=0,0,P105/P$12)</f>
        <v>3.5071643544754304E-4</v>
      </c>
      <c r="S105" s="1"/>
      <c r="T105" s="1">
        <f>SUM(OSRRefT22_19x_0)</f>
        <v>1182</v>
      </c>
      <c r="U105" s="1"/>
      <c r="V105" s="5">
        <f t="shared" ref="V105:V117" si="89">IF(T$12=0,0,T105/T$12)</f>
        <v>2.9966177768391868E-4</v>
      </c>
      <c r="W105" s="1"/>
      <c r="X105" s="1">
        <f t="shared" ref="X105:X117" si="90">+P105-T105</f>
        <v>120.98000000000002</v>
      </c>
      <c r="Y105" s="1"/>
      <c r="Z105" s="5">
        <f t="shared" ref="Z105:Z117" si="91">IF(T105=0,0,X105/T105)</f>
        <v>0.10235194585448394</v>
      </c>
    </row>
    <row r="106" spans="1:26" s="24" customFormat="1" hidden="1" outlineLevel="2" x14ac:dyDescent="0.25">
      <c r="A106" s="25"/>
      <c r="B106" s="11" t="str">
        <f>CONCATENATE("          ", "6275", " - ", "SUBSCRIPTIONS")</f>
        <v xml:space="preserve">          6275 - SUBSCRIPTIONS</v>
      </c>
      <c r="C106" s="11"/>
      <c r="D106" s="7">
        <v>454.78</v>
      </c>
      <c r="E106" s="2"/>
      <c r="F106" s="6">
        <f t="shared" si="84"/>
        <v>2.0936242351732125E-4</v>
      </c>
      <c r="G106" s="2"/>
      <c r="H106" s="7">
        <v>394</v>
      </c>
      <c r="I106" s="2"/>
      <c r="J106" s="6">
        <f t="shared" si="85"/>
        <v>1.7345221413512279E-4</v>
      </c>
      <c r="K106" s="2"/>
      <c r="L106" s="7">
        <f t="shared" si="86"/>
        <v>60.779999999999973</v>
      </c>
      <c r="M106" s="2"/>
      <c r="N106" s="6">
        <f t="shared" si="87"/>
        <v>0.15426395939086288</v>
      </c>
      <c r="O106" s="11"/>
      <c r="P106" s="7">
        <v>1302.98</v>
      </c>
      <c r="Q106" s="2"/>
      <c r="R106" s="6">
        <f t="shared" si="88"/>
        <v>3.5071643544754304E-4</v>
      </c>
      <c r="S106" s="2"/>
      <c r="T106" s="7">
        <v>1182</v>
      </c>
      <c r="U106" s="2"/>
      <c r="V106" s="6">
        <f t="shared" si="89"/>
        <v>2.9966177768391868E-4</v>
      </c>
      <c r="W106" s="2"/>
      <c r="X106" s="7">
        <f t="shared" si="90"/>
        <v>120.98000000000002</v>
      </c>
      <c r="Y106" s="2"/>
      <c r="Z106" s="6">
        <f t="shared" si="91"/>
        <v>0.10235194585448394</v>
      </c>
    </row>
    <row r="107" spans="1:26" s="26" customFormat="1" outlineLevel="1" collapsed="1" x14ac:dyDescent="0.25">
      <c r="A107" s="27"/>
      <c r="B107" s="13" t="str">
        <f>CONCATENATE("     ","Supplies                                          ")</f>
        <v xml:space="preserve">     Supplies                                          </v>
      </c>
      <c r="C107" s="13"/>
      <c r="D107" s="1">
        <f>SUM(OSRRefD22_20x_0)</f>
        <v>50963.089999999989</v>
      </c>
      <c r="E107" s="1"/>
      <c r="F107" s="5">
        <f t="shared" si="84"/>
        <v>2.346135721080821E-2</v>
      </c>
      <c r="G107" s="1"/>
      <c r="H107" s="1">
        <f>SUM(OSRRefH22_20x_0)</f>
        <v>37984</v>
      </c>
      <c r="I107" s="1"/>
      <c r="J107" s="5">
        <f t="shared" si="85"/>
        <v>1.6721850004336306E-2</v>
      </c>
      <c r="K107" s="1"/>
      <c r="L107" s="1">
        <f t="shared" si="86"/>
        <v>12979.089999999989</v>
      </c>
      <c r="M107" s="1"/>
      <c r="N107" s="5">
        <f t="shared" si="87"/>
        <v>0.34169887320977227</v>
      </c>
      <c r="O107" s="13"/>
      <c r="P107" s="1">
        <f>SUM(OSRRefP22_20x_0)</f>
        <v>136938.69999999998</v>
      </c>
      <c r="Q107" s="1"/>
      <c r="R107" s="5">
        <f t="shared" si="88"/>
        <v>3.685908666197521E-2</v>
      </c>
      <c r="S107" s="1"/>
      <c r="T107" s="1">
        <f>SUM(OSRRefT22_20x_0)</f>
        <v>130507.33</v>
      </c>
      <c r="U107" s="1"/>
      <c r="V107" s="5">
        <f t="shared" si="89"/>
        <v>3.3086343915889861E-2</v>
      </c>
      <c r="W107" s="1"/>
      <c r="X107" s="1">
        <f t="shared" si="90"/>
        <v>6431.3699999999808</v>
      </c>
      <c r="Y107" s="1"/>
      <c r="Z107" s="5">
        <f t="shared" si="91"/>
        <v>4.9279760761330269E-2</v>
      </c>
    </row>
    <row r="108" spans="1:26" s="24" customFormat="1" hidden="1" outlineLevel="2" x14ac:dyDescent="0.25">
      <c r="A108" s="25"/>
      <c r="B108" s="11" t="str">
        <f>CONCATENATE("          ", "6234", " - ", "EXPENDABLE SUPPLIES &amp; EQUIPMEN")</f>
        <v xml:space="preserve">          6234 - EXPENDABLE SUPPLIES &amp; EQUIPMEN</v>
      </c>
      <c r="C108" s="11"/>
      <c r="D108" s="7">
        <v>7670.09</v>
      </c>
      <c r="E108" s="2"/>
      <c r="F108" s="6">
        <f t="shared" si="84"/>
        <v>3.531000991679429E-3</v>
      </c>
      <c r="G108" s="2"/>
      <c r="H108" s="7">
        <v>550</v>
      </c>
      <c r="I108" s="2"/>
      <c r="J108" s="6">
        <f t="shared" si="85"/>
        <v>2.4212872531552675E-4</v>
      </c>
      <c r="K108" s="2"/>
      <c r="L108" s="7">
        <f t="shared" si="86"/>
        <v>7120.09</v>
      </c>
      <c r="M108" s="2"/>
      <c r="N108" s="6">
        <f t="shared" si="87"/>
        <v>12.945618181818181</v>
      </c>
      <c r="O108" s="11"/>
      <c r="P108" s="7">
        <v>7670.09</v>
      </c>
      <c r="Q108" s="2"/>
      <c r="R108" s="6">
        <f t="shared" si="88"/>
        <v>2.0645187373266247E-3</v>
      </c>
      <c r="S108" s="2"/>
      <c r="T108" s="7">
        <v>2650</v>
      </c>
      <c r="U108" s="2"/>
      <c r="V108" s="6">
        <f t="shared" si="89"/>
        <v>6.7183055064499531E-4</v>
      </c>
      <c r="W108" s="2"/>
      <c r="X108" s="7">
        <f t="shared" si="90"/>
        <v>5020.09</v>
      </c>
      <c r="Y108" s="2"/>
      <c r="Z108" s="6">
        <f t="shared" si="91"/>
        <v>1.8943735849056604</v>
      </c>
    </row>
    <row r="109" spans="1:26" s="24" customFormat="1" hidden="1" outlineLevel="2" x14ac:dyDescent="0.25">
      <c r="A109" s="25"/>
      <c r="B109" s="11" t="str">
        <f>CONCATENATE("          ", "6237", " - ", "JANITORIAL SUPPLIES")</f>
        <v xml:space="preserve">          6237 - JANITORIAL SUPPLIES</v>
      </c>
      <c r="C109" s="11"/>
      <c r="D109" s="7">
        <v>11178</v>
      </c>
      <c r="E109" s="2"/>
      <c r="F109" s="6">
        <f t="shared" si="84"/>
        <v>5.1459016888970865E-3</v>
      </c>
      <c r="G109" s="2"/>
      <c r="H109" s="7">
        <v>14466</v>
      </c>
      <c r="I109" s="2"/>
      <c r="J109" s="6">
        <f t="shared" si="85"/>
        <v>6.3684257098443817E-3</v>
      </c>
      <c r="K109" s="2"/>
      <c r="L109" s="7">
        <f t="shared" si="86"/>
        <v>-3288</v>
      </c>
      <c r="M109" s="2"/>
      <c r="N109" s="6">
        <f t="shared" si="87"/>
        <v>-0.22729158025715471</v>
      </c>
      <c r="O109" s="11"/>
      <c r="P109" s="7">
        <v>34451.910000000003</v>
      </c>
      <c r="Q109" s="2"/>
      <c r="R109" s="6">
        <f t="shared" si="88"/>
        <v>9.2732436948837014E-3</v>
      </c>
      <c r="S109" s="2"/>
      <c r="T109" s="7">
        <v>42293</v>
      </c>
      <c r="U109" s="2"/>
      <c r="V109" s="6">
        <f t="shared" si="89"/>
        <v>1.0722162067331618E-2</v>
      </c>
      <c r="W109" s="2"/>
      <c r="X109" s="7">
        <f t="shared" si="90"/>
        <v>-7841.0899999999965</v>
      </c>
      <c r="Y109" s="2"/>
      <c r="Z109" s="6">
        <f t="shared" si="91"/>
        <v>-0.1853992386446929</v>
      </c>
    </row>
    <row r="110" spans="1:26" s="24" customFormat="1" hidden="1" outlineLevel="2" x14ac:dyDescent="0.25">
      <c r="A110" s="25"/>
      <c r="B110" s="11" t="str">
        <f>CONCATENATE("          ", "6239", " - ", "KITCHEN SUPPLIES")</f>
        <v xml:space="preserve">          6239 - KITCHEN SUPPLIES</v>
      </c>
      <c r="C110" s="11"/>
      <c r="D110" s="7">
        <v>16957.86</v>
      </c>
      <c r="E110" s="2"/>
      <c r="F110" s="6">
        <f t="shared" si="84"/>
        <v>7.8067168021184784E-3</v>
      </c>
      <c r="G110" s="2"/>
      <c r="H110" s="7">
        <v>7050</v>
      </c>
      <c r="I110" s="2"/>
      <c r="J110" s="6">
        <f t="shared" si="85"/>
        <v>3.1036500244990247E-3</v>
      </c>
      <c r="K110" s="2"/>
      <c r="L110" s="7">
        <f t="shared" si="86"/>
        <v>9907.86</v>
      </c>
      <c r="M110" s="2"/>
      <c r="N110" s="6">
        <f t="shared" si="87"/>
        <v>1.4053702127659575</v>
      </c>
      <c r="O110" s="11"/>
      <c r="P110" s="7">
        <v>33175.129999999997</v>
      </c>
      <c r="Q110" s="2"/>
      <c r="R110" s="6">
        <f t="shared" si="88"/>
        <v>8.9295793788921156E-3</v>
      </c>
      <c r="S110" s="2"/>
      <c r="T110" s="7">
        <v>28616</v>
      </c>
      <c r="U110" s="2"/>
      <c r="V110" s="6">
        <f t="shared" si="89"/>
        <v>7.2547558631159198E-3</v>
      </c>
      <c r="W110" s="2"/>
      <c r="X110" s="7">
        <f t="shared" si="90"/>
        <v>4559.1299999999974</v>
      </c>
      <c r="Y110" s="2"/>
      <c r="Z110" s="6">
        <f t="shared" si="91"/>
        <v>0.15932100922560796</v>
      </c>
    </row>
    <row r="111" spans="1:26" s="24" customFormat="1" hidden="1" outlineLevel="2" x14ac:dyDescent="0.25">
      <c r="A111" s="25"/>
      <c r="B111" s="11" t="str">
        <f>CONCATENATE("          ", "6241", " - ", "OFFICE EXPENSE")</f>
        <v xml:space="preserve">          6241 - OFFICE EXPENSE</v>
      </c>
      <c r="C111" s="11"/>
      <c r="D111" s="7">
        <v>3621.21</v>
      </c>
      <c r="E111" s="2"/>
      <c r="F111" s="6">
        <f t="shared" si="84"/>
        <v>1.6670594609814833E-3</v>
      </c>
      <c r="G111" s="2"/>
      <c r="H111" s="7">
        <v>2469</v>
      </c>
      <c r="I111" s="2"/>
      <c r="J111" s="6">
        <f t="shared" si="85"/>
        <v>1.0869378596437009E-3</v>
      </c>
      <c r="K111" s="2"/>
      <c r="L111" s="7">
        <f t="shared" si="86"/>
        <v>1152.21</v>
      </c>
      <c r="M111" s="2"/>
      <c r="N111" s="6">
        <f t="shared" si="87"/>
        <v>0.46667071688942896</v>
      </c>
      <c r="O111" s="11"/>
      <c r="P111" s="7">
        <v>32432.11</v>
      </c>
      <c r="Q111" s="2"/>
      <c r="R111" s="6">
        <f t="shared" si="88"/>
        <v>8.7295845010994921E-3</v>
      </c>
      <c r="S111" s="2"/>
      <c r="T111" s="7">
        <v>6974.25</v>
      </c>
      <c r="U111" s="2"/>
      <c r="V111" s="6">
        <f t="shared" si="89"/>
        <v>1.7681185727682486E-3</v>
      </c>
      <c r="W111" s="2"/>
      <c r="X111" s="7">
        <f t="shared" si="90"/>
        <v>25457.86</v>
      </c>
      <c r="Y111" s="2"/>
      <c r="Z111" s="6">
        <f t="shared" si="91"/>
        <v>3.6502649030361689</v>
      </c>
    </row>
    <row r="112" spans="1:26" s="24" customFormat="1" hidden="1" outlineLevel="2" x14ac:dyDescent="0.25">
      <c r="A112" s="25"/>
      <c r="B112" s="11" t="str">
        <f>CONCATENATE("          ", "6243", " - ", "PAPER SUPPLIES")</f>
        <v xml:space="preserve">          6243 - PAPER SUPPLIES</v>
      </c>
      <c r="C112" s="11"/>
      <c r="D112" s="7">
        <v>10226.030000000001</v>
      </c>
      <c r="E112" s="2"/>
      <c r="F112" s="6">
        <f t="shared" si="84"/>
        <v>4.7076529833344318E-3</v>
      </c>
      <c r="G112" s="2"/>
      <c r="H112" s="7">
        <v>12004</v>
      </c>
      <c r="I112" s="2"/>
      <c r="J112" s="6">
        <f t="shared" si="85"/>
        <v>5.2845694885228786E-3</v>
      </c>
      <c r="K112" s="2"/>
      <c r="L112" s="7">
        <f t="shared" si="86"/>
        <v>-1777.9699999999993</v>
      </c>
      <c r="M112" s="2"/>
      <c r="N112" s="6">
        <f t="shared" si="87"/>
        <v>-0.14811479506831052</v>
      </c>
      <c r="O112" s="11"/>
      <c r="P112" s="7">
        <v>26699.69</v>
      </c>
      <c r="Q112" s="2"/>
      <c r="R112" s="6">
        <f t="shared" si="88"/>
        <v>7.1866184472166956E-3</v>
      </c>
      <c r="S112" s="2"/>
      <c r="T112" s="7">
        <v>30208</v>
      </c>
      <c r="U112" s="2"/>
      <c r="V112" s="6">
        <f t="shared" si="89"/>
        <v>7.6583612354279322E-3</v>
      </c>
      <c r="W112" s="2"/>
      <c r="X112" s="7">
        <f t="shared" si="90"/>
        <v>-3508.3100000000013</v>
      </c>
      <c r="Y112" s="2"/>
      <c r="Z112" s="6">
        <f t="shared" si="91"/>
        <v>-0.11613844014830513</v>
      </c>
    </row>
    <row r="113" spans="1:26" s="24" customFormat="1" hidden="1" outlineLevel="2" x14ac:dyDescent="0.25">
      <c r="A113" s="25"/>
      <c r="B113" s="11" t="str">
        <f>CONCATENATE("          ", "6244", " - ", "SAFETY SUPPLY EXPENSE")</f>
        <v xml:space="preserve">          6244 - SAFETY SUPPLY EXPENSE</v>
      </c>
      <c r="C113" s="11"/>
      <c r="D113" s="7"/>
      <c r="E113" s="2"/>
      <c r="F113" s="6">
        <f t="shared" si="84"/>
        <v>0</v>
      </c>
      <c r="G113" s="2"/>
      <c r="H113" s="7">
        <v>235</v>
      </c>
      <c r="I113" s="2"/>
      <c r="J113" s="6">
        <f t="shared" si="85"/>
        <v>1.0345500081663416E-4</v>
      </c>
      <c r="K113" s="2"/>
      <c r="L113" s="7">
        <f t="shared" si="86"/>
        <v>-235</v>
      </c>
      <c r="M113" s="2"/>
      <c r="N113" s="6">
        <f t="shared" si="87"/>
        <v>-1</v>
      </c>
      <c r="O113" s="11"/>
      <c r="P113" s="7"/>
      <c r="Q113" s="2"/>
      <c r="R113" s="6">
        <f t="shared" si="88"/>
        <v>0</v>
      </c>
      <c r="S113" s="2"/>
      <c r="T113" s="7">
        <v>705</v>
      </c>
      <c r="U113" s="2"/>
      <c r="V113" s="6">
        <f t="shared" si="89"/>
        <v>1.7873227856781952E-4</v>
      </c>
      <c r="W113" s="2"/>
      <c r="X113" s="7">
        <f t="shared" si="90"/>
        <v>-705</v>
      </c>
      <c r="Y113" s="2"/>
      <c r="Z113" s="6">
        <f t="shared" si="91"/>
        <v>-1</v>
      </c>
    </row>
    <row r="114" spans="1:26" s="24" customFormat="1" hidden="1" outlineLevel="2" x14ac:dyDescent="0.25">
      <c r="A114" s="25"/>
      <c r="B114" s="11" t="str">
        <f>CONCATENATE("          ", "6245", " - ", "PRINTING")</f>
        <v xml:space="preserve">          6245 - PRINTING</v>
      </c>
      <c r="C114" s="11"/>
      <c r="D114" s="7">
        <v>28.27</v>
      </c>
      <c r="E114" s="2"/>
      <c r="F114" s="6">
        <f t="shared" si="84"/>
        <v>1.3014371152721475E-5</v>
      </c>
      <c r="G114" s="2"/>
      <c r="H114" s="7">
        <v>210</v>
      </c>
      <c r="I114" s="2"/>
      <c r="J114" s="6">
        <f t="shared" si="85"/>
        <v>9.2449149665928395E-5</v>
      </c>
      <c r="K114" s="2"/>
      <c r="L114" s="7">
        <f t="shared" si="86"/>
        <v>-181.73</v>
      </c>
      <c r="M114" s="2"/>
      <c r="N114" s="6">
        <f t="shared" si="87"/>
        <v>-0.86538095238095236</v>
      </c>
      <c r="O114" s="11"/>
      <c r="P114" s="7">
        <v>1522.19</v>
      </c>
      <c r="Q114" s="2"/>
      <c r="R114" s="6">
        <f t="shared" si="88"/>
        <v>4.0972006544528355E-4</v>
      </c>
      <c r="S114" s="2"/>
      <c r="T114" s="7">
        <v>1170</v>
      </c>
      <c r="U114" s="2"/>
      <c r="V114" s="6">
        <f t="shared" si="89"/>
        <v>2.9661952613382816E-4</v>
      </c>
      <c r="W114" s="2"/>
      <c r="X114" s="7">
        <f t="shared" si="90"/>
        <v>352.19000000000005</v>
      </c>
      <c r="Y114" s="2"/>
      <c r="Z114" s="6">
        <f t="shared" si="91"/>
        <v>0.30101709401709409</v>
      </c>
    </row>
    <row r="115" spans="1:26" s="24" customFormat="1" hidden="1" outlineLevel="2" x14ac:dyDescent="0.25">
      <c r="A115" s="25"/>
      <c r="B115" s="11" t="str">
        <f>CONCATENATE("          ", "6246", " - ", "REPLACEMENTS")</f>
        <v xml:space="preserve">          6246 - REPLACEMENTS</v>
      </c>
      <c r="C115" s="11"/>
      <c r="D115" s="7"/>
      <c r="E115" s="2"/>
      <c r="F115" s="6">
        <f t="shared" si="84"/>
        <v>0</v>
      </c>
      <c r="G115" s="2"/>
      <c r="H115" s="7"/>
      <c r="I115" s="2"/>
      <c r="J115" s="6">
        <f t="shared" si="85"/>
        <v>0</v>
      </c>
      <c r="K115" s="2"/>
      <c r="L115" s="7">
        <f t="shared" si="86"/>
        <v>0</v>
      </c>
      <c r="M115" s="2"/>
      <c r="N115" s="6">
        <f t="shared" si="87"/>
        <v>0</v>
      </c>
      <c r="O115" s="11"/>
      <c r="P115" s="7"/>
      <c r="Q115" s="2"/>
      <c r="R115" s="6">
        <f t="shared" si="88"/>
        <v>0</v>
      </c>
      <c r="S115" s="2"/>
      <c r="T115" s="7">
        <v>2400</v>
      </c>
      <c r="U115" s="2"/>
      <c r="V115" s="6">
        <f t="shared" si="89"/>
        <v>6.0845031001810902E-4</v>
      </c>
      <c r="W115" s="2"/>
      <c r="X115" s="7">
        <f t="shared" si="90"/>
        <v>-2400</v>
      </c>
      <c r="Y115" s="2"/>
      <c r="Z115" s="6">
        <f t="shared" si="91"/>
        <v>-1</v>
      </c>
    </row>
    <row r="116" spans="1:26" s="24" customFormat="1" hidden="1" outlineLevel="2" x14ac:dyDescent="0.25">
      <c r="A116" s="25"/>
      <c r="B116" s="11" t="str">
        <f>CONCATENATE("          ", "6247", " - ", "STORE SUPPLIES")</f>
        <v xml:space="preserve">          6247 - STORE SUPPLIES</v>
      </c>
      <c r="C116" s="11"/>
      <c r="D116" s="7">
        <v>612.28</v>
      </c>
      <c r="E116" s="2"/>
      <c r="F116" s="6">
        <f t="shared" si="84"/>
        <v>2.8186908982625767E-4</v>
      </c>
      <c r="G116" s="2"/>
      <c r="H116" s="7">
        <v>425</v>
      </c>
      <c r="I116" s="2"/>
      <c r="J116" s="6">
        <f t="shared" si="85"/>
        <v>1.8709946956199793E-4</v>
      </c>
      <c r="K116" s="2"/>
      <c r="L116" s="7">
        <f t="shared" si="86"/>
        <v>187.27999999999997</v>
      </c>
      <c r="M116" s="2"/>
      <c r="N116" s="6">
        <f t="shared" si="87"/>
        <v>0.44065882352941171</v>
      </c>
      <c r="O116" s="11"/>
      <c r="P116" s="7">
        <v>2099.5</v>
      </c>
      <c r="Q116" s="2"/>
      <c r="R116" s="6">
        <f t="shared" si="88"/>
        <v>5.6511163350328984E-4</v>
      </c>
      <c r="S116" s="2"/>
      <c r="T116" s="7">
        <v>2766.08</v>
      </c>
      <c r="U116" s="2"/>
      <c r="V116" s="6">
        <f t="shared" si="89"/>
        <v>7.0125926397287121E-4</v>
      </c>
      <c r="W116" s="2"/>
      <c r="X116" s="7">
        <f t="shared" si="90"/>
        <v>-666.57999999999993</v>
      </c>
      <c r="Y116" s="2"/>
      <c r="Z116" s="6">
        <f t="shared" si="91"/>
        <v>-0.24098363026376676</v>
      </c>
    </row>
    <row r="117" spans="1:26" s="24" customFormat="1" hidden="1" outlineLevel="2" x14ac:dyDescent="0.25">
      <c r="A117" s="25"/>
      <c r="B117" s="11" t="str">
        <f>CONCATENATE("          ", "6248", " - ", "UNIFORMS")</f>
        <v xml:space="preserve">          6248 - UNIFORMS</v>
      </c>
      <c r="C117" s="11"/>
      <c r="D117" s="7">
        <v>669.35</v>
      </c>
      <c r="E117" s="2"/>
      <c r="F117" s="6">
        <f t="shared" si="84"/>
        <v>3.0814182281832753E-4</v>
      </c>
      <c r="G117" s="2"/>
      <c r="H117" s="7">
        <v>575</v>
      </c>
      <c r="I117" s="2"/>
      <c r="J117" s="6">
        <f t="shared" si="85"/>
        <v>2.5313457646623252E-4</v>
      </c>
      <c r="K117" s="2"/>
      <c r="L117" s="7">
        <f t="shared" si="86"/>
        <v>94.350000000000023</v>
      </c>
      <c r="M117" s="2"/>
      <c r="N117" s="6">
        <f t="shared" si="87"/>
        <v>0.16408695652173916</v>
      </c>
      <c r="O117" s="11"/>
      <c r="P117" s="7">
        <v>-1111.92</v>
      </c>
      <c r="Q117" s="2"/>
      <c r="R117" s="6">
        <f t="shared" si="88"/>
        <v>-2.9928979639198768E-4</v>
      </c>
      <c r="S117" s="2"/>
      <c r="T117" s="7">
        <v>12725</v>
      </c>
      <c r="U117" s="2"/>
      <c r="V117" s="6">
        <f t="shared" si="89"/>
        <v>3.2260542479085152E-3</v>
      </c>
      <c r="W117" s="2"/>
      <c r="X117" s="7">
        <f t="shared" si="90"/>
        <v>-13836.92</v>
      </c>
      <c r="Y117" s="2"/>
      <c r="Z117" s="6">
        <f t="shared" si="91"/>
        <v>-1.0873807465618861</v>
      </c>
    </row>
    <row r="118" spans="1:26" s="26" customFormat="1" outlineLevel="1" collapsed="1" x14ac:dyDescent="0.25">
      <c r="A118" s="27"/>
      <c r="B118" s="13" t="str">
        <f>CONCATENATE("     ","Telephone/Data Lines                              ")</f>
        <v xml:space="preserve">     Telephone/Data Lines                              </v>
      </c>
      <c r="C118" s="13"/>
      <c r="D118" s="1">
        <f>SUM(OSRRefD22_21x_0)</f>
        <v>3579.21</v>
      </c>
      <c r="E118" s="1"/>
      <c r="F118" s="5">
        <f t="shared" ref="F118:F120" si="92">IF(D$12=0,0,D118/D$12)</f>
        <v>1.6477243499657668E-3</v>
      </c>
      <c r="G118" s="1"/>
      <c r="H118" s="1">
        <f>SUM(OSRRefH22_21x_0)</f>
        <v>2511</v>
      </c>
      <c r="I118" s="1"/>
      <c r="J118" s="5">
        <f t="shared" ref="J118:J120" si="93">IF(H$12=0,0,H118/H$12)</f>
        <v>1.1054276895768867E-3</v>
      </c>
      <c r="K118" s="1"/>
      <c r="L118" s="1">
        <f t="shared" ref="L118:L120" si="94">+D118-H118</f>
        <v>1068.21</v>
      </c>
      <c r="M118" s="1"/>
      <c r="N118" s="5">
        <f t="shared" ref="N118:N120" si="95">IF(H118=0,0,L118/H118)</f>
        <v>0.42541218637992834</v>
      </c>
      <c r="O118" s="13"/>
      <c r="P118" s="1">
        <f>SUM(OSRRefP22_21x_0)</f>
        <v>6201.04</v>
      </c>
      <c r="Q118" s="1"/>
      <c r="R118" s="5">
        <f t="shared" ref="R118:R120" si="96">IF(P$12=0,0,P118/P$12)</f>
        <v>1.6691020927931605E-3</v>
      </c>
      <c r="S118" s="1"/>
      <c r="T118" s="1">
        <f>SUM(OSRRefT22_21x_0)</f>
        <v>7243</v>
      </c>
      <c r="U118" s="1"/>
      <c r="V118" s="5">
        <f t="shared" ref="V118:V120" si="97">IF(T$12=0,0,T118/T$12)</f>
        <v>1.8362523314421515E-3</v>
      </c>
      <c r="W118" s="1"/>
      <c r="X118" s="1">
        <f t="shared" ref="X118:X120" si="98">+P118-T118</f>
        <v>-1041.96</v>
      </c>
      <c r="Y118" s="1"/>
      <c r="Z118" s="5">
        <f t="shared" ref="Z118:Z120" si="99">IF(T118=0,0,X118/T118)</f>
        <v>-0.14385751760320309</v>
      </c>
    </row>
    <row r="119" spans="1:26" s="24" customFormat="1" hidden="1" outlineLevel="2" x14ac:dyDescent="0.25">
      <c r="A119" s="25"/>
      <c r="B119" s="11" t="str">
        <f>CONCATENATE("          ", "6303", " - ", "DATA PHONE LINES")</f>
        <v xml:space="preserve">          6303 - DATA PHONE LINES</v>
      </c>
      <c r="C119" s="11"/>
      <c r="D119" s="7"/>
      <c r="E119" s="2"/>
      <c r="F119" s="6">
        <f t="shared" si="92"/>
        <v>0</v>
      </c>
      <c r="G119" s="2"/>
      <c r="H119" s="7">
        <v>448</v>
      </c>
      <c r="I119" s="2"/>
      <c r="J119" s="6">
        <f t="shared" si="93"/>
        <v>1.9722485262064723E-4</v>
      </c>
      <c r="K119" s="2"/>
      <c r="L119" s="7">
        <f t="shared" si="94"/>
        <v>-448</v>
      </c>
      <c r="M119" s="2"/>
      <c r="N119" s="6">
        <f t="shared" si="95"/>
        <v>-1</v>
      </c>
      <c r="O119" s="11"/>
      <c r="P119" s="7"/>
      <c r="Q119" s="2"/>
      <c r="R119" s="6">
        <f t="shared" si="96"/>
        <v>0</v>
      </c>
      <c r="S119" s="2"/>
      <c r="T119" s="7">
        <v>1294</v>
      </c>
      <c r="U119" s="2"/>
      <c r="V119" s="6">
        <f t="shared" si="97"/>
        <v>3.2805612548476377E-4</v>
      </c>
      <c r="W119" s="2"/>
      <c r="X119" s="7">
        <f t="shared" si="98"/>
        <v>-1294</v>
      </c>
      <c r="Y119" s="2"/>
      <c r="Z119" s="6">
        <f t="shared" si="99"/>
        <v>-1</v>
      </c>
    </row>
    <row r="120" spans="1:26" s="24" customFormat="1" hidden="1" outlineLevel="2" x14ac:dyDescent="0.25">
      <c r="A120" s="25"/>
      <c r="B120" s="11" t="str">
        <f>CONCATENATE("          ", "6309", " - ", "TELEPHONE")</f>
        <v xml:space="preserve">          6309 - TELEPHONE</v>
      </c>
      <c r="C120" s="11"/>
      <c r="D120" s="7">
        <v>3579.21</v>
      </c>
      <c r="E120" s="2"/>
      <c r="F120" s="6">
        <f t="shared" si="92"/>
        <v>1.6477243499657668E-3</v>
      </c>
      <c r="G120" s="2"/>
      <c r="H120" s="7">
        <v>2063</v>
      </c>
      <c r="I120" s="2"/>
      <c r="J120" s="6">
        <f t="shared" si="93"/>
        <v>9.0820283695623944E-4</v>
      </c>
      <c r="K120" s="2"/>
      <c r="L120" s="7">
        <f t="shared" si="94"/>
        <v>1516.21</v>
      </c>
      <c r="M120" s="2"/>
      <c r="N120" s="6">
        <f t="shared" si="95"/>
        <v>0.73495395055744062</v>
      </c>
      <c r="O120" s="11"/>
      <c r="P120" s="7">
        <v>6201.04</v>
      </c>
      <c r="Q120" s="2"/>
      <c r="R120" s="6">
        <f t="shared" si="96"/>
        <v>1.6691020927931605E-3</v>
      </c>
      <c r="S120" s="2"/>
      <c r="T120" s="7">
        <v>5949</v>
      </c>
      <c r="U120" s="2"/>
      <c r="V120" s="6">
        <f t="shared" si="97"/>
        <v>1.5081962059573877E-3</v>
      </c>
      <c r="W120" s="2"/>
      <c r="X120" s="7">
        <f t="shared" si="98"/>
        <v>252.03999999999996</v>
      </c>
      <c r="Y120" s="2"/>
      <c r="Z120" s="6">
        <f t="shared" si="99"/>
        <v>4.2366784333501425E-2</v>
      </c>
    </row>
    <row r="121" spans="1:26" s="26" customFormat="1" outlineLevel="1" collapsed="1" x14ac:dyDescent="0.25">
      <c r="A121" s="27"/>
      <c r="B121" s="13" t="str">
        <f>CONCATENATE("     ","Training                                          ")</f>
        <v xml:space="preserve">     Training                                          </v>
      </c>
      <c r="C121" s="13"/>
      <c r="D121" s="1">
        <f>SUM(OSRRefD22_22x_0)</f>
        <v>526.70000000000005</v>
      </c>
      <c r="E121" s="1"/>
      <c r="F121" s="5">
        <f t="shared" ref="F121:F126" si="100">IF(D$12=0,0,D121/D$12)</f>
        <v>2.4247149933280513E-4</v>
      </c>
      <c r="G121" s="1"/>
      <c r="H121" s="1">
        <f>SUM(OSRRefH22_22x_0)</f>
        <v>1300</v>
      </c>
      <c r="I121" s="1"/>
      <c r="J121" s="5">
        <f t="shared" ref="J121:J126" si="101">IF(H$12=0,0,H121/H$12)</f>
        <v>5.7230425983669962E-4</v>
      </c>
      <c r="K121" s="1"/>
      <c r="L121" s="1">
        <f t="shared" ref="L121:L126" si="102">+D121-H121</f>
        <v>-773.3</v>
      </c>
      <c r="M121" s="1"/>
      <c r="N121" s="5">
        <f t="shared" ref="N121:N126" si="103">IF(H121=0,0,L121/H121)</f>
        <v>-0.5948461538461538</v>
      </c>
      <c r="O121" s="13"/>
      <c r="P121" s="1">
        <f>SUM(OSRRefP22_22x_0)</f>
        <v>4966.82</v>
      </c>
      <c r="Q121" s="1"/>
      <c r="R121" s="5">
        <f t="shared" ref="R121:R126" si="104">IF(P$12=0,0,P121/P$12)</f>
        <v>1.3368934334445392E-3</v>
      </c>
      <c r="S121" s="1"/>
      <c r="T121" s="1">
        <f>SUM(OSRRefT22_22x_0)</f>
        <v>10838</v>
      </c>
      <c r="U121" s="1"/>
      <c r="V121" s="5">
        <f t="shared" ref="V121:V126" si="105">IF(T$12=0,0,T121/T$12)</f>
        <v>2.7476601916567771E-3</v>
      </c>
      <c r="W121" s="1"/>
      <c r="X121" s="1">
        <f t="shared" ref="X121:X126" si="106">+P121-T121</f>
        <v>-5871.18</v>
      </c>
      <c r="Y121" s="1"/>
      <c r="Z121" s="5">
        <f t="shared" ref="Z121:Z126" si="107">IF(T121=0,0,X121/T121)</f>
        <v>-0.54172171987451567</v>
      </c>
    </row>
    <row r="122" spans="1:26" s="24" customFormat="1" hidden="1" outlineLevel="2" x14ac:dyDescent="0.25">
      <c r="A122" s="25"/>
      <c r="B122" s="11" t="str">
        <f>CONCATENATE("          ", "6376", " - ", "TRAINING")</f>
        <v xml:space="preserve">          6376 - TRAINING</v>
      </c>
      <c r="C122" s="11"/>
      <c r="D122" s="7">
        <v>526.70000000000005</v>
      </c>
      <c r="E122" s="2"/>
      <c r="F122" s="6">
        <f t="shared" si="100"/>
        <v>2.4247149933280513E-4</v>
      </c>
      <c r="G122" s="2"/>
      <c r="H122" s="7">
        <v>1300</v>
      </c>
      <c r="I122" s="2"/>
      <c r="J122" s="6">
        <f t="shared" si="101"/>
        <v>5.7230425983669962E-4</v>
      </c>
      <c r="K122" s="2"/>
      <c r="L122" s="7">
        <f t="shared" si="102"/>
        <v>-773.3</v>
      </c>
      <c r="M122" s="2"/>
      <c r="N122" s="6">
        <f t="shared" si="103"/>
        <v>-0.5948461538461538</v>
      </c>
      <c r="O122" s="11"/>
      <c r="P122" s="7">
        <v>4966.82</v>
      </c>
      <c r="Q122" s="2"/>
      <c r="R122" s="6">
        <f t="shared" si="104"/>
        <v>1.3368934334445392E-3</v>
      </c>
      <c r="S122" s="2"/>
      <c r="T122" s="7">
        <v>10838</v>
      </c>
      <c r="U122" s="2"/>
      <c r="V122" s="6">
        <f t="shared" si="105"/>
        <v>2.7476601916567771E-3</v>
      </c>
      <c r="W122" s="2"/>
      <c r="X122" s="7">
        <f t="shared" si="106"/>
        <v>-5871.18</v>
      </c>
      <c r="Y122" s="2"/>
      <c r="Z122" s="6">
        <f t="shared" si="107"/>
        <v>-0.54172171987451567</v>
      </c>
    </row>
    <row r="123" spans="1:26" s="26" customFormat="1" outlineLevel="1" collapsed="1" x14ac:dyDescent="0.25">
      <c r="A123" s="27"/>
      <c r="B123" s="13" t="str">
        <f>CONCATENATE("     ","Travel                                            ")</f>
        <v xml:space="preserve">     Travel                                            </v>
      </c>
      <c r="C123" s="13"/>
      <c r="D123" s="1">
        <f>SUM(OSRRefD22_23x_0)</f>
        <v>249.82</v>
      </c>
      <c r="E123" s="1"/>
      <c r="F123" s="5">
        <f t="shared" si="100"/>
        <v>1.1500708176062535E-4</v>
      </c>
      <c r="G123" s="1"/>
      <c r="H123" s="1">
        <f>SUM(OSRRefH22_23x_0)</f>
        <v>910</v>
      </c>
      <c r="I123" s="1"/>
      <c r="J123" s="5">
        <f t="shared" si="101"/>
        <v>4.0061298188568973E-4</v>
      </c>
      <c r="K123" s="1"/>
      <c r="L123" s="1">
        <f t="shared" si="102"/>
        <v>-660.18000000000006</v>
      </c>
      <c r="M123" s="1"/>
      <c r="N123" s="5">
        <f t="shared" si="103"/>
        <v>-0.72547252747252755</v>
      </c>
      <c r="O123" s="13"/>
      <c r="P123" s="1">
        <f>SUM(OSRRefP22_23x_0)</f>
        <v>2789.5899999999997</v>
      </c>
      <c r="Q123" s="1"/>
      <c r="R123" s="5">
        <f t="shared" si="104"/>
        <v>7.5085961500568818E-4</v>
      </c>
      <c r="S123" s="1"/>
      <c r="T123" s="1">
        <f>SUM(OSRRefT22_23x_0)</f>
        <v>6930</v>
      </c>
      <c r="U123" s="1"/>
      <c r="V123" s="5">
        <f t="shared" si="105"/>
        <v>1.7569002701772897E-3</v>
      </c>
      <c r="W123" s="1"/>
      <c r="X123" s="1">
        <f t="shared" si="106"/>
        <v>-4140.41</v>
      </c>
      <c r="Y123" s="1"/>
      <c r="Z123" s="5">
        <f t="shared" si="107"/>
        <v>-0.59746176046176047</v>
      </c>
    </row>
    <row r="124" spans="1:26" s="24" customFormat="1" hidden="1" outlineLevel="2" x14ac:dyDescent="0.25">
      <c r="A124" s="25"/>
      <c r="B124" s="11" t="str">
        <f>CONCATENATE("          ", "6292", " - ", "TRAVEL/CONFERENCE")</f>
        <v xml:space="preserve">          6292 - TRAVEL/CONFERENCE</v>
      </c>
      <c r="C124" s="11"/>
      <c r="D124" s="7"/>
      <c r="E124" s="2"/>
      <c r="F124" s="6">
        <f t="shared" si="100"/>
        <v>0</v>
      </c>
      <c r="G124" s="2"/>
      <c r="H124" s="7">
        <v>800</v>
      </c>
      <c r="I124" s="2"/>
      <c r="J124" s="6">
        <f t="shared" si="101"/>
        <v>3.5218723682258434E-4</v>
      </c>
      <c r="K124" s="2"/>
      <c r="L124" s="7">
        <f t="shared" si="102"/>
        <v>-800</v>
      </c>
      <c r="M124" s="2"/>
      <c r="N124" s="6">
        <f t="shared" si="103"/>
        <v>-1</v>
      </c>
      <c r="O124" s="11"/>
      <c r="P124" s="7">
        <v>2234.1</v>
      </c>
      <c r="Q124" s="2"/>
      <c r="R124" s="6">
        <f t="shared" si="104"/>
        <v>6.0134122429611806E-4</v>
      </c>
      <c r="S124" s="2"/>
      <c r="T124" s="7">
        <v>6600</v>
      </c>
      <c r="U124" s="2"/>
      <c r="V124" s="6">
        <f t="shared" si="105"/>
        <v>1.6732383525497998E-3</v>
      </c>
      <c r="W124" s="2"/>
      <c r="X124" s="7">
        <f t="shared" si="106"/>
        <v>-4365.8999999999996</v>
      </c>
      <c r="Y124" s="2"/>
      <c r="Z124" s="6">
        <f t="shared" si="107"/>
        <v>-0.66149999999999998</v>
      </c>
    </row>
    <row r="125" spans="1:26" s="24" customFormat="1" hidden="1" outlineLevel="2" x14ac:dyDescent="0.25">
      <c r="A125" s="25"/>
      <c r="B125" s="11" t="str">
        <f>CONCATENATE("          ", "6294", " - ", "TRAVEL OPERATIONAL")</f>
        <v xml:space="preserve">          6294 - TRAVEL OPERATIONAL</v>
      </c>
      <c r="C125" s="11"/>
      <c r="D125" s="7"/>
      <c r="E125" s="2"/>
      <c r="F125" s="6">
        <f t="shared" si="100"/>
        <v>0</v>
      </c>
      <c r="G125" s="2"/>
      <c r="H125" s="7"/>
      <c r="I125" s="2"/>
      <c r="J125" s="6">
        <f t="shared" si="101"/>
        <v>0</v>
      </c>
      <c r="K125" s="2"/>
      <c r="L125" s="7">
        <f t="shared" si="102"/>
        <v>0</v>
      </c>
      <c r="M125" s="2"/>
      <c r="N125" s="6">
        <f t="shared" si="103"/>
        <v>0</v>
      </c>
      <c r="O125" s="11"/>
      <c r="P125" s="7">
        <v>45.49</v>
      </c>
      <c r="Q125" s="2"/>
      <c r="R125" s="6">
        <f t="shared" si="104"/>
        <v>1.2244309696625224E-5</v>
      </c>
      <c r="S125" s="2"/>
      <c r="T125" s="7"/>
      <c r="U125" s="2"/>
      <c r="V125" s="6">
        <f t="shared" si="105"/>
        <v>0</v>
      </c>
      <c r="W125" s="2"/>
      <c r="X125" s="7">
        <f t="shared" si="106"/>
        <v>45.49</v>
      </c>
      <c r="Y125" s="2"/>
      <c r="Z125" s="6">
        <f t="shared" si="107"/>
        <v>0</v>
      </c>
    </row>
    <row r="126" spans="1:26" s="24" customFormat="1" hidden="1" outlineLevel="2" x14ac:dyDescent="0.25">
      <c r="A126" s="25"/>
      <c r="B126" s="11" t="str">
        <f>CONCATENATE("          ", "6298", " - ", "VEHICLE MILEAGE")</f>
        <v xml:space="preserve">          6298 - VEHICLE MILEAGE</v>
      </c>
      <c r="C126" s="11"/>
      <c r="D126" s="7">
        <v>249.82</v>
      </c>
      <c r="E126" s="2"/>
      <c r="F126" s="6">
        <f t="shared" si="100"/>
        <v>1.1500708176062535E-4</v>
      </c>
      <c r="G126" s="2"/>
      <c r="H126" s="7">
        <v>110</v>
      </c>
      <c r="I126" s="2"/>
      <c r="J126" s="6">
        <f t="shared" si="101"/>
        <v>4.8425745063105346E-5</v>
      </c>
      <c r="K126" s="2"/>
      <c r="L126" s="7">
        <f t="shared" si="102"/>
        <v>139.82</v>
      </c>
      <c r="M126" s="2"/>
      <c r="N126" s="6">
        <f t="shared" si="103"/>
        <v>1.271090909090909</v>
      </c>
      <c r="O126" s="11"/>
      <c r="P126" s="7">
        <v>510</v>
      </c>
      <c r="Q126" s="2"/>
      <c r="R126" s="6">
        <f t="shared" si="104"/>
        <v>1.3727408101294492E-4</v>
      </c>
      <c r="S126" s="2"/>
      <c r="T126" s="7">
        <v>330</v>
      </c>
      <c r="U126" s="2"/>
      <c r="V126" s="6">
        <f t="shared" si="105"/>
        <v>8.3661917627489982E-5</v>
      </c>
      <c r="W126" s="2"/>
      <c r="X126" s="7">
        <f t="shared" si="106"/>
        <v>180</v>
      </c>
      <c r="Y126" s="2"/>
      <c r="Z126" s="6">
        <f t="shared" si="107"/>
        <v>0.54545454545454541</v>
      </c>
    </row>
    <row r="127" spans="1:26" s="26" customFormat="1" outlineLevel="1" collapsed="1" x14ac:dyDescent="0.25">
      <c r="A127" s="27"/>
      <c r="B127" s="13" t="str">
        <f>CONCATENATE("     ","Utilities                                         ")</f>
        <v xml:space="preserve">     Utilities                                         </v>
      </c>
      <c r="C127" s="13"/>
      <c r="D127" s="1">
        <f>SUM(OSRRefD22_24x_0)</f>
        <v>17267</v>
      </c>
      <c r="E127" s="1"/>
      <c r="F127" s="5">
        <f t="shared" ref="F127:F128" si="108">IF(D$12=0,0,D127/D$12)</f>
        <v>7.949032426389873E-3</v>
      </c>
      <c r="G127" s="1"/>
      <c r="H127" s="1">
        <f>SUM(OSRRefH22_24x_0)</f>
        <v>17450</v>
      </c>
      <c r="I127" s="1"/>
      <c r="J127" s="5">
        <f t="shared" ref="J127:J128" si="109">IF(H$12=0,0,H127/H$12)</f>
        <v>7.6820841031926216E-3</v>
      </c>
      <c r="K127" s="1"/>
      <c r="L127" s="1">
        <f t="shared" ref="L127:L128" si="110">+D127-H127</f>
        <v>-183</v>
      </c>
      <c r="M127" s="1"/>
      <c r="N127" s="5">
        <f t="shared" ref="N127:N128" si="111">IF(H127=0,0,L127/H127)</f>
        <v>-1.0487106017191977E-2</v>
      </c>
      <c r="O127" s="13"/>
      <c r="P127" s="1">
        <f>SUM(OSRRefP22_24x_0)</f>
        <v>30958</v>
      </c>
      <c r="Q127" s="1"/>
      <c r="R127" s="5">
        <f t="shared" ref="R127:R128" si="112">IF(P$12=0,0,P127/P$12)</f>
        <v>8.3328058823504865E-3</v>
      </c>
      <c r="S127" s="1"/>
      <c r="T127" s="1">
        <f>SUM(OSRRefT22_24x_0)</f>
        <v>57350</v>
      </c>
      <c r="U127" s="1"/>
      <c r="V127" s="5">
        <f t="shared" ref="V127:V128" si="113">IF(T$12=0,0,T127/T$12)</f>
        <v>1.453942719980773E-2</v>
      </c>
      <c r="W127" s="1"/>
      <c r="X127" s="1">
        <f t="shared" ref="X127:X128" si="114">+P127-T127</f>
        <v>-26392</v>
      </c>
      <c r="Y127" s="1"/>
      <c r="Z127" s="5">
        <f t="shared" ref="Z127:Z128" si="115">IF(T127=0,0,X127/T127)</f>
        <v>-0.46019180470793375</v>
      </c>
    </row>
    <row r="128" spans="1:26" s="24" customFormat="1" hidden="1" outlineLevel="2" x14ac:dyDescent="0.25">
      <c r="A128" s="25"/>
      <c r="B128" s="11" t="str">
        <f>CONCATENATE("          ", "6274", " - ", "UTILITIES")</f>
        <v xml:space="preserve">          6274 - UTILITIES</v>
      </c>
      <c r="C128" s="11"/>
      <c r="D128" s="7">
        <v>17267</v>
      </c>
      <c r="E128" s="2"/>
      <c r="F128" s="6">
        <f t="shared" si="108"/>
        <v>7.949032426389873E-3</v>
      </c>
      <c r="G128" s="2"/>
      <c r="H128" s="7">
        <v>17450</v>
      </c>
      <c r="I128" s="2"/>
      <c r="J128" s="6">
        <f t="shared" si="109"/>
        <v>7.6820841031926216E-3</v>
      </c>
      <c r="K128" s="2"/>
      <c r="L128" s="7">
        <f t="shared" si="110"/>
        <v>-183</v>
      </c>
      <c r="M128" s="2"/>
      <c r="N128" s="6">
        <f t="shared" si="111"/>
        <v>-1.0487106017191977E-2</v>
      </c>
      <c r="O128" s="11"/>
      <c r="P128" s="7">
        <v>30958</v>
      </c>
      <c r="Q128" s="2"/>
      <c r="R128" s="6">
        <f t="shared" si="112"/>
        <v>8.3328058823504865E-3</v>
      </c>
      <c r="S128" s="2"/>
      <c r="T128" s="7">
        <v>57350</v>
      </c>
      <c r="U128" s="2"/>
      <c r="V128" s="6">
        <f t="shared" si="113"/>
        <v>1.453942719980773E-2</v>
      </c>
      <c r="W128" s="2"/>
      <c r="X128" s="7">
        <f t="shared" si="114"/>
        <v>-26392</v>
      </c>
      <c r="Y128" s="2"/>
      <c r="Z128" s="6">
        <f t="shared" si="115"/>
        <v>-0.46019180470793375</v>
      </c>
    </row>
    <row r="129" spans="1:26" s="63" customFormat="1" x14ac:dyDescent="0.25">
      <c r="A129" s="36"/>
      <c r="B129" s="36"/>
      <c r="C129" s="36"/>
      <c r="D129" s="1"/>
      <c r="E129" s="1"/>
      <c r="F129" s="5"/>
      <c r="G129" s="1"/>
      <c r="H129" s="1"/>
      <c r="I129" s="1"/>
      <c r="J129" s="5"/>
      <c r="K129" s="1"/>
      <c r="L129" s="1"/>
      <c r="M129" s="1"/>
      <c r="N129" s="5"/>
      <c r="O129" s="36"/>
      <c r="P129" s="1"/>
      <c r="Q129" s="1"/>
      <c r="R129" s="5"/>
      <c r="S129" s="1"/>
      <c r="T129" s="1"/>
      <c r="U129" s="1"/>
      <c r="V129" s="5"/>
      <c r="W129" s="1"/>
      <c r="X129" s="1"/>
      <c r="Y129" s="1"/>
      <c r="Z129" s="5"/>
    </row>
    <row r="130" spans="1:26" s="23" customFormat="1" collapsed="1" x14ac:dyDescent="0.25">
      <c r="A130" s="10"/>
      <c r="B130" s="28" t="s">
        <v>0</v>
      </c>
      <c r="C130" s="10"/>
      <c r="D130" s="4">
        <f>SUM(OSRRefD25x_0)</f>
        <v>237266.33000000002</v>
      </c>
      <c r="E130" s="4"/>
      <c r="F130" s="12">
        <f t="shared" ref="F130:F134" si="116">IF(D$12=0,0,D130/D$12)</f>
        <v>0.10922787692479992</v>
      </c>
      <c r="G130" s="4"/>
      <c r="H130" s="4">
        <f>SUM(OSRRefH25x_0)</f>
        <v>210279</v>
      </c>
      <c r="I130" s="4"/>
      <c r="J130" s="12">
        <f t="shared" ref="J130:J134" si="117">IF(H$12=0,0,H130/H$12)</f>
        <v>9.2571974964770265E-2</v>
      </c>
      <c r="K130" s="4"/>
      <c r="L130" s="4">
        <f t="shared" ref="L130:L134" si="118">+D130-H130</f>
        <v>26987.330000000016</v>
      </c>
      <c r="M130" s="4"/>
      <c r="N130" s="12">
        <f t="shared" ref="N130:N134" si="119">IF(H130=0,0,L130/H130)</f>
        <v>0.12834058560293712</v>
      </c>
      <c r="O130" s="10"/>
      <c r="P130" s="4">
        <f>SUM(OSRRefP25x_0)</f>
        <v>302660.99</v>
      </c>
      <c r="Q130" s="4"/>
      <c r="R130" s="12">
        <f t="shared" ref="R130:R134" si="120">IF(P$12=0,0,P130/P$12)</f>
        <v>8.1465704432780603E-2</v>
      </c>
      <c r="S130" s="4"/>
      <c r="T130" s="4">
        <f>SUM(OSRRefT25x_0)</f>
        <v>259492</v>
      </c>
      <c r="U130" s="4"/>
      <c r="V130" s="12">
        <f t="shared" ref="V130:V134" si="121">IF(T$12=0,0,T130/T$12)</f>
        <v>6.5786661603007973E-2</v>
      </c>
      <c r="W130" s="4"/>
      <c r="X130" s="4">
        <f t="shared" ref="X130:X134" si="122">+P130-T130</f>
        <v>43168.989999999991</v>
      </c>
      <c r="Y130" s="4"/>
      <c r="Z130" s="12">
        <f t="shared" ref="Z130:Z134" si="123">IF(T130=0,0,X130/T130)</f>
        <v>0.16635961802290625</v>
      </c>
    </row>
    <row r="131" spans="1:26" s="24" customFormat="1" hidden="1" outlineLevel="1" x14ac:dyDescent="0.25">
      <c r="A131" s="46"/>
      <c r="B131" s="11" t="str">
        <f>CONCATENATE("          ", "9150", " - ", "MISC. INCOME")</f>
        <v xml:space="preserve">          9150 - MISC. INCOME</v>
      </c>
      <c r="C131" s="11"/>
      <c r="D131" s="2">
        <f>--18738.99</f>
        <v>18738.990000000002</v>
      </c>
      <c r="E131" s="2"/>
      <c r="F131" s="19">
        <f t="shared" si="116"/>
        <v>8.6266774279142623E-3</v>
      </c>
      <c r="G131" s="2"/>
      <c r="H131" s="2">
        <v>10925</v>
      </c>
      <c r="I131" s="2"/>
      <c r="J131" s="19">
        <f t="shared" si="117"/>
        <v>4.8095569528584176E-3</v>
      </c>
      <c r="K131" s="2"/>
      <c r="L131" s="2">
        <f t="shared" si="118"/>
        <v>7813.9900000000016</v>
      </c>
      <c r="M131" s="2"/>
      <c r="N131" s="19">
        <f t="shared" si="119"/>
        <v>0.71523935926773474</v>
      </c>
      <c r="O131" s="11"/>
      <c r="P131" s="2">
        <f>--66526.94</f>
        <v>66526.94</v>
      </c>
      <c r="Q131" s="2"/>
      <c r="R131" s="19">
        <f t="shared" si="120"/>
        <v>1.7906714806084953E-2</v>
      </c>
      <c r="S131" s="2"/>
      <c r="T131" s="2">
        <v>41294</v>
      </c>
      <c r="U131" s="2"/>
      <c r="V131" s="19">
        <f t="shared" si="121"/>
        <v>1.046889462578658E-2</v>
      </c>
      <c r="W131" s="2"/>
      <c r="X131" s="2">
        <f t="shared" si="122"/>
        <v>25232.940000000002</v>
      </c>
      <c r="Y131" s="2"/>
      <c r="Z131" s="19">
        <f t="shared" si="123"/>
        <v>0.61105584346394159</v>
      </c>
    </row>
    <row r="132" spans="1:26" s="24" customFormat="1" hidden="1" outlineLevel="1" x14ac:dyDescent="0.25">
      <c r="A132" s="46"/>
      <c r="B132" s="11" t="str">
        <f>CONCATENATE("          ", "9151", " - ", "MISC. INCOME")</f>
        <v xml:space="preserve">          9151 - MISC. INCOME</v>
      </c>
      <c r="C132" s="11"/>
      <c r="D132" s="2">
        <f>0</f>
        <v>0</v>
      </c>
      <c r="E132" s="2"/>
      <c r="F132" s="19">
        <f t="shared" si="116"/>
        <v>0</v>
      </c>
      <c r="G132" s="2"/>
      <c r="H132" s="2">
        <v>199354</v>
      </c>
      <c r="I132" s="2"/>
      <c r="J132" s="19">
        <f t="shared" si="117"/>
        <v>8.7762418011911855E-2</v>
      </c>
      <c r="K132" s="2"/>
      <c r="L132" s="2">
        <f t="shared" si="118"/>
        <v>-199354</v>
      </c>
      <c r="M132" s="2"/>
      <c r="N132" s="19">
        <f t="shared" si="119"/>
        <v>-1</v>
      </c>
      <c r="O132" s="11"/>
      <c r="P132" s="2">
        <f>0</f>
        <v>0</v>
      </c>
      <c r="Q132" s="2"/>
      <c r="R132" s="19">
        <f t="shared" si="120"/>
        <v>0</v>
      </c>
      <c r="S132" s="2"/>
      <c r="T132" s="2">
        <v>218198</v>
      </c>
      <c r="U132" s="2"/>
      <c r="V132" s="19">
        <f t="shared" si="121"/>
        <v>5.5317766977221398E-2</v>
      </c>
      <c r="W132" s="2"/>
      <c r="X132" s="2">
        <f t="shared" si="122"/>
        <v>-218198</v>
      </c>
      <c r="Y132" s="2"/>
      <c r="Z132" s="19">
        <f t="shared" si="123"/>
        <v>-1</v>
      </c>
    </row>
    <row r="133" spans="1:26" s="24" customFormat="1" hidden="1" outlineLevel="1" x14ac:dyDescent="0.25">
      <c r="A133" s="46"/>
      <c r="B133" s="11" t="str">
        <f>CONCATENATE("          ", "9160", " - ", "MISC. INCOME")</f>
        <v xml:space="preserve">          9160 - MISC. INCOME</v>
      </c>
      <c r="C133" s="11"/>
      <c r="D133" s="2">
        <f>--20000</f>
        <v>20000</v>
      </c>
      <c r="E133" s="2"/>
      <c r="F133" s="19">
        <f t="shared" si="116"/>
        <v>9.2071957217697026E-3</v>
      </c>
      <c r="G133" s="2"/>
      <c r="H133" s="2"/>
      <c r="I133" s="2"/>
      <c r="J133" s="19">
        <f t="shared" si="117"/>
        <v>0</v>
      </c>
      <c r="K133" s="2"/>
      <c r="L133" s="2">
        <f t="shared" si="118"/>
        <v>20000</v>
      </c>
      <c r="M133" s="2"/>
      <c r="N133" s="19">
        <f t="shared" si="119"/>
        <v>0</v>
      </c>
      <c r="O133" s="11"/>
      <c r="P133" s="2">
        <f>--30973.27</f>
        <v>30973.27</v>
      </c>
      <c r="Q133" s="2"/>
      <c r="R133" s="19">
        <f t="shared" si="120"/>
        <v>8.3369160298349329E-3</v>
      </c>
      <c r="S133" s="2"/>
      <c r="T133" s="2"/>
      <c r="U133" s="2"/>
      <c r="V133" s="19">
        <f t="shared" si="121"/>
        <v>0</v>
      </c>
      <c r="W133" s="2"/>
      <c r="X133" s="2">
        <f t="shared" si="122"/>
        <v>30973.27</v>
      </c>
      <c r="Y133" s="2"/>
      <c r="Z133" s="19">
        <f t="shared" si="123"/>
        <v>0</v>
      </c>
    </row>
    <row r="134" spans="1:26" s="24" customFormat="1" hidden="1" outlineLevel="1" x14ac:dyDescent="0.25">
      <c r="A134" s="46"/>
      <c r="B134" s="11" t="str">
        <f>CONCATENATE("          ", "9165", " - ", "OTHER INCOME")</f>
        <v xml:space="preserve">          9165 - OTHER INCOME</v>
      </c>
      <c r="C134" s="11"/>
      <c r="D134" s="2">
        <f>--198527.34</f>
        <v>198527.34</v>
      </c>
      <c r="E134" s="2"/>
      <c r="F134" s="19">
        <f t="shared" si="116"/>
        <v>9.1394003775115945E-2</v>
      </c>
      <c r="G134" s="2"/>
      <c r="H134" s="2"/>
      <c r="I134" s="2"/>
      <c r="J134" s="19">
        <f t="shared" si="117"/>
        <v>0</v>
      </c>
      <c r="K134" s="2"/>
      <c r="L134" s="2">
        <f t="shared" si="118"/>
        <v>198527.34</v>
      </c>
      <c r="M134" s="2"/>
      <c r="N134" s="19">
        <f t="shared" si="119"/>
        <v>0</v>
      </c>
      <c r="O134" s="11"/>
      <c r="P134" s="2">
        <f>--205160.78</f>
        <v>205160.78</v>
      </c>
      <c r="Q134" s="2"/>
      <c r="R134" s="19">
        <f t="shared" si="120"/>
        <v>5.5222073596860717E-2</v>
      </c>
      <c r="S134" s="2"/>
      <c r="T134" s="2"/>
      <c r="U134" s="2"/>
      <c r="V134" s="19">
        <f t="shared" si="121"/>
        <v>0</v>
      </c>
      <c r="W134" s="2"/>
      <c r="X134" s="2">
        <f t="shared" si="122"/>
        <v>205160.78</v>
      </c>
      <c r="Y134" s="2"/>
      <c r="Z134" s="19">
        <f t="shared" si="123"/>
        <v>0</v>
      </c>
    </row>
    <row r="135" spans="1:26" x14ac:dyDescent="0.25">
      <c r="A135" s="9"/>
      <c r="B135" s="10"/>
      <c r="C135" s="10"/>
      <c r="D135" s="3"/>
      <c r="E135" s="3"/>
      <c r="F135" s="8"/>
      <c r="G135" s="3"/>
      <c r="H135" s="3"/>
      <c r="I135" s="3"/>
      <c r="J135" s="8"/>
      <c r="K135" s="3"/>
      <c r="L135" s="3"/>
      <c r="M135" s="3"/>
      <c r="N135" s="8"/>
      <c r="O135" s="10"/>
      <c r="P135" s="3"/>
      <c r="Q135" s="3"/>
      <c r="R135" s="8"/>
      <c r="S135" s="3"/>
      <c r="T135" s="3"/>
      <c r="U135" s="3"/>
      <c r="V135" s="8"/>
      <c r="W135" s="3"/>
      <c r="X135" s="3"/>
      <c r="Y135" s="3"/>
      <c r="Z135" s="8"/>
    </row>
    <row r="136" spans="1:26" s="23" customFormat="1" x14ac:dyDescent="0.25">
      <c r="A136" s="10"/>
      <c r="B136" s="29" t="s">
        <v>3</v>
      </c>
      <c r="C136" s="29"/>
      <c r="D136" s="22">
        <f>+D31-D33+D130</f>
        <v>737367.02000000048</v>
      </c>
      <c r="E136" s="14"/>
      <c r="F136" s="20">
        <f>IF(D$12=0,0,D136/D$12)</f>
        <v>0.33945412359590393</v>
      </c>
      <c r="G136" s="14"/>
      <c r="H136" s="22">
        <f>+H31-H33+H130</f>
        <v>842039.45336029935</v>
      </c>
      <c r="I136" s="14"/>
      <c r="J136" s="20">
        <f>IF(H$12=0,0,H136/H$12)</f>
        <v>0.37069443546820402</v>
      </c>
      <c r="K136" s="15"/>
      <c r="L136" s="22">
        <f>+D136-H136</f>
        <v>-104672.43336029886</v>
      </c>
      <c r="M136" s="15"/>
      <c r="N136" s="20">
        <f>IF(H136=0,0,L136/H136)</f>
        <v>-0.12430822919589575</v>
      </c>
      <c r="O136" s="28"/>
      <c r="P136" s="22">
        <f>+P31-P33+P130</f>
        <v>296003.95999999973</v>
      </c>
      <c r="Q136" s="14"/>
      <c r="R136" s="20">
        <f>IF(P$12=0,0,P136/P$12)</f>
        <v>7.9673865853318565E-2</v>
      </c>
      <c r="S136" s="14"/>
      <c r="T136" s="22">
        <f>+T31-T33+T130</f>
        <v>369451.84755718196</v>
      </c>
      <c r="U136" s="14"/>
      <c r="V136" s="20">
        <f>IF(T$12=0,0,T136/T$12)</f>
        <v>9.3663787992887715E-2</v>
      </c>
      <c r="W136" s="15"/>
      <c r="X136" s="22">
        <f>+P136-T136</f>
        <v>-73447.887557182228</v>
      </c>
      <c r="Y136" s="15"/>
      <c r="Z136" s="20">
        <f>IF(T136=0,0,X136/T136)</f>
        <v>-0.19880232848426702</v>
      </c>
    </row>
    <row r="137" spans="1:26" x14ac:dyDescent="0.25">
      <c r="A137" s="9"/>
      <c r="B137" s="10"/>
      <c r="C137" s="9"/>
      <c r="D137" s="3"/>
      <c r="E137" s="3"/>
      <c r="F137" s="8"/>
      <c r="G137" s="3"/>
      <c r="H137" s="3"/>
      <c r="I137" s="3"/>
      <c r="J137" s="8"/>
      <c r="K137" s="3"/>
      <c r="L137" s="3"/>
      <c r="M137" s="3"/>
      <c r="N137" s="8"/>
      <c r="P137" s="3"/>
      <c r="Q137" s="3"/>
      <c r="R137" s="8"/>
      <c r="S137" s="3"/>
      <c r="T137" s="3"/>
      <c r="U137" s="3"/>
      <c r="V137" s="8"/>
      <c r="W137" s="3"/>
      <c r="X137" s="3"/>
      <c r="Y137" s="3"/>
      <c r="Z137" s="8"/>
    </row>
    <row r="138" spans="1:26" s="23" customFormat="1" x14ac:dyDescent="0.25">
      <c r="A138" s="52"/>
      <c r="B138" s="10" t="s">
        <v>14</v>
      </c>
      <c r="C138" s="10"/>
      <c r="D138" s="4">
        <v>206679.61</v>
      </c>
      <c r="E138" s="4"/>
      <c r="F138" s="12">
        <f>IF(D$12=0,0,D138/D$12)</f>
        <v>9.5146981048451526E-2</v>
      </c>
      <c r="G138" s="4"/>
      <c r="H138" s="4">
        <v>227225</v>
      </c>
      <c r="I138" s="4"/>
      <c r="J138" s="12">
        <f>IF(H$12=0,0,H138/H$12)</f>
        <v>0.10003218110876466</v>
      </c>
      <c r="K138" s="4"/>
      <c r="L138" s="4">
        <f>+D138-H138</f>
        <v>-20545.390000000014</v>
      </c>
      <c r="M138" s="4"/>
      <c r="N138" s="12">
        <f>IF(H138=0,0,L138/H138)</f>
        <v>-9.0418703927824903E-2</v>
      </c>
      <c r="O138" s="10"/>
      <c r="P138" s="4">
        <v>399061.18</v>
      </c>
      <c r="Q138" s="4"/>
      <c r="R138" s="12">
        <f>IF(P$12=0,0,P138/P$12)</f>
        <v>0.1074132485341988</v>
      </c>
      <c r="S138" s="4"/>
      <c r="T138" s="4">
        <v>498915</v>
      </c>
      <c r="U138" s="4"/>
      <c r="V138" s="12">
        <f>IF(T$12=0,0,T138/T$12)</f>
        <v>0.12648541100945201</v>
      </c>
      <c r="W138" s="4"/>
      <c r="X138" s="4">
        <f>+P138-T138</f>
        <v>-99853.82</v>
      </c>
      <c r="Y138" s="4"/>
      <c r="Z138" s="12">
        <f>IF(T138=0,0,X138/T138)</f>
        <v>-0.20014194802721907</v>
      </c>
    </row>
    <row r="139" spans="1:26" x14ac:dyDescent="0.25">
      <c r="A139" s="9"/>
      <c r="B139" s="10"/>
      <c r="C139" s="10"/>
      <c r="D139" s="3"/>
      <c r="E139" s="3"/>
      <c r="F139" s="8"/>
      <c r="G139" s="3"/>
      <c r="H139" s="3"/>
      <c r="I139" s="3"/>
      <c r="J139" s="8"/>
      <c r="K139" s="3"/>
      <c r="L139" s="3"/>
      <c r="M139" s="3"/>
      <c r="N139" s="8"/>
      <c r="O139" s="10"/>
      <c r="P139" s="3"/>
      <c r="Q139" s="3"/>
      <c r="R139" s="8"/>
      <c r="S139" s="3"/>
      <c r="T139" s="3"/>
      <c r="U139" s="3"/>
      <c r="V139" s="8"/>
      <c r="W139" s="3"/>
      <c r="X139" s="3"/>
      <c r="Y139" s="3"/>
      <c r="Z139" s="8"/>
    </row>
    <row r="140" spans="1:26" s="23" customFormat="1" ht="15.75" thickBot="1" x14ac:dyDescent="0.3">
      <c r="A140" s="10"/>
      <c r="B140" s="29" t="s">
        <v>4</v>
      </c>
      <c r="C140" s="29"/>
      <c r="D140" s="35">
        <f>+D136-D138</f>
        <v>530687.4100000005</v>
      </c>
      <c r="E140" s="14"/>
      <c r="F140" s="32">
        <f>IF(D$12=0,0,D140/D$12)</f>
        <v>0.24430714254745242</v>
      </c>
      <c r="G140" s="14"/>
      <c r="H140" s="35">
        <f>+H136-H138</f>
        <v>614814.45336029935</v>
      </c>
      <c r="I140" s="14"/>
      <c r="J140" s="32">
        <f>IF(H$12=0,0,H140/H$12)</f>
        <v>0.27066225435943936</v>
      </c>
      <c r="K140" s="15"/>
      <c r="L140" s="35">
        <f>D140-H140</f>
        <v>-84127.043360298849</v>
      </c>
      <c r="M140" s="15"/>
      <c r="N140" s="32">
        <f>IF(H140=0,0,L140/H140)</f>
        <v>-0.13683322326028327</v>
      </c>
      <c r="O140" s="28"/>
      <c r="P140" s="35">
        <f>+P136-P138</f>
        <v>-103057.22000000026</v>
      </c>
      <c r="Q140" s="14"/>
      <c r="R140" s="32">
        <f>IF(P$12=0,0,P140/P$12)</f>
        <v>-2.7739382680880241E-2</v>
      </c>
      <c r="S140" s="14"/>
      <c r="T140" s="35">
        <f>+T136-T138</f>
        <v>-129463.15244281804</v>
      </c>
      <c r="U140" s="14"/>
      <c r="V140" s="32">
        <f>IF(T$12=0,0,T140/T$12)</f>
        <v>-3.2821623016564307E-2</v>
      </c>
      <c r="W140" s="15"/>
      <c r="X140" s="35">
        <f>P140-T140</f>
        <v>26405.932442817779</v>
      </c>
      <c r="Y140" s="15"/>
      <c r="Z140" s="32">
        <f>IF(T140=0,0,X140/T140)</f>
        <v>-0.20396484980142043</v>
      </c>
    </row>
    <row r="141" spans="1:26" ht="15.75" thickTop="1" x14ac:dyDescent="0.25">
      <c r="A141" s="9"/>
      <c r="B141" s="9"/>
      <c r="C141" s="9"/>
      <c r="D141" s="3"/>
      <c r="E141" s="3"/>
      <c r="F141" s="8"/>
      <c r="G141" s="3"/>
      <c r="H141" s="3"/>
      <c r="I141" s="3"/>
      <c r="J141" s="8"/>
      <c r="K141" s="3"/>
      <c r="L141" s="3"/>
      <c r="M141" s="3"/>
      <c r="N141" s="8"/>
      <c r="P141" s="3"/>
      <c r="Q141" s="3"/>
      <c r="R141" s="8"/>
      <c r="S141" s="3"/>
      <c r="T141" s="3"/>
      <c r="U141" s="3"/>
      <c r="V141" s="8"/>
      <c r="W141" s="3"/>
      <c r="X141" s="3"/>
      <c r="Y141" s="3"/>
      <c r="Z141" s="8"/>
    </row>
    <row r="142" spans="1:26" x14ac:dyDescent="0.25">
      <c r="A142" s="9"/>
      <c r="B142" s="9"/>
      <c r="C142" s="9"/>
      <c r="D142" s="3"/>
      <c r="E142" s="3"/>
      <c r="F142" s="8"/>
      <c r="G142" s="3"/>
      <c r="H142" s="3"/>
      <c r="I142" s="3"/>
      <c r="J142" s="8"/>
      <c r="K142" s="3"/>
      <c r="L142" s="3"/>
      <c r="M142" s="3"/>
      <c r="N142" s="8"/>
      <c r="P142" s="3"/>
      <c r="Q142" s="3"/>
      <c r="R142" s="8"/>
      <c r="S142" s="3"/>
      <c r="T142" s="3"/>
      <c r="U142" s="3"/>
      <c r="V142" s="8"/>
      <c r="W142" s="3"/>
      <c r="X142" s="3"/>
      <c r="Y142" s="3"/>
      <c r="Z142" s="8"/>
    </row>
    <row r="143" spans="1:26" s="23" customFormat="1" ht="15.75" thickBot="1" x14ac:dyDescent="0.3">
      <c r="A143" s="10"/>
      <c r="B143" s="29" t="s">
        <v>5</v>
      </c>
      <c r="C143" s="29"/>
      <c r="D143" s="30">
        <f>SUM(D140:D142)</f>
        <v>530687.4100000005</v>
      </c>
      <c r="E143" s="14"/>
      <c r="F143" s="31">
        <f>IF(D$12=0,0,D143/D$12)</f>
        <v>0.24430714254745242</v>
      </c>
      <c r="G143" s="14"/>
      <c r="H143" s="30">
        <f>SUM(H140:H142)</f>
        <v>614814.45336029935</v>
      </c>
      <c r="I143" s="14"/>
      <c r="J143" s="31">
        <f>IF(H$12=0,0,H143/H$12)</f>
        <v>0.27066225435943936</v>
      </c>
      <c r="K143" s="15"/>
      <c r="L143" s="30">
        <f>+D143-H143</f>
        <v>-84127.043360298849</v>
      </c>
      <c r="M143" s="15"/>
      <c r="N143" s="31">
        <f>IF(H143=0,0,L143/H143)</f>
        <v>-0.13683322326028327</v>
      </c>
      <c r="O143" s="28"/>
      <c r="P143" s="30">
        <f>SUM(P140:P142)</f>
        <v>-103057.22000000026</v>
      </c>
      <c r="Q143" s="14"/>
      <c r="R143" s="31">
        <f>IF(P$12=0,0,P143/P$12)</f>
        <v>-2.7739382680880241E-2</v>
      </c>
      <c r="S143" s="14"/>
      <c r="T143" s="30">
        <f>SUM(T140:T142)</f>
        <v>-129463.15244281804</v>
      </c>
      <c r="U143" s="14"/>
      <c r="V143" s="31">
        <f>IF(T$12=0,0,T143/T$12)</f>
        <v>-3.2821623016564307E-2</v>
      </c>
      <c r="W143" s="15"/>
      <c r="X143" s="30">
        <f>+P143-T143</f>
        <v>26405.932442817779</v>
      </c>
      <c r="Y143" s="15"/>
      <c r="Z143" s="31">
        <f>IF(T143=0,0,X143/T143)</f>
        <v>-0.20396484980142043</v>
      </c>
    </row>
    <row r="144" spans="1:26" ht="15.75" thickTop="1" x14ac:dyDescent="0.25">
      <c r="A144" s="9"/>
      <c r="C144" s="9"/>
      <c r="D144" s="18"/>
      <c r="E144" s="18"/>
      <c r="G144" s="18"/>
      <c r="H144" s="18"/>
      <c r="I144" s="18"/>
      <c r="J144" s="43"/>
      <c r="K144" s="18"/>
      <c r="L144" s="18"/>
      <c r="M144" s="18"/>
      <c r="P144" s="18"/>
      <c r="Q144" s="18"/>
      <c r="R144" s="43"/>
      <c r="S144" s="18"/>
      <c r="T144" s="18"/>
      <c r="U144" s="18"/>
      <c r="V144" s="43"/>
      <c r="W144" s="18"/>
      <c r="X144" s="18"/>
    </row>
    <row r="145" spans="1:24" x14ac:dyDescent="0.25">
      <c r="A145" s="9"/>
      <c r="B145" s="53">
        <v>43756.451910914351</v>
      </c>
      <c r="D145" s="18"/>
      <c r="E145" s="18"/>
      <c r="G145" s="18"/>
      <c r="H145" s="18"/>
      <c r="I145" s="18"/>
      <c r="J145" s="43"/>
      <c r="K145" s="18"/>
      <c r="L145" s="18"/>
      <c r="M145" s="18"/>
      <c r="P145" s="18"/>
      <c r="Q145" s="18"/>
      <c r="R145" s="43"/>
      <c r="S145" s="18"/>
      <c r="T145" s="18"/>
      <c r="U145" s="18"/>
      <c r="V145" s="43"/>
      <c r="W145" s="18"/>
      <c r="X145" s="18"/>
    </row>
    <row r="146" spans="1:24" x14ac:dyDescent="0.25">
      <c r="A146" s="9"/>
      <c r="B146" s="55" t="s">
        <v>314</v>
      </c>
      <c r="D146" s="18"/>
      <c r="E146" s="18"/>
      <c r="G146" s="18"/>
      <c r="H146" s="18"/>
      <c r="I146" s="18"/>
      <c r="J146" s="43"/>
      <c r="K146" s="18"/>
      <c r="L146" s="18"/>
      <c r="M146" s="18"/>
      <c r="P146" s="18"/>
      <c r="Q146" s="18"/>
      <c r="R146" s="43"/>
      <c r="S146" s="18"/>
      <c r="T146" s="18"/>
      <c r="U146" s="18"/>
      <c r="V146" s="43"/>
      <c r="W146" s="18"/>
      <c r="X146" s="18"/>
    </row>
    <row r="147" spans="1:24" x14ac:dyDescent="0.25">
      <c r="A147" s="9"/>
      <c r="B147" s="56"/>
      <c r="D147" s="18"/>
      <c r="E147" s="18"/>
      <c r="G147" s="18"/>
      <c r="H147" s="18"/>
      <c r="I147" s="18"/>
      <c r="J147" s="43"/>
      <c r="K147" s="18"/>
      <c r="L147" s="18"/>
      <c r="M147" s="18"/>
      <c r="P147" s="18"/>
      <c r="Q147" s="18"/>
      <c r="R147" s="43"/>
      <c r="S147" s="18"/>
      <c r="T147" s="18"/>
      <c r="U147" s="18"/>
      <c r="V147" s="43"/>
      <c r="W147" s="18"/>
      <c r="X147" s="18"/>
    </row>
    <row r="148" spans="1:24" x14ac:dyDescent="0.25">
      <c r="D148" s="18"/>
      <c r="E148" s="18"/>
      <c r="G148" s="18"/>
      <c r="H148" s="18"/>
      <c r="I148" s="18"/>
      <c r="J148" s="43"/>
      <c r="K148" s="18"/>
      <c r="L148" s="18"/>
      <c r="M148" s="18"/>
      <c r="P148" s="18"/>
      <c r="Q148" s="18"/>
      <c r="R148" s="43"/>
      <c r="S148" s="18"/>
      <c r="T148" s="18"/>
      <c r="U148" s="18"/>
      <c r="V148" s="43"/>
      <c r="W148" s="18"/>
      <c r="X148" s="18"/>
    </row>
  </sheetData>
  <pageMargins left="0.25" right="0.25" top="0.75" bottom="0.75" header="0.3" footer="0.3"/>
  <pageSetup scale="55" fitToWidth="2" orientation="landscape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15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str">
        <f>CONCATENATE("Period ",RIGHT(202003,2),", ",2020)</f>
        <v>Period 03, 2020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43736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">
        <v>313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1113873.7</v>
      </c>
      <c r="E12" s="4"/>
      <c r="F12" s="12"/>
      <c r="G12" s="4"/>
      <c r="H12" s="4">
        <f>SUM(OSRRefH13x_0)</f>
        <v>1177668</v>
      </c>
      <c r="I12" s="4"/>
      <c r="J12" s="12"/>
      <c r="K12" s="4"/>
      <c r="L12" s="4">
        <f t="shared" ref="L12:L29" si="0">+D12-H12</f>
        <v>-63794.300000000047</v>
      </c>
      <c r="M12" s="4"/>
      <c r="N12" s="12">
        <f t="shared" ref="N12:N29" si="1">IF(H12=0,0,L12/H12)</f>
        <v>-5.4170020752877759E-2</v>
      </c>
      <c r="O12" s="10"/>
      <c r="P12" s="4">
        <f>SUM(OSRRefP13x_0)</f>
        <v>1828362.9300000002</v>
      </c>
      <c r="Q12" s="4"/>
      <c r="R12" s="12"/>
      <c r="S12" s="4"/>
      <c r="T12" s="4">
        <f>SUM(OSRRefT13x_0)</f>
        <v>2077890.2</v>
      </c>
      <c r="U12" s="4"/>
      <c r="V12" s="12"/>
      <c r="W12" s="4"/>
      <c r="X12" s="4">
        <f t="shared" ref="X12:X29" si="2">+P12-T12</f>
        <v>-249527.26999999979</v>
      </c>
      <c r="Y12" s="4"/>
      <c r="Z12" s="12">
        <f t="shared" ref="Z12:Z29" si="3">IF(T12=0,0,X12/T12)</f>
        <v>-0.12008684096974892</v>
      </c>
    </row>
    <row r="13" spans="1:26" s="24" customFormat="1" hidden="1" outlineLevel="1" x14ac:dyDescent="0.25">
      <c r="A13" s="46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436692</v>
      </c>
      <c r="I13" s="2"/>
      <c r="J13" s="19"/>
      <c r="K13" s="2"/>
      <c r="L13" s="2">
        <f t="shared" si="0"/>
        <v>-436692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898051.2</v>
      </c>
      <c r="U13" s="2"/>
      <c r="V13" s="19"/>
      <c r="W13" s="2"/>
      <c r="X13" s="2">
        <f t="shared" si="2"/>
        <v>-898051.2</v>
      </c>
      <c r="Y13" s="2"/>
      <c r="Z13" s="19">
        <f t="shared" si="3"/>
        <v>-1</v>
      </c>
    </row>
    <row r="14" spans="1:26" s="24" customFormat="1" hidden="1" outlineLevel="1" x14ac:dyDescent="0.25">
      <c r="A14" s="46"/>
      <c r="B14" s="11" t="str">
        <f>CONCATENATE("          ", "4032", " - ", "TAXABLE SALES-JUICE")</f>
        <v xml:space="preserve">          4032 - TAXABLE SALES-JUICE</v>
      </c>
      <c r="C14" s="11"/>
      <c r="D14" s="2">
        <f>--47906.96</f>
        <v>47906.96</v>
      </c>
      <c r="E14" s="2"/>
      <c r="F14" s="19"/>
      <c r="G14" s="2"/>
      <c r="H14" s="2"/>
      <c r="I14" s="2"/>
      <c r="J14" s="19"/>
      <c r="K14" s="2"/>
      <c r="L14" s="2">
        <f t="shared" si="0"/>
        <v>47906.96</v>
      </c>
      <c r="M14" s="2"/>
      <c r="N14" s="19">
        <f t="shared" si="1"/>
        <v>0</v>
      </c>
      <c r="O14" s="11"/>
      <c r="P14" s="2">
        <f>--72656.34</f>
        <v>72656.34</v>
      </c>
      <c r="Q14" s="2"/>
      <c r="R14" s="19"/>
      <c r="S14" s="2"/>
      <c r="T14" s="2"/>
      <c r="U14" s="2"/>
      <c r="V14" s="19"/>
      <c r="W14" s="2"/>
      <c r="X14" s="2">
        <f t="shared" si="2"/>
        <v>72656.34</v>
      </c>
      <c r="Y14" s="2"/>
      <c r="Z14" s="19">
        <f t="shared" si="3"/>
        <v>0</v>
      </c>
    </row>
    <row r="15" spans="1:26" s="24" customFormat="1" hidden="1" outlineLevel="1" x14ac:dyDescent="0.25">
      <c r="A15" s="46"/>
      <c r="B15" s="11" t="str">
        <f>CONCATENATE("          ", "4034", " - ", "TAXABLE SALES-SODA")</f>
        <v xml:space="preserve">          4034 - TAXABLE SALES-SODA</v>
      </c>
      <c r="C15" s="11"/>
      <c r="D15" s="2">
        <f>--503.93</f>
        <v>503.93</v>
      </c>
      <c r="E15" s="2"/>
      <c r="F15" s="19"/>
      <c r="G15" s="2"/>
      <c r="H15" s="2"/>
      <c r="I15" s="2"/>
      <c r="J15" s="19"/>
      <c r="K15" s="2"/>
      <c r="L15" s="2">
        <f t="shared" si="0"/>
        <v>503.93</v>
      </c>
      <c r="M15" s="2"/>
      <c r="N15" s="19">
        <f t="shared" si="1"/>
        <v>0</v>
      </c>
      <c r="O15" s="11"/>
      <c r="P15" s="2">
        <f>--1150.33</f>
        <v>1150.33</v>
      </c>
      <c r="Q15" s="2"/>
      <c r="R15" s="19"/>
      <c r="S15" s="2"/>
      <c r="T15" s="2"/>
      <c r="U15" s="2"/>
      <c r="V15" s="19"/>
      <c r="W15" s="2"/>
      <c r="X15" s="2">
        <f t="shared" si="2"/>
        <v>1150.33</v>
      </c>
      <c r="Y15" s="2"/>
      <c r="Z15" s="19">
        <f t="shared" si="3"/>
        <v>0</v>
      </c>
    </row>
    <row r="16" spans="1:26" s="24" customFormat="1" hidden="1" outlineLevel="1" x14ac:dyDescent="0.25">
      <c r="A16" s="46"/>
      <c r="B16" s="11" t="str">
        <f>CONCATENATE("          ", "4051", " - ", "TAXABLE SALES-FOOD")</f>
        <v xml:space="preserve">          4051 - TAXABLE SALES-FOOD</v>
      </c>
      <c r="C16" s="11"/>
      <c r="D16" s="2">
        <f>--110327</f>
        <v>110327</v>
      </c>
      <c r="E16" s="2"/>
      <c r="F16" s="19"/>
      <c r="G16" s="2"/>
      <c r="H16" s="2"/>
      <c r="I16" s="2"/>
      <c r="J16" s="19"/>
      <c r="K16" s="2"/>
      <c r="L16" s="2">
        <f t="shared" si="0"/>
        <v>110327</v>
      </c>
      <c r="M16" s="2"/>
      <c r="N16" s="19">
        <f t="shared" si="1"/>
        <v>0</v>
      </c>
      <c r="O16" s="11"/>
      <c r="P16" s="2">
        <f>--174689.63</f>
        <v>174689.63</v>
      </c>
      <c r="Q16" s="2"/>
      <c r="R16" s="19"/>
      <c r="S16" s="2"/>
      <c r="T16" s="2"/>
      <c r="U16" s="2"/>
      <c r="V16" s="19"/>
      <c r="W16" s="2"/>
      <c r="X16" s="2">
        <f t="shared" si="2"/>
        <v>174689.63</v>
      </c>
      <c r="Y16" s="2"/>
      <c r="Z16" s="19">
        <f t="shared" si="3"/>
        <v>0</v>
      </c>
    </row>
    <row r="17" spans="1:26" s="24" customFormat="1" hidden="1" outlineLevel="1" x14ac:dyDescent="0.25">
      <c r="A17" s="46"/>
      <c r="B17" s="11" t="str">
        <f>CONCATENATE("          ", "4052", " - ", "TAXABLE SALES-FOOD")</f>
        <v xml:space="preserve">          4052 - TAXABLE SALES-FOOD</v>
      </c>
      <c r="C17" s="11"/>
      <c r="D17" s="2">
        <f>--113975.81</f>
        <v>113975.81</v>
      </c>
      <c r="E17" s="2"/>
      <c r="F17" s="19"/>
      <c r="G17" s="2"/>
      <c r="H17" s="2"/>
      <c r="I17" s="2"/>
      <c r="J17" s="19"/>
      <c r="K17" s="2"/>
      <c r="L17" s="2">
        <f t="shared" si="0"/>
        <v>113975.81</v>
      </c>
      <c r="M17" s="2"/>
      <c r="N17" s="19">
        <f t="shared" si="1"/>
        <v>0</v>
      </c>
      <c r="O17" s="11"/>
      <c r="P17" s="2">
        <f>--253506.01</f>
        <v>253506.01</v>
      </c>
      <c r="Q17" s="2"/>
      <c r="R17" s="19"/>
      <c r="S17" s="2"/>
      <c r="T17" s="2"/>
      <c r="U17" s="2"/>
      <c r="V17" s="19"/>
      <c r="W17" s="2"/>
      <c r="X17" s="2">
        <f t="shared" si="2"/>
        <v>253506.01</v>
      </c>
      <c r="Y17" s="2"/>
      <c r="Z17" s="19">
        <f t="shared" si="3"/>
        <v>0</v>
      </c>
    </row>
    <row r="18" spans="1:26" s="24" customFormat="1" hidden="1" outlineLevel="1" x14ac:dyDescent="0.25">
      <c r="A18" s="46"/>
      <c r="B18" s="11" t="str">
        <f>CONCATENATE("          ", "4053", " - ", "TAXABLE SALES-FOOD")</f>
        <v xml:space="preserve">          4053 - TAXABLE SALES-FOOD</v>
      </c>
      <c r="C18" s="11"/>
      <c r="D18" s="2">
        <f>--1983.68</f>
        <v>1983.68</v>
      </c>
      <c r="E18" s="2"/>
      <c r="F18" s="19"/>
      <c r="G18" s="2"/>
      <c r="H18" s="2"/>
      <c r="I18" s="2"/>
      <c r="J18" s="19"/>
      <c r="K18" s="2"/>
      <c r="L18" s="2">
        <f t="shared" si="0"/>
        <v>1983.68</v>
      </c>
      <c r="M18" s="2"/>
      <c r="N18" s="19">
        <f t="shared" si="1"/>
        <v>0</v>
      </c>
      <c r="O18" s="11"/>
      <c r="P18" s="2">
        <f>--46832.42</f>
        <v>46832.42</v>
      </c>
      <c r="Q18" s="2"/>
      <c r="R18" s="19"/>
      <c r="S18" s="2"/>
      <c r="T18" s="2"/>
      <c r="U18" s="2"/>
      <c r="V18" s="19"/>
      <c r="W18" s="2"/>
      <c r="X18" s="2">
        <f t="shared" si="2"/>
        <v>46832.42</v>
      </c>
      <c r="Y18" s="2"/>
      <c r="Z18" s="19">
        <f t="shared" si="3"/>
        <v>0</v>
      </c>
    </row>
    <row r="19" spans="1:26" s="24" customFormat="1" hidden="1" outlineLevel="1" x14ac:dyDescent="0.25">
      <c r="A19" s="46"/>
      <c r="B19" s="11" t="str">
        <f>CONCATENATE("          ", "4055", " - ", "TAXABLE SALES-FOOD")</f>
        <v xml:space="preserve">          4055 - TAXABLE SALES-FOOD</v>
      </c>
      <c r="C19" s="11"/>
      <c r="D19" s="2">
        <f>--66898.61</f>
        <v>66898.61</v>
      </c>
      <c r="E19" s="2"/>
      <c r="F19" s="19"/>
      <c r="G19" s="2"/>
      <c r="H19" s="2"/>
      <c r="I19" s="2"/>
      <c r="J19" s="19"/>
      <c r="K19" s="2"/>
      <c r="L19" s="2">
        <f t="shared" si="0"/>
        <v>66898.61</v>
      </c>
      <c r="M19" s="2"/>
      <c r="N19" s="19">
        <f t="shared" si="1"/>
        <v>0</v>
      </c>
      <c r="O19" s="11"/>
      <c r="P19" s="2">
        <f>--110835.68</f>
        <v>110835.68</v>
      </c>
      <c r="Q19" s="2"/>
      <c r="R19" s="19"/>
      <c r="S19" s="2"/>
      <c r="T19" s="2"/>
      <c r="U19" s="2"/>
      <c r="V19" s="19"/>
      <c r="W19" s="2"/>
      <c r="X19" s="2">
        <f t="shared" si="2"/>
        <v>110835.68</v>
      </c>
      <c r="Y19" s="2"/>
      <c r="Z19" s="19">
        <f t="shared" si="3"/>
        <v>0</v>
      </c>
    </row>
    <row r="20" spans="1:26" s="24" customFormat="1" hidden="1" outlineLevel="1" x14ac:dyDescent="0.25">
      <c r="A20" s="46"/>
      <c r="B20" s="11" t="str">
        <f>CONCATENATE("          ", "4058", " - ", "TAXABLE SALES-FOOD")</f>
        <v xml:space="preserve">          4058 - TAXABLE SALES-FOOD</v>
      </c>
      <c r="C20" s="11"/>
      <c r="D20" s="2">
        <f>--24452.76</f>
        <v>24452.76</v>
      </c>
      <c r="E20" s="2"/>
      <c r="F20" s="19"/>
      <c r="G20" s="2"/>
      <c r="H20" s="2"/>
      <c r="I20" s="2"/>
      <c r="J20" s="19"/>
      <c r="K20" s="2"/>
      <c r="L20" s="2">
        <f t="shared" si="0"/>
        <v>24452.76</v>
      </c>
      <c r="M20" s="2"/>
      <c r="N20" s="19">
        <f t="shared" si="1"/>
        <v>0</v>
      </c>
      <c r="O20" s="11"/>
      <c r="P20" s="2">
        <f>--42290.9</f>
        <v>42290.9</v>
      </c>
      <c r="Q20" s="2"/>
      <c r="R20" s="19"/>
      <c r="S20" s="2"/>
      <c r="T20" s="2"/>
      <c r="U20" s="2"/>
      <c r="V20" s="19"/>
      <c r="W20" s="2"/>
      <c r="X20" s="2">
        <f t="shared" si="2"/>
        <v>42290.9</v>
      </c>
      <c r="Y20" s="2"/>
      <c r="Z20" s="19">
        <f t="shared" si="3"/>
        <v>0</v>
      </c>
    </row>
    <row r="21" spans="1:26" s="24" customFormat="1" hidden="1" outlineLevel="1" x14ac:dyDescent="0.25">
      <c r="A21" s="46"/>
      <c r="B21" s="11" t="str">
        <f>CONCATENATE("          ", "4100", " - ", "NON-TAXABLE SALES")</f>
        <v xml:space="preserve">          4100 - NON-TAXABLE SALES</v>
      </c>
      <c r="C21" s="11"/>
      <c r="D21" s="2">
        <f>0</f>
        <v>0</v>
      </c>
      <c r="E21" s="2"/>
      <c r="F21" s="19"/>
      <c r="G21" s="2"/>
      <c r="H21" s="2">
        <v>740976</v>
      </c>
      <c r="I21" s="2"/>
      <c r="J21" s="19"/>
      <c r="K21" s="2"/>
      <c r="L21" s="2">
        <f t="shared" si="0"/>
        <v>-740976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v>1179839</v>
      </c>
      <c r="U21" s="2"/>
      <c r="V21" s="19"/>
      <c r="W21" s="2"/>
      <c r="X21" s="2">
        <f t="shared" si="2"/>
        <v>-1179839</v>
      </c>
      <c r="Y21" s="2"/>
      <c r="Z21" s="19">
        <f t="shared" si="3"/>
        <v>-1</v>
      </c>
    </row>
    <row r="22" spans="1:26" s="24" customFormat="1" hidden="1" outlineLevel="1" x14ac:dyDescent="0.25">
      <c r="A22" s="46"/>
      <c r="B22" s="11" t="str">
        <f>CONCATENATE("          ", "4132", " - ", "NON-TAXABLE SALES-JUICE")</f>
        <v xml:space="preserve">          4132 - NON-TAXABLE SALES-JUICE</v>
      </c>
      <c r="C22" s="11"/>
      <c r="D22" s="2">
        <f>--181943.15</f>
        <v>181943.15</v>
      </c>
      <c r="E22" s="2"/>
      <c r="F22" s="19"/>
      <c r="G22" s="2"/>
      <c r="H22" s="2"/>
      <c r="I22" s="2"/>
      <c r="J22" s="19"/>
      <c r="K22" s="2"/>
      <c r="L22" s="2">
        <f t="shared" si="0"/>
        <v>181943.15</v>
      </c>
      <c r="M22" s="2"/>
      <c r="N22" s="19">
        <f t="shared" si="1"/>
        <v>0</v>
      </c>
      <c r="O22" s="11"/>
      <c r="P22" s="2">
        <f>--275941.99</f>
        <v>275941.99</v>
      </c>
      <c r="Q22" s="2"/>
      <c r="R22" s="19"/>
      <c r="S22" s="2"/>
      <c r="T22" s="2"/>
      <c r="U22" s="2"/>
      <c r="V22" s="19"/>
      <c r="W22" s="2"/>
      <c r="X22" s="2">
        <f t="shared" si="2"/>
        <v>275941.99</v>
      </c>
      <c r="Y22" s="2"/>
      <c r="Z22" s="19">
        <f t="shared" si="3"/>
        <v>0</v>
      </c>
    </row>
    <row r="23" spans="1:26" s="24" customFormat="1" hidden="1" outlineLevel="1" x14ac:dyDescent="0.25">
      <c r="A23" s="46"/>
      <c r="B23" s="11" t="str">
        <f>CONCATENATE("          ", "4134", " - ", "NON-TAXABLE SALES-SODA")</f>
        <v xml:space="preserve">          4134 - NON-TAXABLE SALES-SODA</v>
      </c>
      <c r="C23" s="11"/>
      <c r="D23" s="2">
        <f>--3.78</f>
        <v>3.78</v>
      </c>
      <c r="E23" s="2"/>
      <c r="F23" s="19"/>
      <c r="G23" s="2"/>
      <c r="H23" s="2"/>
      <c r="I23" s="2"/>
      <c r="J23" s="19"/>
      <c r="K23" s="2"/>
      <c r="L23" s="2">
        <f t="shared" si="0"/>
        <v>3.78</v>
      </c>
      <c r="M23" s="2"/>
      <c r="N23" s="19">
        <f t="shared" si="1"/>
        <v>0</v>
      </c>
      <c r="O23" s="11"/>
      <c r="P23" s="2">
        <f>--0.39</f>
        <v>0.39</v>
      </c>
      <c r="Q23" s="2"/>
      <c r="R23" s="19"/>
      <c r="S23" s="2"/>
      <c r="T23" s="2"/>
      <c r="U23" s="2"/>
      <c r="V23" s="19"/>
      <c r="W23" s="2"/>
      <c r="X23" s="2">
        <f t="shared" si="2"/>
        <v>0.39</v>
      </c>
      <c r="Y23" s="2"/>
      <c r="Z23" s="19">
        <f t="shared" si="3"/>
        <v>0</v>
      </c>
    </row>
    <row r="24" spans="1:26" s="24" customFormat="1" hidden="1" outlineLevel="1" x14ac:dyDescent="0.25">
      <c r="A24" s="46"/>
      <c r="B24" s="11" t="str">
        <f>CONCATENATE("          ", "4137", " - ", "NON-TAXABLE SALES-WATER")</f>
        <v xml:space="preserve">          4137 - NON-TAXABLE SALES-WATER</v>
      </c>
      <c r="C24" s="11"/>
      <c r="D24" s="2">
        <f>--237.57</f>
        <v>237.57</v>
      </c>
      <c r="E24" s="2"/>
      <c r="F24" s="19"/>
      <c r="G24" s="2"/>
      <c r="H24" s="2"/>
      <c r="I24" s="2"/>
      <c r="J24" s="19"/>
      <c r="K24" s="2"/>
      <c r="L24" s="2">
        <f t="shared" si="0"/>
        <v>237.57</v>
      </c>
      <c r="M24" s="2"/>
      <c r="N24" s="19">
        <f t="shared" si="1"/>
        <v>0</v>
      </c>
      <c r="O24" s="11"/>
      <c r="P24" s="2">
        <f>--621.09</f>
        <v>621.09</v>
      </c>
      <c r="Q24" s="2"/>
      <c r="R24" s="19"/>
      <c r="S24" s="2"/>
      <c r="T24" s="2"/>
      <c r="U24" s="2"/>
      <c r="V24" s="19"/>
      <c r="W24" s="2"/>
      <c r="X24" s="2">
        <f t="shared" si="2"/>
        <v>621.09</v>
      </c>
      <c r="Y24" s="2"/>
      <c r="Z24" s="19">
        <f t="shared" si="3"/>
        <v>0</v>
      </c>
    </row>
    <row r="25" spans="1:26" s="24" customFormat="1" hidden="1" outlineLevel="1" x14ac:dyDescent="0.25">
      <c r="A25" s="46"/>
      <c r="B25" s="11" t="str">
        <f>CONCATENATE("          ", "4151", " - ", "NON-TAXABLE SALES-FOOD")</f>
        <v xml:space="preserve">          4151 - NON-TAXABLE SALES-FOOD</v>
      </c>
      <c r="C25" s="11"/>
      <c r="D25" s="2">
        <f>--371360.7</f>
        <v>371360.7</v>
      </c>
      <c r="E25" s="2"/>
      <c r="F25" s="19"/>
      <c r="G25" s="2"/>
      <c r="H25" s="2"/>
      <c r="I25" s="2"/>
      <c r="J25" s="19"/>
      <c r="K25" s="2"/>
      <c r="L25" s="2">
        <f t="shared" si="0"/>
        <v>371360.7</v>
      </c>
      <c r="M25" s="2"/>
      <c r="N25" s="19">
        <f t="shared" si="1"/>
        <v>0</v>
      </c>
      <c r="O25" s="11"/>
      <c r="P25" s="2">
        <f>--536341.42</f>
        <v>536341.42000000004</v>
      </c>
      <c r="Q25" s="2"/>
      <c r="R25" s="19"/>
      <c r="S25" s="2"/>
      <c r="T25" s="2"/>
      <c r="U25" s="2"/>
      <c r="V25" s="19"/>
      <c r="W25" s="2"/>
      <c r="X25" s="2">
        <f t="shared" si="2"/>
        <v>536341.42000000004</v>
      </c>
      <c r="Y25" s="2"/>
      <c r="Z25" s="19">
        <f t="shared" si="3"/>
        <v>0</v>
      </c>
    </row>
    <row r="26" spans="1:26" s="24" customFormat="1" hidden="1" outlineLevel="1" x14ac:dyDescent="0.25">
      <c r="A26" s="46"/>
      <c r="B26" s="11" t="str">
        <f>CONCATENATE("          ", "4152", " - ", "NON-TAXABLE SALES-FOOD")</f>
        <v xml:space="preserve">          4152 - NON-TAXABLE SALES-FOOD</v>
      </c>
      <c r="C26" s="11"/>
      <c r="D26" s="2">
        <f>--8131.54</f>
        <v>8131.54</v>
      </c>
      <c r="E26" s="2"/>
      <c r="F26" s="19"/>
      <c r="G26" s="2"/>
      <c r="H26" s="2"/>
      <c r="I26" s="2"/>
      <c r="J26" s="19"/>
      <c r="K26" s="2"/>
      <c r="L26" s="2">
        <f t="shared" si="0"/>
        <v>8131.54</v>
      </c>
      <c r="M26" s="2"/>
      <c r="N26" s="19">
        <f t="shared" si="1"/>
        <v>0</v>
      </c>
      <c r="O26" s="11"/>
      <c r="P26" s="2">
        <f>--15789.06</f>
        <v>15789.06</v>
      </c>
      <c r="Q26" s="2"/>
      <c r="R26" s="19"/>
      <c r="S26" s="2"/>
      <c r="T26" s="2"/>
      <c r="U26" s="2"/>
      <c r="V26" s="19"/>
      <c r="W26" s="2"/>
      <c r="X26" s="2">
        <f t="shared" si="2"/>
        <v>15789.06</v>
      </c>
      <c r="Y26" s="2"/>
      <c r="Z26" s="19">
        <f t="shared" si="3"/>
        <v>0</v>
      </c>
    </row>
    <row r="27" spans="1:26" s="24" customFormat="1" hidden="1" outlineLevel="1" x14ac:dyDescent="0.25">
      <c r="A27" s="46"/>
      <c r="B27" s="11" t="str">
        <f>CONCATENATE("          ", "4153", " - ", "NON-TAXABLE SALES-FOOD")</f>
        <v xml:space="preserve">          4153 - NON-TAXABLE SALES-FOOD</v>
      </c>
      <c r="C27" s="11"/>
      <c r="D27" s="2">
        <f>--1942</f>
        <v>1942</v>
      </c>
      <c r="E27" s="2"/>
      <c r="F27" s="19"/>
      <c r="G27" s="2"/>
      <c r="H27" s="2"/>
      <c r="I27" s="2"/>
      <c r="J27" s="19"/>
      <c r="K27" s="2"/>
      <c r="L27" s="2">
        <f t="shared" si="0"/>
        <v>1942</v>
      </c>
      <c r="M27" s="2"/>
      <c r="N27" s="19">
        <f t="shared" si="1"/>
        <v>0</v>
      </c>
      <c r="O27" s="11"/>
      <c r="P27" s="2">
        <f>--2406.5</f>
        <v>2406.5</v>
      </c>
      <c r="Q27" s="2"/>
      <c r="R27" s="19"/>
      <c r="S27" s="2"/>
      <c r="T27" s="2"/>
      <c r="U27" s="2"/>
      <c r="V27" s="19"/>
      <c r="W27" s="2"/>
      <c r="X27" s="2">
        <f t="shared" si="2"/>
        <v>2406.5</v>
      </c>
      <c r="Y27" s="2"/>
      <c r="Z27" s="19">
        <f t="shared" si="3"/>
        <v>0</v>
      </c>
    </row>
    <row r="28" spans="1:26" s="24" customFormat="1" hidden="1" outlineLevel="1" x14ac:dyDescent="0.25">
      <c r="A28" s="46"/>
      <c r="B28" s="11" t="str">
        <f>CONCATENATE("          ", "4155", " - ", "NON-TAXABLE SALES-FOOD")</f>
        <v xml:space="preserve">          4155 - NON-TAXABLE SALES-FOOD</v>
      </c>
      <c r="C28" s="11"/>
      <c r="D28" s="2">
        <f>--112329.49</f>
        <v>112329.49</v>
      </c>
      <c r="E28" s="2"/>
      <c r="F28" s="19"/>
      <c r="G28" s="2"/>
      <c r="H28" s="2"/>
      <c r="I28" s="2"/>
      <c r="J28" s="19"/>
      <c r="K28" s="2"/>
      <c r="L28" s="2">
        <f t="shared" si="0"/>
        <v>112329.49</v>
      </c>
      <c r="M28" s="2"/>
      <c r="N28" s="19">
        <f t="shared" si="1"/>
        <v>0</v>
      </c>
      <c r="O28" s="11"/>
      <c r="P28" s="2">
        <f>--183054.54</f>
        <v>183054.54</v>
      </c>
      <c r="Q28" s="2"/>
      <c r="R28" s="19"/>
      <c r="S28" s="2"/>
      <c r="T28" s="2"/>
      <c r="U28" s="2"/>
      <c r="V28" s="19"/>
      <c r="W28" s="2"/>
      <c r="X28" s="2">
        <f t="shared" si="2"/>
        <v>183054.54</v>
      </c>
      <c r="Y28" s="2"/>
      <c r="Z28" s="19">
        <f t="shared" si="3"/>
        <v>0</v>
      </c>
    </row>
    <row r="29" spans="1:26" s="24" customFormat="1" hidden="1" outlineLevel="1" x14ac:dyDescent="0.25">
      <c r="A29" s="46"/>
      <c r="B29" s="11" t="str">
        <f>CONCATENATE("          ", "4158", " - ", "NON-TAXABLE SALES-FOOD")</f>
        <v xml:space="preserve">          4158 - NON-TAXABLE SALES-FOOD</v>
      </c>
      <c r="C29" s="11"/>
      <c r="D29" s="2">
        <f>--71876.72</f>
        <v>71876.72</v>
      </c>
      <c r="E29" s="2"/>
      <c r="F29" s="19"/>
      <c r="G29" s="2"/>
      <c r="H29" s="2"/>
      <c r="I29" s="2"/>
      <c r="J29" s="19"/>
      <c r="K29" s="2"/>
      <c r="L29" s="2">
        <f t="shared" si="0"/>
        <v>71876.72</v>
      </c>
      <c r="M29" s="2"/>
      <c r="N29" s="19">
        <f t="shared" si="1"/>
        <v>0</v>
      </c>
      <c r="O29" s="11"/>
      <c r="P29" s="2">
        <f>--112246.63</f>
        <v>112246.63</v>
      </c>
      <c r="Q29" s="2"/>
      <c r="R29" s="19"/>
      <c r="S29" s="2"/>
      <c r="T29" s="2"/>
      <c r="U29" s="2"/>
      <c r="V29" s="19"/>
      <c r="W29" s="2"/>
      <c r="X29" s="2">
        <f t="shared" si="2"/>
        <v>112246.63</v>
      </c>
      <c r="Y29" s="2"/>
      <c r="Z29" s="19">
        <f t="shared" si="3"/>
        <v>0</v>
      </c>
    </row>
    <row r="30" spans="1:26" x14ac:dyDescent="0.25">
      <c r="A30" s="9"/>
      <c r="B30" s="10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collapsed="1" x14ac:dyDescent="0.25">
      <c r="A31" s="10"/>
      <c r="B31" s="28" t="s">
        <v>8</v>
      </c>
      <c r="C31" s="10"/>
      <c r="D31" s="4">
        <f>SUM(OSRRefD16x_0)</f>
        <v>446024.77999999997</v>
      </c>
      <c r="E31" s="4"/>
      <c r="F31" s="12">
        <f t="shared" ref="F31:F34" si="4">IF(D$12=0,0,D31/D$12)</f>
        <v>0.40042670906046168</v>
      </c>
      <c r="G31" s="4"/>
      <c r="H31" s="4">
        <f>SUM(OSRRefH16x_0)</f>
        <v>434160</v>
      </c>
      <c r="I31" s="4"/>
      <c r="J31" s="12">
        <f t="shared" ref="J31:J34" si="5">IF(H$12=0,0,H31/H$12)</f>
        <v>0.36866077706110723</v>
      </c>
      <c r="K31" s="4"/>
      <c r="L31" s="4">
        <f t="shared" ref="L31:L34" si="6">+D31-H31</f>
        <v>11864.77999999997</v>
      </c>
      <c r="M31" s="4"/>
      <c r="N31" s="12">
        <f t="shared" ref="N31:N34" si="7">IF(H31=0,0,L31/H31)</f>
        <v>2.7328127879122834E-2</v>
      </c>
      <c r="O31" s="10"/>
      <c r="P31" s="4">
        <f>SUM(OSRRefP16x_0)</f>
        <v>715948.42</v>
      </c>
      <c r="Q31" s="4"/>
      <c r="R31" s="12">
        <f t="shared" ref="R31:R34" si="8">IF(P$12=0,0,P31/P$12)</f>
        <v>0.39157894105849106</v>
      </c>
      <c r="S31" s="4"/>
      <c r="T31" s="4">
        <f>SUM(OSRRefT16x_0)</f>
        <v>751302</v>
      </c>
      <c r="U31" s="4"/>
      <c r="V31" s="12">
        <f t="shared" ref="V31:V34" si="9">IF(T$12=0,0,T31/T$12)</f>
        <v>0.36156963443015422</v>
      </c>
      <c r="W31" s="4"/>
      <c r="X31" s="4">
        <f t="shared" ref="X31:X34" si="10">+P31-T31</f>
        <v>-35353.579999999958</v>
      </c>
      <c r="Y31" s="4"/>
      <c r="Z31" s="12">
        <f t="shared" ref="Z31:Z34" si="11">IF(T31=0,0,X31/T31)</f>
        <v>-4.7056416727228143E-2</v>
      </c>
    </row>
    <row r="32" spans="1:26" s="24" customFormat="1" hidden="1" outlineLevel="1" x14ac:dyDescent="0.25">
      <c r="A32" s="46"/>
      <c r="B32" s="11" t="str">
        <f>CONCATENATE("          ", "5000", " - ", "PURCHASES @ COST")</f>
        <v xml:space="preserve">          5000 - PURCHASES @ COST</v>
      </c>
      <c r="C32" s="11"/>
      <c r="D32" s="2"/>
      <c r="E32" s="2"/>
      <c r="F32" s="19">
        <f t="shared" si="4"/>
        <v>0</v>
      </c>
      <c r="G32" s="2"/>
      <c r="H32" s="2">
        <v>434160</v>
      </c>
      <c r="I32" s="2"/>
      <c r="J32" s="19">
        <f t="shared" si="5"/>
        <v>0.36866077706110723</v>
      </c>
      <c r="K32" s="2"/>
      <c r="L32" s="2">
        <f t="shared" si="6"/>
        <v>-434160</v>
      </c>
      <c r="M32" s="2"/>
      <c r="N32" s="19">
        <f t="shared" si="7"/>
        <v>-1</v>
      </c>
      <c r="O32" s="11"/>
      <c r="P32" s="2"/>
      <c r="Q32" s="2"/>
      <c r="R32" s="19">
        <f t="shared" si="8"/>
        <v>0</v>
      </c>
      <c r="S32" s="2"/>
      <c r="T32" s="2">
        <v>751302</v>
      </c>
      <c r="U32" s="2"/>
      <c r="V32" s="19">
        <f t="shared" si="9"/>
        <v>0.36156963443015422</v>
      </c>
      <c r="W32" s="2"/>
      <c r="X32" s="2">
        <f t="shared" si="10"/>
        <v>-751302</v>
      </c>
      <c r="Y32" s="2"/>
      <c r="Z32" s="19">
        <f t="shared" si="11"/>
        <v>-1</v>
      </c>
    </row>
    <row r="33" spans="1:26" s="24" customFormat="1" hidden="1" outlineLevel="1" x14ac:dyDescent="0.25">
      <c r="A33" s="46"/>
      <c r="B33" s="11" t="str">
        <f>CONCATENATE("          ", "5053", " - ", "PURCHASES @ COST-FOOD")</f>
        <v xml:space="preserve">          5053 - PURCHASES @ COST-FOOD</v>
      </c>
      <c r="C33" s="11"/>
      <c r="D33" s="2">
        <v>441567.08999999997</v>
      </c>
      <c r="E33" s="2"/>
      <c r="F33" s="19">
        <f t="shared" si="4"/>
        <v>0.39642473828047109</v>
      </c>
      <c r="G33" s="2"/>
      <c r="H33" s="2"/>
      <c r="I33" s="2"/>
      <c r="J33" s="19">
        <f t="shared" si="5"/>
        <v>0</v>
      </c>
      <c r="K33" s="2"/>
      <c r="L33" s="2">
        <f t="shared" si="6"/>
        <v>441567.08999999997</v>
      </c>
      <c r="M33" s="2"/>
      <c r="N33" s="19">
        <f t="shared" si="7"/>
        <v>0</v>
      </c>
      <c r="O33" s="11"/>
      <c r="P33" s="2">
        <v>782555.91</v>
      </c>
      <c r="Q33" s="2"/>
      <c r="R33" s="19">
        <f t="shared" si="8"/>
        <v>0.42800906601185573</v>
      </c>
      <c r="S33" s="2"/>
      <c r="T33" s="2"/>
      <c r="U33" s="2"/>
      <c r="V33" s="19">
        <f t="shared" si="9"/>
        <v>0</v>
      </c>
      <c r="W33" s="2"/>
      <c r="X33" s="2">
        <f t="shared" si="10"/>
        <v>782555.91</v>
      </c>
      <c r="Y33" s="2"/>
      <c r="Z33" s="19">
        <f t="shared" si="11"/>
        <v>0</v>
      </c>
    </row>
    <row r="34" spans="1:26" s="24" customFormat="1" hidden="1" outlineLevel="1" x14ac:dyDescent="0.25">
      <c r="A34" s="46"/>
      <c r="B34" s="11" t="str">
        <f>CONCATENATE("          ", "5059", " - ", "PURCHASES @ COST-FOOD")</f>
        <v xml:space="preserve">          5059 - PURCHASES @ COST-FOOD</v>
      </c>
      <c r="C34" s="11"/>
      <c r="D34" s="2">
        <v>4457.6899999999996</v>
      </c>
      <c r="E34" s="2"/>
      <c r="F34" s="19">
        <f t="shared" si="4"/>
        <v>4.0019707799905857E-3</v>
      </c>
      <c r="G34" s="2"/>
      <c r="H34" s="2"/>
      <c r="I34" s="2"/>
      <c r="J34" s="19">
        <f t="shared" si="5"/>
        <v>0</v>
      </c>
      <c r="K34" s="2"/>
      <c r="L34" s="2">
        <f t="shared" si="6"/>
        <v>4457.6899999999996</v>
      </c>
      <c r="M34" s="2"/>
      <c r="N34" s="19">
        <f t="shared" si="7"/>
        <v>0</v>
      </c>
      <c r="O34" s="11"/>
      <c r="P34" s="2">
        <v>-66607.490000000005</v>
      </c>
      <c r="Q34" s="2"/>
      <c r="R34" s="19">
        <f t="shared" si="8"/>
        <v>-3.6430124953364701E-2</v>
      </c>
      <c r="S34" s="2"/>
      <c r="T34" s="2"/>
      <c r="U34" s="2"/>
      <c r="V34" s="19">
        <f t="shared" si="9"/>
        <v>0</v>
      </c>
      <c r="W34" s="2"/>
      <c r="X34" s="2">
        <f t="shared" si="10"/>
        <v>-66607.490000000005</v>
      </c>
      <c r="Y34" s="2"/>
      <c r="Z34" s="19">
        <f t="shared" si="11"/>
        <v>0</v>
      </c>
    </row>
    <row r="35" spans="1:26" x14ac:dyDescent="0.25">
      <c r="A35" s="9"/>
      <c r="B35" s="10"/>
      <c r="C35" s="10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O35" s="10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x14ac:dyDescent="0.25">
      <c r="A36" s="10"/>
      <c r="B36" s="29" t="s">
        <v>6</v>
      </c>
      <c r="C36" s="29"/>
      <c r="D36" s="22">
        <f>D12-D31</f>
        <v>667848.91999999993</v>
      </c>
      <c r="E36" s="14"/>
      <c r="F36" s="20">
        <f>IF(D$12=0,0,D36/D$12)</f>
        <v>0.59957329093953826</v>
      </c>
      <c r="G36" s="14"/>
      <c r="H36" s="22">
        <f>H12-H31</f>
        <v>743508</v>
      </c>
      <c r="I36" s="14"/>
      <c r="J36" s="20">
        <f>IF(H$12=0,0,H36/H$12)</f>
        <v>0.63133922293889277</v>
      </c>
      <c r="K36" s="15"/>
      <c r="L36" s="22">
        <f>+D36-H36</f>
        <v>-75659.080000000075</v>
      </c>
      <c r="M36" s="15"/>
      <c r="N36" s="20">
        <f>IF(H36=0,0,L36/H36)</f>
        <v>-0.10175960446962248</v>
      </c>
      <c r="O36" s="28"/>
      <c r="P36" s="22">
        <f>P12-P31</f>
        <v>1112414.5100000002</v>
      </c>
      <c r="Q36" s="14"/>
      <c r="R36" s="20">
        <f>IF(P$12=0,0,P36/P$12)</f>
        <v>0.608421058941509</v>
      </c>
      <c r="S36" s="14"/>
      <c r="T36" s="22">
        <f>T12-T31</f>
        <v>1326588.2</v>
      </c>
      <c r="U36" s="14"/>
      <c r="V36" s="20">
        <f>IF(T$12=0,0,T36/T$12)</f>
        <v>0.63843036556984578</v>
      </c>
      <c r="W36" s="15"/>
      <c r="X36" s="22">
        <f>+P36-T36</f>
        <v>-214173.68999999971</v>
      </c>
      <c r="Y36" s="15"/>
      <c r="Z36" s="20">
        <f>IF(T36=0,0,X36/T36)</f>
        <v>-0.16144700367453874</v>
      </c>
    </row>
    <row r="37" spans="1:26" x14ac:dyDescent="0.25">
      <c r="A37" s="9"/>
      <c r="B37" s="10"/>
      <c r="C37" s="9"/>
      <c r="D37" s="1"/>
      <c r="E37" s="1"/>
      <c r="F37" s="5"/>
      <c r="G37" s="1"/>
      <c r="H37" s="1"/>
      <c r="I37" s="1"/>
      <c r="J37" s="5"/>
      <c r="K37" s="1"/>
      <c r="L37" s="1"/>
      <c r="M37" s="1"/>
      <c r="N37" s="5"/>
      <c r="O37" s="36"/>
      <c r="P37" s="1"/>
      <c r="Q37" s="1"/>
      <c r="R37" s="5"/>
      <c r="S37" s="1"/>
      <c r="T37" s="1"/>
      <c r="U37" s="1"/>
      <c r="V37" s="5"/>
      <c r="W37" s="1"/>
      <c r="X37" s="1"/>
      <c r="Y37" s="1"/>
      <c r="Z37" s="5"/>
    </row>
    <row r="38" spans="1:26" s="23" customFormat="1" x14ac:dyDescent="0.25">
      <c r="A38" s="10"/>
      <c r="B38" s="28" t="s">
        <v>9</v>
      </c>
      <c r="C38" s="10"/>
      <c r="D38" s="21">
        <f>SUM(OSRRefD22x_0)</f>
        <v>656678.59</v>
      </c>
      <c r="E38" s="21"/>
      <c r="F38" s="33">
        <f t="shared" ref="F38:F49" si="12">IF(D$12=0,0,D38/D$12)</f>
        <v>0.58954492775976308</v>
      </c>
      <c r="G38" s="21"/>
      <c r="H38" s="21">
        <f>SUM(OSRRefH22x_0)</f>
        <v>587245.08557706489</v>
      </c>
      <c r="I38" s="21"/>
      <c r="J38" s="33">
        <f t="shared" ref="J38:J49" si="13">IF(H$12=0,0,H38/H$12)</f>
        <v>0.4986507959603767</v>
      </c>
      <c r="K38" s="4"/>
      <c r="L38" s="21">
        <f t="shared" ref="L38:L49" si="14">+D38-H38</f>
        <v>69433.504422935075</v>
      </c>
      <c r="M38" s="4"/>
      <c r="N38" s="33">
        <f t="shared" ref="N38:N49" si="15">IF(H38=0,0,L38/H38)</f>
        <v>0.11823599060808697</v>
      </c>
      <c r="O38" s="10"/>
      <c r="P38" s="21">
        <f>SUM(OSRRefP22x_0)</f>
        <v>1623816.5200000003</v>
      </c>
      <c r="Q38" s="21"/>
      <c r="R38" s="33">
        <f t="shared" ref="R38:R49" si="16">IF(P$12=0,0,P38/P$12)</f>
        <v>0.88812592585215022</v>
      </c>
      <c r="S38" s="21"/>
      <c r="T38" s="21">
        <f>SUM(OSRRefT22x_0)</f>
        <v>1604133.6430845312</v>
      </c>
      <c r="U38" s="21"/>
      <c r="V38" s="33">
        <f t="shared" ref="V38:V49" si="17">IF(T$12=0,0,T38/T$12)</f>
        <v>0.77200115919721424</v>
      </c>
      <c r="W38" s="4"/>
      <c r="X38" s="21">
        <f t="shared" ref="X38:X49" si="18">+P38-T38</f>
        <v>19682.876915469067</v>
      </c>
      <c r="Y38" s="4"/>
      <c r="Z38" s="33">
        <f t="shared" ref="Z38:Z49" si="19">IF(T38=0,0,X38/T38)</f>
        <v>1.2270097943723421E-2</v>
      </c>
    </row>
    <row r="39" spans="1:26" s="26" customFormat="1" outlineLevel="1" collapsed="1" x14ac:dyDescent="0.25">
      <c r="A39" s="27"/>
      <c r="B39" s="13" t="str">
        <f>CONCATENATE("     ","*Benefits                                         ")</f>
        <v xml:space="preserve">     *Benefits                                         </v>
      </c>
      <c r="C39" s="13"/>
      <c r="D39" s="1">
        <f>SUM(OSRRefD22_0x_0)</f>
        <v>92222.64</v>
      </c>
      <c r="E39" s="1"/>
      <c r="F39" s="5">
        <f t="shared" si="12"/>
        <v>8.2794521497365464E-2</v>
      </c>
      <c r="G39" s="1"/>
      <c r="H39" s="1">
        <f>SUM(OSRRefH22_0x_0)</f>
        <v>75784.987792449538</v>
      </c>
      <c r="I39" s="1"/>
      <c r="J39" s="5">
        <f t="shared" si="13"/>
        <v>6.4351742420146879E-2</v>
      </c>
      <c r="K39" s="1"/>
      <c r="L39" s="1">
        <f t="shared" si="14"/>
        <v>16437.652207550462</v>
      </c>
      <c r="M39" s="1"/>
      <c r="N39" s="5">
        <f t="shared" si="15"/>
        <v>0.21689852682391203</v>
      </c>
      <c r="O39" s="13"/>
      <c r="P39" s="1">
        <f>SUM(OSRRefP22_0x_0)</f>
        <v>244817.78000000003</v>
      </c>
      <c r="Q39" s="1"/>
      <c r="R39" s="5">
        <f t="shared" si="16"/>
        <v>0.13389999107015368</v>
      </c>
      <c r="S39" s="1"/>
      <c r="T39" s="1">
        <f>SUM(OSRRefT22_0x_0)</f>
        <v>235908.66048453117</v>
      </c>
      <c r="U39" s="1"/>
      <c r="V39" s="5">
        <f t="shared" si="17"/>
        <v>0.11353278459301226</v>
      </c>
      <c r="W39" s="1"/>
      <c r="X39" s="1">
        <f t="shared" si="18"/>
        <v>8909.1195154688612</v>
      </c>
      <c r="Y39" s="1"/>
      <c r="Z39" s="5">
        <f t="shared" si="19"/>
        <v>3.7765122726611575E-2</v>
      </c>
    </row>
    <row r="40" spans="1:26" s="24" customFormat="1" hidden="1" outlineLevel="2" x14ac:dyDescent="0.25">
      <c r="A40" s="25"/>
      <c r="B40" s="11" t="str">
        <f>CONCATENATE("          ", "6111", " - ", "F.I.C.A.")</f>
        <v xml:space="preserve">          6111 - F.I.C.A.</v>
      </c>
      <c r="C40" s="11"/>
      <c r="D40" s="7">
        <v>13179.45</v>
      </c>
      <c r="E40" s="2"/>
      <c r="F40" s="6">
        <f t="shared" si="12"/>
        <v>1.1832086528302088E-2</v>
      </c>
      <c r="G40" s="2"/>
      <c r="H40" s="7">
        <v>11621.387507748004</v>
      </c>
      <c r="I40" s="2"/>
      <c r="J40" s="6">
        <f t="shared" si="13"/>
        <v>9.8681355931790667E-3</v>
      </c>
      <c r="K40" s="2"/>
      <c r="L40" s="7">
        <f t="shared" si="14"/>
        <v>1558.0624922519964</v>
      </c>
      <c r="M40" s="2"/>
      <c r="N40" s="6">
        <f t="shared" si="15"/>
        <v>0.1340685431247545</v>
      </c>
      <c r="O40" s="11"/>
      <c r="P40" s="7">
        <v>41159.270000000004</v>
      </c>
      <c r="Q40" s="2"/>
      <c r="R40" s="6">
        <f t="shared" si="16"/>
        <v>2.2511542607134352E-2</v>
      </c>
      <c r="S40" s="2"/>
      <c r="T40" s="7">
        <v>41229.929430885008</v>
      </c>
      <c r="U40" s="2"/>
      <c r="V40" s="6">
        <f t="shared" si="17"/>
        <v>1.9842207942886013E-2</v>
      </c>
      <c r="W40" s="2"/>
      <c r="X40" s="7">
        <f t="shared" si="18"/>
        <v>-70.65943088500353</v>
      </c>
      <c r="Y40" s="2"/>
      <c r="Z40" s="6">
        <f t="shared" si="19"/>
        <v>-1.7137897605052198E-3</v>
      </c>
    </row>
    <row r="41" spans="1:26" s="24" customFormat="1" hidden="1" outlineLevel="2" x14ac:dyDescent="0.25">
      <c r="A41" s="25"/>
      <c r="B41" s="11" t="str">
        <f>CONCATENATE("          ", "6112", " - ", "COMPENSATION INSURANCE")</f>
        <v xml:space="preserve">          6112 - COMPENSATION INSURANCE</v>
      </c>
      <c r="C41" s="11"/>
      <c r="D41" s="7">
        <v>9955.99</v>
      </c>
      <c r="E41" s="2"/>
      <c r="F41" s="6">
        <f t="shared" si="12"/>
        <v>8.9381677653400018E-3</v>
      </c>
      <c r="G41" s="2"/>
      <c r="H41" s="7">
        <v>10296.857263464612</v>
      </c>
      <c r="I41" s="2"/>
      <c r="J41" s="6">
        <f t="shared" si="13"/>
        <v>8.7434296112865531E-3</v>
      </c>
      <c r="K41" s="2"/>
      <c r="L41" s="7">
        <f t="shared" si="14"/>
        <v>-340.86726346461182</v>
      </c>
      <c r="M41" s="2"/>
      <c r="N41" s="6">
        <f t="shared" si="15"/>
        <v>-3.3104009771416337E-2</v>
      </c>
      <c r="O41" s="11"/>
      <c r="P41" s="7">
        <v>22632.86</v>
      </c>
      <c r="Q41" s="2"/>
      <c r="R41" s="6">
        <f t="shared" si="16"/>
        <v>1.2378756771228128E-2</v>
      </c>
      <c r="S41" s="2"/>
      <c r="T41" s="7">
        <v>26070.645913099997</v>
      </c>
      <c r="U41" s="2"/>
      <c r="V41" s="6">
        <f t="shared" si="17"/>
        <v>1.2546690827600033E-2</v>
      </c>
      <c r="W41" s="2"/>
      <c r="X41" s="7">
        <f t="shared" si="18"/>
        <v>-3437.7859130999968</v>
      </c>
      <c r="Y41" s="2"/>
      <c r="Z41" s="6">
        <f t="shared" si="19"/>
        <v>-0.13186424013271478</v>
      </c>
    </row>
    <row r="42" spans="1:26" s="24" customFormat="1" hidden="1" outlineLevel="2" x14ac:dyDescent="0.25">
      <c r="A42" s="25"/>
      <c r="B42" s="11" t="str">
        <f>CONCATENATE("          ", "6113", " - ", "GROUP INSURANCE")</f>
        <v xml:space="preserve">          6113 - GROUP INSURANCE</v>
      </c>
      <c r="C42" s="11"/>
      <c r="D42" s="7">
        <v>27020.53</v>
      </c>
      <c r="E42" s="2"/>
      <c r="F42" s="6">
        <f t="shared" si="12"/>
        <v>2.4258163201088239E-2</v>
      </c>
      <c r="G42" s="2"/>
      <c r="H42" s="7">
        <v>27520.792307692311</v>
      </c>
      <c r="I42" s="2"/>
      <c r="J42" s="6">
        <f t="shared" si="13"/>
        <v>2.3368888606714551E-2</v>
      </c>
      <c r="K42" s="2"/>
      <c r="L42" s="7">
        <f t="shared" si="14"/>
        <v>-500.26230769231188</v>
      </c>
      <c r="M42" s="2"/>
      <c r="N42" s="6">
        <f t="shared" si="15"/>
        <v>-1.8177612842653661E-2</v>
      </c>
      <c r="O42" s="11"/>
      <c r="P42" s="7">
        <v>81449.560000000012</v>
      </c>
      <c r="Q42" s="2"/>
      <c r="R42" s="6">
        <f t="shared" si="16"/>
        <v>4.4547807584350882E-2</v>
      </c>
      <c r="S42" s="2"/>
      <c r="T42" s="7">
        <v>82835.446153846162</v>
      </c>
      <c r="U42" s="2"/>
      <c r="V42" s="6">
        <f t="shared" si="17"/>
        <v>3.9865170043078386E-2</v>
      </c>
      <c r="W42" s="2"/>
      <c r="X42" s="7">
        <f t="shared" si="18"/>
        <v>-1385.8861538461497</v>
      </c>
      <c r="Y42" s="2"/>
      <c r="Z42" s="6">
        <f t="shared" si="19"/>
        <v>-1.6730593220590763E-2</v>
      </c>
    </row>
    <row r="43" spans="1:26" s="24" customFormat="1" hidden="1" outlineLevel="2" x14ac:dyDescent="0.25">
      <c r="A43" s="25"/>
      <c r="B43" s="11" t="str">
        <f>CONCATENATE("          ", "6114", " - ", "STATE UNEMPLOYMENT INSURANCE")</f>
        <v xml:space="preserve">          6114 - STATE UNEMPLOYMENT INSURANCE</v>
      </c>
      <c r="C43" s="11"/>
      <c r="D43" s="7">
        <v>788.53</v>
      </c>
      <c r="E43" s="2"/>
      <c r="F43" s="6">
        <f t="shared" si="12"/>
        <v>7.079168850112899E-4</v>
      </c>
      <c r="G43" s="2"/>
      <c r="H43" s="7">
        <v>812.89211016000002</v>
      </c>
      <c r="I43" s="2"/>
      <c r="J43" s="6">
        <f t="shared" si="13"/>
        <v>6.9025575133229398E-4</v>
      </c>
      <c r="K43" s="2"/>
      <c r="L43" s="7">
        <f t="shared" si="14"/>
        <v>-24.362110160000043</v>
      </c>
      <c r="M43" s="2"/>
      <c r="N43" s="6">
        <f t="shared" si="15"/>
        <v>-2.9969672303997261E-2</v>
      </c>
      <c r="O43" s="11"/>
      <c r="P43" s="7">
        <v>1740.27</v>
      </c>
      <c r="Q43" s="2"/>
      <c r="R43" s="6">
        <f t="shared" si="16"/>
        <v>9.5181868514474844E-4</v>
      </c>
      <c r="S43" s="2"/>
      <c r="T43" s="7">
        <v>2062.6914217000003</v>
      </c>
      <c r="U43" s="2"/>
      <c r="V43" s="6">
        <f t="shared" si="17"/>
        <v>9.9268547572917967E-4</v>
      </c>
      <c r="W43" s="2"/>
      <c r="X43" s="7">
        <f t="shared" si="18"/>
        <v>-322.42142170000034</v>
      </c>
      <c r="Y43" s="2"/>
      <c r="Z43" s="6">
        <f t="shared" si="19"/>
        <v>-0.15631103048572895</v>
      </c>
    </row>
    <row r="44" spans="1:26" s="24" customFormat="1" hidden="1" outlineLevel="2" x14ac:dyDescent="0.25">
      <c r="A44" s="25"/>
      <c r="B44" s="11" t="str">
        <f>CONCATENATE("          ", "6115", " - ", "P.E.R.S.")</f>
        <v xml:space="preserve">          6115 - P.E.R.S.</v>
      </c>
      <c r="C44" s="11"/>
      <c r="D44" s="7">
        <v>7735.3</v>
      </c>
      <c r="E44" s="2"/>
      <c r="F44" s="6">
        <f t="shared" si="12"/>
        <v>6.944503672184737E-3</v>
      </c>
      <c r="G44" s="2"/>
      <c r="H44" s="7">
        <v>8289.5649400000057</v>
      </c>
      <c r="I44" s="2"/>
      <c r="J44" s="6">
        <f t="shared" si="13"/>
        <v>7.0389659394668154E-3</v>
      </c>
      <c r="K44" s="2"/>
      <c r="L44" s="7">
        <f t="shared" si="14"/>
        <v>-554.26494000000548</v>
      </c>
      <c r="M44" s="2"/>
      <c r="N44" s="6">
        <f t="shared" si="15"/>
        <v>-6.6862970977582467E-2</v>
      </c>
      <c r="O44" s="11"/>
      <c r="P44" s="7">
        <v>22290.26</v>
      </c>
      <c r="Q44" s="2"/>
      <c r="R44" s="6">
        <f t="shared" si="16"/>
        <v>1.2191376030578347E-2</v>
      </c>
      <c r="S44" s="2"/>
      <c r="T44" s="7">
        <v>26941.086055000014</v>
      </c>
      <c r="U44" s="2"/>
      <c r="V44" s="6">
        <f t="shared" si="17"/>
        <v>1.2965596572427174E-2</v>
      </c>
      <c r="W44" s="2"/>
      <c r="X44" s="7">
        <f t="shared" si="18"/>
        <v>-4650.8260550000159</v>
      </c>
      <c r="Y44" s="2"/>
      <c r="Z44" s="6">
        <f t="shared" si="19"/>
        <v>-0.17262949405623038</v>
      </c>
    </row>
    <row r="45" spans="1:26" s="24" customFormat="1" hidden="1" outlineLevel="2" x14ac:dyDescent="0.25">
      <c r="A45" s="25"/>
      <c r="B45" s="11" t="str">
        <f>CONCATENATE("          ", "6116", " - ", "EDUCATIONAL BENEFITS")</f>
        <v xml:space="preserve">          6116 - EDUCATIONAL BENEFITS</v>
      </c>
      <c r="C45" s="11"/>
      <c r="D45" s="7"/>
      <c r="E45" s="2"/>
      <c r="F45" s="6">
        <f t="shared" si="12"/>
        <v>0</v>
      </c>
      <c r="G45" s="2"/>
      <c r="H45" s="7">
        <v>0</v>
      </c>
      <c r="I45" s="2"/>
      <c r="J45" s="6">
        <f t="shared" si="13"/>
        <v>0</v>
      </c>
      <c r="K45" s="2"/>
      <c r="L45" s="7">
        <f t="shared" si="14"/>
        <v>0</v>
      </c>
      <c r="M45" s="2"/>
      <c r="N45" s="6">
        <f t="shared" si="15"/>
        <v>0</v>
      </c>
      <c r="O45" s="11"/>
      <c r="P45" s="7"/>
      <c r="Q45" s="2"/>
      <c r="R45" s="6">
        <f t="shared" si="16"/>
        <v>0</v>
      </c>
      <c r="S45" s="2"/>
      <c r="T45" s="7">
        <v>8000</v>
      </c>
      <c r="U45" s="2"/>
      <c r="V45" s="6">
        <f t="shared" si="17"/>
        <v>3.8500590647186266E-3</v>
      </c>
      <c r="W45" s="2"/>
      <c r="X45" s="7">
        <f t="shared" si="18"/>
        <v>-8000</v>
      </c>
      <c r="Y45" s="2"/>
      <c r="Z45" s="6">
        <f t="shared" si="19"/>
        <v>-1</v>
      </c>
    </row>
    <row r="46" spans="1:26" s="24" customFormat="1" hidden="1" outlineLevel="2" x14ac:dyDescent="0.25">
      <c r="A46" s="25"/>
      <c r="B46" s="11" t="str">
        <f>CONCATENATE("          ", "6117", " - ", "RETIREMENT STAFF HOURLY")</f>
        <v xml:space="preserve">          6117 - RETIREMENT STAFF HOURLY</v>
      </c>
      <c r="C46" s="11"/>
      <c r="D46" s="7">
        <v>84</v>
      </c>
      <c r="E46" s="2"/>
      <c r="F46" s="6">
        <f t="shared" si="12"/>
        <v>7.5412499639770654E-5</v>
      </c>
      <c r="G46" s="2"/>
      <c r="H46" s="7"/>
      <c r="I46" s="2"/>
      <c r="J46" s="6">
        <f t="shared" si="13"/>
        <v>0</v>
      </c>
      <c r="K46" s="2"/>
      <c r="L46" s="7">
        <f t="shared" si="14"/>
        <v>84</v>
      </c>
      <c r="M46" s="2"/>
      <c r="N46" s="6">
        <f t="shared" si="15"/>
        <v>0</v>
      </c>
      <c r="O46" s="11"/>
      <c r="P46" s="7">
        <v>196</v>
      </c>
      <c r="Q46" s="2"/>
      <c r="R46" s="6">
        <f t="shared" si="16"/>
        <v>1.071997231971882E-4</v>
      </c>
      <c r="S46" s="2"/>
      <c r="T46" s="7"/>
      <c r="U46" s="2"/>
      <c r="V46" s="6">
        <f t="shared" si="17"/>
        <v>0</v>
      </c>
      <c r="W46" s="2"/>
      <c r="X46" s="7">
        <f t="shared" si="18"/>
        <v>196</v>
      </c>
      <c r="Y46" s="2"/>
      <c r="Z46" s="6">
        <f t="shared" si="19"/>
        <v>0</v>
      </c>
    </row>
    <row r="47" spans="1:26" s="24" customFormat="1" hidden="1" outlineLevel="2" x14ac:dyDescent="0.25">
      <c r="A47" s="25"/>
      <c r="B47" s="11" t="str">
        <f>CONCATENATE("          ", "6118", " - ", "VACATION")</f>
        <v xml:space="preserve">          6118 - VACATION</v>
      </c>
      <c r="C47" s="11"/>
      <c r="D47" s="7">
        <v>10432.92</v>
      </c>
      <c r="E47" s="2"/>
      <c r="F47" s="6">
        <f t="shared" si="12"/>
        <v>9.366340187401857E-3</v>
      </c>
      <c r="G47" s="2"/>
      <c r="H47" s="7">
        <v>5849.6112999999959</v>
      </c>
      <c r="I47" s="2"/>
      <c r="J47" s="6">
        <f t="shared" si="13"/>
        <v>4.9671140762931453E-3</v>
      </c>
      <c r="K47" s="2"/>
      <c r="L47" s="7">
        <f t="shared" si="14"/>
        <v>4583.3087000000041</v>
      </c>
      <c r="M47" s="2"/>
      <c r="N47" s="6">
        <f t="shared" si="15"/>
        <v>0.78352363344210707</v>
      </c>
      <c r="O47" s="11"/>
      <c r="P47" s="7">
        <v>26965.350000000002</v>
      </c>
      <c r="Q47" s="2"/>
      <c r="R47" s="6">
        <f t="shared" si="16"/>
        <v>1.4748357428139281E-2</v>
      </c>
      <c r="S47" s="2"/>
      <c r="T47" s="7">
        <v>18888.57592499999</v>
      </c>
      <c r="U47" s="2"/>
      <c r="V47" s="6">
        <f t="shared" si="17"/>
        <v>9.0902666199590282E-3</v>
      </c>
      <c r="W47" s="2"/>
      <c r="X47" s="7">
        <f t="shared" si="18"/>
        <v>8076.7740750000121</v>
      </c>
      <c r="Y47" s="2"/>
      <c r="Z47" s="6">
        <f t="shared" si="19"/>
        <v>0.42760100640038146</v>
      </c>
    </row>
    <row r="48" spans="1:26" s="24" customFormat="1" hidden="1" outlineLevel="2" x14ac:dyDescent="0.25">
      <c r="A48" s="25"/>
      <c r="B48" s="11" t="str">
        <f>CONCATENATE("          ", "6119", " - ", "SICK LEAVE")</f>
        <v xml:space="preserve">          6119 - SICK LEAVE</v>
      </c>
      <c r="C48" s="11"/>
      <c r="D48" s="7">
        <v>19511.259999999998</v>
      </c>
      <c r="E48" s="2"/>
      <c r="F48" s="6">
        <f t="shared" si="12"/>
        <v>1.7516581996684183E-2</v>
      </c>
      <c r="G48" s="2"/>
      <c r="H48" s="7">
        <v>9668.8823633846168</v>
      </c>
      <c r="I48" s="2"/>
      <c r="J48" s="6">
        <f t="shared" si="13"/>
        <v>8.2101936737557762E-3</v>
      </c>
      <c r="K48" s="2"/>
      <c r="L48" s="7">
        <f t="shared" si="14"/>
        <v>9842.3776366153816</v>
      </c>
      <c r="M48" s="2"/>
      <c r="N48" s="6">
        <f t="shared" si="15"/>
        <v>1.0179436740163248</v>
      </c>
      <c r="O48" s="11"/>
      <c r="P48" s="7">
        <v>38927.599999999999</v>
      </c>
      <c r="Q48" s="2"/>
      <c r="R48" s="6">
        <f t="shared" si="16"/>
        <v>2.1290958901688077E-2</v>
      </c>
      <c r="S48" s="2"/>
      <c r="T48" s="7">
        <v>24580.285585000001</v>
      </c>
      <c r="U48" s="2"/>
      <c r="V48" s="6">
        <f t="shared" si="17"/>
        <v>1.1829443916237732E-2</v>
      </c>
      <c r="W48" s="2"/>
      <c r="X48" s="7">
        <f t="shared" si="18"/>
        <v>14347.314414999997</v>
      </c>
      <c r="Y48" s="2"/>
      <c r="Z48" s="6">
        <f t="shared" si="19"/>
        <v>0.58369193333357261</v>
      </c>
    </row>
    <row r="49" spans="1:26" s="24" customFormat="1" hidden="1" outlineLevel="2" x14ac:dyDescent="0.25">
      <c r="A49" s="25"/>
      <c r="B49" s="11" t="str">
        <f>CONCATENATE("          ", "6156", " - ", "EMPLOYEE MEALS")</f>
        <v xml:space="preserve">          6156 - EMPLOYEE MEALS</v>
      </c>
      <c r="C49" s="11"/>
      <c r="D49" s="7">
        <v>3514.66</v>
      </c>
      <c r="E49" s="2"/>
      <c r="F49" s="6">
        <f t="shared" si="12"/>
        <v>3.1553487617132893E-3</v>
      </c>
      <c r="G49" s="2"/>
      <c r="H49" s="7">
        <v>1725</v>
      </c>
      <c r="I49" s="2"/>
      <c r="J49" s="6">
        <f t="shared" si="13"/>
        <v>1.4647591681186888E-3</v>
      </c>
      <c r="K49" s="2"/>
      <c r="L49" s="7">
        <f t="shared" si="14"/>
        <v>1789.6599999999999</v>
      </c>
      <c r="M49" s="2"/>
      <c r="N49" s="6">
        <f t="shared" si="15"/>
        <v>1.0374840579710145</v>
      </c>
      <c r="O49" s="11"/>
      <c r="P49" s="7">
        <v>9456.61</v>
      </c>
      <c r="Q49" s="2"/>
      <c r="R49" s="6">
        <f t="shared" si="16"/>
        <v>5.1721733386926629E-3</v>
      </c>
      <c r="S49" s="2"/>
      <c r="T49" s="7">
        <v>5300</v>
      </c>
      <c r="U49" s="2"/>
      <c r="V49" s="6">
        <f t="shared" si="17"/>
        <v>2.5506641303760904E-3</v>
      </c>
      <c r="W49" s="2"/>
      <c r="X49" s="7">
        <f t="shared" si="18"/>
        <v>4156.6100000000006</v>
      </c>
      <c r="Y49" s="2"/>
      <c r="Z49" s="6">
        <f t="shared" si="19"/>
        <v>0.78426603773584913</v>
      </c>
    </row>
    <row r="50" spans="1:26" s="26" customFormat="1" outlineLevel="1" collapsed="1" x14ac:dyDescent="0.25">
      <c r="A50" s="27"/>
      <c r="B50" s="13" t="str">
        <f>CONCATENATE("     ","*Payroll                                          ")</f>
        <v xml:space="preserve">     *Payroll                                          </v>
      </c>
      <c r="C50" s="13"/>
      <c r="D50" s="1">
        <f>SUM(OSRRefD22_1x_0)</f>
        <v>303601.33999999997</v>
      </c>
      <c r="E50" s="1"/>
      <c r="F50" s="5">
        <f t="shared" ref="F50:F60" si="20">IF(D$12=0,0,D50/D$12)</f>
        <v>0.27256352313552246</v>
      </c>
      <c r="G50" s="1"/>
      <c r="H50" s="1">
        <f>SUM(OSRRefH22_1x_0)</f>
        <v>295309.09778461541</v>
      </c>
      <c r="I50" s="1"/>
      <c r="J50" s="5">
        <f t="shared" ref="J50:J60" si="21">IF(H$12=0,0,H50/H$12)</f>
        <v>0.25075751212108627</v>
      </c>
      <c r="K50" s="1"/>
      <c r="L50" s="1">
        <f t="shared" ref="L50:L60" si="22">+D50-H50</f>
        <v>8292.2422153845546</v>
      </c>
      <c r="M50" s="1"/>
      <c r="N50" s="5">
        <f t="shared" ref="N50:N60" si="23">IF(H50=0,0,L50/H50)</f>
        <v>2.807987385960092E-2</v>
      </c>
      <c r="O50" s="13"/>
      <c r="P50" s="1">
        <f>SUM(OSRRefP22_1x_0)</f>
        <v>727775.57000000007</v>
      </c>
      <c r="Q50" s="1"/>
      <c r="R50" s="5">
        <f t="shared" ref="R50:R60" si="24">IF(P$12=0,0,P50/P$12)</f>
        <v>0.39804765129426467</v>
      </c>
      <c r="S50" s="1"/>
      <c r="T50" s="1">
        <f>SUM(OSRRefT22_1x_0)</f>
        <v>741852.65260000003</v>
      </c>
      <c r="U50" s="1"/>
      <c r="V50" s="5">
        <f t="shared" ref="V50:V60" si="25">IF(T$12=0,0,T50/T$12)</f>
        <v>0.35702206622852356</v>
      </c>
      <c r="W50" s="1"/>
      <c r="X50" s="1">
        <f t="shared" ref="X50:X60" si="26">+P50-T50</f>
        <v>-14077.082599999965</v>
      </c>
      <c r="Y50" s="1"/>
      <c r="Z50" s="5">
        <f t="shared" ref="Z50:Z60" si="27">IF(T50=0,0,X50/T50)</f>
        <v>-1.8975577630764632E-2</v>
      </c>
    </row>
    <row r="51" spans="1:26" s="24" customFormat="1" hidden="1" outlineLevel="2" x14ac:dyDescent="0.25">
      <c r="A51" s="25"/>
      <c r="B51" s="11" t="str">
        <f>CONCATENATE("          ", "6001", " - ", "ADMINISTRATIVE SALARIES")</f>
        <v xml:space="preserve">          6001 - ADMINISTRATIVE SALARIES</v>
      </c>
      <c r="C51" s="11"/>
      <c r="D51" s="7">
        <v>16211.87</v>
      </c>
      <c r="E51" s="2"/>
      <c r="F51" s="6">
        <f t="shared" si="20"/>
        <v>1.4554495720654866E-2</v>
      </c>
      <c r="G51" s="2"/>
      <c r="H51" s="7">
        <v>33015.773538461544</v>
      </c>
      <c r="I51" s="2"/>
      <c r="J51" s="6">
        <f t="shared" si="21"/>
        <v>2.8034873613328667E-2</v>
      </c>
      <c r="K51" s="2"/>
      <c r="L51" s="7">
        <f t="shared" si="22"/>
        <v>-16803.903538461542</v>
      </c>
      <c r="M51" s="2"/>
      <c r="N51" s="6">
        <f t="shared" si="23"/>
        <v>-0.50896591954406056</v>
      </c>
      <c r="O51" s="11"/>
      <c r="P51" s="7">
        <v>51694.77</v>
      </c>
      <c r="Q51" s="2"/>
      <c r="R51" s="6">
        <f t="shared" si="24"/>
        <v>2.8273801197664837E-2</v>
      </c>
      <c r="S51" s="2"/>
      <c r="T51" s="7">
        <v>107301.26400000001</v>
      </c>
      <c r="U51" s="2"/>
      <c r="V51" s="6">
        <f t="shared" si="25"/>
        <v>5.1639525514870811E-2</v>
      </c>
      <c r="W51" s="2"/>
      <c r="X51" s="7">
        <f t="shared" si="26"/>
        <v>-55606.494000000013</v>
      </c>
      <c r="Y51" s="2"/>
      <c r="Z51" s="6">
        <f t="shared" si="27"/>
        <v>-0.51822776290873895</v>
      </c>
    </row>
    <row r="52" spans="1:26" s="24" customFormat="1" hidden="1" outlineLevel="2" x14ac:dyDescent="0.25">
      <c r="A52" s="25"/>
      <c r="B52" s="11" t="str">
        <f>CONCATENATE("          ", "6002", " - ", "STAFF SALARIES")</f>
        <v xml:space="preserve">          6002 - STAFF SALARIES</v>
      </c>
      <c r="C52" s="11"/>
      <c r="D52" s="7">
        <v>71637.929999999993</v>
      </c>
      <c r="E52" s="2"/>
      <c r="F52" s="6">
        <f t="shared" si="20"/>
        <v>6.4314230599034697E-2</v>
      </c>
      <c r="G52" s="2"/>
      <c r="H52" s="7">
        <v>54927.481646153872</v>
      </c>
      <c r="I52" s="2"/>
      <c r="J52" s="6">
        <f t="shared" si="21"/>
        <v>4.6640888303115878E-2</v>
      </c>
      <c r="K52" s="2"/>
      <c r="L52" s="7">
        <f t="shared" si="22"/>
        <v>16710.448353846121</v>
      </c>
      <c r="M52" s="2"/>
      <c r="N52" s="6">
        <f t="shared" si="23"/>
        <v>0.3042274623383579</v>
      </c>
      <c r="O52" s="11"/>
      <c r="P52" s="7">
        <v>214687</v>
      </c>
      <c r="Q52" s="2"/>
      <c r="R52" s="6">
        <f t="shared" si="24"/>
        <v>0.11742034170425888</v>
      </c>
      <c r="S52" s="2"/>
      <c r="T52" s="7">
        <v>178514.31535000005</v>
      </c>
      <c r="U52" s="2"/>
      <c r="V52" s="6">
        <f t="shared" si="25"/>
        <v>8.59113322494134E-2</v>
      </c>
      <c r="W52" s="2"/>
      <c r="X52" s="7">
        <f t="shared" si="26"/>
        <v>36172.684649999952</v>
      </c>
      <c r="Y52" s="2"/>
      <c r="Z52" s="6">
        <f t="shared" si="27"/>
        <v>0.20263184260085135</v>
      </c>
    </row>
    <row r="53" spans="1:26" s="24" customFormat="1" hidden="1" outlineLevel="2" x14ac:dyDescent="0.25">
      <c r="A53" s="25"/>
      <c r="B53" s="11" t="str">
        <f>CONCATENATE("          ", "6003", " - ", "STAFF HOURLY-9 MONTH")</f>
        <v xml:space="preserve">          6003 - STAFF HOURLY-9 MONTH</v>
      </c>
      <c r="C53" s="11"/>
      <c r="D53" s="7"/>
      <c r="E53" s="2"/>
      <c r="F53" s="6">
        <f t="shared" si="20"/>
        <v>0</v>
      </c>
      <c r="G53" s="2"/>
      <c r="H53" s="7">
        <v>0</v>
      </c>
      <c r="I53" s="2"/>
      <c r="J53" s="6">
        <f t="shared" si="21"/>
        <v>0</v>
      </c>
      <c r="K53" s="2"/>
      <c r="L53" s="7">
        <f t="shared" si="22"/>
        <v>0</v>
      </c>
      <c r="M53" s="2"/>
      <c r="N53" s="6">
        <f t="shared" si="23"/>
        <v>0</v>
      </c>
      <c r="O53" s="11"/>
      <c r="P53" s="7"/>
      <c r="Q53" s="2"/>
      <c r="R53" s="6">
        <f t="shared" si="24"/>
        <v>0</v>
      </c>
      <c r="S53" s="2"/>
      <c r="T53" s="7">
        <v>0</v>
      </c>
      <c r="U53" s="2"/>
      <c r="V53" s="6">
        <f t="shared" si="25"/>
        <v>0</v>
      </c>
      <c r="W53" s="2"/>
      <c r="X53" s="7">
        <f t="shared" si="26"/>
        <v>0</v>
      </c>
      <c r="Y53" s="2"/>
      <c r="Z53" s="6">
        <f t="shared" si="27"/>
        <v>0</v>
      </c>
    </row>
    <row r="54" spans="1:26" s="24" customFormat="1" hidden="1" outlineLevel="2" x14ac:dyDescent="0.25">
      <c r="A54" s="25"/>
      <c r="B54" s="11" t="str">
        <f>CONCATENATE("          ", "6004", " - ", "STAFF HOURLY")</f>
        <v xml:space="preserve">          6004 - STAFF HOURLY</v>
      </c>
      <c r="C54" s="11"/>
      <c r="D54" s="7">
        <v>19617.900000000001</v>
      </c>
      <c r="E54" s="2"/>
      <c r="F54" s="6">
        <f t="shared" si="20"/>
        <v>1.761231996051258E-2</v>
      </c>
      <c r="G54" s="2"/>
      <c r="H54" s="7">
        <v>53709.8416</v>
      </c>
      <c r="I54" s="2"/>
      <c r="J54" s="6">
        <f t="shared" si="21"/>
        <v>4.5606946609740608E-2</v>
      </c>
      <c r="K54" s="2"/>
      <c r="L54" s="7">
        <f t="shared" si="22"/>
        <v>-34091.941599999998</v>
      </c>
      <c r="M54" s="2"/>
      <c r="N54" s="6">
        <f t="shared" si="23"/>
        <v>-0.63474291832579155</v>
      </c>
      <c r="O54" s="11"/>
      <c r="P54" s="7">
        <v>52783.21</v>
      </c>
      <c r="Q54" s="2"/>
      <c r="R54" s="6">
        <f t="shared" si="24"/>
        <v>2.8869109701321713E-2</v>
      </c>
      <c r="S54" s="2"/>
      <c r="T54" s="7">
        <v>153804.37349999999</v>
      </c>
      <c r="U54" s="2"/>
      <c r="V54" s="6">
        <f t="shared" si="25"/>
        <v>7.4019490298380536E-2</v>
      </c>
      <c r="W54" s="2"/>
      <c r="X54" s="7">
        <f t="shared" si="26"/>
        <v>-101021.1635</v>
      </c>
      <c r="Y54" s="2"/>
      <c r="Z54" s="6">
        <f t="shared" si="27"/>
        <v>-0.65681593573150243</v>
      </c>
    </row>
    <row r="55" spans="1:26" s="24" customFormat="1" hidden="1" outlineLevel="2" x14ac:dyDescent="0.25">
      <c r="A55" s="25"/>
      <c r="B55" s="11" t="str">
        <f>CONCATENATE("          ", "6005", " - ", "TEMPORARY WAGES-HOURLY")</f>
        <v xml:space="preserve">          6005 - TEMPORARY WAGES-HOURLY</v>
      </c>
      <c r="C55" s="11"/>
      <c r="D55" s="7">
        <v>58234.52</v>
      </c>
      <c r="E55" s="2"/>
      <c r="F55" s="6">
        <f t="shared" si="20"/>
        <v>5.2281079982407337E-2</v>
      </c>
      <c r="G55" s="2"/>
      <c r="H55" s="7">
        <v>34110.726000000002</v>
      </c>
      <c r="I55" s="2"/>
      <c r="J55" s="6">
        <f t="shared" si="21"/>
        <v>2.8964636892570745E-2</v>
      </c>
      <c r="K55" s="2"/>
      <c r="L55" s="7">
        <f t="shared" si="22"/>
        <v>24123.793999999994</v>
      </c>
      <c r="M55" s="2"/>
      <c r="N55" s="6">
        <f t="shared" si="23"/>
        <v>0.70722018640119222</v>
      </c>
      <c r="O55" s="11"/>
      <c r="P55" s="7">
        <v>130289.54000000001</v>
      </c>
      <c r="Q55" s="2"/>
      <c r="R55" s="6">
        <f t="shared" si="24"/>
        <v>7.1260217466780518E-2</v>
      </c>
      <c r="S55" s="2"/>
      <c r="T55" s="7">
        <v>76945.040999999997</v>
      </c>
      <c r="U55" s="2"/>
      <c r="V55" s="6">
        <f t="shared" si="25"/>
        <v>3.7030369073399544E-2</v>
      </c>
      <c r="W55" s="2"/>
      <c r="X55" s="7">
        <f t="shared" si="26"/>
        <v>53344.499000000011</v>
      </c>
      <c r="Y55" s="2"/>
      <c r="Z55" s="6">
        <f t="shared" si="27"/>
        <v>0.69328053252970534</v>
      </c>
    </row>
    <row r="56" spans="1:26" s="24" customFormat="1" hidden="1" outlineLevel="2" x14ac:dyDescent="0.25">
      <c r="A56" s="25"/>
      <c r="B56" s="11" t="str">
        <f>CONCATENATE("          ", "6006", " - ", "TEMPORARY PART TIME")</f>
        <v xml:space="preserve">          6006 - TEMPORARY PART TIME</v>
      </c>
      <c r="C56" s="11"/>
      <c r="D56" s="7">
        <v>4649.8500000000004</v>
      </c>
      <c r="E56" s="2"/>
      <c r="F56" s="6">
        <f t="shared" si="20"/>
        <v>4.1744858505950904E-3</v>
      </c>
      <c r="G56" s="2"/>
      <c r="H56" s="7">
        <v>0</v>
      </c>
      <c r="I56" s="2"/>
      <c r="J56" s="6">
        <f t="shared" si="21"/>
        <v>0</v>
      </c>
      <c r="K56" s="2"/>
      <c r="L56" s="7">
        <f t="shared" si="22"/>
        <v>4649.8500000000004</v>
      </c>
      <c r="M56" s="2"/>
      <c r="N56" s="6">
        <f t="shared" si="23"/>
        <v>0</v>
      </c>
      <c r="O56" s="11"/>
      <c r="P56" s="7">
        <v>10234.120000000001</v>
      </c>
      <c r="Q56" s="2"/>
      <c r="R56" s="6">
        <f t="shared" si="24"/>
        <v>5.5974226079939168E-3</v>
      </c>
      <c r="S56" s="2"/>
      <c r="T56" s="7">
        <v>0</v>
      </c>
      <c r="U56" s="2"/>
      <c r="V56" s="6">
        <f t="shared" si="25"/>
        <v>0</v>
      </c>
      <c r="W56" s="2"/>
      <c r="X56" s="7">
        <f t="shared" si="26"/>
        <v>10234.120000000001</v>
      </c>
      <c r="Y56" s="2"/>
      <c r="Z56" s="6">
        <f t="shared" si="27"/>
        <v>0</v>
      </c>
    </row>
    <row r="57" spans="1:26" s="24" customFormat="1" hidden="1" outlineLevel="2" x14ac:dyDescent="0.25">
      <c r="A57" s="25"/>
      <c r="B57" s="11" t="str">
        <f>CONCATENATE("          ", "6007", " - ", "STUDENT HOURLY")</f>
        <v xml:space="preserve">          6007 - STUDENT HOURLY</v>
      </c>
      <c r="C57" s="11"/>
      <c r="D57" s="7">
        <v>127881.70999999999</v>
      </c>
      <c r="E57" s="2"/>
      <c r="F57" s="6">
        <f t="shared" si="20"/>
        <v>0.11480808820605065</v>
      </c>
      <c r="G57" s="2"/>
      <c r="H57" s="7">
        <v>892.5</v>
      </c>
      <c r="I57" s="2"/>
      <c r="J57" s="6">
        <f t="shared" si="21"/>
        <v>7.5785365654836511E-4</v>
      </c>
      <c r="K57" s="2"/>
      <c r="L57" s="7">
        <f t="shared" si="22"/>
        <v>126989.20999999999</v>
      </c>
      <c r="M57" s="2"/>
      <c r="N57" s="6">
        <f t="shared" si="23"/>
        <v>142.28482913165266</v>
      </c>
      <c r="O57" s="11"/>
      <c r="P57" s="7">
        <v>255381.66999999998</v>
      </c>
      <c r="Q57" s="2"/>
      <c r="R57" s="6">
        <f t="shared" si="24"/>
        <v>0.13967777721242683</v>
      </c>
      <c r="S57" s="2"/>
      <c r="T57" s="7">
        <v>59848.943750000006</v>
      </c>
      <c r="U57" s="2"/>
      <c r="V57" s="6">
        <f t="shared" si="25"/>
        <v>2.880274604981534E-2</v>
      </c>
      <c r="W57" s="2"/>
      <c r="X57" s="7">
        <f t="shared" si="26"/>
        <v>195532.72624999998</v>
      </c>
      <c r="Y57" s="2"/>
      <c r="Z57" s="6">
        <f t="shared" si="27"/>
        <v>3.2671040455914473</v>
      </c>
    </row>
    <row r="58" spans="1:26" s="24" customFormat="1" hidden="1" outlineLevel="2" x14ac:dyDescent="0.25">
      <c r="A58" s="25"/>
      <c r="B58" s="11" t="str">
        <f>CONCATENATE("          ", "6008", " - ", "STUDENT HOURLY-FICA EXEMPT")</f>
        <v xml:space="preserve">          6008 - STUDENT HOURLY-FICA EXEMPT</v>
      </c>
      <c r="C58" s="11"/>
      <c r="D58" s="7">
        <v>5367.56</v>
      </c>
      <c r="E58" s="2"/>
      <c r="F58" s="6">
        <f t="shared" si="20"/>
        <v>4.8188228162672313E-3</v>
      </c>
      <c r="G58" s="2"/>
      <c r="H58" s="7">
        <v>118652.77500000001</v>
      </c>
      <c r="I58" s="2"/>
      <c r="J58" s="6">
        <f t="shared" si="21"/>
        <v>0.10075231304578201</v>
      </c>
      <c r="K58" s="2"/>
      <c r="L58" s="7">
        <f t="shared" si="22"/>
        <v>-113285.21500000001</v>
      </c>
      <c r="M58" s="2"/>
      <c r="N58" s="6">
        <f t="shared" si="23"/>
        <v>-0.95476245709381857</v>
      </c>
      <c r="O58" s="11"/>
      <c r="P58" s="7">
        <v>12705.26</v>
      </c>
      <c r="Q58" s="2"/>
      <c r="R58" s="6">
        <f t="shared" si="24"/>
        <v>6.9489814038178948E-3</v>
      </c>
      <c r="S58" s="2"/>
      <c r="T58" s="7">
        <v>165438.715</v>
      </c>
      <c r="U58" s="2"/>
      <c r="V58" s="6">
        <f t="shared" si="25"/>
        <v>7.9618603042643926E-2</v>
      </c>
      <c r="W58" s="2"/>
      <c r="X58" s="7">
        <f t="shared" si="26"/>
        <v>-152733.45499999999</v>
      </c>
      <c r="Y58" s="2"/>
      <c r="Z58" s="6">
        <f t="shared" si="27"/>
        <v>-0.92320261916927959</v>
      </c>
    </row>
    <row r="59" spans="1:26" s="24" customFormat="1" hidden="1" outlineLevel="2" x14ac:dyDescent="0.25">
      <c r="A59" s="25"/>
      <c r="B59" s="11" t="str">
        <f>CONCATENATE("          ", "6009", " - ", "TEMPORARY-SEASONAL")</f>
        <v xml:space="preserve">          6009 - TEMPORARY-SEASONAL</v>
      </c>
      <c r="C59" s="11"/>
      <c r="D59" s="7"/>
      <c r="E59" s="2"/>
      <c r="F59" s="6">
        <f t="shared" si="20"/>
        <v>0</v>
      </c>
      <c r="G59" s="2"/>
      <c r="H59" s="7">
        <v>0</v>
      </c>
      <c r="I59" s="2"/>
      <c r="J59" s="6">
        <f t="shared" si="21"/>
        <v>0</v>
      </c>
      <c r="K59" s="2"/>
      <c r="L59" s="7">
        <f t="shared" si="22"/>
        <v>0</v>
      </c>
      <c r="M59" s="2"/>
      <c r="N59" s="6">
        <f t="shared" si="23"/>
        <v>0</v>
      </c>
      <c r="O59" s="11"/>
      <c r="P59" s="7"/>
      <c r="Q59" s="2"/>
      <c r="R59" s="6">
        <f t="shared" si="24"/>
        <v>0</v>
      </c>
      <c r="S59" s="2"/>
      <c r="T59" s="7">
        <v>0</v>
      </c>
      <c r="U59" s="2"/>
      <c r="V59" s="6">
        <f t="shared" si="25"/>
        <v>0</v>
      </c>
      <c r="W59" s="2"/>
      <c r="X59" s="7">
        <f t="shared" si="26"/>
        <v>0</v>
      </c>
      <c r="Y59" s="2"/>
      <c r="Z59" s="6">
        <f t="shared" si="27"/>
        <v>0</v>
      </c>
    </row>
    <row r="60" spans="1:26" s="24" customFormat="1" hidden="1" outlineLevel="2" x14ac:dyDescent="0.25">
      <c r="A60" s="25"/>
      <c r="B60" s="11" t="str">
        <f>CONCATENATE("          ", "6010", " - ", "GRATUITY")</f>
        <v xml:space="preserve">          6010 - GRATUITY</v>
      </c>
      <c r="C60" s="11"/>
      <c r="D60" s="7"/>
      <c r="E60" s="2"/>
      <c r="F60" s="6">
        <f t="shared" si="20"/>
        <v>0</v>
      </c>
      <c r="G60" s="2"/>
      <c r="H60" s="7">
        <v>0</v>
      </c>
      <c r="I60" s="2"/>
      <c r="J60" s="6">
        <f t="shared" si="21"/>
        <v>0</v>
      </c>
      <c r="K60" s="2"/>
      <c r="L60" s="7">
        <f t="shared" si="22"/>
        <v>0</v>
      </c>
      <c r="M60" s="2"/>
      <c r="N60" s="6">
        <f t="shared" si="23"/>
        <v>0</v>
      </c>
      <c r="O60" s="11"/>
      <c r="P60" s="7"/>
      <c r="Q60" s="2"/>
      <c r="R60" s="6">
        <f t="shared" si="24"/>
        <v>0</v>
      </c>
      <c r="S60" s="2"/>
      <c r="T60" s="7">
        <v>0</v>
      </c>
      <c r="U60" s="2"/>
      <c r="V60" s="6">
        <f t="shared" si="25"/>
        <v>0</v>
      </c>
      <c r="W60" s="2"/>
      <c r="X60" s="7">
        <f t="shared" si="26"/>
        <v>0</v>
      </c>
      <c r="Y60" s="2"/>
      <c r="Z60" s="6">
        <f t="shared" si="27"/>
        <v>0</v>
      </c>
    </row>
    <row r="61" spans="1:26" s="26" customFormat="1" outlineLevel="1" collapsed="1" x14ac:dyDescent="0.25">
      <c r="A61" s="27"/>
      <c r="B61" s="13" t="str">
        <f>CONCATENATE("     ","Advertising/Promo                                 ")</f>
        <v xml:space="preserve">     Advertising/Promo                                 </v>
      </c>
      <c r="C61" s="13"/>
      <c r="D61" s="1">
        <f>SUM(OSRRefD22_2x_0)</f>
        <v>1482.09</v>
      </c>
      <c r="E61" s="1"/>
      <c r="F61" s="5">
        <f t="shared" ref="F61:F71" si="28">IF(D$12=0,0,D61/D$12)</f>
        <v>1.3305727570369962E-3</v>
      </c>
      <c r="G61" s="1"/>
      <c r="H61" s="1">
        <f>SUM(OSRRefH22_2x_0)</f>
        <v>1600</v>
      </c>
      <c r="I61" s="1"/>
      <c r="J61" s="5">
        <f t="shared" ref="J61:J71" si="29">IF(H$12=0,0,H61/H$12)</f>
        <v>1.358617199414436E-3</v>
      </c>
      <c r="K61" s="1"/>
      <c r="L61" s="1">
        <f t="shared" ref="L61:L71" si="30">+D61-H61</f>
        <v>-117.91000000000008</v>
      </c>
      <c r="M61" s="1"/>
      <c r="N61" s="5">
        <f t="shared" ref="N61:N71" si="31">IF(H61=0,0,L61/H61)</f>
        <v>-7.3693750000000058E-2</v>
      </c>
      <c r="O61" s="13"/>
      <c r="P61" s="1">
        <f>SUM(OSRRefP22_2x_0)</f>
        <v>7255.64</v>
      </c>
      <c r="Q61" s="1"/>
      <c r="R61" s="5">
        <f t="shared" ref="R61:R71" si="32">IF(P$12=0,0,P61/P$12)</f>
        <v>3.968380610298197E-3</v>
      </c>
      <c r="S61" s="1"/>
      <c r="T61" s="1">
        <f>SUM(OSRRefT22_2x_0)</f>
        <v>7425</v>
      </c>
      <c r="U61" s="1"/>
      <c r="V61" s="5">
        <f t="shared" ref="V61:V71" si="33">IF(T$12=0,0,T61/T$12)</f>
        <v>3.5733360694419755E-3</v>
      </c>
      <c r="W61" s="1"/>
      <c r="X61" s="1">
        <f t="shared" ref="X61:X71" si="34">+P61-T61</f>
        <v>-169.35999999999967</v>
      </c>
      <c r="Y61" s="1"/>
      <c r="Z61" s="5">
        <f t="shared" ref="Z61:Z71" si="35">IF(T61=0,0,X61/T61)</f>
        <v>-2.2809427609427564E-2</v>
      </c>
    </row>
    <row r="62" spans="1:26" s="24" customFormat="1" hidden="1" outlineLevel="2" x14ac:dyDescent="0.25">
      <c r="A62" s="25"/>
      <c r="B62" s="11" t="str">
        <f>CONCATENATE("          ", "6362", " - ", "ADVERTISING EXPENSE")</f>
        <v xml:space="preserve">          6362 - ADVERTISING EXPENSE</v>
      </c>
      <c r="C62" s="11"/>
      <c r="D62" s="7">
        <v>1482.09</v>
      </c>
      <c r="E62" s="2"/>
      <c r="F62" s="6">
        <f t="shared" si="28"/>
        <v>1.3305727570369962E-3</v>
      </c>
      <c r="G62" s="2"/>
      <c r="H62" s="7">
        <v>1600</v>
      </c>
      <c r="I62" s="2"/>
      <c r="J62" s="6">
        <f t="shared" si="29"/>
        <v>1.358617199414436E-3</v>
      </c>
      <c r="K62" s="2"/>
      <c r="L62" s="7">
        <f t="shared" si="30"/>
        <v>-117.91000000000008</v>
      </c>
      <c r="M62" s="2"/>
      <c r="N62" s="6">
        <f t="shared" si="31"/>
        <v>-7.3693750000000058E-2</v>
      </c>
      <c r="O62" s="11"/>
      <c r="P62" s="7">
        <v>7255.64</v>
      </c>
      <c r="Q62" s="2"/>
      <c r="R62" s="6">
        <f t="shared" si="32"/>
        <v>3.968380610298197E-3</v>
      </c>
      <c r="S62" s="2"/>
      <c r="T62" s="7">
        <v>7425</v>
      </c>
      <c r="U62" s="2"/>
      <c r="V62" s="6">
        <f t="shared" si="33"/>
        <v>3.5733360694419755E-3</v>
      </c>
      <c r="W62" s="2"/>
      <c r="X62" s="7">
        <f t="shared" si="34"/>
        <v>-169.35999999999967</v>
      </c>
      <c r="Y62" s="2"/>
      <c r="Z62" s="6">
        <f t="shared" si="35"/>
        <v>-2.2809427609427564E-2</v>
      </c>
    </row>
    <row r="63" spans="1:26" s="26" customFormat="1" outlineLevel="1" collapsed="1" x14ac:dyDescent="0.25">
      <c r="A63" s="27"/>
      <c r="B63" s="13" t="str">
        <f>CONCATENATE("     ","Bad Debts/Over/Short                              ")</f>
        <v xml:space="preserve">     Bad Debts/Over/Short                              </v>
      </c>
      <c r="C63" s="13"/>
      <c r="D63" s="1">
        <f>SUM(OSRRefD22_3x_0)</f>
        <v>-167.84</v>
      </c>
      <c r="E63" s="1"/>
      <c r="F63" s="5">
        <f t="shared" si="28"/>
        <v>-1.506813564230846E-4</v>
      </c>
      <c r="G63" s="1"/>
      <c r="H63" s="1">
        <f>SUM(OSRRefH22_3x_0)</f>
        <v>154</v>
      </c>
      <c r="I63" s="1"/>
      <c r="J63" s="5">
        <f t="shared" si="29"/>
        <v>1.3076690544363946E-4</v>
      </c>
      <c r="K63" s="1"/>
      <c r="L63" s="1">
        <f t="shared" si="30"/>
        <v>-321.84000000000003</v>
      </c>
      <c r="M63" s="1"/>
      <c r="N63" s="5">
        <f t="shared" si="31"/>
        <v>-2.0898701298701301</v>
      </c>
      <c r="O63" s="13"/>
      <c r="P63" s="1">
        <f>SUM(OSRRefP22_3x_0)</f>
        <v>-188.1</v>
      </c>
      <c r="Q63" s="1"/>
      <c r="R63" s="5">
        <f t="shared" si="32"/>
        <v>-1.028789180275056E-4</v>
      </c>
      <c r="S63" s="1"/>
      <c r="T63" s="1">
        <f>SUM(OSRRefT22_3x_0)</f>
        <v>442</v>
      </c>
      <c r="U63" s="1"/>
      <c r="V63" s="5">
        <f t="shared" si="33"/>
        <v>2.1271576332570412E-4</v>
      </c>
      <c r="W63" s="1"/>
      <c r="X63" s="1">
        <f t="shared" si="34"/>
        <v>-630.1</v>
      </c>
      <c r="Y63" s="1"/>
      <c r="Z63" s="5">
        <f t="shared" si="35"/>
        <v>-1.4255656108597285</v>
      </c>
    </row>
    <row r="64" spans="1:26" s="24" customFormat="1" hidden="1" outlineLevel="2" x14ac:dyDescent="0.25">
      <c r="A64" s="25"/>
      <c r="B64" s="11" t="str">
        <f>CONCATENATE("          ", "6272", " - ", "CASH (OVER/SHORT)")</f>
        <v xml:space="preserve">          6272 - CASH (OVER/SHORT)</v>
      </c>
      <c r="C64" s="11"/>
      <c r="D64" s="7">
        <v>-167.84</v>
      </c>
      <c r="E64" s="2"/>
      <c r="F64" s="6">
        <f t="shared" si="28"/>
        <v>-1.506813564230846E-4</v>
      </c>
      <c r="G64" s="2"/>
      <c r="H64" s="7">
        <v>154</v>
      </c>
      <c r="I64" s="2"/>
      <c r="J64" s="6">
        <f t="shared" si="29"/>
        <v>1.3076690544363946E-4</v>
      </c>
      <c r="K64" s="2"/>
      <c r="L64" s="7">
        <f t="shared" si="30"/>
        <v>-321.84000000000003</v>
      </c>
      <c r="M64" s="2"/>
      <c r="N64" s="6">
        <f t="shared" si="31"/>
        <v>-2.0898701298701301</v>
      </c>
      <c r="O64" s="11"/>
      <c r="P64" s="7">
        <v>-188.1</v>
      </c>
      <c r="Q64" s="2"/>
      <c r="R64" s="6">
        <f t="shared" si="32"/>
        <v>-1.028789180275056E-4</v>
      </c>
      <c r="S64" s="2"/>
      <c r="T64" s="7">
        <v>442</v>
      </c>
      <c r="U64" s="2"/>
      <c r="V64" s="6">
        <f t="shared" si="33"/>
        <v>2.1271576332570412E-4</v>
      </c>
      <c r="W64" s="2"/>
      <c r="X64" s="7">
        <f t="shared" si="34"/>
        <v>-630.1</v>
      </c>
      <c r="Y64" s="2"/>
      <c r="Z64" s="6">
        <f t="shared" si="35"/>
        <v>-1.4255656108597285</v>
      </c>
    </row>
    <row r="65" spans="1:26" s="26" customFormat="1" outlineLevel="1" collapsed="1" x14ac:dyDescent="0.25">
      <c r="A65" s="27"/>
      <c r="B65" s="13" t="str">
        <f>CONCATENATE("     ","Bank/card Fees                                    ")</f>
        <v xml:space="preserve">     Bank/card Fees                                    </v>
      </c>
      <c r="C65" s="13"/>
      <c r="D65" s="1">
        <f>SUM(OSRRefD22_4x_0)</f>
        <v>35032.15</v>
      </c>
      <c r="E65" s="1"/>
      <c r="F65" s="5">
        <f t="shared" si="28"/>
        <v>3.1450738086373706E-2</v>
      </c>
      <c r="G65" s="1"/>
      <c r="H65" s="1">
        <f>SUM(OSRRefH22_4x_0)</f>
        <v>26462</v>
      </c>
      <c r="I65" s="1"/>
      <c r="J65" s="5">
        <f t="shared" si="29"/>
        <v>2.2469830206815502E-2</v>
      </c>
      <c r="K65" s="1"/>
      <c r="L65" s="1">
        <f t="shared" si="30"/>
        <v>8570.1500000000015</v>
      </c>
      <c r="M65" s="1"/>
      <c r="N65" s="5">
        <f t="shared" si="31"/>
        <v>0.32386629884362489</v>
      </c>
      <c r="O65" s="13"/>
      <c r="P65" s="1">
        <f>SUM(OSRRefP22_4x_0)</f>
        <v>54005.219999999994</v>
      </c>
      <c r="Q65" s="1"/>
      <c r="R65" s="5">
        <f t="shared" si="32"/>
        <v>2.9537472628588017E-2</v>
      </c>
      <c r="S65" s="1"/>
      <c r="T65" s="1">
        <f>SUM(OSRRefT22_4x_0)</f>
        <v>45215</v>
      </c>
      <c r="U65" s="1"/>
      <c r="V65" s="5">
        <f t="shared" si="33"/>
        <v>2.1760052576406588E-2</v>
      </c>
      <c r="W65" s="1"/>
      <c r="X65" s="1">
        <f t="shared" si="34"/>
        <v>8790.2199999999939</v>
      </c>
      <c r="Y65" s="1"/>
      <c r="Z65" s="5">
        <f t="shared" si="35"/>
        <v>0.194409377418998</v>
      </c>
    </row>
    <row r="66" spans="1:26" s="24" customFormat="1" hidden="1" outlineLevel="2" x14ac:dyDescent="0.25">
      <c r="A66" s="25"/>
      <c r="B66" s="11" t="str">
        <f>CONCATENATE("          ", "6381", " - ", "BANK/CREDIT CARD FEES")</f>
        <v xml:space="preserve">          6381 - BANK/CREDIT CARD FEES</v>
      </c>
      <c r="C66" s="11"/>
      <c r="D66" s="7">
        <v>35032.15</v>
      </c>
      <c r="E66" s="2"/>
      <c r="F66" s="6">
        <f t="shared" si="28"/>
        <v>3.1450738086373706E-2</v>
      </c>
      <c r="G66" s="2"/>
      <c r="H66" s="7">
        <v>26462</v>
      </c>
      <c r="I66" s="2"/>
      <c r="J66" s="6">
        <f t="shared" si="29"/>
        <v>2.2469830206815502E-2</v>
      </c>
      <c r="K66" s="2"/>
      <c r="L66" s="7">
        <f t="shared" si="30"/>
        <v>8570.1500000000015</v>
      </c>
      <c r="M66" s="2"/>
      <c r="N66" s="6">
        <f t="shared" si="31"/>
        <v>0.32386629884362489</v>
      </c>
      <c r="O66" s="11"/>
      <c r="P66" s="7">
        <v>54005.219999999994</v>
      </c>
      <c r="Q66" s="2"/>
      <c r="R66" s="6">
        <f t="shared" si="32"/>
        <v>2.9537472628588017E-2</v>
      </c>
      <c r="S66" s="2"/>
      <c r="T66" s="7">
        <v>45215</v>
      </c>
      <c r="U66" s="2"/>
      <c r="V66" s="6">
        <f t="shared" si="33"/>
        <v>2.1760052576406588E-2</v>
      </c>
      <c r="W66" s="2"/>
      <c r="X66" s="7">
        <f t="shared" si="34"/>
        <v>8790.2199999999939</v>
      </c>
      <c r="Y66" s="2"/>
      <c r="Z66" s="6">
        <f t="shared" si="35"/>
        <v>0.194409377418998</v>
      </c>
    </row>
    <row r="67" spans="1:26" s="26" customFormat="1" outlineLevel="1" collapsed="1" x14ac:dyDescent="0.25">
      <c r="A67" s="27"/>
      <c r="B67" s="13" t="str">
        <f>CONCATENATE("     ","Depreciation                                      ")</f>
        <v xml:space="preserve">     Depreciation                                      </v>
      </c>
      <c r="C67" s="13"/>
      <c r="D67" s="1">
        <f>SUM(OSRRefD22_5x_0)</f>
        <v>47974.53</v>
      </c>
      <c r="E67" s="1"/>
      <c r="F67" s="5">
        <f t="shared" si="28"/>
        <v>4.3069990789799596E-2</v>
      </c>
      <c r="G67" s="1"/>
      <c r="H67" s="1">
        <f>SUM(OSRRefH22_5x_0)</f>
        <v>49524</v>
      </c>
      <c r="I67" s="1"/>
      <c r="J67" s="5">
        <f t="shared" si="29"/>
        <v>4.2052598864875328E-2</v>
      </c>
      <c r="K67" s="1"/>
      <c r="L67" s="1">
        <f t="shared" si="30"/>
        <v>-1549.4700000000012</v>
      </c>
      <c r="M67" s="1"/>
      <c r="N67" s="5">
        <f t="shared" si="31"/>
        <v>-3.1287254664405163E-2</v>
      </c>
      <c r="O67" s="13"/>
      <c r="P67" s="1">
        <f>SUM(OSRRefP22_5x_0)</f>
        <v>143923.59</v>
      </c>
      <c r="Q67" s="1"/>
      <c r="R67" s="5">
        <f t="shared" si="32"/>
        <v>7.8717188824212261E-2</v>
      </c>
      <c r="S67" s="1"/>
      <c r="T67" s="1">
        <f>SUM(OSRRefT22_5x_0)</f>
        <v>144410</v>
      </c>
      <c r="U67" s="1"/>
      <c r="V67" s="5">
        <f t="shared" si="33"/>
        <v>6.9498378692002108E-2</v>
      </c>
      <c r="W67" s="1"/>
      <c r="X67" s="1">
        <f t="shared" si="34"/>
        <v>-486.41000000000349</v>
      </c>
      <c r="Y67" s="1"/>
      <c r="Z67" s="5">
        <f t="shared" si="35"/>
        <v>-3.368257045910972E-3</v>
      </c>
    </row>
    <row r="68" spans="1:26" s="24" customFormat="1" hidden="1" outlineLevel="2" x14ac:dyDescent="0.25">
      <c r="A68" s="25"/>
      <c r="B68" s="11" t="str">
        <f>CONCATENATE("          ", "6321", " - ", "BUILDING DEPRECIATION")</f>
        <v xml:space="preserve">          6321 - BUILDING DEPRECIATION</v>
      </c>
      <c r="C68" s="11"/>
      <c r="D68" s="7">
        <v>29123.47</v>
      </c>
      <c r="E68" s="2"/>
      <c r="F68" s="6">
        <f t="shared" si="28"/>
        <v>2.6146115129569898E-2</v>
      </c>
      <c r="G68" s="2"/>
      <c r="H68" s="7">
        <v>28200</v>
      </c>
      <c r="I68" s="2"/>
      <c r="J68" s="6">
        <f t="shared" si="29"/>
        <v>2.3945628139679435E-2</v>
      </c>
      <c r="K68" s="2"/>
      <c r="L68" s="7">
        <f t="shared" si="30"/>
        <v>923.47000000000116</v>
      </c>
      <c r="M68" s="2"/>
      <c r="N68" s="6">
        <f t="shared" si="31"/>
        <v>3.274716312056742E-2</v>
      </c>
      <c r="O68" s="11"/>
      <c r="P68" s="7">
        <v>87370.41</v>
      </c>
      <c r="Q68" s="2"/>
      <c r="R68" s="6">
        <f t="shared" si="32"/>
        <v>4.7786141671555329E-2</v>
      </c>
      <c r="S68" s="2"/>
      <c r="T68" s="7">
        <v>84600</v>
      </c>
      <c r="U68" s="2"/>
      <c r="V68" s="6">
        <f t="shared" si="33"/>
        <v>4.071437460939948E-2</v>
      </c>
      <c r="W68" s="2"/>
      <c r="X68" s="7">
        <f t="shared" si="34"/>
        <v>2770.4100000000035</v>
      </c>
      <c r="Y68" s="2"/>
      <c r="Z68" s="6">
        <f t="shared" si="35"/>
        <v>3.274716312056742E-2</v>
      </c>
    </row>
    <row r="69" spans="1:26" s="24" customFormat="1" hidden="1" outlineLevel="2" x14ac:dyDescent="0.25">
      <c r="A69" s="25"/>
      <c r="B69" s="11" t="str">
        <f>CONCATENATE("          ", "6322", " - ", "EQUIPMENT DEPRECIATION EXPENSE")</f>
        <v xml:space="preserve">          6322 - EQUIPMENT DEPRECIATION EXPENSE</v>
      </c>
      <c r="C69" s="11"/>
      <c r="D69" s="7">
        <v>18426.809999999998</v>
      </c>
      <c r="E69" s="2"/>
      <c r="F69" s="6">
        <f t="shared" si="28"/>
        <v>1.6542997648656216E-2</v>
      </c>
      <c r="G69" s="2"/>
      <c r="H69" s="7">
        <v>18476</v>
      </c>
      <c r="I69" s="2"/>
      <c r="J69" s="6">
        <f t="shared" si="29"/>
        <v>1.5688632110238198E-2</v>
      </c>
      <c r="K69" s="2"/>
      <c r="L69" s="7">
        <f t="shared" si="30"/>
        <v>-49.190000000002328</v>
      </c>
      <c r="M69" s="2"/>
      <c r="N69" s="6">
        <f t="shared" si="31"/>
        <v>-2.6623728079672184E-3</v>
      </c>
      <c r="O69" s="11"/>
      <c r="P69" s="7">
        <v>55280.43</v>
      </c>
      <c r="Q69" s="2"/>
      <c r="R69" s="6">
        <f t="shared" si="32"/>
        <v>3.0234932623579278E-2</v>
      </c>
      <c r="S69" s="2"/>
      <c r="T69" s="7">
        <v>55428</v>
      </c>
      <c r="U69" s="2"/>
      <c r="V69" s="6">
        <f t="shared" si="33"/>
        <v>2.6675134229903006E-2</v>
      </c>
      <c r="W69" s="2"/>
      <c r="X69" s="7">
        <f t="shared" si="34"/>
        <v>-147.56999999999971</v>
      </c>
      <c r="Y69" s="2"/>
      <c r="Z69" s="6">
        <f t="shared" si="35"/>
        <v>-2.662372807967087E-3</v>
      </c>
    </row>
    <row r="70" spans="1:26" s="24" customFormat="1" hidden="1" outlineLevel="2" x14ac:dyDescent="0.25">
      <c r="A70" s="25"/>
      <c r="B70" s="11" t="str">
        <f>CONCATENATE("          ", "6324", " - ", "FURNITURE + FIXT DEPRECIATION")</f>
        <v xml:space="preserve">          6324 - FURNITURE + FIXT DEPRECIATION</v>
      </c>
      <c r="C70" s="11"/>
      <c r="D70" s="7"/>
      <c r="E70" s="2"/>
      <c r="F70" s="6">
        <f t="shared" si="28"/>
        <v>0</v>
      </c>
      <c r="G70" s="2"/>
      <c r="H70" s="7">
        <v>2424</v>
      </c>
      <c r="I70" s="2"/>
      <c r="J70" s="6">
        <f t="shared" si="29"/>
        <v>2.0583050571128707E-3</v>
      </c>
      <c r="K70" s="2"/>
      <c r="L70" s="7">
        <f t="shared" si="30"/>
        <v>-2424</v>
      </c>
      <c r="M70" s="2"/>
      <c r="N70" s="6">
        <f t="shared" si="31"/>
        <v>-1</v>
      </c>
      <c r="O70" s="11"/>
      <c r="P70" s="7"/>
      <c r="Q70" s="2"/>
      <c r="R70" s="6">
        <f t="shared" si="32"/>
        <v>0</v>
      </c>
      <c r="S70" s="2"/>
      <c r="T70" s="7">
        <v>3110</v>
      </c>
      <c r="U70" s="2"/>
      <c r="V70" s="6">
        <f t="shared" si="33"/>
        <v>1.4967104614093661E-3</v>
      </c>
      <c r="W70" s="2"/>
      <c r="X70" s="7">
        <f t="shared" si="34"/>
        <v>-3110</v>
      </c>
      <c r="Y70" s="2"/>
      <c r="Z70" s="6">
        <f t="shared" si="35"/>
        <v>-1</v>
      </c>
    </row>
    <row r="71" spans="1:26" s="24" customFormat="1" hidden="1" outlineLevel="2" x14ac:dyDescent="0.25">
      <c r="A71" s="25"/>
      <c r="B71" s="11" t="str">
        <f>CONCATENATE("          ", "6326", " - ", "VEHICLES DEPRECIATION EXPENSE")</f>
        <v xml:space="preserve">          6326 - VEHICLES DEPRECIATION EXPENSE</v>
      </c>
      <c r="C71" s="11"/>
      <c r="D71" s="7">
        <v>424.25</v>
      </c>
      <c r="E71" s="2"/>
      <c r="F71" s="6">
        <f t="shared" si="28"/>
        <v>3.8087801157348449E-4</v>
      </c>
      <c r="G71" s="2"/>
      <c r="H71" s="7">
        <v>424</v>
      </c>
      <c r="I71" s="2"/>
      <c r="J71" s="6">
        <f t="shared" si="29"/>
        <v>3.6003355784482556E-4</v>
      </c>
      <c r="K71" s="2"/>
      <c r="L71" s="7">
        <f t="shared" si="30"/>
        <v>0.25</v>
      </c>
      <c r="M71" s="2"/>
      <c r="N71" s="6">
        <f t="shared" si="31"/>
        <v>5.8962264150943394E-4</v>
      </c>
      <c r="O71" s="11"/>
      <c r="P71" s="7">
        <v>1272.75</v>
      </c>
      <c r="Q71" s="2"/>
      <c r="R71" s="6">
        <f t="shared" si="32"/>
        <v>6.9611452907765957E-4</v>
      </c>
      <c r="S71" s="2"/>
      <c r="T71" s="7">
        <v>1272</v>
      </c>
      <c r="U71" s="2"/>
      <c r="V71" s="6">
        <f t="shared" si="33"/>
        <v>6.1215939129026162E-4</v>
      </c>
      <c r="W71" s="2"/>
      <c r="X71" s="7">
        <f t="shared" si="34"/>
        <v>0.75</v>
      </c>
      <c r="Y71" s="2"/>
      <c r="Z71" s="6">
        <f t="shared" si="35"/>
        <v>5.8962264150943394E-4</v>
      </c>
    </row>
    <row r="72" spans="1:26" s="26" customFormat="1" outlineLevel="1" collapsed="1" x14ac:dyDescent="0.25">
      <c r="A72" s="27"/>
      <c r="B72" s="13" t="str">
        <f>CONCATENATE("     ","Discounts and Markdowns                           ")</f>
        <v xml:space="preserve">     Discounts and Markdowns                           </v>
      </c>
      <c r="C72" s="13"/>
      <c r="D72" s="1">
        <f>SUM(OSRRefD22_6x_0)</f>
        <v>11.81</v>
      </c>
      <c r="E72" s="1"/>
      <c r="F72" s="5">
        <f t="shared" ref="F72:F84" si="36">IF(D$12=0,0,D72/D$12)</f>
        <v>1.0602638342210613E-5</v>
      </c>
      <c r="G72" s="1"/>
      <c r="H72" s="1">
        <f>SUM(OSRRefH22_6x_0)</f>
        <v>0</v>
      </c>
      <c r="I72" s="1"/>
      <c r="J72" s="5">
        <f t="shared" ref="J72:J84" si="37">IF(H$12=0,0,H72/H$12)</f>
        <v>0</v>
      </c>
      <c r="K72" s="1"/>
      <c r="L72" s="1">
        <f t="shared" ref="L72:L84" si="38">+D72-H72</f>
        <v>11.81</v>
      </c>
      <c r="M72" s="1"/>
      <c r="N72" s="5">
        <f t="shared" ref="N72:N84" si="39">IF(H72=0,0,L72/H72)</f>
        <v>0</v>
      </c>
      <c r="O72" s="13"/>
      <c r="P72" s="1">
        <f>SUM(OSRRefP22_6x_0)</f>
        <v>31.9</v>
      </c>
      <c r="Q72" s="1"/>
      <c r="R72" s="5">
        <f t="shared" ref="R72:R84" si="40">IF(P$12=0,0,P72/P$12)</f>
        <v>1.7447301887705631E-5</v>
      </c>
      <c r="S72" s="1"/>
      <c r="T72" s="1">
        <f>SUM(OSRRefT22_6x_0)</f>
        <v>0</v>
      </c>
      <c r="U72" s="1"/>
      <c r="V72" s="5">
        <f t="shared" ref="V72:V84" si="41">IF(T$12=0,0,T72/T$12)</f>
        <v>0</v>
      </c>
      <c r="W72" s="1"/>
      <c r="X72" s="1">
        <f t="shared" ref="X72:X84" si="42">+P72-T72</f>
        <v>31.9</v>
      </c>
      <c r="Y72" s="1"/>
      <c r="Z72" s="5">
        <f t="shared" ref="Z72:Z84" si="43">IF(T72=0,0,X72/T72)</f>
        <v>0</v>
      </c>
    </row>
    <row r="73" spans="1:26" s="24" customFormat="1" hidden="1" outlineLevel="2" x14ac:dyDescent="0.25">
      <c r="A73" s="25"/>
      <c r="B73" s="11" t="str">
        <f>CONCATENATE("          ", "6382", " - ", "DISCOUNTS/MARK DOWNS")</f>
        <v xml:space="preserve">          6382 - DISCOUNTS/MARK DOWNS</v>
      </c>
      <c r="C73" s="11"/>
      <c r="D73" s="7">
        <v>11.81</v>
      </c>
      <c r="E73" s="2"/>
      <c r="F73" s="6">
        <f t="shared" si="36"/>
        <v>1.0602638342210613E-5</v>
      </c>
      <c r="G73" s="2"/>
      <c r="H73" s="7"/>
      <c r="I73" s="2"/>
      <c r="J73" s="6">
        <f t="shared" si="37"/>
        <v>0</v>
      </c>
      <c r="K73" s="2"/>
      <c r="L73" s="7">
        <f t="shared" si="38"/>
        <v>11.81</v>
      </c>
      <c r="M73" s="2"/>
      <c r="N73" s="6">
        <f t="shared" si="39"/>
        <v>0</v>
      </c>
      <c r="O73" s="11"/>
      <c r="P73" s="7">
        <v>31.9</v>
      </c>
      <c r="Q73" s="2"/>
      <c r="R73" s="6">
        <f t="shared" si="40"/>
        <v>1.7447301887705631E-5</v>
      </c>
      <c r="S73" s="2"/>
      <c r="T73" s="7"/>
      <c r="U73" s="2"/>
      <c r="V73" s="6">
        <f t="shared" si="41"/>
        <v>0</v>
      </c>
      <c r="W73" s="2"/>
      <c r="X73" s="7">
        <f t="shared" si="42"/>
        <v>31.9</v>
      </c>
      <c r="Y73" s="2"/>
      <c r="Z73" s="6">
        <f t="shared" si="43"/>
        <v>0</v>
      </c>
    </row>
    <row r="74" spans="1:26" s="26" customFormat="1" outlineLevel="1" collapsed="1" x14ac:dyDescent="0.25">
      <c r="A74" s="27"/>
      <c r="B74" s="13" t="str">
        <f>CONCATENATE("     ","Donations                                         ")</f>
        <v xml:space="preserve">     Donations                                         </v>
      </c>
      <c r="C74" s="13"/>
      <c r="D74" s="1">
        <f>SUM(OSRRefD22_7x_0)</f>
        <v>0</v>
      </c>
      <c r="E74" s="1"/>
      <c r="F74" s="5">
        <f t="shared" si="36"/>
        <v>0</v>
      </c>
      <c r="G74" s="1"/>
      <c r="H74" s="1">
        <f>SUM(OSRRefH22_7x_0)</f>
        <v>500</v>
      </c>
      <c r="I74" s="1"/>
      <c r="J74" s="5">
        <f t="shared" si="37"/>
        <v>4.2456787481701125E-4</v>
      </c>
      <c r="K74" s="1"/>
      <c r="L74" s="1">
        <f t="shared" si="38"/>
        <v>-500</v>
      </c>
      <c r="M74" s="1"/>
      <c r="N74" s="5">
        <f t="shared" si="39"/>
        <v>-1</v>
      </c>
      <c r="O74" s="13"/>
      <c r="P74" s="1">
        <f>SUM(OSRRefP22_7x_0)</f>
        <v>0</v>
      </c>
      <c r="Q74" s="1"/>
      <c r="R74" s="5">
        <f t="shared" si="40"/>
        <v>0</v>
      </c>
      <c r="S74" s="1"/>
      <c r="T74" s="1">
        <f>SUM(OSRRefT22_7x_0)</f>
        <v>800</v>
      </c>
      <c r="U74" s="1"/>
      <c r="V74" s="5">
        <f t="shared" si="41"/>
        <v>3.8500590647186269E-4</v>
      </c>
      <c r="W74" s="1"/>
      <c r="X74" s="1">
        <f t="shared" si="42"/>
        <v>-800</v>
      </c>
      <c r="Y74" s="1"/>
      <c r="Z74" s="5">
        <f t="shared" si="43"/>
        <v>-1</v>
      </c>
    </row>
    <row r="75" spans="1:26" s="24" customFormat="1" hidden="1" outlineLevel="2" x14ac:dyDescent="0.25">
      <c r="A75" s="25"/>
      <c r="B75" s="11" t="str">
        <f>CONCATENATE("          ", "6399", " - ", "DONATION-ON CAMPUS")</f>
        <v xml:space="preserve">          6399 - DONATION-ON CAMPUS</v>
      </c>
      <c r="C75" s="11"/>
      <c r="D75" s="7"/>
      <c r="E75" s="2"/>
      <c r="F75" s="6">
        <f t="shared" si="36"/>
        <v>0</v>
      </c>
      <c r="G75" s="2"/>
      <c r="H75" s="7">
        <v>500</v>
      </c>
      <c r="I75" s="2"/>
      <c r="J75" s="6">
        <f t="shared" si="37"/>
        <v>4.2456787481701125E-4</v>
      </c>
      <c r="K75" s="2"/>
      <c r="L75" s="7">
        <f t="shared" si="38"/>
        <v>-500</v>
      </c>
      <c r="M75" s="2"/>
      <c r="N75" s="6">
        <f t="shared" si="39"/>
        <v>-1</v>
      </c>
      <c r="O75" s="11"/>
      <c r="P75" s="7"/>
      <c r="Q75" s="2"/>
      <c r="R75" s="6">
        <f t="shared" si="40"/>
        <v>0</v>
      </c>
      <c r="S75" s="2"/>
      <c r="T75" s="7">
        <v>800</v>
      </c>
      <c r="U75" s="2"/>
      <c r="V75" s="6">
        <f t="shared" si="41"/>
        <v>3.8500590647186269E-4</v>
      </c>
      <c r="W75" s="2"/>
      <c r="X75" s="7">
        <f t="shared" si="42"/>
        <v>-800</v>
      </c>
      <c r="Y75" s="2"/>
      <c r="Z75" s="6">
        <f t="shared" si="43"/>
        <v>-1</v>
      </c>
    </row>
    <row r="76" spans="1:26" s="26" customFormat="1" outlineLevel="1" collapsed="1" x14ac:dyDescent="0.25">
      <c r="A76" s="27"/>
      <c r="B76" s="13" t="str">
        <f>CONCATENATE("     ","Employees' Appreciation                           ")</f>
        <v xml:space="preserve">     Employees' Appreciation                           </v>
      </c>
      <c r="C76" s="13"/>
      <c r="D76" s="1">
        <f>SUM(OSRRefD22_8x_0)</f>
        <v>19.84</v>
      </c>
      <c r="E76" s="1"/>
      <c r="F76" s="5">
        <f t="shared" si="36"/>
        <v>1.7811714200631543E-5</v>
      </c>
      <c r="G76" s="1"/>
      <c r="H76" s="1">
        <f>SUM(OSRRefH22_8x_0)</f>
        <v>250</v>
      </c>
      <c r="I76" s="1"/>
      <c r="J76" s="5">
        <f t="shared" si="37"/>
        <v>2.1228393740850562E-4</v>
      </c>
      <c r="K76" s="1"/>
      <c r="L76" s="1">
        <f t="shared" si="38"/>
        <v>-230.16</v>
      </c>
      <c r="M76" s="1"/>
      <c r="N76" s="5">
        <f t="shared" si="39"/>
        <v>-0.92064000000000001</v>
      </c>
      <c r="O76" s="13"/>
      <c r="P76" s="1">
        <f>SUM(OSRRefP22_8x_0)</f>
        <v>419.56</v>
      </c>
      <c r="Q76" s="1"/>
      <c r="R76" s="5">
        <f t="shared" si="40"/>
        <v>2.2947304012557287E-4</v>
      </c>
      <c r="S76" s="1"/>
      <c r="T76" s="1">
        <f>SUM(OSRRefT22_8x_0)</f>
        <v>1015</v>
      </c>
      <c r="U76" s="1"/>
      <c r="V76" s="5">
        <f t="shared" si="41"/>
        <v>4.8847624383617581E-4</v>
      </c>
      <c r="W76" s="1"/>
      <c r="X76" s="1">
        <f t="shared" si="42"/>
        <v>-595.44000000000005</v>
      </c>
      <c r="Y76" s="1"/>
      <c r="Z76" s="5">
        <f t="shared" si="43"/>
        <v>-0.58664039408866997</v>
      </c>
    </row>
    <row r="77" spans="1:26" s="24" customFormat="1" hidden="1" outlineLevel="2" x14ac:dyDescent="0.25">
      <c r="A77" s="25"/>
      <c r="B77" s="11" t="str">
        <f>CONCATENATE("          ", "6277", " - ", "EMPLOYEE APPRECIATION")</f>
        <v xml:space="preserve">          6277 - EMPLOYEE APPRECIATION</v>
      </c>
      <c r="C77" s="11"/>
      <c r="D77" s="7">
        <v>19.84</v>
      </c>
      <c r="E77" s="2"/>
      <c r="F77" s="6">
        <f t="shared" si="36"/>
        <v>1.7811714200631543E-5</v>
      </c>
      <c r="G77" s="2"/>
      <c r="H77" s="7">
        <v>250</v>
      </c>
      <c r="I77" s="2"/>
      <c r="J77" s="6">
        <f t="shared" si="37"/>
        <v>2.1228393740850562E-4</v>
      </c>
      <c r="K77" s="2"/>
      <c r="L77" s="7">
        <f t="shared" si="38"/>
        <v>-230.16</v>
      </c>
      <c r="M77" s="2"/>
      <c r="N77" s="6">
        <f t="shared" si="39"/>
        <v>-0.92064000000000001</v>
      </c>
      <c r="O77" s="11"/>
      <c r="P77" s="7">
        <v>419.56</v>
      </c>
      <c r="Q77" s="2"/>
      <c r="R77" s="6">
        <f t="shared" si="40"/>
        <v>2.2947304012557287E-4</v>
      </c>
      <c r="S77" s="2"/>
      <c r="T77" s="7">
        <v>1015</v>
      </c>
      <c r="U77" s="2"/>
      <c r="V77" s="6">
        <f t="shared" si="41"/>
        <v>4.8847624383617581E-4</v>
      </c>
      <c r="W77" s="2"/>
      <c r="X77" s="7">
        <f t="shared" si="42"/>
        <v>-595.44000000000005</v>
      </c>
      <c r="Y77" s="2"/>
      <c r="Z77" s="6">
        <f t="shared" si="43"/>
        <v>-0.58664039408866997</v>
      </c>
    </row>
    <row r="78" spans="1:26" s="26" customFormat="1" outlineLevel="1" collapsed="1" x14ac:dyDescent="0.25">
      <c r="A78" s="27"/>
      <c r="B78" s="13" t="str">
        <f>CONCATENATE("     ","Equipment Rental                                  ")</f>
        <v xml:space="preserve">     Equipment Rental                                  </v>
      </c>
      <c r="C78" s="13"/>
      <c r="D78" s="1">
        <f>SUM(OSRRefD22_9x_0)</f>
        <v>2259.9</v>
      </c>
      <c r="E78" s="1"/>
      <c r="F78" s="5">
        <f t="shared" si="36"/>
        <v>2.0288655706656869E-3</v>
      </c>
      <c r="G78" s="1"/>
      <c r="H78" s="1">
        <f>SUM(OSRRefH22_9x_0)</f>
        <v>1880</v>
      </c>
      <c r="I78" s="1"/>
      <c r="J78" s="5">
        <f t="shared" si="37"/>
        <v>1.5963752093119622E-3</v>
      </c>
      <c r="K78" s="1"/>
      <c r="L78" s="1">
        <f t="shared" si="38"/>
        <v>379.90000000000009</v>
      </c>
      <c r="M78" s="1"/>
      <c r="N78" s="5">
        <f t="shared" si="39"/>
        <v>0.20207446808510643</v>
      </c>
      <c r="O78" s="13"/>
      <c r="P78" s="1">
        <f>SUM(OSRRefP22_9x_0)</f>
        <v>6718.02</v>
      </c>
      <c r="Q78" s="1"/>
      <c r="R78" s="5">
        <f t="shared" si="40"/>
        <v>3.6743361450672159E-3</v>
      </c>
      <c r="S78" s="1"/>
      <c r="T78" s="1">
        <f>SUM(OSRRefT22_9x_0)</f>
        <v>4935</v>
      </c>
      <c r="U78" s="1"/>
      <c r="V78" s="5">
        <f t="shared" si="41"/>
        <v>2.3750051855483028E-3</v>
      </c>
      <c r="W78" s="1"/>
      <c r="X78" s="1">
        <f t="shared" si="42"/>
        <v>1783.0200000000004</v>
      </c>
      <c r="Y78" s="1"/>
      <c r="Z78" s="5">
        <f t="shared" si="43"/>
        <v>0.36130091185410346</v>
      </c>
    </row>
    <row r="79" spans="1:26" s="24" customFormat="1" hidden="1" outlineLevel="2" x14ac:dyDescent="0.25">
      <c r="A79" s="25"/>
      <c r="B79" s="11" t="str">
        <f>CONCATENATE("          ", "6351", " - ", "EQUIPMENT RENTAL")</f>
        <v xml:space="preserve">          6351 - EQUIPMENT RENTAL</v>
      </c>
      <c r="C79" s="11"/>
      <c r="D79" s="7">
        <v>2259.9</v>
      </c>
      <c r="E79" s="2"/>
      <c r="F79" s="6">
        <f t="shared" si="36"/>
        <v>2.0288655706656869E-3</v>
      </c>
      <c r="G79" s="2"/>
      <c r="H79" s="7">
        <v>1880</v>
      </c>
      <c r="I79" s="2"/>
      <c r="J79" s="6">
        <f t="shared" si="37"/>
        <v>1.5963752093119622E-3</v>
      </c>
      <c r="K79" s="2"/>
      <c r="L79" s="7">
        <f t="shared" si="38"/>
        <v>379.90000000000009</v>
      </c>
      <c r="M79" s="2"/>
      <c r="N79" s="6">
        <f t="shared" si="39"/>
        <v>0.20207446808510643</v>
      </c>
      <c r="O79" s="11"/>
      <c r="P79" s="7">
        <v>6718.02</v>
      </c>
      <c r="Q79" s="2"/>
      <c r="R79" s="6">
        <f t="shared" si="40"/>
        <v>3.6743361450672159E-3</v>
      </c>
      <c r="S79" s="2"/>
      <c r="T79" s="7">
        <v>4935</v>
      </c>
      <c r="U79" s="2"/>
      <c r="V79" s="6">
        <f t="shared" si="41"/>
        <v>2.3750051855483028E-3</v>
      </c>
      <c r="W79" s="2"/>
      <c r="X79" s="7">
        <f t="shared" si="42"/>
        <v>1783.0200000000004</v>
      </c>
      <c r="Y79" s="2"/>
      <c r="Z79" s="6">
        <f t="shared" si="43"/>
        <v>0.36130091185410346</v>
      </c>
    </row>
    <row r="80" spans="1:26" s="26" customFormat="1" outlineLevel="1" collapsed="1" x14ac:dyDescent="0.25">
      <c r="A80" s="27"/>
      <c r="B80" s="13" t="str">
        <f>CONCATENATE("     ","Freight out/Postage                               ")</f>
        <v xml:space="preserve">     Freight out/Postage                               </v>
      </c>
      <c r="C80" s="13"/>
      <c r="D80" s="1">
        <f>SUM(OSRRefD22_10x_0)</f>
        <v>28.87</v>
      </c>
      <c r="E80" s="1"/>
      <c r="F80" s="5">
        <f t="shared" si="36"/>
        <v>2.5918557911906891E-5</v>
      </c>
      <c r="G80" s="1"/>
      <c r="H80" s="1">
        <f>SUM(OSRRefH22_10x_0)</f>
        <v>0</v>
      </c>
      <c r="I80" s="1"/>
      <c r="J80" s="5">
        <f t="shared" si="37"/>
        <v>0</v>
      </c>
      <c r="K80" s="1"/>
      <c r="L80" s="1">
        <f t="shared" si="38"/>
        <v>28.87</v>
      </c>
      <c r="M80" s="1"/>
      <c r="N80" s="5">
        <f t="shared" si="39"/>
        <v>0</v>
      </c>
      <c r="O80" s="13"/>
      <c r="P80" s="1">
        <f>SUM(OSRRefP22_10x_0)</f>
        <v>145.52000000000001</v>
      </c>
      <c r="Q80" s="1"/>
      <c r="R80" s="5">
        <f t="shared" si="40"/>
        <v>7.9590325100279734E-5</v>
      </c>
      <c r="S80" s="1"/>
      <c r="T80" s="1">
        <f>SUM(OSRRefT22_10x_0)</f>
        <v>0</v>
      </c>
      <c r="U80" s="1"/>
      <c r="V80" s="5">
        <f t="shared" si="41"/>
        <v>0</v>
      </c>
      <c r="W80" s="1"/>
      <c r="X80" s="1">
        <f t="shared" si="42"/>
        <v>145.52000000000001</v>
      </c>
      <c r="Y80" s="1"/>
      <c r="Z80" s="5">
        <f t="shared" si="43"/>
        <v>0</v>
      </c>
    </row>
    <row r="81" spans="1:26" s="24" customFormat="1" hidden="1" outlineLevel="2" x14ac:dyDescent="0.25">
      <c r="A81" s="25"/>
      <c r="B81" s="11" t="str">
        <f>CONCATENATE("          ", "6305", " - ", "FREIGHT OUT")</f>
        <v xml:space="preserve">          6305 - FREIGHT OUT</v>
      </c>
      <c r="C81" s="11"/>
      <c r="D81" s="7">
        <v>28.87</v>
      </c>
      <c r="E81" s="2"/>
      <c r="F81" s="6">
        <f t="shared" si="36"/>
        <v>2.5918557911906891E-5</v>
      </c>
      <c r="G81" s="2"/>
      <c r="H81" s="7"/>
      <c r="I81" s="2"/>
      <c r="J81" s="6">
        <f t="shared" si="37"/>
        <v>0</v>
      </c>
      <c r="K81" s="2"/>
      <c r="L81" s="7">
        <f t="shared" si="38"/>
        <v>28.87</v>
      </c>
      <c r="M81" s="2"/>
      <c r="N81" s="6">
        <f t="shared" si="39"/>
        <v>0</v>
      </c>
      <c r="O81" s="11"/>
      <c r="P81" s="7">
        <v>145.52000000000001</v>
      </c>
      <c r="Q81" s="2"/>
      <c r="R81" s="6">
        <f t="shared" si="40"/>
        <v>7.9590325100279734E-5</v>
      </c>
      <c r="S81" s="2"/>
      <c r="T81" s="7"/>
      <c r="U81" s="2"/>
      <c r="V81" s="6">
        <f t="shared" si="41"/>
        <v>0</v>
      </c>
      <c r="W81" s="2"/>
      <c r="X81" s="7">
        <f t="shared" si="42"/>
        <v>145.52000000000001</v>
      </c>
      <c r="Y81" s="2"/>
      <c r="Z81" s="6">
        <f t="shared" si="43"/>
        <v>0</v>
      </c>
    </row>
    <row r="82" spans="1:26" s="26" customFormat="1" outlineLevel="1" collapsed="1" x14ac:dyDescent="0.25">
      <c r="A82" s="27"/>
      <c r="B82" s="13" t="str">
        <f>CONCATENATE("     ","General                                           ")</f>
        <v xml:space="preserve">     General                                           </v>
      </c>
      <c r="C82" s="13"/>
      <c r="D82" s="1">
        <f>SUM(OSRRefD22_11x_0)</f>
        <v>7663.13</v>
      </c>
      <c r="E82" s="1"/>
      <c r="F82" s="5">
        <f t="shared" si="36"/>
        <v>6.879711766244234E-3</v>
      </c>
      <c r="G82" s="1"/>
      <c r="H82" s="1">
        <f>SUM(OSRRefH22_11x_0)</f>
        <v>4818</v>
      </c>
      <c r="I82" s="1"/>
      <c r="J82" s="5">
        <f t="shared" si="37"/>
        <v>4.0911360417367204E-3</v>
      </c>
      <c r="K82" s="1"/>
      <c r="L82" s="1">
        <f t="shared" si="38"/>
        <v>2845.13</v>
      </c>
      <c r="M82" s="1"/>
      <c r="N82" s="5">
        <f t="shared" si="39"/>
        <v>0.59052096305520962</v>
      </c>
      <c r="O82" s="13"/>
      <c r="P82" s="1">
        <f>SUM(OSRRefP22_11x_0)</f>
        <v>34282.649999999994</v>
      </c>
      <c r="Q82" s="1"/>
      <c r="R82" s="5">
        <f t="shared" si="40"/>
        <v>1.8750462196255528E-2</v>
      </c>
      <c r="S82" s="1"/>
      <c r="T82" s="1">
        <f>SUM(OSRRefT22_11x_0)</f>
        <v>22466</v>
      </c>
      <c r="U82" s="1"/>
      <c r="V82" s="5">
        <f t="shared" si="41"/>
        <v>1.0811928368496083E-2</v>
      </c>
      <c r="W82" s="1"/>
      <c r="X82" s="1">
        <f t="shared" si="42"/>
        <v>11816.649999999994</v>
      </c>
      <c r="Y82" s="1"/>
      <c r="Z82" s="5">
        <f t="shared" si="43"/>
        <v>0.52597925754473396</v>
      </c>
    </row>
    <row r="83" spans="1:26" s="24" customFormat="1" hidden="1" outlineLevel="2" x14ac:dyDescent="0.25">
      <c r="A83" s="25"/>
      <c r="B83" s="11" t="str">
        <f>CONCATENATE("          ", "6269", " - ", "ENTERTAINMENT")</f>
        <v xml:space="preserve">          6269 - ENTERTAINMENT</v>
      </c>
      <c r="C83" s="11"/>
      <c r="D83" s="7">
        <v>1050</v>
      </c>
      <c r="E83" s="2"/>
      <c r="F83" s="6">
        <f t="shared" si="36"/>
        <v>9.426562454971332E-4</v>
      </c>
      <c r="G83" s="2"/>
      <c r="H83" s="7">
        <v>900</v>
      </c>
      <c r="I83" s="2"/>
      <c r="J83" s="6">
        <f t="shared" si="37"/>
        <v>7.6422217467062026E-4</v>
      </c>
      <c r="K83" s="2"/>
      <c r="L83" s="7">
        <f t="shared" si="38"/>
        <v>150</v>
      </c>
      <c r="M83" s="2"/>
      <c r="N83" s="6">
        <f t="shared" si="39"/>
        <v>0.16666666666666666</v>
      </c>
      <c r="O83" s="11"/>
      <c r="P83" s="7">
        <v>3650</v>
      </c>
      <c r="Q83" s="2"/>
      <c r="R83" s="6">
        <f t="shared" si="40"/>
        <v>1.9963213758660047E-3</v>
      </c>
      <c r="S83" s="2"/>
      <c r="T83" s="7">
        <v>2400</v>
      </c>
      <c r="U83" s="2"/>
      <c r="V83" s="6">
        <f t="shared" si="41"/>
        <v>1.155017719415588E-3</v>
      </c>
      <c r="W83" s="2"/>
      <c r="X83" s="7">
        <f t="shared" si="42"/>
        <v>1250</v>
      </c>
      <c r="Y83" s="2"/>
      <c r="Z83" s="6">
        <f t="shared" si="43"/>
        <v>0.52083333333333337</v>
      </c>
    </row>
    <row r="84" spans="1:26" s="24" customFormat="1" hidden="1" outlineLevel="2" x14ac:dyDescent="0.25">
      <c r="A84" s="25"/>
      <c r="B84" s="11" t="str">
        <f>CONCATENATE("          ", "6279", " - ", "GENERAL EXPENSE")</f>
        <v xml:space="preserve">          6279 - GENERAL EXPENSE</v>
      </c>
      <c r="C84" s="11"/>
      <c r="D84" s="7">
        <v>6613.13</v>
      </c>
      <c r="E84" s="2"/>
      <c r="F84" s="6">
        <f t="shared" si="36"/>
        <v>5.9370555207471009E-3</v>
      </c>
      <c r="G84" s="2"/>
      <c r="H84" s="7">
        <v>3918</v>
      </c>
      <c r="I84" s="2"/>
      <c r="J84" s="6">
        <f t="shared" si="37"/>
        <v>3.3269138670661003E-3</v>
      </c>
      <c r="K84" s="2"/>
      <c r="L84" s="7">
        <f t="shared" si="38"/>
        <v>2695.13</v>
      </c>
      <c r="M84" s="2"/>
      <c r="N84" s="6">
        <f t="shared" si="39"/>
        <v>0.68788412455334358</v>
      </c>
      <c r="O84" s="11"/>
      <c r="P84" s="7">
        <v>30632.649999999998</v>
      </c>
      <c r="Q84" s="2"/>
      <c r="R84" s="6">
        <f t="shared" si="40"/>
        <v>1.6754140820389524E-2</v>
      </c>
      <c r="S84" s="2"/>
      <c r="T84" s="7">
        <v>20066</v>
      </c>
      <c r="U84" s="2"/>
      <c r="V84" s="6">
        <f t="shared" si="41"/>
        <v>9.6569106490804954E-3</v>
      </c>
      <c r="W84" s="2"/>
      <c r="X84" s="7">
        <f t="shared" si="42"/>
        <v>10566.649999999998</v>
      </c>
      <c r="Y84" s="2"/>
      <c r="Z84" s="6">
        <f t="shared" si="43"/>
        <v>0.52659473736668982</v>
      </c>
    </row>
    <row r="85" spans="1:26" s="26" customFormat="1" outlineLevel="1" collapsed="1" x14ac:dyDescent="0.25">
      <c r="A85" s="27"/>
      <c r="B85" s="13" t="str">
        <f>CONCATENATE("     ","Insurance                                         ")</f>
        <v xml:space="preserve">     Insurance                                         </v>
      </c>
      <c r="C85" s="13"/>
      <c r="D85" s="1">
        <f>SUM(OSRRefD22_12x_0)</f>
        <v>4483.67</v>
      </c>
      <c r="E85" s="1"/>
      <c r="F85" s="5">
        <f t="shared" ref="F85:F99" si="44">IF(D$12=0,0,D85/D$12)</f>
        <v>4.0252947888077435E-3</v>
      </c>
      <c r="G85" s="1"/>
      <c r="H85" s="1">
        <f>SUM(OSRRefH22_12x_0)</f>
        <v>4234</v>
      </c>
      <c r="I85" s="1"/>
      <c r="J85" s="5">
        <f t="shared" ref="J85:J99" si="45">IF(H$12=0,0,H85/H$12)</f>
        <v>3.5952407639504511E-3</v>
      </c>
      <c r="K85" s="1"/>
      <c r="L85" s="1">
        <f t="shared" ref="L85:L99" si="46">+D85-H85</f>
        <v>249.67000000000007</v>
      </c>
      <c r="M85" s="1"/>
      <c r="N85" s="5">
        <f t="shared" ref="N85:N99" si="47">IF(H85=0,0,L85/H85)</f>
        <v>5.8967879074161567E-2</v>
      </c>
      <c r="O85" s="13"/>
      <c r="P85" s="1">
        <f>SUM(OSRRefP22_12x_0)</f>
        <v>13451.01</v>
      </c>
      <c r="Q85" s="1"/>
      <c r="R85" s="5">
        <f t="shared" ref="R85:R99" si="48">IF(P$12=0,0,P85/P$12)</f>
        <v>7.3568599424622986E-3</v>
      </c>
      <c r="S85" s="1"/>
      <c r="T85" s="1">
        <f>SUM(OSRRefT22_12x_0)</f>
        <v>12702</v>
      </c>
      <c r="U85" s="1"/>
      <c r="V85" s="5">
        <f t="shared" ref="V85:V99" si="49">IF(T$12=0,0,T85/T$12)</f>
        <v>6.1129312800069996E-3</v>
      </c>
      <c r="W85" s="1"/>
      <c r="X85" s="1">
        <f t="shared" ref="X85:X99" si="50">+P85-T85</f>
        <v>749.01000000000022</v>
      </c>
      <c r="Y85" s="1"/>
      <c r="Z85" s="5">
        <f t="shared" ref="Z85:Z99" si="51">IF(T85=0,0,X85/T85)</f>
        <v>5.8967879074161567E-2</v>
      </c>
    </row>
    <row r="86" spans="1:26" s="24" customFormat="1" hidden="1" outlineLevel="2" x14ac:dyDescent="0.25">
      <c r="A86" s="25"/>
      <c r="B86" s="11" t="str">
        <f>CONCATENATE("          ", "6314", " - ", "LIABILITY INSURANCE")</f>
        <v xml:space="preserve">          6314 - LIABILITY INSURANCE</v>
      </c>
      <c r="C86" s="11"/>
      <c r="D86" s="7">
        <v>4483.67</v>
      </c>
      <c r="E86" s="2"/>
      <c r="F86" s="6">
        <f t="shared" si="44"/>
        <v>4.0252947888077435E-3</v>
      </c>
      <c r="G86" s="2"/>
      <c r="H86" s="7">
        <v>4234</v>
      </c>
      <c r="I86" s="2"/>
      <c r="J86" s="6">
        <f t="shared" si="45"/>
        <v>3.5952407639504511E-3</v>
      </c>
      <c r="K86" s="2"/>
      <c r="L86" s="7">
        <f t="shared" si="46"/>
        <v>249.67000000000007</v>
      </c>
      <c r="M86" s="2"/>
      <c r="N86" s="6">
        <f t="shared" si="47"/>
        <v>5.8967879074161567E-2</v>
      </c>
      <c r="O86" s="11"/>
      <c r="P86" s="7">
        <v>13451.01</v>
      </c>
      <c r="Q86" s="2"/>
      <c r="R86" s="6">
        <f t="shared" si="48"/>
        <v>7.3568599424622986E-3</v>
      </c>
      <c r="S86" s="2"/>
      <c r="T86" s="7">
        <v>12702</v>
      </c>
      <c r="U86" s="2"/>
      <c r="V86" s="6">
        <f t="shared" si="49"/>
        <v>6.1129312800069996E-3</v>
      </c>
      <c r="W86" s="2"/>
      <c r="X86" s="7">
        <f t="shared" si="50"/>
        <v>749.01000000000022</v>
      </c>
      <c r="Y86" s="2"/>
      <c r="Z86" s="6">
        <f t="shared" si="51"/>
        <v>5.8967879074161567E-2</v>
      </c>
    </row>
    <row r="87" spans="1:26" s="26" customFormat="1" outlineLevel="1" collapsed="1" x14ac:dyDescent="0.25">
      <c r="A87" s="27"/>
      <c r="B87" s="13" t="str">
        <f>CONCATENATE("     ","Interest                                          ")</f>
        <v xml:space="preserve">     Interest                                          </v>
      </c>
      <c r="C87" s="13"/>
      <c r="D87" s="1">
        <f>SUM(OSRRefD22_13x_0)</f>
        <v>11740</v>
      </c>
      <c r="E87" s="1"/>
      <c r="F87" s="5">
        <f t="shared" si="44"/>
        <v>1.0539794592510802E-2</v>
      </c>
      <c r="G87" s="1"/>
      <c r="H87" s="1">
        <f>SUM(OSRRefH22_13x_0)</f>
        <v>11929</v>
      </c>
      <c r="I87" s="1"/>
      <c r="J87" s="5">
        <f t="shared" si="45"/>
        <v>1.0129340357384255E-2</v>
      </c>
      <c r="K87" s="1"/>
      <c r="L87" s="1">
        <f t="shared" si="46"/>
        <v>-189</v>
      </c>
      <c r="M87" s="1"/>
      <c r="N87" s="5">
        <f t="shared" si="47"/>
        <v>-1.5843742141000924E-2</v>
      </c>
      <c r="O87" s="13"/>
      <c r="P87" s="1">
        <f>SUM(OSRRefP22_13x_0)</f>
        <v>35220</v>
      </c>
      <c r="Q87" s="1"/>
      <c r="R87" s="5">
        <f t="shared" si="48"/>
        <v>1.9263133933698818E-2</v>
      </c>
      <c r="S87" s="1"/>
      <c r="T87" s="1">
        <f>SUM(OSRRefT22_13x_0)</f>
        <v>35787</v>
      </c>
      <c r="U87" s="1"/>
      <c r="V87" s="5">
        <f t="shared" si="49"/>
        <v>1.7222757968635687E-2</v>
      </c>
      <c r="W87" s="1"/>
      <c r="X87" s="1">
        <f t="shared" si="50"/>
        <v>-567</v>
      </c>
      <c r="Y87" s="1"/>
      <c r="Z87" s="5">
        <f t="shared" si="51"/>
        <v>-1.5843742141000924E-2</v>
      </c>
    </row>
    <row r="88" spans="1:26" s="24" customFormat="1" hidden="1" outlineLevel="2" x14ac:dyDescent="0.25">
      <c r="A88" s="25"/>
      <c r="B88" s="11" t="str">
        <f>CONCATENATE("          ", "6401", " - ", "INTEREST EXPENSE")</f>
        <v xml:space="preserve">          6401 - INTEREST EXPENSE</v>
      </c>
      <c r="C88" s="11"/>
      <c r="D88" s="7">
        <v>11740</v>
      </c>
      <c r="E88" s="2"/>
      <c r="F88" s="6">
        <f t="shared" si="44"/>
        <v>1.0539794592510802E-2</v>
      </c>
      <c r="G88" s="2"/>
      <c r="H88" s="7">
        <v>11929</v>
      </c>
      <c r="I88" s="2"/>
      <c r="J88" s="6">
        <f t="shared" si="45"/>
        <v>1.0129340357384255E-2</v>
      </c>
      <c r="K88" s="2"/>
      <c r="L88" s="7">
        <f t="shared" si="46"/>
        <v>-189</v>
      </c>
      <c r="M88" s="2"/>
      <c r="N88" s="6">
        <f t="shared" si="47"/>
        <v>-1.5843742141000924E-2</v>
      </c>
      <c r="O88" s="11"/>
      <c r="P88" s="7">
        <v>35220</v>
      </c>
      <c r="Q88" s="2"/>
      <c r="R88" s="6">
        <f t="shared" si="48"/>
        <v>1.9263133933698818E-2</v>
      </c>
      <c r="S88" s="2"/>
      <c r="T88" s="7">
        <v>35787</v>
      </c>
      <c r="U88" s="2"/>
      <c r="V88" s="6">
        <f t="shared" si="49"/>
        <v>1.7222757968635687E-2</v>
      </c>
      <c r="W88" s="2"/>
      <c r="X88" s="7">
        <f t="shared" si="50"/>
        <v>-567</v>
      </c>
      <c r="Y88" s="2"/>
      <c r="Z88" s="6">
        <f t="shared" si="51"/>
        <v>-1.5843742141000924E-2</v>
      </c>
    </row>
    <row r="89" spans="1:26" s="26" customFormat="1" outlineLevel="1" collapsed="1" x14ac:dyDescent="0.25">
      <c r="A89" s="27"/>
      <c r="B89" s="13" t="str">
        <f>CONCATENATE("     ","Professional Services                             ")</f>
        <v xml:space="preserve">     Professional Services                             </v>
      </c>
      <c r="C89" s="13"/>
      <c r="D89" s="1">
        <f>SUM(OSRRefD22_14x_0)</f>
        <v>0</v>
      </c>
      <c r="E89" s="1"/>
      <c r="F89" s="5">
        <f t="shared" si="44"/>
        <v>0</v>
      </c>
      <c r="G89" s="1"/>
      <c r="H89" s="1">
        <f>SUM(OSRRefH22_14x_0)</f>
        <v>0</v>
      </c>
      <c r="I89" s="1"/>
      <c r="J89" s="5">
        <f t="shared" si="45"/>
        <v>0</v>
      </c>
      <c r="K89" s="1"/>
      <c r="L89" s="1">
        <f t="shared" si="46"/>
        <v>0</v>
      </c>
      <c r="M89" s="1"/>
      <c r="N89" s="5">
        <f t="shared" si="47"/>
        <v>0</v>
      </c>
      <c r="O89" s="13"/>
      <c r="P89" s="1">
        <f>SUM(OSRRefP22_14x_0)</f>
        <v>125</v>
      </c>
      <c r="Q89" s="1"/>
      <c r="R89" s="5">
        <f t="shared" si="48"/>
        <v>6.8367170406370022E-5</v>
      </c>
      <c r="S89" s="1"/>
      <c r="T89" s="1">
        <f>SUM(OSRRefT22_14x_0)</f>
        <v>0</v>
      </c>
      <c r="U89" s="1"/>
      <c r="V89" s="5">
        <f t="shared" si="49"/>
        <v>0</v>
      </c>
      <c r="W89" s="1"/>
      <c r="X89" s="1">
        <f t="shared" si="50"/>
        <v>125</v>
      </c>
      <c r="Y89" s="1"/>
      <c r="Z89" s="5">
        <f t="shared" si="51"/>
        <v>0</v>
      </c>
    </row>
    <row r="90" spans="1:26" s="24" customFormat="1" hidden="1" outlineLevel="2" x14ac:dyDescent="0.25">
      <c r="A90" s="25"/>
      <c r="B90" s="11" t="str">
        <f>CONCATENATE("          ", "6336", " - ", "PROFESSIONAL SERVICES")</f>
        <v xml:space="preserve">          6336 - PROFESSIONAL SERVICES</v>
      </c>
      <c r="C90" s="11"/>
      <c r="D90" s="7"/>
      <c r="E90" s="2"/>
      <c r="F90" s="6">
        <f t="shared" si="44"/>
        <v>0</v>
      </c>
      <c r="G90" s="2"/>
      <c r="H90" s="7"/>
      <c r="I90" s="2"/>
      <c r="J90" s="6">
        <f t="shared" si="45"/>
        <v>0</v>
      </c>
      <c r="K90" s="2"/>
      <c r="L90" s="7">
        <f t="shared" si="46"/>
        <v>0</v>
      </c>
      <c r="M90" s="2"/>
      <c r="N90" s="6">
        <f t="shared" si="47"/>
        <v>0</v>
      </c>
      <c r="O90" s="11"/>
      <c r="P90" s="7">
        <v>125</v>
      </c>
      <c r="Q90" s="2"/>
      <c r="R90" s="6">
        <f t="shared" si="48"/>
        <v>6.8367170406370022E-5</v>
      </c>
      <c r="S90" s="2"/>
      <c r="T90" s="7"/>
      <c r="U90" s="2"/>
      <c r="V90" s="6">
        <f t="shared" si="49"/>
        <v>0</v>
      </c>
      <c r="W90" s="2"/>
      <c r="X90" s="7">
        <f t="shared" si="50"/>
        <v>125</v>
      </c>
      <c r="Y90" s="2"/>
      <c r="Z90" s="6">
        <f t="shared" si="51"/>
        <v>0</v>
      </c>
    </row>
    <row r="91" spans="1:26" s="26" customFormat="1" outlineLevel="1" collapsed="1" x14ac:dyDescent="0.25">
      <c r="A91" s="27"/>
      <c r="B91" s="13" t="str">
        <f>CONCATENATE("     ","R/H Commissions                                   ")</f>
        <v xml:space="preserve">     R/H Commissions                                   </v>
      </c>
      <c r="C91" s="13"/>
      <c r="D91" s="1">
        <f>SUM(OSRRefD22_15x_0)</f>
        <v>0</v>
      </c>
      <c r="E91" s="1"/>
      <c r="F91" s="5">
        <f t="shared" si="44"/>
        <v>0</v>
      </c>
      <c r="G91" s="1"/>
      <c r="H91" s="1">
        <f>SUM(OSRRefH22_15x_0)</f>
        <v>0</v>
      </c>
      <c r="I91" s="1"/>
      <c r="J91" s="5">
        <f t="shared" si="45"/>
        <v>0</v>
      </c>
      <c r="K91" s="1"/>
      <c r="L91" s="1">
        <f t="shared" si="46"/>
        <v>0</v>
      </c>
      <c r="M91" s="1"/>
      <c r="N91" s="5">
        <f t="shared" si="47"/>
        <v>0</v>
      </c>
      <c r="O91" s="13"/>
      <c r="P91" s="1">
        <f>SUM(OSRRefP22_15x_0)</f>
        <v>0</v>
      </c>
      <c r="Q91" s="1"/>
      <c r="R91" s="5">
        <f t="shared" si="48"/>
        <v>0</v>
      </c>
      <c r="S91" s="1"/>
      <c r="T91" s="1">
        <f>SUM(OSRRefT22_15x_0)</f>
        <v>0</v>
      </c>
      <c r="U91" s="1"/>
      <c r="V91" s="5">
        <f t="shared" si="49"/>
        <v>0</v>
      </c>
      <c r="W91" s="1"/>
      <c r="X91" s="1">
        <f t="shared" si="50"/>
        <v>0</v>
      </c>
      <c r="Y91" s="1"/>
      <c r="Z91" s="5">
        <f t="shared" si="51"/>
        <v>0</v>
      </c>
    </row>
    <row r="92" spans="1:26" s="24" customFormat="1" hidden="1" outlineLevel="2" x14ac:dyDescent="0.25">
      <c r="A92" s="25"/>
      <c r="B92" s="11" t="str">
        <f>CONCATENATE("          ", "6387", " - ", "COMMISSION DUE HOUSING")</f>
        <v xml:space="preserve">          6387 - COMMISSION DUE HOUSING</v>
      </c>
      <c r="C92" s="11"/>
      <c r="D92" s="7"/>
      <c r="E92" s="2"/>
      <c r="F92" s="6">
        <f t="shared" si="44"/>
        <v>0</v>
      </c>
      <c r="G92" s="2"/>
      <c r="H92" s="7"/>
      <c r="I92" s="2"/>
      <c r="J92" s="6">
        <f t="shared" si="45"/>
        <v>0</v>
      </c>
      <c r="K92" s="2"/>
      <c r="L92" s="7">
        <f t="shared" si="46"/>
        <v>0</v>
      </c>
      <c r="M92" s="2"/>
      <c r="N92" s="6">
        <f t="shared" si="47"/>
        <v>0</v>
      </c>
      <c r="O92" s="11"/>
      <c r="P92" s="7"/>
      <c r="Q92" s="2"/>
      <c r="R92" s="6">
        <f t="shared" si="48"/>
        <v>0</v>
      </c>
      <c r="S92" s="2"/>
      <c r="T92" s="7">
        <v>0</v>
      </c>
      <c r="U92" s="2"/>
      <c r="V92" s="6">
        <f t="shared" si="49"/>
        <v>0</v>
      </c>
      <c r="W92" s="2"/>
      <c r="X92" s="7">
        <f t="shared" si="50"/>
        <v>0</v>
      </c>
      <c r="Y92" s="2"/>
      <c r="Z92" s="6">
        <f t="shared" si="51"/>
        <v>0</v>
      </c>
    </row>
    <row r="93" spans="1:26" s="26" customFormat="1" outlineLevel="1" collapsed="1" x14ac:dyDescent="0.25">
      <c r="A93" s="27"/>
      <c r="B93" s="13" t="str">
        <f>CONCATENATE("     ","Rent                                              ")</f>
        <v xml:space="preserve">     Rent                                              </v>
      </c>
      <c r="C93" s="13"/>
      <c r="D93" s="1">
        <f>SUM(OSRRefD22_16x_0)</f>
        <v>3000</v>
      </c>
      <c r="E93" s="1"/>
      <c r="F93" s="5">
        <f t="shared" si="44"/>
        <v>2.6933035585632375E-3</v>
      </c>
      <c r="G93" s="1"/>
      <c r="H93" s="1">
        <f>SUM(OSRRefH22_16x_0)</f>
        <v>3000</v>
      </c>
      <c r="I93" s="1"/>
      <c r="J93" s="5">
        <f t="shared" si="45"/>
        <v>2.5474072489020676E-3</v>
      </c>
      <c r="K93" s="1"/>
      <c r="L93" s="1">
        <f t="shared" si="46"/>
        <v>0</v>
      </c>
      <c r="M93" s="1"/>
      <c r="N93" s="5">
        <f t="shared" si="47"/>
        <v>0</v>
      </c>
      <c r="O93" s="13"/>
      <c r="P93" s="1">
        <f>SUM(OSRRefP22_16x_0)</f>
        <v>9000</v>
      </c>
      <c r="Q93" s="1"/>
      <c r="R93" s="5">
        <f t="shared" si="48"/>
        <v>4.9224362692586419E-3</v>
      </c>
      <c r="S93" s="1"/>
      <c r="T93" s="1">
        <f>SUM(OSRRefT22_16x_0)</f>
        <v>9000</v>
      </c>
      <c r="U93" s="1"/>
      <c r="V93" s="5">
        <f t="shared" si="49"/>
        <v>4.3313164478084552E-3</v>
      </c>
      <c r="W93" s="1"/>
      <c r="X93" s="1">
        <f t="shared" si="50"/>
        <v>0</v>
      </c>
      <c r="Y93" s="1"/>
      <c r="Z93" s="5">
        <f t="shared" si="51"/>
        <v>0</v>
      </c>
    </row>
    <row r="94" spans="1:26" s="24" customFormat="1" hidden="1" outlineLevel="2" x14ac:dyDescent="0.25">
      <c r="A94" s="25"/>
      <c r="B94" s="11" t="str">
        <f>CONCATENATE("          ", "6273", " - ", "RENT")</f>
        <v xml:space="preserve">          6273 - RENT</v>
      </c>
      <c r="C94" s="11"/>
      <c r="D94" s="7">
        <v>3000</v>
      </c>
      <c r="E94" s="2"/>
      <c r="F94" s="6">
        <f t="shared" si="44"/>
        <v>2.6933035585632375E-3</v>
      </c>
      <c r="G94" s="2"/>
      <c r="H94" s="7">
        <v>3000</v>
      </c>
      <c r="I94" s="2"/>
      <c r="J94" s="6">
        <f t="shared" si="45"/>
        <v>2.5474072489020676E-3</v>
      </c>
      <c r="K94" s="2"/>
      <c r="L94" s="7">
        <f t="shared" si="46"/>
        <v>0</v>
      </c>
      <c r="M94" s="2"/>
      <c r="N94" s="6">
        <f t="shared" si="47"/>
        <v>0</v>
      </c>
      <c r="O94" s="11"/>
      <c r="P94" s="7">
        <v>9000</v>
      </c>
      <c r="Q94" s="2"/>
      <c r="R94" s="6">
        <f t="shared" si="48"/>
        <v>4.9224362692586419E-3</v>
      </c>
      <c r="S94" s="2"/>
      <c r="T94" s="7">
        <v>9000</v>
      </c>
      <c r="U94" s="2"/>
      <c r="V94" s="6">
        <f t="shared" si="49"/>
        <v>4.3313164478084552E-3</v>
      </c>
      <c r="W94" s="2"/>
      <c r="X94" s="7">
        <f t="shared" si="50"/>
        <v>0</v>
      </c>
      <c r="Y94" s="2"/>
      <c r="Z94" s="6">
        <f t="shared" si="51"/>
        <v>0</v>
      </c>
    </row>
    <row r="95" spans="1:26" s="26" customFormat="1" outlineLevel="1" collapsed="1" x14ac:dyDescent="0.25">
      <c r="A95" s="27"/>
      <c r="B95" s="13" t="str">
        <f>CONCATENATE("     ","Repair and Maintenance                            ")</f>
        <v xml:space="preserve">     Repair and Maintenance                            </v>
      </c>
      <c r="C95" s="13"/>
      <c r="D95" s="1">
        <f>SUM(OSRRefD22_17x_0)</f>
        <v>37760.800000000003</v>
      </c>
      <c r="E95" s="1"/>
      <c r="F95" s="5">
        <f t="shared" si="44"/>
        <v>3.3900432338064904E-2</v>
      </c>
      <c r="G95" s="1"/>
      <c r="H95" s="1">
        <f>SUM(OSRRefH22_17x_0)</f>
        <v>19965</v>
      </c>
      <c r="I95" s="1"/>
      <c r="J95" s="5">
        <f t="shared" si="45"/>
        <v>1.695299524144326E-2</v>
      </c>
      <c r="K95" s="1"/>
      <c r="L95" s="1">
        <f t="shared" si="46"/>
        <v>17795.800000000003</v>
      </c>
      <c r="M95" s="1"/>
      <c r="N95" s="5">
        <f t="shared" si="47"/>
        <v>0.8913498622589533</v>
      </c>
      <c r="O95" s="13"/>
      <c r="P95" s="1">
        <f>SUM(OSRRefP22_17x_0)</f>
        <v>88563.41</v>
      </c>
      <c r="Q95" s="1"/>
      <c r="R95" s="5">
        <f t="shared" si="48"/>
        <v>4.8438637945913722E-2</v>
      </c>
      <c r="S95" s="1"/>
      <c r="T95" s="1">
        <f>SUM(OSRRefT22_17x_0)</f>
        <v>70730</v>
      </c>
      <c r="U95" s="1"/>
      <c r="V95" s="5">
        <f t="shared" si="49"/>
        <v>3.4039334705943558E-2</v>
      </c>
      <c r="W95" s="1"/>
      <c r="X95" s="1">
        <f t="shared" si="50"/>
        <v>17833.410000000003</v>
      </c>
      <c r="Y95" s="1"/>
      <c r="Z95" s="5">
        <f t="shared" si="51"/>
        <v>0.25213360667326457</v>
      </c>
    </row>
    <row r="96" spans="1:26" s="24" customFormat="1" hidden="1" outlineLevel="2" x14ac:dyDescent="0.25">
      <c r="A96" s="25"/>
      <c r="B96" s="11" t="str">
        <f>CONCATENATE("          ", "6371", " - ", "COMPUTER SOFTWARE MAINTENANCE")</f>
        <v xml:space="preserve">          6371 - COMPUTER SOFTWARE MAINTENANCE</v>
      </c>
      <c r="C96" s="11"/>
      <c r="D96" s="7">
        <v>12244.62</v>
      </c>
      <c r="E96" s="2"/>
      <c r="F96" s="6">
        <f t="shared" si="44"/>
        <v>1.0992826206418197E-2</v>
      </c>
      <c r="G96" s="2"/>
      <c r="H96" s="7">
        <v>50</v>
      </c>
      <c r="I96" s="2"/>
      <c r="J96" s="6">
        <f t="shared" si="45"/>
        <v>4.2456787481701126E-5</v>
      </c>
      <c r="K96" s="2"/>
      <c r="L96" s="7">
        <f t="shared" si="46"/>
        <v>12194.62</v>
      </c>
      <c r="M96" s="2"/>
      <c r="N96" s="6">
        <f t="shared" si="47"/>
        <v>243.89240000000001</v>
      </c>
      <c r="O96" s="11"/>
      <c r="P96" s="7">
        <v>12244.62</v>
      </c>
      <c r="Q96" s="2"/>
      <c r="R96" s="6">
        <f t="shared" si="48"/>
        <v>6.6970401768099725E-3</v>
      </c>
      <c r="S96" s="2"/>
      <c r="T96" s="7">
        <v>650</v>
      </c>
      <c r="U96" s="2"/>
      <c r="V96" s="6">
        <f t="shared" si="49"/>
        <v>3.1281729900838843E-4</v>
      </c>
      <c r="W96" s="2"/>
      <c r="X96" s="7">
        <f t="shared" si="50"/>
        <v>11594.62</v>
      </c>
      <c r="Y96" s="2"/>
      <c r="Z96" s="6">
        <f t="shared" si="51"/>
        <v>17.837876923076923</v>
      </c>
    </row>
    <row r="97" spans="1:26" s="24" customFormat="1" hidden="1" outlineLevel="2" x14ac:dyDescent="0.25">
      <c r="A97" s="25"/>
      <c r="B97" s="11" t="str">
        <f>CONCATENATE("          ", "6372", " - ", "COMPUTER HARDWARE MAINTENANCE")</f>
        <v xml:space="preserve">          6372 - COMPUTER HARDWARE MAINTENANCE</v>
      </c>
      <c r="C97" s="11"/>
      <c r="D97" s="7"/>
      <c r="E97" s="2"/>
      <c r="F97" s="6">
        <f t="shared" si="44"/>
        <v>0</v>
      </c>
      <c r="G97" s="2"/>
      <c r="H97" s="7"/>
      <c r="I97" s="2"/>
      <c r="J97" s="6">
        <f t="shared" si="45"/>
        <v>0</v>
      </c>
      <c r="K97" s="2"/>
      <c r="L97" s="7">
        <f t="shared" si="46"/>
        <v>0</v>
      </c>
      <c r="M97" s="2"/>
      <c r="N97" s="6">
        <f t="shared" si="47"/>
        <v>0</v>
      </c>
      <c r="O97" s="11"/>
      <c r="P97" s="7"/>
      <c r="Q97" s="2"/>
      <c r="R97" s="6">
        <f t="shared" si="48"/>
        <v>0</v>
      </c>
      <c r="S97" s="2"/>
      <c r="T97" s="7">
        <v>200</v>
      </c>
      <c r="U97" s="2"/>
      <c r="V97" s="6">
        <f t="shared" si="49"/>
        <v>9.6251476617965673E-5</v>
      </c>
      <c r="W97" s="2"/>
      <c r="X97" s="7">
        <f t="shared" si="50"/>
        <v>-200</v>
      </c>
      <c r="Y97" s="2"/>
      <c r="Z97" s="6">
        <f t="shared" si="51"/>
        <v>-1</v>
      </c>
    </row>
    <row r="98" spans="1:26" s="24" customFormat="1" hidden="1" outlineLevel="2" x14ac:dyDescent="0.25">
      <c r="A98" s="25"/>
      <c r="B98" s="11" t="str">
        <f>CONCATENATE("          ", "6373", " - ", "MAINTENANCE CONTRACTS")</f>
        <v xml:space="preserve">          6373 - MAINTENANCE CONTRACTS</v>
      </c>
      <c r="C98" s="11"/>
      <c r="D98" s="7">
        <v>8717.31</v>
      </c>
      <c r="E98" s="2"/>
      <c r="F98" s="6">
        <f t="shared" si="44"/>
        <v>7.8261206813662991E-3</v>
      </c>
      <c r="G98" s="2"/>
      <c r="H98" s="7">
        <v>2573</v>
      </c>
      <c r="I98" s="2"/>
      <c r="J98" s="6">
        <f t="shared" si="45"/>
        <v>2.1848262838083401E-3</v>
      </c>
      <c r="K98" s="2"/>
      <c r="L98" s="7">
        <f t="shared" si="46"/>
        <v>6144.3099999999995</v>
      </c>
      <c r="M98" s="2"/>
      <c r="N98" s="6">
        <f t="shared" si="47"/>
        <v>2.3879945588806839</v>
      </c>
      <c r="O98" s="11"/>
      <c r="P98" s="7">
        <v>24808.510000000002</v>
      </c>
      <c r="Q98" s="2"/>
      <c r="R98" s="6">
        <f t="shared" si="48"/>
        <v>1.356870104558508E-2</v>
      </c>
      <c r="S98" s="2"/>
      <c r="T98" s="7">
        <v>6973</v>
      </c>
      <c r="U98" s="2"/>
      <c r="V98" s="6">
        <f t="shared" si="49"/>
        <v>3.3558077322853731E-3</v>
      </c>
      <c r="W98" s="2"/>
      <c r="X98" s="7">
        <f t="shared" si="50"/>
        <v>17835.510000000002</v>
      </c>
      <c r="Y98" s="2"/>
      <c r="Z98" s="6">
        <f t="shared" si="51"/>
        <v>2.5577957837372725</v>
      </c>
    </row>
    <row r="99" spans="1:26" s="24" customFormat="1" hidden="1" outlineLevel="2" x14ac:dyDescent="0.25">
      <c r="A99" s="25"/>
      <c r="B99" s="11" t="str">
        <f>CONCATENATE("          ", "6375", " - ", "OUTSIDE REPAIRS &amp; MAINTENANCE")</f>
        <v xml:space="preserve">          6375 - OUTSIDE REPAIRS &amp; MAINTENANCE</v>
      </c>
      <c r="C99" s="11"/>
      <c r="D99" s="7">
        <v>16798.870000000003</v>
      </c>
      <c r="E99" s="2"/>
      <c r="F99" s="6">
        <f t="shared" si="44"/>
        <v>1.5081485450280407E-2</v>
      </c>
      <c r="G99" s="2"/>
      <c r="H99" s="7">
        <v>17342</v>
      </c>
      <c r="I99" s="2"/>
      <c r="J99" s="6">
        <f t="shared" si="45"/>
        <v>1.4725712170153218E-2</v>
      </c>
      <c r="K99" s="2"/>
      <c r="L99" s="7">
        <f t="shared" si="46"/>
        <v>-543.12999999999738</v>
      </c>
      <c r="M99" s="2"/>
      <c r="N99" s="6">
        <f t="shared" si="47"/>
        <v>-3.1318763695075386E-2</v>
      </c>
      <c r="O99" s="11"/>
      <c r="P99" s="7">
        <v>51510.28</v>
      </c>
      <c r="Q99" s="2"/>
      <c r="R99" s="6">
        <f t="shared" si="48"/>
        <v>2.8172896723518668E-2</v>
      </c>
      <c r="S99" s="2"/>
      <c r="T99" s="7">
        <v>62907.000000000007</v>
      </c>
      <c r="U99" s="2"/>
      <c r="V99" s="6">
        <f t="shared" si="49"/>
        <v>3.0274458198031835E-2</v>
      </c>
      <c r="W99" s="2"/>
      <c r="X99" s="7">
        <f t="shared" si="50"/>
        <v>-11396.720000000008</v>
      </c>
      <c r="Y99" s="2"/>
      <c r="Z99" s="6">
        <f t="shared" si="51"/>
        <v>-0.1811677555756912</v>
      </c>
    </row>
    <row r="100" spans="1:26" s="26" customFormat="1" outlineLevel="1" collapsed="1" x14ac:dyDescent="0.25">
      <c r="A100" s="27"/>
      <c r="B100" s="13" t="str">
        <f>CONCATENATE("     ","Royalty &amp; Commissions                             ")</f>
        <v xml:space="preserve">     Royalty &amp; Commissions                             </v>
      </c>
      <c r="C100" s="13"/>
      <c r="D100" s="1">
        <f>SUM(OSRRefD22_18x_0)</f>
        <v>32235.18</v>
      </c>
      <c r="E100" s="1"/>
      <c r="F100" s="5">
        <f t="shared" ref="F100:F103" si="52">IF(D$12=0,0,D100/D$12)</f>
        <v>2.89397083349755E-2</v>
      </c>
      <c r="G100" s="1"/>
      <c r="H100" s="1">
        <f>SUM(OSRRefH22_18x_0)</f>
        <v>27201</v>
      </c>
      <c r="I100" s="1"/>
      <c r="J100" s="5">
        <f t="shared" ref="J100:J103" si="53">IF(H$12=0,0,H100/H$12)</f>
        <v>2.3097341525795047E-2</v>
      </c>
      <c r="K100" s="1"/>
      <c r="L100" s="1">
        <f t="shared" ref="L100:L103" si="54">+D100-H100</f>
        <v>5034.18</v>
      </c>
      <c r="M100" s="1"/>
      <c r="N100" s="5">
        <f t="shared" ref="N100:N103" si="55">IF(H100=0,0,L100/H100)</f>
        <v>0.18507334289180546</v>
      </c>
      <c r="O100" s="13"/>
      <c r="P100" s="1">
        <f>SUM(OSRRefP22_18x_0)</f>
        <v>65937.22</v>
      </c>
      <c r="Q100" s="1"/>
      <c r="R100" s="5">
        <f t="shared" ref="R100:R103" si="56">IF(P$12=0,0,P100/P$12)</f>
        <v>3.6063529246898478E-2</v>
      </c>
      <c r="S100" s="1"/>
      <c r="T100" s="1">
        <f>SUM(OSRRefT22_18x_0)</f>
        <v>55621</v>
      </c>
      <c r="U100" s="1"/>
      <c r="V100" s="5">
        <f t="shared" ref="V100:V103" si="57">IF(T$12=0,0,T100/T$12)</f>
        <v>2.6768016904839341E-2</v>
      </c>
      <c r="W100" s="1"/>
      <c r="X100" s="1">
        <f t="shared" ref="X100:X103" si="58">+P100-T100</f>
        <v>10316.220000000001</v>
      </c>
      <c r="Y100" s="1"/>
      <c r="Z100" s="5">
        <f t="shared" ref="Z100:Z103" si="59">IF(T100=0,0,X100/T100)</f>
        <v>0.18547347224968988</v>
      </c>
    </row>
    <row r="101" spans="1:26" s="24" customFormat="1" hidden="1" outlineLevel="2" x14ac:dyDescent="0.25">
      <c r="A101" s="25"/>
      <c r="B101" s="11" t="str">
        <f>CONCATENATE("          ", "6253", " - ", "ROYALTY DUE ATHLETICS-LRG")</f>
        <v xml:space="preserve">          6253 - ROYALTY DUE ATHLETICS-LRG</v>
      </c>
      <c r="C101" s="11"/>
      <c r="D101" s="7"/>
      <c r="E101" s="2"/>
      <c r="F101" s="6">
        <f t="shared" si="52"/>
        <v>0</v>
      </c>
      <c r="G101" s="2"/>
      <c r="H101" s="7">
        <v>3000</v>
      </c>
      <c r="I101" s="2"/>
      <c r="J101" s="6">
        <f t="shared" si="53"/>
        <v>2.5474072489020676E-3</v>
      </c>
      <c r="K101" s="2"/>
      <c r="L101" s="7">
        <f t="shared" si="54"/>
        <v>-3000</v>
      </c>
      <c r="M101" s="2"/>
      <c r="N101" s="6">
        <f t="shared" si="55"/>
        <v>-1</v>
      </c>
      <c r="O101" s="11"/>
      <c r="P101" s="7"/>
      <c r="Q101" s="2"/>
      <c r="R101" s="6">
        <f t="shared" si="56"/>
        <v>0</v>
      </c>
      <c r="S101" s="2"/>
      <c r="T101" s="7">
        <v>9000</v>
      </c>
      <c r="U101" s="2"/>
      <c r="V101" s="6">
        <f t="shared" si="57"/>
        <v>4.3313164478084552E-3</v>
      </c>
      <c r="W101" s="2"/>
      <c r="X101" s="7">
        <f t="shared" si="58"/>
        <v>-9000</v>
      </c>
      <c r="Y101" s="2"/>
      <c r="Z101" s="6">
        <f t="shared" si="59"/>
        <v>-1</v>
      </c>
    </row>
    <row r="102" spans="1:26" s="24" customFormat="1" hidden="1" outlineLevel="2" x14ac:dyDescent="0.25">
      <c r="A102" s="25"/>
      <c r="B102" s="11" t="str">
        <f>CONCATENATE("          ", "6254", " - ", "ROYALTY &amp; COMMISSIONS")</f>
        <v xml:space="preserve">          6254 - ROYALTY &amp; COMMISSIONS</v>
      </c>
      <c r="C102" s="11"/>
      <c r="D102" s="7">
        <v>15487.42</v>
      </c>
      <c r="E102" s="2"/>
      <c r="F102" s="6">
        <f t="shared" si="52"/>
        <v>1.3904107799654486E-2</v>
      </c>
      <c r="G102" s="2"/>
      <c r="H102" s="7"/>
      <c r="I102" s="2"/>
      <c r="J102" s="6">
        <f t="shared" si="53"/>
        <v>0</v>
      </c>
      <c r="K102" s="2"/>
      <c r="L102" s="7">
        <f t="shared" si="54"/>
        <v>15487.42</v>
      </c>
      <c r="M102" s="2"/>
      <c r="N102" s="6">
        <f t="shared" si="55"/>
        <v>0</v>
      </c>
      <c r="O102" s="11"/>
      <c r="P102" s="7">
        <v>40331.06</v>
      </c>
      <c r="Q102" s="2"/>
      <c r="R102" s="6">
        <f t="shared" si="56"/>
        <v>2.2058563613516269E-2</v>
      </c>
      <c r="S102" s="2"/>
      <c r="T102" s="7">
        <v>4117</v>
      </c>
      <c r="U102" s="2"/>
      <c r="V102" s="6">
        <f t="shared" si="57"/>
        <v>1.9813366461808235E-3</v>
      </c>
      <c r="W102" s="2"/>
      <c r="X102" s="7">
        <f t="shared" si="58"/>
        <v>36214.06</v>
      </c>
      <c r="Y102" s="2"/>
      <c r="Z102" s="6">
        <f t="shared" si="59"/>
        <v>8.796225406849647</v>
      </c>
    </row>
    <row r="103" spans="1:26" s="24" customFormat="1" hidden="1" outlineLevel="2" x14ac:dyDescent="0.25">
      <c r="A103" s="25"/>
      <c r="B103" s="11" t="str">
        <f>CONCATENATE("          ", "6259", " - ", "ROYALTY &amp; COMMISSIONS")</f>
        <v xml:space="preserve">          6259 - ROYALTY &amp; COMMISSIONS</v>
      </c>
      <c r="C103" s="11"/>
      <c r="D103" s="7">
        <v>16747.759999999998</v>
      </c>
      <c r="E103" s="2"/>
      <c r="F103" s="6">
        <f t="shared" si="52"/>
        <v>1.5035600535321015E-2</v>
      </c>
      <c r="G103" s="2"/>
      <c r="H103" s="7">
        <v>24201</v>
      </c>
      <c r="I103" s="2"/>
      <c r="J103" s="6">
        <f t="shared" si="53"/>
        <v>2.054993427689298E-2</v>
      </c>
      <c r="K103" s="2"/>
      <c r="L103" s="7">
        <f t="shared" si="54"/>
        <v>-7453.2400000000016</v>
      </c>
      <c r="M103" s="2"/>
      <c r="N103" s="6">
        <f t="shared" si="55"/>
        <v>-0.30797239783480029</v>
      </c>
      <c r="O103" s="11"/>
      <c r="P103" s="7">
        <v>25606.16</v>
      </c>
      <c r="Q103" s="2"/>
      <c r="R103" s="6">
        <f t="shared" si="56"/>
        <v>1.4004965633382207E-2</v>
      </c>
      <c r="S103" s="2"/>
      <c r="T103" s="7">
        <v>42504</v>
      </c>
      <c r="U103" s="2"/>
      <c r="V103" s="6">
        <f t="shared" si="57"/>
        <v>2.0455363810850065E-2</v>
      </c>
      <c r="W103" s="2"/>
      <c r="X103" s="7">
        <f t="shared" si="58"/>
        <v>-16897.84</v>
      </c>
      <c r="Y103" s="2"/>
      <c r="Z103" s="6">
        <f t="shared" si="59"/>
        <v>-0.3975588179936006</v>
      </c>
    </row>
    <row r="104" spans="1:26" s="26" customFormat="1" outlineLevel="1" collapsed="1" x14ac:dyDescent="0.25">
      <c r="A104" s="27"/>
      <c r="B104" s="13" t="str">
        <f>CONCATENATE("     ","Services                                          ")</f>
        <v xml:space="preserve">     Services                                          </v>
      </c>
      <c r="C104" s="13"/>
      <c r="D104" s="1">
        <f>SUM(OSRRefD22_19x_0)</f>
        <v>20964.509999999998</v>
      </c>
      <c r="E104" s="1"/>
      <c r="F104" s="5">
        <f t="shared" ref="F104:F110" si="60">IF(D$12=0,0,D104/D$12)</f>
        <v>1.882126312884486E-2</v>
      </c>
      <c r="G104" s="1"/>
      <c r="H104" s="1">
        <f>SUM(OSRRefH22_19x_0)</f>
        <v>23871</v>
      </c>
      <c r="I104" s="1"/>
      <c r="J104" s="5">
        <f t="shared" ref="J104:J110" si="61">IF(H$12=0,0,H104/H$12)</f>
        <v>2.026971947951375E-2</v>
      </c>
      <c r="K104" s="1"/>
      <c r="L104" s="1">
        <f t="shared" ref="L104:L110" si="62">+D104-H104</f>
        <v>-2906.4900000000016</v>
      </c>
      <c r="M104" s="1"/>
      <c r="N104" s="5">
        <f t="shared" ref="N104:N110" si="63">IF(H104=0,0,L104/H104)</f>
        <v>-0.12175820032675638</v>
      </c>
      <c r="O104" s="13"/>
      <c r="P104" s="1">
        <f>SUM(OSRRefP22_19x_0)</f>
        <v>63489.310000000005</v>
      </c>
      <c r="Q104" s="1"/>
      <c r="R104" s="5">
        <f t="shared" ref="R104:R110" si="64">IF(P$12=0,0,P104/P$12)</f>
        <v>3.4724675806022821E-2</v>
      </c>
      <c r="S104" s="1"/>
      <c r="T104" s="1">
        <f>SUM(OSRRefT22_19x_0)</f>
        <v>68398</v>
      </c>
      <c r="U104" s="1"/>
      <c r="V104" s="5">
        <f t="shared" ref="V104:V110" si="65">IF(T$12=0,0,T104/T$12)</f>
        <v>3.2917042488578081E-2</v>
      </c>
      <c r="W104" s="1"/>
      <c r="X104" s="1">
        <f t="shared" ref="X104:X110" si="66">+P104-T104</f>
        <v>-4908.6899999999951</v>
      </c>
      <c r="Y104" s="1"/>
      <c r="Z104" s="5">
        <f t="shared" ref="Z104:Z110" si="67">IF(T104=0,0,X104/T104)</f>
        <v>-7.1766572121991792E-2</v>
      </c>
    </row>
    <row r="105" spans="1:26" s="24" customFormat="1" hidden="1" outlineLevel="2" x14ac:dyDescent="0.25">
      <c r="A105" s="25"/>
      <c r="B105" s="11" t="str">
        <f>CONCATENATE("          ", "6281", " - ", "STORAGE FEE")</f>
        <v xml:space="preserve">          6281 - STORAGE FEE</v>
      </c>
      <c r="C105" s="11"/>
      <c r="D105" s="7"/>
      <c r="E105" s="2"/>
      <c r="F105" s="6">
        <f t="shared" si="60"/>
        <v>0</v>
      </c>
      <c r="G105" s="2"/>
      <c r="H105" s="7"/>
      <c r="I105" s="2"/>
      <c r="J105" s="6">
        <f t="shared" si="61"/>
        <v>0</v>
      </c>
      <c r="K105" s="2"/>
      <c r="L105" s="7">
        <f t="shared" si="62"/>
        <v>0</v>
      </c>
      <c r="M105" s="2"/>
      <c r="N105" s="6">
        <f t="shared" si="63"/>
        <v>0</v>
      </c>
      <c r="O105" s="11"/>
      <c r="P105" s="7"/>
      <c r="Q105" s="2"/>
      <c r="R105" s="6">
        <f t="shared" si="64"/>
        <v>0</v>
      </c>
      <c r="S105" s="2"/>
      <c r="T105" s="7">
        <v>0</v>
      </c>
      <c r="U105" s="2"/>
      <c r="V105" s="6">
        <f t="shared" si="65"/>
        <v>0</v>
      </c>
      <c r="W105" s="2"/>
      <c r="X105" s="7">
        <f t="shared" si="66"/>
        <v>0</v>
      </c>
      <c r="Y105" s="2"/>
      <c r="Z105" s="6">
        <f t="shared" si="67"/>
        <v>0</v>
      </c>
    </row>
    <row r="106" spans="1:26" s="24" customFormat="1" hidden="1" outlineLevel="2" x14ac:dyDescent="0.25">
      <c r="A106" s="25"/>
      <c r="B106" s="11" t="str">
        <f>CONCATENATE("          ", "6282", " - ", "JANITORIAL/EXTERMINATOR EXPENS")</f>
        <v xml:space="preserve">          6282 - JANITORIAL/EXTERMINATOR EXPENS</v>
      </c>
      <c r="C106" s="11"/>
      <c r="D106" s="7">
        <v>1763.31</v>
      </c>
      <c r="E106" s="2"/>
      <c r="F106" s="6">
        <f t="shared" si="60"/>
        <v>1.5830430326167141E-3</v>
      </c>
      <c r="G106" s="2"/>
      <c r="H106" s="7">
        <v>2011</v>
      </c>
      <c r="I106" s="2"/>
      <c r="J106" s="6">
        <f t="shared" si="61"/>
        <v>1.7076119925140193E-3</v>
      </c>
      <c r="K106" s="2"/>
      <c r="L106" s="7">
        <f t="shared" si="62"/>
        <v>-247.69000000000005</v>
      </c>
      <c r="M106" s="2"/>
      <c r="N106" s="6">
        <f t="shared" si="63"/>
        <v>-0.12316757831924419</v>
      </c>
      <c r="O106" s="11"/>
      <c r="P106" s="7">
        <v>5967.37</v>
      </c>
      <c r="Q106" s="2"/>
      <c r="R106" s="6">
        <f t="shared" si="64"/>
        <v>3.2637776133428824E-3</v>
      </c>
      <c r="S106" s="2"/>
      <c r="T106" s="7">
        <v>5014</v>
      </c>
      <c r="U106" s="2"/>
      <c r="V106" s="6">
        <f t="shared" si="65"/>
        <v>2.4130245188123995E-3</v>
      </c>
      <c r="W106" s="2"/>
      <c r="X106" s="7">
        <f t="shared" si="66"/>
        <v>953.36999999999989</v>
      </c>
      <c r="Y106" s="2"/>
      <c r="Z106" s="6">
        <f t="shared" si="67"/>
        <v>0.19014160351017151</v>
      </c>
    </row>
    <row r="107" spans="1:26" s="24" customFormat="1" hidden="1" outlineLevel="2" x14ac:dyDescent="0.25">
      <c r="A107" s="25"/>
      <c r="B107" s="11" t="str">
        <f>CONCATENATE("          ", "6283", " - ", "PLANT SERVICE")</f>
        <v xml:space="preserve">          6283 - PLANT SERVICE</v>
      </c>
      <c r="C107" s="11"/>
      <c r="D107" s="7">
        <v>199.78</v>
      </c>
      <c r="E107" s="2"/>
      <c r="F107" s="6">
        <f t="shared" si="60"/>
        <v>1.7935606164325453E-4</v>
      </c>
      <c r="G107" s="2"/>
      <c r="H107" s="7">
        <v>185</v>
      </c>
      <c r="I107" s="2"/>
      <c r="J107" s="6">
        <f t="shared" si="61"/>
        <v>1.5709011368229416E-4</v>
      </c>
      <c r="K107" s="2"/>
      <c r="L107" s="7">
        <f t="shared" si="62"/>
        <v>14.780000000000001</v>
      </c>
      <c r="M107" s="2"/>
      <c r="N107" s="6">
        <f t="shared" si="63"/>
        <v>7.98918918918919E-2</v>
      </c>
      <c r="O107" s="11"/>
      <c r="P107" s="7">
        <v>599.34</v>
      </c>
      <c r="Q107" s="2"/>
      <c r="R107" s="6">
        <f t="shared" si="64"/>
        <v>3.2780143929083051E-4</v>
      </c>
      <c r="S107" s="2"/>
      <c r="T107" s="7">
        <v>520</v>
      </c>
      <c r="U107" s="2"/>
      <c r="V107" s="6">
        <f t="shared" si="65"/>
        <v>2.5025383920671072E-4</v>
      </c>
      <c r="W107" s="2"/>
      <c r="X107" s="7">
        <f t="shared" si="66"/>
        <v>79.340000000000032</v>
      </c>
      <c r="Y107" s="2"/>
      <c r="Z107" s="6">
        <f t="shared" si="67"/>
        <v>0.15257692307692314</v>
      </c>
    </row>
    <row r="108" spans="1:26" s="24" customFormat="1" hidden="1" outlineLevel="2" x14ac:dyDescent="0.25">
      <c r="A108" s="25"/>
      <c r="B108" s="11" t="str">
        <f>CONCATENATE("          ", "6284", " - ", "TRASH REMOVAL EXPENSE")</f>
        <v xml:space="preserve">          6284 - TRASH REMOVAL EXPENSE</v>
      </c>
      <c r="C108" s="11"/>
      <c r="D108" s="7">
        <v>860</v>
      </c>
      <c r="E108" s="2"/>
      <c r="F108" s="6">
        <f t="shared" si="60"/>
        <v>7.720803534547948E-4</v>
      </c>
      <c r="G108" s="2"/>
      <c r="H108" s="7">
        <v>3665</v>
      </c>
      <c r="I108" s="2"/>
      <c r="J108" s="6">
        <f t="shared" si="61"/>
        <v>3.1120825224086926E-3</v>
      </c>
      <c r="K108" s="2"/>
      <c r="L108" s="7">
        <f t="shared" si="62"/>
        <v>-2805</v>
      </c>
      <c r="M108" s="2"/>
      <c r="N108" s="6">
        <f t="shared" si="63"/>
        <v>-0.76534788540245569</v>
      </c>
      <c r="O108" s="11"/>
      <c r="P108" s="7">
        <v>5296</v>
      </c>
      <c r="Q108" s="2"/>
      <c r="R108" s="6">
        <f t="shared" si="64"/>
        <v>2.8965802757770854E-3</v>
      </c>
      <c r="S108" s="2"/>
      <c r="T108" s="7">
        <v>10995</v>
      </c>
      <c r="U108" s="2"/>
      <c r="V108" s="6">
        <f t="shared" si="65"/>
        <v>5.2914249270726629E-3</v>
      </c>
      <c r="W108" s="2"/>
      <c r="X108" s="7">
        <f t="shared" si="66"/>
        <v>-5699</v>
      </c>
      <c r="Y108" s="2"/>
      <c r="Z108" s="6">
        <f t="shared" si="67"/>
        <v>-0.51832651205093228</v>
      </c>
    </row>
    <row r="109" spans="1:26" s="24" customFormat="1" hidden="1" outlineLevel="2" x14ac:dyDescent="0.25">
      <c r="A109" s="25"/>
      <c r="B109" s="11" t="str">
        <f>CONCATENATE("          ", "6285", " - ", "JANITORIAL SERVICES")</f>
        <v xml:space="preserve">          6285 - JANITORIAL SERVICES</v>
      </c>
      <c r="C109" s="11"/>
      <c r="D109" s="7">
        <v>13699.69</v>
      </c>
      <c r="E109" s="2"/>
      <c r="F109" s="6">
        <f t="shared" si="60"/>
        <v>1.2299141276071067E-2</v>
      </c>
      <c r="G109" s="2"/>
      <c r="H109" s="7">
        <v>13710</v>
      </c>
      <c r="I109" s="2"/>
      <c r="J109" s="6">
        <f t="shared" si="61"/>
        <v>1.1641651127482448E-2</v>
      </c>
      <c r="K109" s="2"/>
      <c r="L109" s="7">
        <f t="shared" si="62"/>
        <v>-10.309999999999491</v>
      </c>
      <c r="M109" s="2"/>
      <c r="N109" s="6">
        <f t="shared" si="63"/>
        <v>-7.5200583515678274E-4</v>
      </c>
      <c r="O109" s="11"/>
      <c r="P109" s="7">
        <v>39986.460000000006</v>
      </c>
      <c r="Q109" s="2"/>
      <c r="R109" s="6">
        <f t="shared" si="64"/>
        <v>2.1870088998139994E-2</v>
      </c>
      <c r="S109" s="2"/>
      <c r="T109" s="7">
        <v>40288</v>
      </c>
      <c r="U109" s="2"/>
      <c r="V109" s="6">
        <f t="shared" si="65"/>
        <v>1.9388897449923004E-2</v>
      </c>
      <c r="W109" s="2"/>
      <c r="X109" s="7">
        <f t="shared" si="66"/>
        <v>-301.5399999999936</v>
      </c>
      <c r="Y109" s="2"/>
      <c r="Z109" s="6">
        <f t="shared" si="67"/>
        <v>-7.4846108022238282E-3</v>
      </c>
    </row>
    <row r="110" spans="1:26" s="24" customFormat="1" hidden="1" outlineLevel="2" x14ac:dyDescent="0.25">
      <c r="A110" s="25"/>
      <c r="B110" s="11" t="str">
        <f>CONCATENATE("          ", "6286", " - ", "LAUNDRY EXPENSE")</f>
        <v xml:space="preserve">          6286 - LAUNDRY EXPENSE</v>
      </c>
      <c r="C110" s="11"/>
      <c r="D110" s="7">
        <v>4441.7299999999996</v>
      </c>
      <c r="E110" s="2"/>
      <c r="F110" s="6">
        <f t="shared" si="60"/>
        <v>3.9876424050590293E-3</v>
      </c>
      <c r="G110" s="2"/>
      <c r="H110" s="7">
        <v>4300</v>
      </c>
      <c r="I110" s="2"/>
      <c r="J110" s="6">
        <f t="shared" si="61"/>
        <v>3.6512837234262967E-3</v>
      </c>
      <c r="K110" s="2"/>
      <c r="L110" s="7">
        <f t="shared" si="62"/>
        <v>141.72999999999956</v>
      </c>
      <c r="M110" s="2"/>
      <c r="N110" s="6">
        <f t="shared" si="63"/>
        <v>3.2960465116278967E-2</v>
      </c>
      <c r="O110" s="11"/>
      <c r="P110" s="7">
        <v>11640.14</v>
      </c>
      <c r="Q110" s="2"/>
      <c r="R110" s="6">
        <f t="shared" si="64"/>
        <v>6.3664274794720315E-3</v>
      </c>
      <c r="S110" s="2"/>
      <c r="T110" s="7">
        <v>11581</v>
      </c>
      <c r="U110" s="2"/>
      <c r="V110" s="6">
        <f t="shared" si="65"/>
        <v>5.5734417535633022E-3</v>
      </c>
      <c r="W110" s="2"/>
      <c r="X110" s="7">
        <f t="shared" si="66"/>
        <v>59.139999999999418</v>
      </c>
      <c r="Y110" s="2"/>
      <c r="Z110" s="6">
        <f t="shared" si="67"/>
        <v>5.1066401865123411E-3</v>
      </c>
    </row>
    <row r="111" spans="1:26" s="26" customFormat="1" outlineLevel="1" collapsed="1" x14ac:dyDescent="0.25">
      <c r="A111" s="27"/>
      <c r="B111" s="13" t="str">
        <f>CONCATENATE("     ","Subscriptions &amp; Dues                              ")</f>
        <v xml:space="preserve">     Subscriptions &amp; Dues                              </v>
      </c>
      <c r="C111" s="13"/>
      <c r="D111" s="1">
        <f>SUM(OSRRefD22_20x_0)</f>
        <v>631.17999999999995</v>
      </c>
      <c r="E111" s="1"/>
      <c r="F111" s="5">
        <f t="shared" ref="F111:F123" si="68">IF(D$12=0,0,D111/D$12)</f>
        <v>5.6665311336464804E-4</v>
      </c>
      <c r="G111" s="1"/>
      <c r="H111" s="1">
        <f>SUM(OSRRefH22_20x_0)</f>
        <v>574</v>
      </c>
      <c r="I111" s="1"/>
      <c r="J111" s="5">
        <f t="shared" ref="J111:J123" si="69">IF(H$12=0,0,H111/H$12)</f>
        <v>4.8740392028992892E-4</v>
      </c>
      <c r="K111" s="1"/>
      <c r="L111" s="1">
        <f t="shared" ref="L111:L123" si="70">+D111-H111</f>
        <v>57.17999999999995</v>
      </c>
      <c r="M111" s="1"/>
      <c r="N111" s="5">
        <f t="shared" ref="N111:N123" si="71">IF(H111=0,0,L111/H111)</f>
        <v>9.9616724738675874E-2</v>
      </c>
      <c r="O111" s="13"/>
      <c r="P111" s="1">
        <f>SUM(OSRRefP22_20x_0)</f>
        <v>1832.18</v>
      </c>
      <c r="Q111" s="1"/>
      <c r="R111" s="5">
        <f t="shared" ref="R111:R123" si="72">IF(P$12=0,0,P111/P$12)</f>
        <v>1.0020876982011443E-3</v>
      </c>
      <c r="S111" s="1"/>
      <c r="T111" s="1">
        <f>SUM(OSRRefT22_20x_0)</f>
        <v>1722</v>
      </c>
      <c r="U111" s="1"/>
      <c r="V111" s="5">
        <f t="shared" ref="V111:V123" si="73">IF(T$12=0,0,T111/T$12)</f>
        <v>8.2872521368068436E-4</v>
      </c>
      <c r="W111" s="1"/>
      <c r="X111" s="1">
        <f t="shared" ref="X111:X123" si="74">+P111-T111</f>
        <v>110.18000000000006</v>
      </c>
      <c r="Y111" s="1"/>
      <c r="Z111" s="5">
        <f t="shared" ref="Z111:Z123" si="75">IF(T111=0,0,X111/T111)</f>
        <v>6.3983739837398412E-2</v>
      </c>
    </row>
    <row r="112" spans="1:26" s="24" customFormat="1" hidden="1" outlineLevel="2" x14ac:dyDescent="0.25">
      <c r="A112" s="25"/>
      <c r="B112" s="11" t="str">
        <f>CONCATENATE("          ", "6275", " - ", "SUBSCRIPTIONS")</f>
        <v xml:space="preserve">          6275 - SUBSCRIPTIONS</v>
      </c>
      <c r="C112" s="11"/>
      <c r="D112" s="7">
        <v>631.17999999999995</v>
      </c>
      <c r="E112" s="2"/>
      <c r="F112" s="6">
        <f t="shared" si="68"/>
        <v>5.6665311336464804E-4</v>
      </c>
      <c r="G112" s="2"/>
      <c r="H112" s="7">
        <v>574</v>
      </c>
      <c r="I112" s="2"/>
      <c r="J112" s="6">
        <f t="shared" si="69"/>
        <v>4.8740392028992892E-4</v>
      </c>
      <c r="K112" s="2"/>
      <c r="L112" s="7">
        <f t="shared" si="70"/>
        <v>57.17999999999995</v>
      </c>
      <c r="M112" s="2"/>
      <c r="N112" s="6">
        <f t="shared" si="71"/>
        <v>9.9616724738675874E-2</v>
      </c>
      <c r="O112" s="11"/>
      <c r="P112" s="7">
        <v>1832.18</v>
      </c>
      <c r="Q112" s="2"/>
      <c r="R112" s="6">
        <f t="shared" si="72"/>
        <v>1.0020876982011443E-3</v>
      </c>
      <c r="S112" s="2"/>
      <c r="T112" s="7">
        <v>1722</v>
      </c>
      <c r="U112" s="2"/>
      <c r="V112" s="6">
        <f t="shared" si="73"/>
        <v>8.2872521368068436E-4</v>
      </c>
      <c r="W112" s="2"/>
      <c r="X112" s="7">
        <f t="shared" si="74"/>
        <v>110.18000000000006</v>
      </c>
      <c r="Y112" s="2"/>
      <c r="Z112" s="6">
        <f t="shared" si="75"/>
        <v>6.3983739837398412E-2</v>
      </c>
    </row>
    <row r="113" spans="1:26" s="26" customFormat="1" outlineLevel="1" collapsed="1" x14ac:dyDescent="0.25">
      <c r="A113" s="27"/>
      <c r="B113" s="13" t="str">
        <f>CONCATENATE("     ","Supplies                                          ")</f>
        <v xml:space="preserve">     Supplies                                          </v>
      </c>
      <c r="C113" s="13"/>
      <c r="D113" s="1">
        <f>SUM(OSRRefD22_21x_0)</f>
        <v>33924.049999999996</v>
      </c>
      <c r="E113" s="1"/>
      <c r="F113" s="5">
        <f t="shared" si="68"/>
        <v>3.045592152862573E-2</v>
      </c>
      <c r="G113" s="1"/>
      <c r="H113" s="1">
        <f>SUM(OSRRefH22_21x_0)</f>
        <v>18735</v>
      </c>
      <c r="I113" s="1"/>
      <c r="J113" s="5">
        <f t="shared" si="69"/>
        <v>1.590855826939341E-2</v>
      </c>
      <c r="K113" s="1"/>
      <c r="L113" s="1">
        <f t="shared" si="70"/>
        <v>15189.049999999996</v>
      </c>
      <c r="M113" s="1"/>
      <c r="N113" s="5">
        <f t="shared" si="71"/>
        <v>0.81073125166800086</v>
      </c>
      <c r="O113" s="13"/>
      <c r="P113" s="1">
        <f>SUM(OSRRefP22_21x_0)</f>
        <v>86678.720000000016</v>
      </c>
      <c r="Q113" s="1"/>
      <c r="R113" s="5">
        <f t="shared" si="72"/>
        <v>4.7407830566768276E-2</v>
      </c>
      <c r="S113" s="1"/>
      <c r="T113" s="1">
        <f>SUM(OSRRefT22_21x_0)</f>
        <v>67221.33</v>
      </c>
      <c r="U113" s="1"/>
      <c r="V113" s="5">
        <f t="shared" si="73"/>
        <v>3.2350761363617773E-2</v>
      </c>
      <c r="W113" s="1"/>
      <c r="X113" s="1">
        <f t="shared" si="74"/>
        <v>19457.390000000014</v>
      </c>
      <c r="Y113" s="1"/>
      <c r="Z113" s="5">
        <f t="shared" si="75"/>
        <v>0.28945261868517053</v>
      </c>
    </row>
    <row r="114" spans="1:26" s="24" customFormat="1" hidden="1" outlineLevel="2" x14ac:dyDescent="0.25">
      <c r="A114" s="25"/>
      <c r="B114" s="11" t="str">
        <f>CONCATENATE("          ", "6234", " - ", "EXPENDABLE SUPPLIES &amp; EQUIPMEN")</f>
        <v xml:space="preserve">          6234 - EXPENDABLE SUPPLIES &amp; EQUIPMEN</v>
      </c>
      <c r="C114" s="11"/>
      <c r="D114" s="7">
        <v>7670.09</v>
      </c>
      <c r="E114" s="2"/>
      <c r="F114" s="6">
        <f t="shared" si="68"/>
        <v>6.8859602305001008E-3</v>
      </c>
      <c r="G114" s="2"/>
      <c r="H114" s="7">
        <v>350</v>
      </c>
      <c r="I114" s="2"/>
      <c r="J114" s="6">
        <f t="shared" si="69"/>
        <v>2.9719751237190789E-4</v>
      </c>
      <c r="K114" s="2"/>
      <c r="L114" s="7">
        <f t="shared" si="70"/>
        <v>7320.09</v>
      </c>
      <c r="M114" s="2"/>
      <c r="N114" s="6">
        <f t="shared" si="71"/>
        <v>20.914542857142859</v>
      </c>
      <c r="O114" s="11"/>
      <c r="P114" s="7">
        <v>8734.33</v>
      </c>
      <c r="Q114" s="2"/>
      <c r="R114" s="6">
        <f t="shared" si="72"/>
        <v>4.7771314199637595E-3</v>
      </c>
      <c r="S114" s="2"/>
      <c r="T114" s="7">
        <v>5250</v>
      </c>
      <c r="U114" s="2"/>
      <c r="V114" s="6">
        <f t="shared" si="73"/>
        <v>2.5266012612215989E-3</v>
      </c>
      <c r="W114" s="2"/>
      <c r="X114" s="7">
        <f t="shared" si="74"/>
        <v>3484.33</v>
      </c>
      <c r="Y114" s="2"/>
      <c r="Z114" s="6">
        <f t="shared" si="75"/>
        <v>0.6636819047619047</v>
      </c>
    </row>
    <row r="115" spans="1:26" s="24" customFormat="1" hidden="1" outlineLevel="2" x14ac:dyDescent="0.25">
      <c r="A115" s="25"/>
      <c r="B115" s="11" t="str">
        <f>CONCATENATE("          ", "6237", " - ", "JANITORIAL SUPPLIES")</f>
        <v xml:space="preserve">          6237 - JANITORIAL SUPPLIES</v>
      </c>
      <c r="C115" s="11"/>
      <c r="D115" s="7">
        <v>4194.33</v>
      </c>
      <c r="E115" s="2"/>
      <c r="F115" s="6">
        <f t="shared" si="68"/>
        <v>3.765534638262848E-3</v>
      </c>
      <c r="G115" s="2"/>
      <c r="H115" s="7">
        <v>4661</v>
      </c>
      <c r="I115" s="2"/>
      <c r="J115" s="6">
        <f t="shared" si="69"/>
        <v>3.9578217290441786E-3</v>
      </c>
      <c r="K115" s="2"/>
      <c r="L115" s="7">
        <f t="shared" si="70"/>
        <v>-466.67000000000007</v>
      </c>
      <c r="M115" s="2"/>
      <c r="N115" s="6">
        <f t="shared" si="71"/>
        <v>-0.10012229135378675</v>
      </c>
      <c r="O115" s="11"/>
      <c r="P115" s="7">
        <v>12548.77</v>
      </c>
      <c r="Q115" s="2"/>
      <c r="R115" s="6">
        <f t="shared" si="72"/>
        <v>6.8633911758427518E-3</v>
      </c>
      <c r="S115" s="2"/>
      <c r="T115" s="7">
        <v>14783</v>
      </c>
      <c r="U115" s="2"/>
      <c r="V115" s="6">
        <f t="shared" si="73"/>
        <v>7.1144278942169327E-3</v>
      </c>
      <c r="W115" s="2"/>
      <c r="X115" s="7">
        <f t="shared" si="74"/>
        <v>-2234.2299999999996</v>
      </c>
      <c r="Y115" s="2"/>
      <c r="Z115" s="6">
        <f t="shared" si="75"/>
        <v>-0.1511350876006223</v>
      </c>
    </row>
    <row r="116" spans="1:26" s="24" customFormat="1" hidden="1" outlineLevel="2" x14ac:dyDescent="0.25">
      <c r="A116" s="25"/>
      <c r="B116" s="11" t="str">
        <f>CONCATENATE("          ", "6239", " - ", "KITCHEN SUPPLIES")</f>
        <v xml:space="preserve">          6239 - KITCHEN SUPPLIES</v>
      </c>
      <c r="C116" s="11"/>
      <c r="D116" s="7">
        <v>7569.78</v>
      </c>
      <c r="E116" s="2"/>
      <c r="F116" s="6">
        <f t="shared" si="68"/>
        <v>6.7959051371802746E-3</v>
      </c>
      <c r="G116" s="2"/>
      <c r="H116" s="7">
        <v>2300</v>
      </c>
      <c r="I116" s="2"/>
      <c r="J116" s="6">
        <f t="shared" si="69"/>
        <v>1.9530122241582517E-3</v>
      </c>
      <c r="K116" s="2"/>
      <c r="L116" s="7">
        <f t="shared" si="70"/>
        <v>5269.78</v>
      </c>
      <c r="M116" s="2"/>
      <c r="N116" s="6">
        <f t="shared" si="71"/>
        <v>2.2912086956521738</v>
      </c>
      <c r="O116" s="11"/>
      <c r="P116" s="7">
        <v>17994.36</v>
      </c>
      <c r="Q116" s="2"/>
      <c r="R116" s="6">
        <f t="shared" si="72"/>
        <v>9.841787811788549E-3</v>
      </c>
      <c r="S116" s="2"/>
      <c r="T116" s="7">
        <v>14266</v>
      </c>
      <c r="U116" s="2"/>
      <c r="V116" s="6">
        <f t="shared" si="73"/>
        <v>6.8656178271594911E-3</v>
      </c>
      <c r="W116" s="2"/>
      <c r="X116" s="7">
        <f t="shared" si="74"/>
        <v>3728.3600000000006</v>
      </c>
      <c r="Y116" s="2"/>
      <c r="Z116" s="6">
        <f t="shared" si="75"/>
        <v>0.26134585728305065</v>
      </c>
    </row>
    <row r="117" spans="1:26" s="24" customFormat="1" hidden="1" outlineLevel="2" x14ac:dyDescent="0.25">
      <c r="A117" s="25"/>
      <c r="B117" s="11" t="str">
        <f>CONCATENATE("          ", "6241", " - ", "OFFICE EXPENSE")</f>
        <v xml:space="preserve">          6241 - OFFICE EXPENSE</v>
      </c>
      <c r="C117" s="11"/>
      <c r="D117" s="7">
        <v>2065.1</v>
      </c>
      <c r="E117" s="2"/>
      <c r="F117" s="6">
        <f t="shared" si="68"/>
        <v>1.8539803929296472E-3</v>
      </c>
      <c r="G117" s="2"/>
      <c r="H117" s="7">
        <v>1210</v>
      </c>
      <c r="I117" s="2"/>
      <c r="J117" s="6">
        <f t="shared" si="69"/>
        <v>1.0274542570571671E-3</v>
      </c>
      <c r="K117" s="2"/>
      <c r="L117" s="7">
        <f t="shared" si="70"/>
        <v>855.09999999999991</v>
      </c>
      <c r="M117" s="2"/>
      <c r="N117" s="6">
        <f t="shared" si="71"/>
        <v>0.70669421487603301</v>
      </c>
      <c r="O117" s="11"/>
      <c r="P117" s="7">
        <v>9723.9500000000007</v>
      </c>
      <c r="Q117" s="2"/>
      <c r="R117" s="6">
        <f t="shared" si="72"/>
        <v>5.3183915733841748E-3</v>
      </c>
      <c r="S117" s="2"/>
      <c r="T117" s="7">
        <v>3551.25</v>
      </c>
      <c r="U117" s="2"/>
      <c r="V117" s="6">
        <f t="shared" si="73"/>
        <v>1.7090652816977529E-3</v>
      </c>
      <c r="W117" s="2"/>
      <c r="X117" s="7">
        <f t="shared" si="74"/>
        <v>6172.7000000000007</v>
      </c>
      <c r="Y117" s="2"/>
      <c r="Z117" s="6">
        <f t="shared" si="75"/>
        <v>1.7381766983456532</v>
      </c>
    </row>
    <row r="118" spans="1:26" s="24" customFormat="1" hidden="1" outlineLevel="2" x14ac:dyDescent="0.25">
      <c r="A118" s="25"/>
      <c r="B118" s="11" t="str">
        <f>CONCATENATE("          ", "6243", " - ", "PAPER SUPPLIES")</f>
        <v xml:space="preserve">          6243 - PAPER SUPPLIES</v>
      </c>
      <c r="C118" s="11"/>
      <c r="D118" s="7">
        <v>3986.34</v>
      </c>
      <c r="E118" s="2"/>
      <c r="F118" s="6">
        <f t="shared" si="68"/>
        <v>3.5788079025476588E-3</v>
      </c>
      <c r="G118" s="2"/>
      <c r="H118" s="7">
        <v>5145</v>
      </c>
      <c r="I118" s="2"/>
      <c r="J118" s="6">
        <f t="shared" si="69"/>
        <v>4.3688034318670457E-3</v>
      </c>
      <c r="K118" s="2"/>
      <c r="L118" s="7">
        <f t="shared" si="70"/>
        <v>-1158.6599999999999</v>
      </c>
      <c r="M118" s="2"/>
      <c r="N118" s="6">
        <f t="shared" si="71"/>
        <v>-0.225201166180758</v>
      </c>
      <c r="O118" s="11"/>
      <c r="P118" s="7">
        <v>11139.8</v>
      </c>
      <c r="Q118" s="2"/>
      <c r="R118" s="6">
        <f t="shared" si="72"/>
        <v>6.0927728391430456E-3</v>
      </c>
      <c r="S118" s="2"/>
      <c r="T118" s="7">
        <v>11440</v>
      </c>
      <c r="U118" s="2"/>
      <c r="V118" s="6">
        <f t="shared" si="73"/>
        <v>5.5055844625476365E-3</v>
      </c>
      <c r="W118" s="2"/>
      <c r="X118" s="7">
        <f t="shared" si="74"/>
        <v>-300.20000000000073</v>
      </c>
      <c r="Y118" s="2"/>
      <c r="Z118" s="6">
        <f t="shared" si="75"/>
        <v>-2.6241258741258804E-2</v>
      </c>
    </row>
    <row r="119" spans="1:26" s="24" customFormat="1" hidden="1" outlineLevel="2" x14ac:dyDescent="0.25">
      <c r="A119" s="25"/>
      <c r="B119" s="11" t="str">
        <f>CONCATENATE("          ", "6244", " - ", "SAFETY SUPPLY EXPENSE")</f>
        <v xml:space="preserve">          6244 - SAFETY SUPPLY EXPENSE</v>
      </c>
      <c r="C119" s="11"/>
      <c r="D119" s="7"/>
      <c r="E119" s="2"/>
      <c r="F119" s="6">
        <f t="shared" si="68"/>
        <v>0</v>
      </c>
      <c r="G119" s="2"/>
      <c r="H119" s="7">
        <v>110</v>
      </c>
      <c r="I119" s="2"/>
      <c r="J119" s="6">
        <f t="shared" si="69"/>
        <v>9.3404932459742479E-5</v>
      </c>
      <c r="K119" s="2"/>
      <c r="L119" s="7">
        <f t="shared" si="70"/>
        <v>-110</v>
      </c>
      <c r="M119" s="2"/>
      <c r="N119" s="6">
        <f t="shared" si="71"/>
        <v>-1</v>
      </c>
      <c r="O119" s="11"/>
      <c r="P119" s="7"/>
      <c r="Q119" s="2"/>
      <c r="R119" s="6">
        <f t="shared" si="72"/>
        <v>0</v>
      </c>
      <c r="S119" s="2"/>
      <c r="T119" s="7">
        <v>360</v>
      </c>
      <c r="U119" s="2"/>
      <c r="V119" s="6">
        <f t="shared" si="73"/>
        <v>1.732526579123382E-4</v>
      </c>
      <c r="W119" s="2"/>
      <c r="X119" s="7">
        <f t="shared" si="74"/>
        <v>-360</v>
      </c>
      <c r="Y119" s="2"/>
      <c r="Z119" s="6">
        <f t="shared" si="75"/>
        <v>-1</v>
      </c>
    </row>
    <row r="120" spans="1:26" s="24" customFormat="1" hidden="1" outlineLevel="2" x14ac:dyDescent="0.25">
      <c r="A120" s="25"/>
      <c r="B120" s="11" t="str">
        <f>CONCATENATE("          ", "6245", " - ", "PRINTING")</f>
        <v xml:space="preserve">          6245 - PRINTING</v>
      </c>
      <c r="C120" s="11"/>
      <c r="D120" s="7">
        <v>63.81</v>
      </c>
      <c r="E120" s="2"/>
      <c r="F120" s="6">
        <f t="shared" si="68"/>
        <v>5.7286566690640065E-5</v>
      </c>
      <c r="G120" s="2"/>
      <c r="H120" s="7">
        <v>50</v>
      </c>
      <c r="I120" s="2"/>
      <c r="J120" s="6">
        <f t="shared" si="69"/>
        <v>4.2456787481701126E-5</v>
      </c>
      <c r="K120" s="2"/>
      <c r="L120" s="7">
        <f t="shared" si="70"/>
        <v>13.810000000000002</v>
      </c>
      <c r="M120" s="2"/>
      <c r="N120" s="6">
        <f t="shared" si="71"/>
        <v>0.27620000000000006</v>
      </c>
      <c r="O120" s="11"/>
      <c r="P120" s="7">
        <v>234.73</v>
      </c>
      <c r="Q120" s="2"/>
      <c r="R120" s="6">
        <f t="shared" si="72"/>
        <v>1.2838260727589788E-4</v>
      </c>
      <c r="S120" s="2"/>
      <c r="T120" s="7">
        <v>700</v>
      </c>
      <c r="U120" s="2"/>
      <c r="V120" s="6">
        <f t="shared" si="73"/>
        <v>3.3688016816287985E-4</v>
      </c>
      <c r="W120" s="2"/>
      <c r="X120" s="7">
        <f t="shared" si="74"/>
        <v>-465.27</v>
      </c>
      <c r="Y120" s="2"/>
      <c r="Z120" s="6">
        <f t="shared" si="75"/>
        <v>-0.66467142857142858</v>
      </c>
    </row>
    <row r="121" spans="1:26" s="24" customFormat="1" hidden="1" outlineLevel="2" x14ac:dyDescent="0.25">
      <c r="A121" s="25"/>
      <c r="B121" s="11" t="str">
        <f>CONCATENATE("          ", "6246", " - ", "REPLACEMENTS")</f>
        <v xml:space="preserve">          6246 - REPLACEMENTS</v>
      </c>
      <c r="C121" s="11"/>
      <c r="D121" s="7"/>
      <c r="E121" s="2"/>
      <c r="F121" s="6">
        <f t="shared" si="68"/>
        <v>0</v>
      </c>
      <c r="G121" s="2"/>
      <c r="H121" s="7"/>
      <c r="I121" s="2"/>
      <c r="J121" s="6">
        <f t="shared" si="69"/>
        <v>0</v>
      </c>
      <c r="K121" s="2"/>
      <c r="L121" s="7">
        <f t="shared" si="70"/>
        <v>0</v>
      </c>
      <c r="M121" s="2"/>
      <c r="N121" s="6">
        <f t="shared" si="71"/>
        <v>0</v>
      </c>
      <c r="O121" s="11"/>
      <c r="P121" s="7"/>
      <c r="Q121" s="2"/>
      <c r="R121" s="6">
        <f t="shared" si="72"/>
        <v>0</v>
      </c>
      <c r="S121" s="2"/>
      <c r="T121" s="7">
        <v>2400</v>
      </c>
      <c r="U121" s="2"/>
      <c r="V121" s="6">
        <f t="shared" si="73"/>
        <v>1.155017719415588E-3</v>
      </c>
      <c r="W121" s="2"/>
      <c r="X121" s="7">
        <f t="shared" si="74"/>
        <v>-2400</v>
      </c>
      <c r="Y121" s="2"/>
      <c r="Z121" s="6">
        <f t="shared" si="75"/>
        <v>-1</v>
      </c>
    </row>
    <row r="122" spans="1:26" s="24" customFormat="1" hidden="1" outlineLevel="2" x14ac:dyDescent="0.25">
      <c r="A122" s="25"/>
      <c r="B122" s="11" t="str">
        <f>CONCATENATE("          ", "6247", " - ", "STORE SUPPLIES")</f>
        <v xml:space="preserve">          6247 - STORE SUPPLIES</v>
      </c>
      <c r="C122" s="11"/>
      <c r="D122" s="7">
        <v>7705.25</v>
      </c>
      <c r="E122" s="2"/>
      <c r="F122" s="6">
        <f t="shared" si="68"/>
        <v>6.917525748206462E-3</v>
      </c>
      <c r="G122" s="2"/>
      <c r="H122" s="7">
        <v>4709</v>
      </c>
      <c r="I122" s="2"/>
      <c r="J122" s="6">
        <f t="shared" si="69"/>
        <v>3.9985802450266117E-3</v>
      </c>
      <c r="K122" s="2"/>
      <c r="L122" s="7">
        <f t="shared" si="70"/>
        <v>2996.25</v>
      </c>
      <c r="M122" s="2"/>
      <c r="N122" s="6">
        <f t="shared" si="71"/>
        <v>0.63628158844765348</v>
      </c>
      <c r="O122" s="11"/>
      <c r="P122" s="7">
        <v>22958.95</v>
      </c>
      <c r="Q122" s="2"/>
      <c r="R122" s="6">
        <f t="shared" si="72"/>
        <v>1.2557107576010633E-2</v>
      </c>
      <c r="S122" s="2"/>
      <c r="T122" s="7">
        <v>9071.08</v>
      </c>
      <c r="U122" s="2"/>
      <c r="V122" s="6">
        <f t="shared" si="73"/>
        <v>4.3655242225984804E-3</v>
      </c>
      <c r="W122" s="2"/>
      <c r="X122" s="7">
        <f t="shared" si="74"/>
        <v>13887.87</v>
      </c>
      <c r="Y122" s="2"/>
      <c r="Z122" s="6">
        <f t="shared" si="75"/>
        <v>1.5310051283860358</v>
      </c>
    </row>
    <row r="123" spans="1:26" s="24" customFormat="1" hidden="1" outlineLevel="2" x14ac:dyDescent="0.25">
      <c r="A123" s="25"/>
      <c r="B123" s="11" t="str">
        <f>CONCATENATE("          ", "6248", " - ", "UNIFORMS")</f>
        <v xml:space="preserve">          6248 - UNIFORMS</v>
      </c>
      <c r="C123" s="11"/>
      <c r="D123" s="7">
        <v>669.35</v>
      </c>
      <c r="E123" s="2"/>
      <c r="F123" s="6">
        <f t="shared" si="68"/>
        <v>6.0092091230810104E-4</v>
      </c>
      <c r="G123" s="2"/>
      <c r="H123" s="7">
        <v>200</v>
      </c>
      <c r="I123" s="2"/>
      <c r="J123" s="6">
        <f t="shared" si="69"/>
        <v>1.698271499268045E-4</v>
      </c>
      <c r="K123" s="2"/>
      <c r="L123" s="7">
        <f t="shared" si="70"/>
        <v>469.35</v>
      </c>
      <c r="M123" s="2"/>
      <c r="N123" s="6">
        <f t="shared" si="71"/>
        <v>2.3467500000000001</v>
      </c>
      <c r="O123" s="11"/>
      <c r="P123" s="7">
        <v>3343.83</v>
      </c>
      <c r="Q123" s="2"/>
      <c r="R123" s="6">
        <f t="shared" si="72"/>
        <v>1.8288655633594581E-3</v>
      </c>
      <c r="S123" s="2"/>
      <c r="T123" s="7">
        <v>5400</v>
      </c>
      <c r="U123" s="2"/>
      <c r="V123" s="6">
        <f t="shared" si="73"/>
        <v>2.5987898686850729E-3</v>
      </c>
      <c r="W123" s="2"/>
      <c r="X123" s="7">
        <f t="shared" si="74"/>
        <v>-2056.17</v>
      </c>
      <c r="Y123" s="2"/>
      <c r="Z123" s="6">
        <f t="shared" si="75"/>
        <v>-0.38077222222222223</v>
      </c>
    </row>
    <row r="124" spans="1:26" s="26" customFormat="1" outlineLevel="1" collapsed="1" x14ac:dyDescent="0.25">
      <c r="A124" s="27"/>
      <c r="B124" s="13" t="str">
        <f>CONCATENATE("     ","Telephone/Data Lines                              ")</f>
        <v xml:space="preserve">     Telephone/Data Lines                              </v>
      </c>
      <c r="C124" s="13"/>
      <c r="D124" s="1">
        <f>SUM(OSRRefD22_22x_0)</f>
        <v>2864.22</v>
      </c>
      <c r="E124" s="1"/>
      <c r="F124" s="5">
        <f t="shared" ref="F124:F126" si="76">IF(D$12=0,0,D124/D$12)</f>
        <v>2.5714046395026655E-3</v>
      </c>
      <c r="G124" s="1"/>
      <c r="H124" s="1">
        <f>SUM(OSRRefH22_22x_0)</f>
        <v>2058</v>
      </c>
      <c r="I124" s="1"/>
      <c r="J124" s="5">
        <f t="shared" ref="J124:J126" si="77">IF(H$12=0,0,H124/H$12)</f>
        <v>1.7475213727468184E-3</v>
      </c>
      <c r="K124" s="1"/>
      <c r="L124" s="1">
        <f t="shared" ref="L124:L126" si="78">+D124-H124</f>
        <v>806.2199999999998</v>
      </c>
      <c r="M124" s="1"/>
      <c r="N124" s="5">
        <f t="shared" ref="N124:N126" si="79">IF(H124=0,0,L124/H124)</f>
        <v>0.39174927113702612</v>
      </c>
      <c r="O124" s="13"/>
      <c r="P124" s="1">
        <f>SUM(OSRRefP22_22x_0)</f>
        <v>5743.47</v>
      </c>
      <c r="Q124" s="1"/>
      <c r="R124" s="5">
        <f t="shared" ref="R124:R126" si="80">IF(P$12=0,0,P124/P$12)</f>
        <v>3.1413183377109926E-3</v>
      </c>
      <c r="S124" s="1"/>
      <c r="T124" s="1">
        <f>SUM(OSRRefT22_22x_0)</f>
        <v>5884</v>
      </c>
      <c r="U124" s="1"/>
      <c r="V124" s="5">
        <f t="shared" ref="V124:V126" si="81">IF(T$12=0,0,T124/T$12)</f>
        <v>2.8317184421005497E-3</v>
      </c>
      <c r="W124" s="1"/>
      <c r="X124" s="1">
        <f t="shared" ref="X124:X126" si="82">+P124-T124</f>
        <v>-140.52999999999975</v>
      </c>
      <c r="Y124" s="1"/>
      <c r="Z124" s="5">
        <f t="shared" ref="Z124:Z126" si="83">IF(T124=0,0,X124/T124)</f>
        <v>-2.388341264445951E-2</v>
      </c>
    </row>
    <row r="125" spans="1:26" s="24" customFormat="1" hidden="1" outlineLevel="2" x14ac:dyDescent="0.25">
      <c r="A125" s="25"/>
      <c r="B125" s="11" t="str">
        <f>CONCATENATE("          ", "6303", " - ", "DATA PHONE LINES")</f>
        <v xml:space="preserve">          6303 - DATA PHONE LINES</v>
      </c>
      <c r="C125" s="11"/>
      <c r="D125" s="7"/>
      <c r="E125" s="2"/>
      <c r="F125" s="6">
        <f t="shared" si="76"/>
        <v>0</v>
      </c>
      <c r="G125" s="2"/>
      <c r="H125" s="7">
        <v>448</v>
      </c>
      <c r="I125" s="2"/>
      <c r="J125" s="6">
        <f t="shared" si="77"/>
        <v>3.8041281583604206E-4</v>
      </c>
      <c r="K125" s="2"/>
      <c r="L125" s="7">
        <f t="shared" si="78"/>
        <v>-448</v>
      </c>
      <c r="M125" s="2"/>
      <c r="N125" s="6">
        <f t="shared" si="79"/>
        <v>-1</v>
      </c>
      <c r="O125" s="11"/>
      <c r="P125" s="7"/>
      <c r="Q125" s="2"/>
      <c r="R125" s="6">
        <f t="shared" si="80"/>
        <v>0</v>
      </c>
      <c r="S125" s="2"/>
      <c r="T125" s="7">
        <v>1294</v>
      </c>
      <c r="U125" s="2"/>
      <c r="V125" s="6">
        <f t="shared" si="81"/>
        <v>6.2274705371823786E-4</v>
      </c>
      <c r="W125" s="2"/>
      <c r="X125" s="7">
        <f t="shared" si="82"/>
        <v>-1294</v>
      </c>
      <c r="Y125" s="2"/>
      <c r="Z125" s="6">
        <f t="shared" si="83"/>
        <v>-1</v>
      </c>
    </row>
    <row r="126" spans="1:26" s="24" customFormat="1" hidden="1" outlineLevel="2" x14ac:dyDescent="0.25">
      <c r="A126" s="25"/>
      <c r="B126" s="11" t="str">
        <f>CONCATENATE("          ", "6309", " - ", "TELEPHONE")</f>
        <v xml:space="preserve">          6309 - TELEPHONE</v>
      </c>
      <c r="C126" s="11"/>
      <c r="D126" s="7">
        <v>2864.22</v>
      </c>
      <c r="E126" s="2"/>
      <c r="F126" s="6">
        <f t="shared" si="76"/>
        <v>2.5714046395026655E-3</v>
      </c>
      <c r="G126" s="2"/>
      <c r="H126" s="7">
        <v>1610</v>
      </c>
      <c r="I126" s="2"/>
      <c r="J126" s="6">
        <f t="shared" si="77"/>
        <v>1.3671085569107763E-3</v>
      </c>
      <c r="K126" s="2"/>
      <c r="L126" s="7">
        <f t="shared" si="78"/>
        <v>1254.2199999999998</v>
      </c>
      <c r="M126" s="2"/>
      <c r="N126" s="6">
        <f t="shared" si="79"/>
        <v>0.7790186335403726</v>
      </c>
      <c r="O126" s="11"/>
      <c r="P126" s="7">
        <v>5743.47</v>
      </c>
      <c r="Q126" s="2"/>
      <c r="R126" s="6">
        <f t="shared" si="80"/>
        <v>3.1413183377109926E-3</v>
      </c>
      <c r="S126" s="2"/>
      <c r="T126" s="7">
        <v>4590</v>
      </c>
      <c r="U126" s="2"/>
      <c r="V126" s="6">
        <f t="shared" si="81"/>
        <v>2.2089713883823121E-3</v>
      </c>
      <c r="W126" s="2"/>
      <c r="X126" s="7">
        <f t="shared" si="82"/>
        <v>1153.4700000000003</v>
      </c>
      <c r="Y126" s="2"/>
      <c r="Z126" s="6">
        <f t="shared" si="83"/>
        <v>0.25130065359477127</v>
      </c>
    </row>
    <row r="127" spans="1:26" s="26" customFormat="1" outlineLevel="1" collapsed="1" x14ac:dyDescent="0.25">
      <c r="A127" s="27"/>
      <c r="B127" s="13" t="str">
        <f>CONCATENATE("     ","Training                                          ")</f>
        <v xml:space="preserve">     Training                                          </v>
      </c>
      <c r="C127" s="13"/>
      <c r="D127" s="1">
        <f>SUM(OSRRefD22_23x_0)</f>
        <v>430.7</v>
      </c>
      <c r="E127" s="1"/>
      <c r="F127" s="5">
        <f t="shared" ref="F127:F132" si="84">IF(D$12=0,0,D127/D$12)</f>
        <v>3.8666861422439547E-4</v>
      </c>
      <c r="G127" s="1"/>
      <c r="H127" s="1">
        <f>SUM(OSRRefH22_23x_0)</f>
        <v>300</v>
      </c>
      <c r="I127" s="1"/>
      <c r="J127" s="5">
        <f t="shared" ref="J127:J132" si="85">IF(H$12=0,0,H127/H$12)</f>
        <v>2.5474072489020677E-4</v>
      </c>
      <c r="K127" s="1"/>
      <c r="L127" s="1">
        <f t="shared" ref="L127:L132" si="86">+D127-H127</f>
        <v>130.69999999999999</v>
      </c>
      <c r="M127" s="1"/>
      <c r="N127" s="5">
        <f t="shared" ref="N127:N132" si="87">IF(H127=0,0,L127/H127)</f>
        <v>0.43566666666666665</v>
      </c>
      <c r="O127" s="13"/>
      <c r="P127" s="1">
        <f>SUM(OSRRefP22_23x_0)</f>
        <v>1474.55</v>
      </c>
      <c r="Q127" s="1"/>
      <c r="R127" s="5">
        <f t="shared" ref="R127:R132" si="88">IF(P$12=0,0,P127/P$12)</f>
        <v>8.0648648898170336E-4</v>
      </c>
      <c r="S127" s="1"/>
      <c r="T127" s="1">
        <f>SUM(OSRRefT22_23x_0)</f>
        <v>6180</v>
      </c>
      <c r="U127" s="1"/>
      <c r="V127" s="5">
        <f t="shared" ref="V127:V132" si="89">IF(T$12=0,0,T127/T$12)</f>
        <v>2.9741706274951391E-3</v>
      </c>
      <c r="W127" s="1"/>
      <c r="X127" s="1">
        <f t="shared" ref="X127:X132" si="90">+P127-T127</f>
        <v>-4705.45</v>
      </c>
      <c r="Y127" s="1"/>
      <c r="Z127" s="5">
        <f t="shared" ref="Z127:Z132" si="91">IF(T127=0,0,X127/T127)</f>
        <v>-0.76139967637540451</v>
      </c>
    </row>
    <row r="128" spans="1:26" s="24" customFormat="1" hidden="1" outlineLevel="2" x14ac:dyDescent="0.25">
      <c r="A128" s="25"/>
      <c r="B128" s="11" t="str">
        <f>CONCATENATE("          ", "6376", " - ", "TRAINING")</f>
        <v xml:space="preserve">          6376 - TRAINING</v>
      </c>
      <c r="C128" s="11"/>
      <c r="D128" s="7">
        <v>430.7</v>
      </c>
      <c r="E128" s="2"/>
      <c r="F128" s="6">
        <f t="shared" si="84"/>
        <v>3.8666861422439547E-4</v>
      </c>
      <c r="G128" s="2"/>
      <c r="H128" s="7">
        <v>300</v>
      </c>
      <c r="I128" s="2"/>
      <c r="J128" s="6">
        <f t="shared" si="85"/>
        <v>2.5474072489020677E-4</v>
      </c>
      <c r="K128" s="2"/>
      <c r="L128" s="7">
        <f t="shared" si="86"/>
        <v>130.69999999999999</v>
      </c>
      <c r="M128" s="2"/>
      <c r="N128" s="6">
        <f t="shared" si="87"/>
        <v>0.43566666666666665</v>
      </c>
      <c r="O128" s="11"/>
      <c r="P128" s="7">
        <v>1474.55</v>
      </c>
      <c r="Q128" s="2"/>
      <c r="R128" s="6">
        <f t="shared" si="88"/>
        <v>8.0648648898170336E-4</v>
      </c>
      <c r="S128" s="2"/>
      <c r="T128" s="7">
        <v>6180</v>
      </c>
      <c r="U128" s="2"/>
      <c r="V128" s="6">
        <f t="shared" si="89"/>
        <v>2.9741706274951391E-3</v>
      </c>
      <c r="W128" s="2"/>
      <c r="X128" s="7">
        <f t="shared" si="90"/>
        <v>-4705.45</v>
      </c>
      <c r="Y128" s="2"/>
      <c r="Z128" s="6">
        <f t="shared" si="91"/>
        <v>-0.76139967637540451</v>
      </c>
    </row>
    <row r="129" spans="1:26" s="26" customFormat="1" outlineLevel="1" collapsed="1" x14ac:dyDescent="0.25">
      <c r="A129" s="27"/>
      <c r="B129" s="13" t="str">
        <f>CONCATENATE("     ","Travel                                            ")</f>
        <v xml:space="preserve">     Travel                                            </v>
      </c>
      <c r="C129" s="13"/>
      <c r="D129" s="1">
        <f>SUM(OSRRefD22_24x_0)</f>
        <v>249.82</v>
      </c>
      <c r="E129" s="1"/>
      <c r="F129" s="5">
        <f t="shared" si="84"/>
        <v>2.2428036500008933E-4</v>
      </c>
      <c r="G129" s="1"/>
      <c r="H129" s="1">
        <f>SUM(OSRRefH22_24x_0)</f>
        <v>500</v>
      </c>
      <c r="I129" s="1"/>
      <c r="J129" s="5">
        <f t="shared" si="85"/>
        <v>4.2456787481701125E-4</v>
      </c>
      <c r="K129" s="1"/>
      <c r="L129" s="1">
        <f t="shared" si="86"/>
        <v>-250.18</v>
      </c>
      <c r="M129" s="1"/>
      <c r="N129" s="5">
        <f t="shared" si="87"/>
        <v>-0.50036000000000003</v>
      </c>
      <c r="O129" s="13"/>
      <c r="P129" s="1">
        <f>SUM(OSRRefP22_24x_0)</f>
        <v>1101.18</v>
      </c>
      <c r="Q129" s="1"/>
      <c r="R129" s="5">
        <f t="shared" si="88"/>
        <v>6.0227648566469239E-4</v>
      </c>
      <c r="S129" s="1"/>
      <c r="T129" s="1">
        <f>SUM(OSRRefT22_24x_0)</f>
        <v>5700</v>
      </c>
      <c r="U129" s="1"/>
      <c r="V129" s="5">
        <f t="shared" si="89"/>
        <v>2.7431670836120217E-3</v>
      </c>
      <c r="W129" s="1"/>
      <c r="X129" s="1">
        <f t="shared" si="90"/>
        <v>-4598.82</v>
      </c>
      <c r="Y129" s="1"/>
      <c r="Z129" s="5">
        <f t="shared" si="91"/>
        <v>-0.80681052631578942</v>
      </c>
    </row>
    <row r="130" spans="1:26" s="24" customFormat="1" hidden="1" outlineLevel="2" x14ac:dyDescent="0.25">
      <c r="A130" s="25"/>
      <c r="B130" s="11" t="str">
        <f>CONCATENATE("          ", "6292", " - ", "TRAVEL/CONFERENCE")</f>
        <v xml:space="preserve">          6292 - TRAVEL/CONFERENCE</v>
      </c>
      <c r="C130" s="11"/>
      <c r="D130" s="7"/>
      <c r="E130" s="2"/>
      <c r="F130" s="6">
        <f t="shared" si="84"/>
        <v>0</v>
      </c>
      <c r="G130" s="2"/>
      <c r="H130" s="7">
        <v>500</v>
      </c>
      <c r="I130" s="2"/>
      <c r="J130" s="6">
        <f t="shared" si="85"/>
        <v>4.2456787481701125E-4</v>
      </c>
      <c r="K130" s="2"/>
      <c r="L130" s="7">
        <f t="shared" si="86"/>
        <v>-500</v>
      </c>
      <c r="M130" s="2"/>
      <c r="N130" s="6">
        <f t="shared" si="87"/>
        <v>-1</v>
      </c>
      <c r="O130" s="11"/>
      <c r="P130" s="7">
        <v>545.69000000000005</v>
      </c>
      <c r="Q130" s="2"/>
      <c r="R130" s="6">
        <f t="shared" si="88"/>
        <v>2.9845824975241648E-4</v>
      </c>
      <c r="S130" s="2"/>
      <c r="T130" s="7">
        <v>5700</v>
      </c>
      <c r="U130" s="2"/>
      <c r="V130" s="6">
        <f t="shared" si="89"/>
        <v>2.7431670836120217E-3</v>
      </c>
      <c r="W130" s="2"/>
      <c r="X130" s="7">
        <f t="shared" si="90"/>
        <v>-5154.3099999999995</v>
      </c>
      <c r="Y130" s="2"/>
      <c r="Z130" s="6">
        <f t="shared" si="91"/>
        <v>-0.90426491228070172</v>
      </c>
    </row>
    <row r="131" spans="1:26" s="24" customFormat="1" hidden="1" outlineLevel="2" x14ac:dyDescent="0.25">
      <c r="A131" s="25"/>
      <c r="B131" s="11" t="str">
        <f>CONCATENATE("          ", "6294", " - ", "TRAVEL OPERATIONAL")</f>
        <v xml:space="preserve">          6294 - TRAVEL OPERATIONAL</v>
      </c>
      <c r="C131" s="11"/>
      <c r="D131" s="7"/>
      <c r="E131" s="2"/>
      <c r="F131" s="6">
        <f t="shared" si="84"/>
        <v>0</v>
      </c>
      <c r="G131" s="2"/>
      <c r="H131" s="7"/>
      <c r="I131" s="2"/>
      <c r="J131" s="6">
        <f t="shared" si="85"/>
        <v>0</v>
      </c>
      <c r="K131" s="2"/>
      <c r="L131" s="7">
        <f t="shared" si="86"/>
        <v>0</v>
      </c>
      <c r="M131" s="2"/>
      <c r="N131" s="6">
        <f t="shared" si="87"/>
        <v>0</v>
      </c>
      <c r="O131" s="11"/>
      <c r="P131" s="7">
        <v>45.49</v>
      </c>
      <c r="Q131" s="2"/>
      <c r="R131" s="6">
        <f t="shared" si="88"/>
        <v>2.488018065428618E-5</v>
      </c>
      <c r="S131" s="2"/>
      <c r="T131" s="7"/>
      <c r="U131" s="2"/>
      <c r="V131" s="6">
        <f t="shared" si="89"/>
        <v>0</v>
      </c>
      <c r="W131" s="2"/>
      <c r="X131" s="7">
        <f t="shared" si="90"/>
        <v>45.49</v>
      </c>
      <c r="Y131" s="2"/>
      <c r="Z131" s="6">
        <f t="shared" si="91"/>
        <v>0</v>
      </c>
    </row>
    <row r="132" spans="1:26" s="24" customFormat="1" hidden="1" outlineLevel="2" x14ac:dyDescent="0.25">
      <c r="A132" s="25"/>
      <c r="B132" s="11" t="str">
        <f>CONCATENATE("          ", "6298", " - ", "VEHICLE MILEAGE")</f>
        <v xml:space="preserve">          6298 - VEHICLE MILEAGE</v>
      </c>
      <c r="C132" s="11"/>
      <c r="D132" s="7">
        <v>249.82</v>
      </c>
      <c r="E132" s="2"/>
      <c r="F132" s="6">
        <f t="shared" si="84"/>
        <v>2.2428036500008933E-4</v>
      </c>
      <c r="G132" s="2"/>
      <c r="H132" s="7"/>
      <c r="I132" s="2"/>
      <c r="J132" s="6">
        <f t="shared" si="85"/>
        <v>0</v>
      </c>
      <c r="K132" s="2"/>
      <c r="L132" s="7">
        <f t="shared" si="86"/>
        <v>249.82</v>
      </c>
      <c r="M132" s="2"/>
      <c r="N132" s="6">
        <f t="shared" si="87"/>
        <v>0</v>
      </c>
      <c r="O132" s="11"/>
      <c r="P132" s="7">
        <v>510</v>
      </c>
      <c r="Q132" s="2"/>
      <c r="R132" s="6">
        <f t="shared" si="88"/>
        <v>2.789380552579897E-4</v>
      </c>
      <c r="S132" s="2"/>
      <c r="T132" s="7">
        <v>0</v>
      </c>
      <c r="U132" s="2"/>
      <c r="V132" s="6">
        <f t="shared" si="89"/>
        <v>0</v>
      </c>
      <c r="W132" s="2"/>
      <c r="X132" s="7">
        <f t="shared" si="90"/>
        <v>510</v>
      </c>
      <c r="Y132" s="2"/>
      <c r="Z132" s="6">
        <f t="shared" si="91"/>
        <v>0</v>
      </c>
    </row>
    <row r="133" spans="1:26" s="26" customFormat="1" outlineLevel="1" collapsed="1" x14ac:dyDescent="0.25">
      <c r="A133" s="27"/>
      <c r="B133" s="13" t="str">
        <f>CONCATENATE("     ","Utilities                                         ")</f>
        <v xml:space="preserve">     Utilities                                         </v>
      </c>
      <c r="C133" s="13"/>
      <c r="D133" s="1">
        <f>SUM(OSRRefD22_25x_0)</f>
        <v>18266</v>
      </c>
      <c r="E133" s="1"/>
      <c r="F133" s="5">
        <f t="shared" ref="F133:F134" si="92">IF(D$12=0,0,D133/D$12)</f>
        <v>1.6398627600238698E-2</v>
      </c>
      <c r="G133" s="1"/>
      <c r="H133" s="1">
        <f>SUM(OSRRefH22_25x_0)</f>
        <v>18596</v>
      </c>
      <c r="I133" s="1"/>
      <c r="J133" s="5">
        <f t="shared" ref="J133:J134" si="93">IF(H$12=0,0,H133/H$12)</f>
        <v>1.5790528400194282E-2</v>
      </c>
      <c r="K133" s="1"/>
      <c r="L133" s="1">
        <f t="shared" ref="L133:L134" si="94">+D133-H133</f>
        <v>-330</v>
      </c>
      <c r="M133" s="1"/>
      <c r="N133" s="5">
        <f t="shared" ref="N133:N134" si="95">IF(H133=0,0,L133/H133)</f>
        <v>-1.7745751774575179E-2</v>
      </c>
      <c r="O133" s="13"/>
      <c r="P133" s="1">
        <f>SUM(OSRRefP22_25x_0)</f>
        <v>32013.119999999999</v>
      </c>
      <c r="Q133" s="1"/>
      <c r="R133" s="5">
        <f t="shared" ref="R133:R134" si="96">IF(P$12=0,0,P133/P$12)</f>
        <v>1.7509171442236578E-2</v>
      </c>
      <c r="S133" s="1"/>
      <c r="T133" s="1">
        <f>SUM(OSRRefT22_25x_0)</f>
        <v>60719.000000000007</v>
      </c>
      <c r="U133" s="1"/>
      <c r="V133" s="5">
        <f t="shared" ref="V133:V134" si="97">IF(T$12=0,0,T133/T$12)</f>
        <v>2.922146704383129E-2</v>
      </c>
      <c r="W133" s="1"/>
      <c r="X133" s="1">
        <f t="shared" ref="X133:X134" si="98">+P133-T133</f>
        <v>-28705.880000000008</v>
      </c>
      <c r="Y133" s="1"/>
      <c r="Z133" s="5">
        <f t="shared" ref="Z133:Z134" si="99">IF(T133=0,0,X133/T133)</f>
        <v>-0.47276602052075967</v>
      </c>
    </row>
    <row r="134" spans="1:26" s="24" customFormat="1" hidden="1" outlineLevel="2" x14ac:dyDescent="0.25">
      <c r="A134" s="25"/>
      <c r="B134" s="11" t="str">
        <f>CONCATENATE("          ", "6274", " - ", "UTILITIES")</f>
        <v xml:space="preserve">          6274 - UTILITIES</v>
      </c>
      <c r="C134" s="11"/>
      <c r="D134" s="7">
        <v>18266</v>
      </c>
      <c r="E134" s="2"/>
      <c r="F134" s="6">
        <f t="shared" si="92"/>
        <v>1.6398627600238698E-2</v>
      </c>
      <c r="G134" s="2"/>
      <c r="H134" s="7">
        <v>18596</v>
      </c>
      <c r="I134" s="2"/>
      <c r="J134" s="6">
        <f t="shared" si="93"/>
        <v>1.5790528400194282E-2</v>
      </c>
      <c r="K134" s="2"/>
      <c r="L134" s="7">
        <f t="shared" si="94"/>
        <v>-330</v>
      </c>
      <c r="M134" s="2"/>
      <c r="N134" s="6">
        <f t="shared" si="95"/>
        <v>-1.7745751774575179E-2</v>
      </c>
      <c r="O134" s="11"/>
      <c r="P134" s="7">
        <v>32013.119999999999</v>
      </c>
      <c r="Q134" s="2"/>
      <c r="R134" s="6">
        <f t="shared" si="96"/>
        <v>1.7509171442236578E-2</v>
      </c>
      <c r="S134" s="2"/>
      <c r="T134" s="7">
        <v>60719.000000000007</v>
      </c>
      <c r="U134" s="2"/>
      <c r="V134" s="6">
        <f t="shared" si="97"/>
        <v>2.922146704383129E-2</v>
      </c>
      <c r="W134" s="2"/>
      <c r="X134" s="7">
        <f t="shared" si="98"/>
        <v>-28705.880000000008</v>
      </c>
      <c r="Y134" s="2"/>
      <c r="Z134" s="6">
        <f t="shared" si="99"/>
        <v>-0.47276602052075967</v>
      </c>
    </row>
    <row r="135" spans="1:26" s="63" customFormat="1" x14ac:dyDescent="0.25">
      <c r="A135" s="36"/>
      <c r="B135" s="36"/>
      <c r="C135" s="36"/>
      <c r="D135" s="1"/>
      <c r="E135" s="1"/>
      <c r="F135" s="5"/>
      <c r="G135" s="1"/>
      <c r="H135" s="1"/>
      <c r="I135" s="1"/>
      <c r="J135" s="5"/>
      <c r="K135" s="1"/>
      <c r="L135" s="1"/>
      <c r="M135" s="1"/>
      <c r="N135" s="5"/>
      <c r="O135" s="36"/>
      <c r="P135" s="1"/>
      <c r="Q135" s="1"/>
      <c r="R135" s="5"/>
      <c r="S135" s="1"/>
      <c r="T135" s="1"/>
      <c r="U135" s="1"/>
      <c r="V135" s="5"/>
      <c r="W135" s="1"/>
      <c r="X135" s="1"/>
      <c r="Y135" s="1"/>
      <c r="Z135" s="5"/>
    </row>
    <row r="136" spans="1:26" s="23" customFormat="1" collapsed="1" x14ac:dyDescent="0.25">
      <c r="A136" s="10"/>
      <c r="B136" s="28" t="s">
        <v>0</v>
      </c>
      <c r="C136" s="10"/>
      <c r="D136" s="4">
        <f>SUM(OSRRefD25x_0)</f>
        <v>237266.33000000002</v>
      </c>
      <c r="E136" s="4"/>
      <c r="F136" s="12">
        <f t="shared" ref="F136:F140" si="100">IF(D$12=0,0,D136/D$12)</f>
        <v>0.21301008363874649</v>
      </c>
      <c r="G136" s="4"/>
      <c r="H136" s="4">
        <f>SUM(OSRRefH25x_0)</f>
        <v>210279</v>
      </c>
      <c r="I136" s="4"/>
      <c r="J136" s="12">
        <f t="shared" ref="J136:J140" si="101">IF(H$12=0,0,H136/H$12)</f>
        <v>0.1785554162972926</v>
      </c>
      <c r="K136" s="4"/>
      <c r="L136" s="4">
        <f t="shared" ref="L136:L140" si="102">+D136-H136</f>
        <v>26987.330000000016</v>
      </c>
      <c r="M136" s="4"/>
      <c r="N136" s="12">
        <f t="shared" ref="N136:N140" si="103">IF(H136=0,0,L136/H136)</f>
        <v>0.12834058560293712</v>
      </c>
      <c r="O136" s="10"/>
      <c r="P136" s="4">
        <f>SUM(OSRRefP25x_0)</f>
        <v>302660.99</v>
      </c>
      <c r="Q136" s="4"/>
      <c r="R136" s="12">
        <f t="shared" ref="R136:R140" si="104">IF(P$12=0,0,P136/P$12)</f>
        <v>0.16553660382952523</v>
      </c>
      <c r="S136" s="4"/>
      <c r="T136" s="4">
        <f>SUM(OSRRefT25x_0)</f>
        <v>259492</v>
      </c>
      <c r="U136" s="4"/>
      <c r="V136" s="12">
        <f t="shared" ref="V136:V140" si="105">IF(T$12=0,0,T136/T$12)</f>
        <v>0.12488244085274573</v>
      </c>
      <c r="W136" s="4"/>
      <c r="X136" s="4">
        <f t="shared" ref="X136:X140" si="106">+P136-T136</f>
        <v>43168.989999999991</v>
      </c>
      <c r="Y136" s="4"/>
      <c r="Z136" s="12">
        <f t="shared" ref="Z136:Z140" si="107">IF(T136=0,0,X136/T136)</f>
        <v>0.16635961802290625</v>
      </c>
    </row>
    <row r="137" spans="1:26" s="24" customFormat="1" hidden="1" outlineLevel="1" x14ac:dyDescent="0.25">
      <c r="A137" s="46"/>
      <c r="B137" s="11" t="str">
        <f>CONCATENATE("          ", "9150", " - ", "MISC. INCOME")</f>
        <v xml:space="preserve">          9150 - MISC. INCOME</v>
      </c>
      <c r="C137" s="11"/>
      <c r="D137" s="2">
        <f>--18738.99</f>
        <v>18738.990000000002</v>
      </c>
      <c r="E137" s="2"/>
      <c r="F137" s="19">
        <f t="shared" si="100"/>
        <v>1.682326281696031E-2</v>
      </c>
      <c r="G137" s="2"/>
      <c r="H137" s="2">
        <v>10925</v>
      </c>
      <c r="I137" s="2"/>
      <c r="J137" s="19">
        <f t="shared" si="101"/>
        <v>9.2768080647516963E-3</v>
      </c>
      <c r="K137" s="2"/>
      <c r="L137" s="2">
        <f t="shared" si="102"/>
        <v>7813.9900000000016</v>
      </c>
      <c r="M137" s="2"/>
      <c r="N137" s="19">
        <f t="shared" si="103"/>
        <v>0.71523935926773474</v>
      </c>
      <c r="O137" s="11"/>
      <c r="P137" s="2">
        <f>--66526.94</f>
        <v>66526.94</v>
      </c>
      <c r="Q137" s="2"/>
      <c r="R137" s="19">
        <f t="shared" si="104"/>
        <v>3.6386069148754835E-2</v>
      </c>
      <c r="S137" s="2"/>
      <c r="T137" s="2">
        <v>41294</v>
      </c>
      <c r="U137" s="2"/>
      <c r="V137" s="19">
        <f t="shared" si="105"/>
        <v>1.987304237731137E-2</v>
      </c>
      <c r="W137" s="2"/>
      <c r="X137" s="2">
        <f t="shared" si="106"/>
        <v>25232.940000000002</v>
      </c>
      <c r="Y137" s="2"/>
      <c r="Z137" s="19">
        <f t="shared" si="107"/>
        <v>0.61105584346394159</v>
      </c>
    </row>
    <row r="138" spans="1:26" s="24" customFormat="1" hidden="1" outlineLevel="1" x14ac:dyDescent="0.25">
      <c r="A138" s="46"/>
      <c r="B138" s="11" t="str">
        <f>CONCATENATE("          ", "9151", " - ", "MISC. INCOME")</f>
        <v xml:space="preserve">          9151 - MISC. INCOME</v>
      </c>
      <c r="C138" s="11"/>
      <c r="D138" s="2">
        <f>0</f>
        <v>0</v>
      </c>
      <c r="E138" s="2"/>
      <c r="F138" s="19">
        <f t="shared" si="100"/>
        <v>0</v>
      </c>
      <c r="G138" s="2"/>
      <c r="H138" s="2">
        <v>199354</v>
      </c>
      <c r="I138" s="2"/>
      <c r="J138" s="19">
        <f t="shared" si="101"/>
        <v>0.16927860823254093</v>
      </c>
      <c r="K138" s="2"/>
      <c r="L138" s="2">
        <f t="shared" si="102"/>
        <v>-199354</v>
      </c>
      <c r="M138" s="2"/>
      <c r="N138" s="19">
        <f t="shared" si="103"/>
        <v>-1</v>
      </c>
      <c r="O138" s="11"/>
      <c r="P138" s="2">
        <f>0</f>
        <v>0</v>
      </c>
      <c r="Q138" s="2"/>
      <c r="R138" s="19">
        <f t="shared" si="104"/>
        <v>0</v>
      </c>
      <c r="S138" s="2"/>
      <c r="T138" s="2">
        <v>218198</v>
      </c>
      <c r="U138" s="2"/>
      <c r="V138" s="19">
        <f t="shared" si="105"/>
        <v>0.10500939847543436</v>
      </c>
      <c r="W138" s="2"/>
      <c r="X138" s="2">
        <f t="shared" si="106"/>
        <v>-218198</v>
      </c>
      <c r="Y138" s="2"/>
      <c r="Z138" s="19">
        <f t="shared" si="107"/>
        <v>-1</v>
      </c>
    </row>
    <row r="139" spans="1:26" s="24" customFormat="1" hidden="1" outlineLevel="1" x14ac:dyDescent="0.25">
      <c r="A139" s="46"/>
      <c r="B139" s="11" t="str">
        <f>CONCATENATE("          ", "9160", " - ", "MISC. INCOME")</f>
        <v xml:space="preserve">          9160 - MISC. INCOME</v>
      </c>
      <c r="C139" s="11"/>
      <c r="D139" s="2">
        <f>--20000</f>
        <v>20000</v>
      </c>
      <c r="E139" s="2"/>
      <c r="F139" s="19">
        <f t="shared" si="100"/>
        <v>1.7955357057088249E-2</v>
      </c>
      <c r="G139" s="2"/>
      <c r="H139" s="2"/>
      <c r="I139" s="2"/>
      <c r="J139" s="19">
        <f t="shared" si="101"/>
        <v>0</v>
      </c>
      <c r="K139" s="2"/>
      <c r="L139" s="2">
        <f t="shared" si="102"/>
        <v>20000</v>
      </c>
      <c r="M139" s="2"/>
      <c r="N139" s="19">
        <f t="shared" si="103"/>
        <v>0</v>
      </c>
      <c r="O139" s="11"/>
      <c r="P139" s="2">
        <f>--30973.27</f>
        <v>30973.27</v>
      </c>
      <c r="Q139" s="2"/>
      <c r="R139" s="19">
        <f t="shared" si="104"/>
        <v>1.6940438625060068E-2</v>
      </c>
      <c r="S139" s="2"/>
      <c r="T139" s="2"/>
      <c r="U139" s="2"/>
      <c r="V139" s="19">
        <f t="shared" si="105"/>
        <v>0</v>
      </c>
      <c r="W139" s="2"/>
      <c r="X139" s="2">
        <f t="shared" si="106"/>
        <v>30973.27</v>
      </c>
      <c r="Y139" s="2"/>
      <c r="Z139" s="19">
        <f t="shared" si="107"/>
        <v>0</v>
      </c>
    </row>
    <row r="140" spans="1:26" s="24" customFormat="1" hidden="1" outlineLevel="1" x14ac:dyDescent="0.25">
      <c r="A140" s="46"/>
      <c r="B140" s="11" t="str">
        <f>CONCATENATE("          ", "9165", " - ", "OTHER INCOME")</f>
        <v xml:space="preserve">          9165 - OTHER INCOME</v>
      </c>
      <c r="C140" s="11"/>
      <c r="D140" s="2">
        <f>--198527.34</f>
        <v>198527.34</v>
      </c>
      <c r="E140" s="2"/>
      <c r="F140" s="19">
        <f t="shared" si="100"/>
        <v>0.17823146376469792</v>
      </c>
      <c r="G140" s="2"/>
      <c r="H140" s="2"/>
      <c r="I140" s="2"/>
      <c r="J140" s="19">
        <f t="shared" si="101"/>
        <v>0</v>
      </c>
      <c r="K140" s="2"/>
      <c r="L140" s="2">
        <f t="shared" si="102"/>
        <v>198527.34</v>
      </c>
      <c r="M140" s="2"/>
      <c r="N140" s="19">
        <f t="shared" si="103"/>
        <v>0</v>
      </c>
      <c r="O140" s="11"/>
      <c r="P140" s="2">
        <f>--205160.78</f>
        <v>205160.78</v>
      </c>
      <c r="Q140" s="2"/>
      <c r="R140" s="19">
        <f t="shared" si="104"/>
        <v>0.11221009605571033</v>
      </c>
      <c r="S140" s="2"/>
      <c r="T140" s="2"/>
      <c r="U140" s="2"/>
      <c r="V140" s="19">
        <f t="shared" si="105"/>
        <v>0</v>
      </c>
      <c r="W140" s="2"/>
      <c r="X140" s="2">
        <f t="shared" si="106"/>
        <v>205160.78</v>
      </c>
      <c r="Y140" s="2"/>
      <c r="Z140" s="19">
        <f t="shared" si="107"/>
        <v>0</v>
      </c>
    </row>
    <row r="141" spans="1:26" x14ac:dyDescent="0.25">
      <c r="A141" s="9"/>
      <c r="B141" s="10"/>
      <c r="C141" s="10"/>
      <c r="D141" s="3"/>
      <c r="E141" s="3"/>
      <c r="F141" s="8"/>
      <c r="G141" s="3"/>
      <c r="H141" s="3"/>
      <c r="I141" s="3"/>
      <c r="J141" s="8"/>
      <c r="K141" s="3"/>
      <c r="L141" s="3"/>
      <c r="M141" s="3"/>
      <c r="N141" s="8"/>
      <c r="O141" s="10"/>
      <c r="P141" s="3"/>
      <c r="Q141" s="3"/>
      <c r="R141" s="8"/>
      <c r="S141" s="3"/>
      <c r="T141" s="3"/>
      <c r="U141" s="3"/>
      <c r="V141" s="8"/>
      <c r="W141" s="3"/>
      <c r="X141" s="3"/>
      <c r="Y141" s="3"/>
      <c r="Z141" s="8"/>
    </row>
    <row r="142" spans="1:26" s="23" customFormat="1" x14ac:dyDescent="0.25">
      <c r="A142" s="10"/>
      <c r="B142" s="29" t="s">
        <v>3</v>
      </c>
      <c r="C142" s="29"/>
      <c r="D142" s="22">
        <f>+D36-D38+D136</f>
        <v>248436.65999999997</v>
      </c>
      <c r="E142" s="14"/>
      <c r="F142" s="20">
        <f>IF(D$12=0,0,D142/D$12)</f>
        <v>0.2230384468185217</v>
      </c>
      <c r="G142" s="14"/>
      <c r="H142" s="22">
        <f>+H36-H38+H136</f>
        <v>366541.91442293511</v>
      </c>
      <c r="I142" s="14"/>
      <c r="J142" s="20">
        <f>IF(H$12=0,0,H142/H$12)</f>
        <v>0.31124384327580873</v>
      </c>
      <c r="K142" s="15"/>
      <c r="L142" s="22">
        <f>+D142-H142</f>
        <v>-118105.25442293513</v>
      </c>
      <c r="M142" s="15"/>
      <c r="N142" s="20">
        <f>IF(H142=0,0,L142/H142)</f>
        <v>-0.32221486759262996</v>
      </c>
      <c r="O142" s="28"/>
      <c r="P142" s="22">
        <f>+P36-P38+P136</f>
        <v>-208741.02000000002</v>
      </c>
      <c r="Q142" s="14"/>
      <c r="R142" s="20">
        <f>IF(P$12=0,0,P142/P$12)</f>
        <v>-0.11416826308111595</v>
      </c>
      <c r="S142" s="14"/>
      <c r="T142" s="22">
        <f>+T36-T38+T136</f>
        <v>-18053.443084531231</v>
      </c>
      <c r="U142" s="14"/>
      <c r="V142" s="20">
        <f>IF(T$12=0,0,T142/T$12)</f>
        <v>-8.6883527746226593E-3</v>
      </c>
      <c r="W142" s="15"/>
      <c r="X142" s="22">
        <f>+P142-T142</f>
        <v>-190687.57691546879</v>
      </c>
      <c r="Y142" s="15"/>
      <c r="Z142" s="20">
        <f>IF(T142=0,0,X142/T142)</f>
        <v>10.562393889221941</v>
      </c>
    </row>
    <row r="143" spans="1:26" x14ac:dyDescent="0.25">
      <c r="A143" s="9"/>
      <c r="B143" s="10"/>
      <c r="C143" s="9"/>
      <c r="D143" s="3"/>
      <c r="E143" s="3"/>
      <c r="F143" s="8"/>
      <c r="G143" s="3"/>
      <c r="H143" s="3"/>
      <c r="I143" s="3"/>
      <c r="J143" s="8"/>
      <c r="K143" s="3"/>
      <c r="L143" s="3"/>
      <c r="M143" s="3"/>
      <c r="N143" s="8"/>
      <c r="P143" s="3"/>
      <c r="Q143" s="3"/>
      <c r="R143" s="8"/>
      <c r="S143" s="3"/>
      <c r="T143" s="3"/>
      <c r="U143" s="3"/>
      <c r="V143" s="8"/>
      <c r="W143" s="3"/>
      <c r="X143" s="3"/>
      <c r="Y143" s="3"/>
      <c r="Z143" s="8"/>
    </row>
    <row r="144" spans="1:26" s="23" customFormat="1" x14ac:dyDescent="0.25">
      <c r="A144" s="52"/>
      <c r="B144" s="10" t="s">
        <v>14</v>
      </c>
      <c r="C144" s="10"/>
      <c r="D144" s="4">
        <v>107306.62000000001</v>
      </c>
      <c r="E144" s="4"/>
      <c r="F144" s="12">
        <f>IF(D$12=0,0,D144/D$12)</f>
        <v>9.6336433834464372E-2</v>
      </c>
      <c r="G144" s="4"/>
      <c r="H144" s="4">
        <v>116623</v>
      </c>
      <c r="I144" s="4"/>
      <c r="J144" s="12">
        <f>IF(H$12=0,0,H144/H$12)</f>
        <v>9.9028758529568606E-2</v>
      </c>
      <c r="K144" s="4"/>
      <c r="L144" s="4">
        <f>+D144-H144</f>
        <v>-9316.3799999999901</v>
      </c>
      <c r="M144" s="4"/>
      <c r="N144" s="12">
        <f>IF(H144=0,0,L144/H144)</f>
        <v>-7.9884585373382527E-2</v>
      </c>
      <c r="O144" s="10"/>
      <c r="P144" s="4">
        <v>196390.39999999999</v>
      </c>
      <c r="Q144" s="4"/>
      <c r="R144" s="12">
        <f>IF(P$12=0,0,P144/P$12)</f>
        <v>0.10741324754380137</v>
      </c>
      <c r="S144" s="4"/>
      <c r="T144" s="4">
        <v>262821</v>
      </c>
      <c r="U144" s="4"/>
      <c r="V144" s="12">
        <f>IF(T$12=0,0,T144/T$12)</f>
        <v>0.12648454668105177</v>
      </c>
      <c r="W144" s="4"/>
      <c r="X144" s="4">
        <f>+P144-T144</f>
        <v>-66430.600000000006</v>
      </c>
      <c r="Y144" s="4"/>
      <c r="Z144" s="12">
        <f>IF(T144=0,0,X144/T144)</f>
        <v>-0.25275986317683902</v>
      </c>
    </row>
    <row r="145" spans="1:26" x14ac:dyDescent="0.25">
      <c r="A145" s="9"/>
      <c r="B145" s="10"/>
      <c r="C145" s="10"/>
      <c r="D145" s="3"/>
      <c r="E145" s="3"/>
      <c r="F145" s="8"/>
      <c r="G145" s="3"/>
      <c r="H145" s="3"/>
      <c r="I145" s="3"/>
      <c r="J145" s="8"/>
      <c r="K145" s="3"/>
      <c r="L145" s="3"/>
      <c r="M145" s="3"/>
      <c r="N145" s="8"/>
      <c r="O145" s="10"/>
      <c r="P145" s="3"/>
      <c r="Q145" s="3"/>
      <c r="R145" s="8"/>
      <c r="S145" s="3"/>
      <c r="T145" s="3"/>
      <c r="U145" s="3"/>
      <c r="V145" s="8"/>
      <c r="W145" s="3"/>
      <c r="X145" s="3"/>
      <c r="Y145" s="3"/>
      <c r="Z145" s="8"/>
    </row>
    <row r="146" spans="1:26" s="23" customFormat="1" ht="15.75" thickBot="1" x14ac:dyDescent="0.3">
      <c r="A146" s="10"/>
      <c r="B146" s="29" t="s">
        <v>4</v>
      </c>
      <c r="C146" s="29"/>
      <c r="D146" s="35">
        <f>+D142-D144</f>
        <v>141130.03999999998</v>
      </c>
      <c r="E146" s="14"/>
      <c r="F146" s="32">
        <f>IF(D$12=0,0,D146/D$12)</f>
        <v>0.12670201298405734</v>
      </c>
      <c r="G146" s="14"/>
      <c r="H146" s="35">
        <f>+H142-H144</f>
        <v>249918.91442293511</v>
      </c>
      <c r="I146" s="14"/>
      <c r="J146" s="32">
        <f>IF(H$12=0,0,H146/H$12)</f>
        <v>0.21221508474624012</v>
      </c>
      <c r="K146" s="15"/>
      <c r="L146" s="35">
        <f>D146-H146</f>
        <v>-108788.87442293513</v>
      </c>
      <c r="M146" s="15"/>
      <c r="N146" s="32">
        <f>IF(H146=0,0,L146/H146)</f>
        <v>-0.43529668282262496</v>
      </c>
      <c r="O146" s="28"/>
      <c r="P146" s="35">
        <f>+P142-P144</f>
        <v>-405131.42000000004</v>
      </c>
      <c r="Q146" s="14"/>
      <c r="R146" s="32">
        <f>IF(P$12=0,0,P146/P$12)</f>
        <v>-0.22158151062491735</v>
      </c>
      <c r="S146" s="14"/>
      <c r="T146" s="35">
        <f>+T142-T144</f>
        <v>-280874.44308453123</v>
      </c>
      <c r="U146" s="14"/>
      <c r="V146" s="32">
        <f>IF(T$12=0,0,T146/T$12)</f>
        <v>-0.13517289945567443</v>
      </c>
      <c r="W146" s="15"/>
      <c r="X146" s="35">
        <f>P146-T146</f>
        <v>-124256.97691546881</v>
      </c>
      <c r="Y146" s="15"/>
      <c r="Z146" s="32">
        <f>IF(T146=0,0,X146/T146)</f>
        <v>0.4423933183485575</v>
      </c>
    </row>
    <row r="147" spans="1:26" ht="15.75" thickTop="1" x14ac:dyDescent="0.25">
      <c r="A147" s="9"/>
      <c r="B147" s="9"/>
      <c r="C147" s="9"/>
      <c r="D147" s="3"/>
      <c r="E147" s="3"/>
      <c r="F147" s="8"/>
      <c r="G147" s="3"/>
      <c r="H147" s="3"/>
      <c r="I147" s="3"/>
      <c r="J147" s="8"/>
      <c r="K147" s="3"/>
      <c r="L147" s="3"/>
      <c r="M147" s="3"/>
      <c r="N147" s="8"/>
      <c r="P147" s="3"/>
      <c r="Q147" s="3"/>
      <c r="R147" s="8"/>
      <c r="S147" s="3"/>
      <c r="T147" s="3"/>
      <c r="U147" s="3"/>
      <c r="V147" s="8"/>
      <c r="W147" s="3"/>
      <c r="X147" s="3"/>
      <c r="Y147" s="3"/>
      <c r="Z147" s="8"/>
    </row>
    <row r="148" spans="1:26" x14ac:dyDescent="0.25">
      <c r="A148" s="9"/>
      <c r="B148" s="9"/>
      <c r="C148" s="9"/>
      <c r="D148" s="3"/>
      <c r="E148" s="3"/>
      <c r="F148" s="8"/>
      <c r="G148" s="3"/>
      <c r="H148" s="3"/>
      <c r="I148" s="3"/>
      <c r="J148" s="8"/>
      <c r="K148" s="3"/>
      <c r="L148" s="3"/>
      <c r="M148" s="3"/>
      <c r="N148" s="8"/>
      <c r="P148" s="3"/>
      <c r="Q148" s="3"/>
      <c r="R148" s="8"/>
      <c r="S148" s="3"/>
      <c r="T148" s="3"/>
      <c r="U148" s="3"/>
      <c r="V148" s="8"/>
      <c r="W148" s="3"/>
      <c r="X148" s="3"/>
      <c r="Y148" s="3"/>
      <c r="Z148" s="8"/>
    </row>
    <row r="149" spans="1:26" s="23" customFormat="1" ht="15.75" thickBot="1" x14ac:dyDescent="0.3">
      <c r="A149" s="10"/>
      <c r="B149" s="29" t="s">
        <v>5</v>
      </c>
      <c r="C149" s="29"/>
      <c r="D149" s="30">
        <f>SUM(D146:D148)</f>
        <v>141130.03999999998</v>
      </c>
      <c r="E149" s="14"/>
      <c r="F149" s="31">
        <f>IF(D$12=0,0,D149/D$12)</f>
        <v>0.12670201298405734</v>
      </c>
      <c r="G149" s="14"/>
      <c r="H149" s="30">
        <f>SUM(H146:H148)</f>
        <v>249918.91442293511</v>
      </c>
      <c r="I149" s="14"/>
      <c r="J149" s="31">
        <f>IF(H$12=0,0,H149/H$12)</f>
        <v>0.21221508474624012</v>
      </c>
      <c r="K149" s="15"/>
      <c r="L149" s="30">
        <f>+D149-H149</f>
        <v>-108788.87442293513</v>
      </c>
      <c r="M149" s="15"/>
      <c r="N149" s="31">
        <f>IF(H149=0,0,L149/H149)</f>
        <v>-0.43529668282262496</v>
      </c>
      <c r="O149" s="28"/>
      <c r="P149" s="30">
        <f>SUM(P146:P148)</f>
        <v>-405131.42000000004</v>
      </c>
      <c r="Q149" s="14"/>
      <c r="R149" s="31">
        <f>IF(P$12=0,0,P149/P$12)</f>
        <v>-0.22158151062491735</v>
      </c>
      <c r="S149" s="14"/>
      <c r="T149" s="30">
        <f>SUM(T146:T148)</f>
        <v>-280874.44308453123</v>
      </c>
      <c r="U149" s="14"/>
      <c r="V149" s="31">
        <f>IF(T$12=0,0,T149/T$12)</f>
        <v>-0.13517289945567443</v>
      </c>
      <c r="W149" s="15"/>
      <c r="X149" s="30">
        <f>+P149-T149</f>
        <v>-124256.97691546881</v>
      </c>
      <c r="Y149" s="15"/>
      <c r="Z149" s="31">
        <f>IF(T149=0,0,X149/T149)</f>
        <v>0.4423933183485575</v>
      </c>
    </row>
    <row r="150" spans="1:26" ht="15.75" thickTop="1" x14ac:dyDescent="0.25">
      <c r="A150" s="9"/>
      <c r="C150" s="9"/>
      <c r="D150" s="18"/>
      <c r="E150" s="18"/>
      <c r="G150" s="18"/>
      <c r="H150" s="18"/>
      <c r="I150" s="18"/>
      <c r="J150" s="43"/>
      <c r="K150" s="18"/>
      <c r="L150" s="18"/>
      <c r="M150" s="18"/>
      <c r="P150" s="18"/>
      <c r="Q150" s="18"/>
      <c r="R150" s="43"/>
      <c r="S150" s="18"/>
      <c r="T150" s="18"/>
      <c r="U150" s="18"/>
      <c r="V150" s="43"/>
      <c r="W150" s="18"/>
      <c r="X150" s="18"/>
    </row>
    <row r="151" spans="1:26" x14ac:dyDescent="0.25">
      <c r="A151" s="9"/>
      <c r="B151" s="53">
        <v>43756.451932407406</v>
      </c>
      <c r="D151" s="18"/>
      <c r="E151" s="18"/>
      <c r="G151" s="18"/>
      <c r="H151" s="18"/>
      <c r="I151" s="18"/>
      <c r="J151" s="43"/>
      <c r="K151" s="18"/>
      <c r="L151" s="18"/>
      <c r="M151" s="18"/>
      <c r="P151" s="18"/>
      <c r="Q151" s="18"/>
      <c r="R151" s="43"/>
      <c r="S151" s="18"/>
      <c r="T151" s="18"/>
      <c r="U151" s="18"/>
      <c r="V151" s="43"/>
      <c r="W151" s="18"/>
      <c r="X151" s="18"/>
    </row>
    <row r="152" spans="1:26" x14ac:dyDescent="0.25">
      <c r="A152" s="9"/>
      <c r="B152" s="55" t="s">
        <v>314</v>
      </c>
      <c r="D152" s="18"/>
      <c r="E152" s="18"/>
      <c r="G152" s="18"/>
      <c r="H152" s="18"/>
      <c r="I152" s="18"/>
      <c r="J152" s="43"/>
      <c r="K152" s="18"/>
      <c r="L152" s="18"/>
      <c r="M152" s="18"/>
      <c r="P152" s="18"/>
      <c r="Q152" s="18"/>
      <c r="R152" s="43"/>
      <c r="S152" s="18"/>
      <c r="T152" s="18"/>
      <c r="U152" s="18"/>
      <c r="V152" s="43"/>
      <c r="W152" s="18"/>
      <c r="X152" s="18"/>
    </row>
    <row r="153" spans="1:26" x14ac:dyDescent="0.25">
      <c r="A153" s="9"/>
      <c r="B153" s="56"/>
      <c r="D153" s="18"/>
      <c r="E153" s="18"/>
      <c r="G153" s="18"/>
      <c r="H153" s="18"/>
      <c r="I153" s="18"/>
      <c r="J153" s="43"/>
      <c r="K153" s="18"/>
      <c r="L153" s="18"/>
      <c r="M153" s="18"/>
      <c r="P153" s="18"/>
      <c r="Q153" s="18"/>
      <c r="R153" s="43"/>
      <c r="S153" s="18"/>
      <c r="T153" s="18"/>
      <c r="U153" s="18"/>
      <c r="V153" s="43"/>
      <c r="W153" s="18"/>
      <c r="X153" s="18"/>
    </row>
    <row r="154" spans="1:26" x14ac:dyDescent="0.25">
      <c r="D154" s="18"/>
      <c r="E154" s="18"/>
      <c r="G154" s="18"/>
      <c r="H154" s="18"/>
      <c r="I154" s="18"/>
      <c r="J154" s="43"/>
      <c r="K154" s="18"/>
      <c r="L154" s="18"/>
      <c r="M154" s="18"/>
      <c r="P154" s="18"/>
      <c r="Q154" s="18"/>
      <c r="R154" s="43"/>
      <c r="S154" s="18"/>
      <c r="T154" s="18"/>
      <c r="U154" s="18"/>
      <c r="V154" s="43"/>
      <c r="W154" s="18"/>
      <c r="X154" s="18"/>
    </row>
  </sheetData>
  <pageMargins left="0.25" right="0.25" top="0.75" bottom="0.75" header="0.3" footer="0.3"/>
  <pageSetup scale="55" fitToWidth="2" orientation="landscape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str">
        <f>CONCATENATE("Period ",RIGHT(202003,2),", ",2020)</f>
        <v>Period 03, 2020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43736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">
        <v>301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712931.16</v>
      </c>
      <c r="E12" s="4"/>
      <c r="F12" s="12"/>
      <c r="G12" s="4"/>
      <c r="H12" s="4">
        <f>SUM(OSRRefH13x_0)</f>
        <v>772880</v>
      </c>
      <c r="I12" s="4"/>
      <c r="J12" s="12"/>
      <c r="K12" s="4"/>
      <c r="L12" s="4">
        <f t="shared" ref="L12:L23" si="0">+D12-H12</f>
        <v>-59948.839999999967</v>
      </c>
      <c r="M12" s="4"/>
      <c r="N12" s="12">
        <f t="shared" ref="N12:N23" si="1">IF(H12=0,0,L12/H12)</f>
        <v>-7.7565521167580948E-2</v>
      </c>
      <c r="O12" s="10"/>
      <c r="P12" s="4">
        <f>SUM(OSRRefP13x_0)</f>
        <v>1239877.0900000003</v>
      </c>
      <c r="Q12" s="4"/>
      <c r="R12" s="12"/>
      <c r="S12" s="4"/>
      <c r="T12" s="4">
        <f>SUM(OSRRefT13x_0)</f>
        <v>1474159</v>
      </c>
      <c r="U12" s="4"/>
      <c r="V12" s="12"/>
      <c r="W12" s="4"/>
      <c r="X12" s="4">
        <f t="shared" ref="X12:X23" si="2">+P12-T12</f>
        <v>-234281.90999999968</v>
      </c>
      <c r="Y12" s="4"/>
      <c r="Z12" s="12">
        <f t="shared" ref="Z12:Z23" si="3">IF(T12=0,0,X12/T12)</f>
        <v>-0.15892580786740079</v>
      </c>
    </row>
    <row r="13" spans="1:26" s="24" customFormat="1" hidden="1" outlineLevel="1" x14ac:dyDescent="0.25">
      <c r="A13" s="46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342370</v>
      </c>
      <c r="I13" s="2"/>
      <c r="J13" s="19"/>
      <c r="K13" s="2"/>
      <c r="L13" s="2">
        <f t="shared" si="0"/>
        <v>-342370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757079</v>
      </c>
      <c r="U13" s="2"/>
      <c r="V13" s="19"/>
      <c r="W13" s="2"/>
      <c r="X13" s="2">
        <f t="shared" si="2"/>
        <v>-757079</v>
      </c>
      <c r="Y13" s="2"/>
      <c r="Z13" s="19">
        <f t="shared" si="3"/>
        <v>-1</v>
      </c>
    </row>
    <row r="14" spans="1:26" s="24" customFormat="1" hidden="1" outlineLevel="1" x14ac:dyDescent="0.25">
      <c r="A14" s="46"/>
      <c r="B14" s="11" t="str">
        <f>CONCATENATE("          ", "4051", " - ", "TAXABLE SALES-FOOD")</f>
        <v xml:space="preserve">          4051 - TAXABLE SALES-FOOD</v>
      </c>
      <c r="C14" s="11"/>
      <c r="D14" s="2">
        <f>--82575.01</f>
        <v>82575.009999999995</v>
      </c>
      <c r="E14" s="2"/>
      <c r="F14" s="19"/>
      <c r="G14" s="2"/>
      <c r="H14" s="2"/>
      <c r="I14" s="2"/>
      <c r="J14" s="19"/>
      <c r="K14" s="2"/>
      <c r="L14" s="2">
        <f t="shared" si="0"/>
        <v>82575.009999999995</v>
      </c>
      <c r="M14" s="2"/>
      <c r="N14" s="19">
        <f t="shared" si="1"/>
        <v>0</v>
      </c>
      <c r="O14" s="11"/>
      <c r="P14" s="2">
        <f>--135770.76</f>
        <v>135770.76</v>
      </c>
      <c r="Q14" s="2"/>
      <c r="R14" s="19"/>
      <c r="S14" s="2"/>
      <c r="T14" s="2"/>
      <c r="U14" s="2"/>
      <c r="V14" s="19"/>
      <c r="W14" s="2"/>
      <c r="X14" s="2">
        <f t="shared" si="2"/>
        <v>135770.76</v>
      </c>
      <c r="Y14" s="2"/>
      <c r="Z14" s="19">
        <f t="shared" si="3"/>
        <v>0</v>
      </c>
    </row>
    <row r="15" spans="1:26" s="24" customFormat="1" hidden="1" outlineLevel="1" x14ac:dyDescent="0.25">
      <c r="A15" s="46"/>
      <c r="B15" s="11" t="str">
        <f>CONCATENATE("          ", "4052", " - ", "TAXABLE SALES-FOOD")</f>
        <v xml:space="preserve">          4052 - TAXABLE SALES-FOOD</v>
      </c>
      <c r="C15" s="11"/>
      <c r="D15" s="2">
        <f>--113975.81</f>
        <v>113975.81</v>
      </c>
      <c r="E15" s="2"/>
      <c r="F15" s="19"/>
      <c r="G15" s="2"/>
      <c r="H15" s="2"/>
      <c r="I15" s="2"/>
      <c r="J15" s="19"/>
      <c r="K15" s="2"/>
      <c r="L15" s="2">
        <f t="shared" si="0"/>
        <v>113975.81</v>
      </c>
      <c r="M15" s="2"/>
      <c r="N15" s="19">
        <f t="shared" si="1"/>
        <v>0</v>
      </c>
      <c r="O15" s="11"/>
      <c r="P15" s="2">
        <f>--253506.01</f>
        <v>253506.01</v>
      </c>
      <c r="Q15" s="2"/>
      <c r="R15" s="19"/>
      <c r="S15" s="2"/>
      <c r="T15" s="2"/>
      <c r="U15" s="2"/>
      <c r="V15" s="19"/>
      <c r="W15" s="2"/>
      <c r="X15" s="2">
        <f t="shared" si="2"/>
        <v>253506.01</v>
      </c>
      <c r="Y15" s="2"/>
      <c r="Z15" s="19">
        <f t="shared" si="3"/>
        <v>0</v>
      </c>
    </row>
    <row r="16" spans="1:26" s="24" customFormat="1" hidden="1" outlineLevel="1" x14ac:dyDescent="0.25">
      <c r="A16" s="46"/>
      <c r="B16" s="11" t="str">
        <f>CONCATENATE("          ", "4053", " - ", "TAXABLE SALES-FOOD")</f>
        <v xml:space="preserve">          4053 - TAXABLE SALES-FOOD</v>
      </c>
      <c r="C16" s="11"/>
      <c r="D16" s="2">
        <f>--1983.68</f>
        <v>1983.68</v>
      </c>
      <c r="E16" s="2"/>
      <c r="F16" s="19"/>
      <c r="G16" s="2"/>
      <c r="H16" s="2"/>
      <c r="I16" s="2"/>
      <c r="J16" s="19"/>
      <c r="K16" s="2"/>
      <c r="L16" s="2">
        <f t="shared" si="0"/>
        <v>1983.68</v>
      </c>
      <c r="M16" s="2"/>
      <c r="N16" s="19">
        <f t="shared" si="1"/>
        <v>0</v>
      </c>
      <c r="O16" s="11"/>
      <c r="P16" s="2">
        <f>--46832.42</f>
        <v>46832.42</v>
      </c>
      <c r="Q16" s="2"/>
      <c r="R16" s="19"/>
      <c r="S16" s="2"/>
      <c r="T16" s="2"/>
      <c r="U16" s="2"/>
      <c r="V16" s="19"/>
      <c r="W16" s="2"/>
      <c r="X16" s="2">
        <f t="shared" si="2"/>
        <v>46832.42</v>
      </c>
      <c r="Y16" s="2"/>
      <c r="Z16" s="19">
        <f t="shared" si="3"/>
        <v>0</v>
      </c>
    </row>
    <row r="17" spans="1:26" s="24" customFormat="1" hidden="1" outlineLevel="1" x14ac:dyDescent="0.25">
      <c r="A17" s="46"/>
      <c r="B17" s="11" t="str">
        <f>CONCATENATE("          ", "4055", " - ", "TAXABLE SALES-FOOD")</f>
        <v xml:space="preserve">          4055 - TAXABLE SALES-FOOD</v>
      </c>
      <c r="C17" s="11"/>
      <c r="D17" s="2">
        <f>--66898.61</f>
        <v>66898.61</v>
      </c>
      <c r="E17" s="2"/>
      <c r="F17" s="19"/>
      <c r="G17" s="2"/>
      <c r="H17" s="2"/>
      <c r="I17" s="2"/>
      <c r="J17" s="19"/>
      <c r="K17" s="2"/>
      <c r="L17" s="2">
        <f t="shared" si="0"/>
        <v>66898.61</v>
      </c>
      <c r="M17" s="2"/>
      <c r="N17" s="19">
        <f t="shared" si="1"/>
        <v>0</v>
      </c>
      <c r="O17" s="11"/>
      <c r="P17" s="2">
        <f>--110835.68</f>
        <v>110835.68</v>
      </c>
      <c r="Q17" s="2"/>
      <c r="R17" s="19"/>
      <c r="S17" s="2"/>
      <c r="T17" s="2"/>
      <c r="U17" s="2"/>
      <c r="V17" s="19"/>
      <c r="W17" s="2"/>
      <c r="X17" s="2">
        <f t="shared" si="2"/>
        <v>110835.68</v>
      </c>
      <c r="Y17" s="2"/>
      <c r="Z17" s="19">
        <f t="shared" si="3"/>
        <v>0</v>
      </c>
    </row>
    <row r="18" spans="1:26" s="24" customFormat="1" hidden="1" outlineLevel="1" x14ac:dyDescent="0.25">
      <c r="A18" s="46"/>
      <c r="B18" s="11" t="str">
        <f>CONCATENATE("          ", "4058", " - ", "TAXABLE SALES-FOOD")</f>
        <v xml:space="preserve">          4058 - TAXABLE SALES-FOOD</v>
      </c>
      <c r="C18" s="11"/>
      <c r="D18" s="2">
        <f>--24452.76</f>
        <v>24452.76</v>
      </c>
      <c r="E18" s="2"/>
      <c r="F18" s="19"/>
      <c r="G18" s="2"/>
      <c r="H18" s="2"/>
      <c r="I18" s="2"/>
      <c r="J18" s="19"/>
      <c r="K18" s="2"/>
      <c r="L18" s="2">
        <f t="shared" si="0"/>
        <v>24452.76</v>
      </c>
      <c r="M18" s="2"/>
      <c r="N18" s="19">
        <f t="shared" si="1"/>
        <v>0</v>
      </c>
      <c r="O18" s="11"/>
      <c r="P18" s="2">
        <f>--42290.9</f>
        <v>42290.9</v>
      </c>
      <c r="Q18" s="2"/>
      <c r="R18" s="19"/>
      <c r="S18" s="2"/>
      <c r="T18" s="2"/>
      <c r="U18" s="2"/>
      <c r="V18" s="19"/>
      <c r="W18" s="2"/>
      <c r="X18" s="2">
        <f t="shared" si="2"/>
        <v>42290.9</v>
      </c>
      <c r="Y18" s="2"/>
      <c r="Z18" s="19">
        <f t="shared" si="3"/>
        <v>0</v>
      </c>
    </row>
    <row r="19" spans="1:26" s="24" customFormat="1" hidden="1" outlineLevel="1" x14ac:dyDescent="0.25">
      <c r="A19" s="46"/>
      <c r="B19" s="11" t="str">
        <f>CONCATENATE("          ", "4100", " - ", "NON-TAXABLE SALES")</f>
        <v xml:space="preserve">          4100 - NON-TAXABLE SALES</v>
      </c>
      <c r="C19" s="11"/>
      <c r="D19" s="2">
        <f>0</f>
        <v>0</v>
      </c>
      <c r="E19" s="2"/>
      <c r="F19" s="19"/>
      <c r="G19" s="2"/>
      <c r="H19" s="2">
        <v>430510</v>
      </c>
      <c r="I19" s="2"/>
      <c r="J19" s="19"/>
      <c r="K19" s="2"/>
      <c r="L19" s="2">
        <f t="shared" si="0"/>
        <v>-430510</v>
      </c>
      <c r="M19" s="2"/>
      <c r="N19" s="19">
        <f t="shared" si="1"/>
        <v>-1</v>
      </c>
      <c r="O19" s="11"/>
      <c r="P19" s="2">
        <f>0</f>
        <v>0</v>
      </c>
      <c r="Q19" s="2"/>
      <c r="R19" s="19"/>
      <c r="S19" s="2"/>
      <c r="T19" s="2">
        <v>717080</v>
      </c>
      <c r="U19" s="2"/>
      <c r="V19" s="19"/>
      <c r="W19" s="2"/>
      <c r="X19" s="2">
        <f t="shared" si="2"/>
        <v>-717080</v>
      </c>
      <c r="Y19" s="2"/>
      <c r="Z19" s="19">
        <f t="shared" si="3"/>
        <v>-1</v>
      </c>
    </row>
    <row r="20" spans="1:26" s="24" customFormat="1" hidden="1" outlineLevel="1" x14ac:dyDescent="0.25">
      <c r="A20" s="46"/>
      <c r="B20" s="11" t="str">
        <f>CONCATENATE("          ", "4151", " - ", "NON-TAXABLE SALES-FOOD")</f>
        <v xml:space="preserve">          4151 - NON-TAXABLE SALES-FOOD</v>
      </c>
      <c r="C20" s="11"/>
      <c r="D20" s="2">
        <f>--230707.54</f>
        <v>230707.54</v>
      </c>
      <c r="E20" s="2"/>
      <c r="F20" s="19"/>
      <c r="G20" s="2"/>
      <c r="H20" s="2"/>
      <c r="I20" s="2"/>
      <c r="J20" s="19"/>
      <c r="K20" s="2"/>
      <c r="L20" s="2">
        <f t="shared" si="0"/>
        <v>230707.54</v>
      </c>
      <c r="M20" s="2"/>
      <c r="N20" s="19">
        <f t="shared" si="1"/>
        <v>0</v>
      </c>
      <c r="O20" s="11"/>
      <c r="P20" s="2">
        <f>--339551.09</f>
        <v>339551.09</v>
      </c>
      <c r="Q20" s="2"/>
      <c r="R20" s="19"/>
      <c r="S20" s="2"/>
      <c r="T20" s="2"/>
      <c r="U20" s="2"/>
      <c r="V20" s="19"/>
      <c r="W20" s="2"/>
      <c r="X20" s="2">
        <f t="shared" si="2"/>
        <v>339551.09</v>
      </c>
      <c r="Y20" s="2"/>
      <c r="Z20" s="19">
        <f t="shared" si="3"/>
        <v>0</v>
      </c>
    </row>
    <row r="21" spans="1:26" s="24" customFormat="1" hidden="1" outlineLevel="1" x14ac:dyDescent="0.25">
      <c r="A21" s="46"/>
      <c r="B21" s="11" t="str">
        <f>CONCATENATE("          ", "4152", " - ", "NON-TAXABLE SALES-FOOD")</f>
        <v xml:space="preserve">          4152 - NON-TAXABLE SALES-FOOD</v>
      </c>
      <c r="C21" s="11"/>
      <c r="D21" s="2">
        <f>--8131.54</f>
        <v>8131.54</v>
      </c>
      <c r="E21" s="2"/>
      <c r="F21" s="19"/>
      <c r="G21" s="2"/>
      <c r="H21" s="2"/>
      <c r="I21" s="2"/>
      <c r="J21" s="19"/>
      <c r="K21" s="2"/>
      <c r="L21" s="2">
        <f t="shared" si="0"/>
        <v>8131.54</v>
      </c>
      <c r="M21" s="2"/>
      <c r="N21" s="19">
        <f t="shared" si="1"/>
        <v>0</v>
      </c>
      <c r="O21" s="11"/>
      <c r="P21" s="2">
        <f>--15789.06</f>
        <v>15789.06</v>
      </c>
      <c r="Q21" s="2"/>
      <c r="R21" s="19"/>
      <c r="S21" s="2"/>
      <c r="T21" s="2"/>
      <c r="U21" s="2"/>
      <c r="V21" s="19"/>
      <c r="W21" s="2"/>
      <c r="X21" s="2">
        <f t="shared" si="2"/>
        <v>15789.06</v>
      </c>
      <c r="Y21" s="2"/>
      <c r="Z21" s="19">
        <f t="shared" si="3"/>
        <v>0</v>
      </c>
    </row>
    <row r="22" spans="1:26" s="24" customFormat="1" hidden="1" outlineLevel="1" x14ac:dyDescent="0.25">
      <c r="A22" s="46"/>
      <c r="B22" s="11" t="str">
        <f>CONCATENATE("          ", "4155", " - ", "NON-TAXABLE SALES-FOOD")</f>
        <v xml:space="preserve">          4155 - NON-TAXABLE SALES-FOOD</v>
      </c>
      <c r="C22" s="11"/>
      <c r="D22" s="2">
        <f>--112329.49</f>
        <v>112329.49</v>
      </c>
      <c r="E22" s="2"/>
      <c r="F22" s="19"/>
      <c r="G22" s="2"/>
      <c r="H22" s="2"/>
      <c r="I22" s="2"/>
      <c r="J22" s="19"/>
      <c r="K22" s="2"/>
      <c r="L22" s="2">
        <f t="shared" si="0"/>
        <v>112329.49</v>
      </c>
      <c r="M22" s="2"/>
      <c r="N22" s="19">
        <f t="shared" si="1"/>
        <v>0</v>
      </c>
      <c r="O22" s="11"/>
      <c r="P22" s="2">
        <f>--183054.54</f>
        <v>183054.54</v>
      </c>
      <c r="Q22" s="2"/>
      <c r="R22" s="19"/>
      <c r="S22" s="2"/>
      <c r="T22" s="2"/>
      <c r="U22" s="2"/>
      <c r="V22" s="19"/>
      <c r="W22" s="2"/>
      <c r="X22" s="2">
        <f t="shared" si="2"/>
        <v>183054.54</v>
      </c>
      <c r="Y22" s="2"/>
      <c r="Z22" s="19">
        <f t="shared" si="3"/>
        <v>0</v>
      </c>
    </row>
    <row r="23" spans="1:26" s="24" customFormat="1" hidden="1" outlineLevel="1" x14ac:dyDescent="0.25">
      <c r="A23" s="46"/>
      <c r="B23" s="11" t="str">
        <f>CONCATENATE("          ", "4158", " - ", "NON-TAXABLE SALES-FOOD")</f>
        <v xml:space="preserve">          4158 - NON-TAXABLE SALES-FOOD</v>
      </c>
      <c r="C23" s="11"/>
      <c r="D23" s="2">
        <f>--71876.72</f>
        <v>71876.72</v>
      </c>
      <c r="E23" s="2"/>
      <c r="F23" s="19"/>
      <c r="G23" s="2"/>
      <c r="H23" s="2"/>
      <c r="I23" s="2"/>
      <c r="J23" s="19"/>
      <c r="K23" s="2"/>
      <c r="L23" s="2">
        <f t="shared" si="0"/>
        <v>71876.72</v>
      </c>
      <c r="M23" s="2"/>
      <c r="N23" s="19">
        <f t="shared" si="1"/>
        <v>0</v>
      </c>
      <c r="O23" s="11"/>
      <c r="P23" s="2">
        <f>--112246.63</f>
        <v>112246.63</v>
      </c>
      <c r="Q23" s="2"/>
      <c r="R23" s="19"/>
      <c r="S23" s="2"/>
      <c r="T23" s="2"/>
      <c r="U23" s="2"/>
      <c r="V23" s="19"/>
      <c r="W23" s="2"/>
      <c r="X23" s="2">
        <f t="shared" si="2"/>
        <v>112246.63</v>
      </c>
      <c r="Y23" s="2"/>
      <c r="Z23" s="19">
        <f t="shared" si="3"/>
        <v>0</v>
      </c>
    </row>
    <row r="24" spans="1:26" x14ac:dyDescent="0.25">
      <c r="A24" s="9"/>
      <c r="B24" s="10"/>
      <c r="C24" s="9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collapsed="1" x14ac:dyDescent="0.25">
      <c r="A25" s="10"/>
      <c r="B25" s="28" t="s">
        <v>8</v>
      </c>
      <c r="C25" s="10"/>
      <c r="D25" s="4">
        <f>SUM(OSRRefD16x_0)</f>
        <v>263452.11</v>
      </c>
      <c r="E25" s="4"/>
      <c r="F25" s="12">
        <f t="shared" ref="F25:F28" si="4">IF(D$12=0,0,D25/D$12)</f>
        <v>0.36953372889466629</v>
      </c>
      <c r="G25" s="4"/>
      <c r="H25" s="4">
        <f>SUM(OSRRefH16x_0)</f>
        <v>239090</v>
      </c>
      <c r="I25" s="4"/>
      <c r="J25" s="12">
        <f t="shared" ref="J25:J28" si="5">IF(H$12=0,0,H25/H$12)</f>
        <v>0.30934944622709865</v>
      </c>
      <c r="K25" s="4"/>
      <c r="L25" s="4">
        <f t="shared" ref="L25:L28" si="6">+D25-H25</f>
        <v>24362.109999999986</v>
      </c>
      <c r="M25" s="4"/>
      <c r="N25" s="12">
        <f t="shared" ref="N25:N28" si="7">IF(H25=0,0,L25/H25)</f>
        <v>0.10189514408800028</v>
      </c>
      <c r="O25" s="10"/>
      <c r="P25" s="4">
        <f>SUM(OSRRefP16x_0)</f>
        <v>441910.93</v>
      </c>
      <c r="Q25" s="4"/>
      <c r="R25" s="12">
        <f t="shared" ref="R25:R28" si="8">IF(P$12=0,0,P25/P$12)</f>
        <v>0.35641511046873192</v>
      </c>
      <c r="S25" s="4"/>
      <c r="T25" s="4">
        <f>SUM(OSRRefT16x_0)</f>
        <v>460460</v>
      </c>
      <c r="U25" s="4"/>
      <c r="V25" s="12">
        <f t="shared" ref="V25:V28" si="9">IF(T$12=0,0,T25/T$12)</f>
        <v>0.3123543661165451</v>
      </c>
      <c r="W25" s="4"/>
      <c r="X25" s="4">
        <f t="shared" ref="X25:X28" si="10">+P25-T25</f>
        <v>-18549.070000000007</v>
      </c>
      <c r="Y25" s="4"/>
      <c r="Z25" s="12">
        <f t="shared" ref="Z25:Z28" si="11">IF(T25=0,0,X25/T25)</f>
        <v>-4.0283781435955367E-2</v>
      </c>
    </row>
    <row r="26" spans="1:26" s="24" customFormat="1" hidden="1" outlineLevel="1" x14ac:dyDescent="0.25">
      <c r="A26" s="46"/>
      <c r="B26" s="11" t="str">
        <f>CONCATENATE("          ", "5000", " - ", "PURCHASES @ COST")</f>
        <v xml:space="preserve">          5000 - PURCHASES @ COST</v>
      </c>
      <c r="C26" s="11"/>
      <c r="D26" s="2"/>
      <c r="E26" s="2"/>
      <c r="F26" s="19">
        <f t="shared" si="4"/>
        <v>0</v>
      </c>
      <c r="G26" s="2"/>
      <c r="H26" s="2">
        <v>239090</v>
      </c>
      <c r="I26" s="2"/>
      <c r="J26" s="19">
        <f t="shared" si="5"/>
        <v>0.30934944622709865</v>
      </c>
      <c r="K26" s="2"/>
      <c r="L26" s="2">
        <f t="shared" si="6"/>
        <v>-239090</v>
      </c>
      <c r="M26" s="2"/>
      <c r="N26" s="19">
        <f t="shared" si="7"/>
        <v>-1</v>
      </c>
      <c r="O26" s="11"/>
      <c r="P26" s="2"/>
      <c r="Q26" s="2"/>
      <c r="R26" s="19">
        <f t="shared" si="8"/>
        <v>0</v>
      </c>
      <c r="S26" s="2"/>
      <c r="T26" s="2">
        <v>460460</v>
      </c>
      <c r="U26" s="2"/>
      <c r="V26" s="19">
        <f t="shared" si="9"/>
        <v>0.3123543661165451</v>
      </c>
      <c r="W26" s="2"/>
      <c r="X26" s="2">
        <f t="shared" si="10"/>
        <v>-460460</v>
      </c>
      <c r="Y26" s="2"/>
      <c r="Z26" s="19">
        <f t="shared" si="11"/>
        <v>-1</v>
      </c>
    </row>
    <row r="27" spans="1:26" s="24" customFormat="1" hidden="1" outlineLevel="1" x14ac:dyDescent="0.25">
      <c r="A27" s="46"/>
      <c r="B27" s="11" t="str">
        <f>CONCATENATE("          ", "5053", " - ", "PURCHASES @ COST-FOOD")</f>
        <v xml:space="preserve">          5053 - PURCHASES @ COST-FOOD</v>
      </c>
      <c r="C27" s="11"/>
      <c r="D27" s="2">
        <v>246283.88</v>
      </c>
      <c r="E27" s="2"/>
      <c r="F27" s="19">
        <f t="shared" si="4"/>
        <v>0.34545253990581642</v>
      </c>
      <c r="G27" s="2"/>
      <c r="H27" s="2"/>
      <c r="I27" s="2"/>
      <c r="J27" s="19">
        <f t="shared" si="5"/>
        <v>0</v>
      </c>
      <c r="K27" s="2"/>
      <c r="L27" s="2">
        <f t="shared" si="6"/>
        <v>246283.88</v>
      </c>
      <c r="M27" s="2"/>
      <c r="N27" s="19">
        <f t="shared" si="7"/>
        <v>0</v>
      </c>
      <c r="O27" s="11"/>
      <c r="P27" s="2">
        <v>449767.04</v>
      </c>
      <c r="Q27" s="2"/>
      <c r="R27" s="19">
        <f t="shared" si="8"/>
        <v>0.36275131109971542</v>
      </c>
      <c r="S27" s="2"/>
      <c r="T27" s="2"/>
      <c r="U27" s="2"/>
      <c r="V27" s="19">
        <f t="shared" si="9"/>
        <v>0</v>
      </c>
      <c r="W27" s="2"/>
      <c r="X27" s="2">
        <f t="shared" si="10"/>
        <v>449767.04</v>
      </c>
      <c r="Y27" s="2"/>
      <c r="Z27" s="19">
        <f t="shared" si="11"/>
        <v>0</v>
      </c>
    </row>
    <row r="28" spans="1:26" s="24" customFormat="1" hidden="1" outlineLevel="1" x14ac:dyDescent="0.25">
      <c r="A28" s="46"/>
      <c r="B28" s="11" t="str">
        <f>CONCATENATE("          ", "5059", " - ", "PURCHASES @ COST-FOOD")</f>
        <v xml:space="preserve">          5059 - PURCHASES @ COST-FOOD</v>
      </c>
      <c r="C28" s="11"/>
      <c r="D28" s="2">
        <v>17168.230000000003</v>
      </c>
      <c r="E28" s="2"/>
      <c r="F28" s="19">
        <f t="shared" si="4"/>
        <v>2.4081188988849922E-2</v>
      </c>
      <c r="G28" s="2"/>
      <c r="H28" s="2"/>
      <c r="I28" s="2"/>
      <c r="J28" s="19">
        <f t="shared" si="5"/>
        <v>0</v>
      </c>
      <c r="K28" s="2"/>
      <c r="L28" s="2">
        <f t="shared" si="6"/>
        <v>17168.230000000003</v>
      </c>
      <c r="M28" s="2"/>
      <c r="N28" s="19">
        <f t="shared" si="7"/>
        <v>0</v>
      </c>
      <c r="O28" s="11"/>
      <c r="P28" s="2">
        <v>-7856.11</v>
      </c>
      <c r="Q28" s="2"/>
      <c r="R28" s="19">
        <f t="shared" si="8"/>
        <v>-6.3362006309835095E-3</v>
      </c>
      <c r="S28" s="2"/>
      <c r="T28" s="2"/>
      <c r="U28" s="2"/>
      <c r="V28" s="19">
        <f t="shared" si="9"/>
        <v>0</v>
      </c>
      <c r="W28" s="2"/>
      <c r="X28" s="2">
        <f t="shared" si="10"/>
        <v>-7856.11</v>
      </c>
      <c r="Y28" s="2"/>
      <c r="Z28" s="19">
        <f t="shared" si="11"/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9" t="s">
        <v>6</v>
      </c>
      <c r="C30" s="29"/>
      <c r="D30" s="22">
        <f>D12-D25</f>
        <v>449479.05000000005</v>
      </c>
      <c r="E30" s="14"/>
      <c r="F30" s="20">
        <f>IF(D$12=0,0,D30/D$12)</f>
        <v>0.63046627110533371</v>
      </c>
      <c r="G30" s="14"/>
      <c r="H30" s="22">
        <f>H12-H25</f>
        <v>533790</v>
      </c>
      <c r="I30" s="14"/>
      <c r="J30" s="20">
        <f>IF(H$12=0,0,H30/H$12)</f>
        <v>0.69065055377290141</v>
      </c>
      <c r="K30" s="15"/>
      <c r="L30" s="22">
        <f>+D30-H30</f>
        <v>-84310.949999999953</v>
      </c>
      <c r="M30" s="15"/>
      <c r="N30" s="20">
        <f>IF(H30=0,0,L30/H30)</f>
        <v>-0.15794778845613436</v>
      </c>
      <c r="O30" s="28"/>
      <c r="P30" s="22">
        <f>P12-P25</f>
        <v>797966.16000000038</v>
      </c>
      <c r="Q30" s="14"/>
      <c r="R30" s="20">
        <f>IF(P$12=0,0,P30/P$12)</f>
        <v>0.64358488953126813</v>
      </c>
      <c r="S30" s="14"/>
      <c r="T30" s="22">
        <f>T12-T25</f>
        <v>1013699</v>
      </c>
      <c r="U30" s="14"/>
      <c r="V30" s="20">
        <f>IF(T$12=0,0,T30/T$12)</f>
        <v>0.6876456338834549</v>
      </c>
      <c r="W30" s="15"/>
      <c r="X30" s="22">
        <f>+P30-T30</f>
        <v>-215732.83999999962</v>
      </c>
      <c r="Y30" s="15"/>
      <c r="Z30" s="20">
        <f>IF(T30=0,0,X30/T30)</f>
        <v>-0.21281745370173949</v>
      </c>
    </row>
    <row r="31" spans="1:26" x14ac:dyDescent="0.25">
      <c r="A31" s="9"/>
      <c r="B31" s="10"/>
      <c r="C31" s="9"/>
      <c r="D31" s="1"/>
      <c r="E31" s="1"/>
      <c r="F31" s="5"/>
      <c r="G31" s="1"/>
      <c r="H31" s="1"/>
      <c r="I31" s="1"/>
      <c r="J31" s="5"/>
      <c r="K31" s="1"/>
      <c r="L31" s="1"/>
      <c r="M31" s="1"/>
      <c r="N31" s="5"/>
      <c r="O31" s="36"/>
      <c r="P31" s="1"/>
      <c r="Q31" s="1"/>
      <c r="R31" s="5"/>
      <c r="S31" s="1"/>
      <c r="T31" s="1"/>
      <c r="U31" s="1"/>
      <c r="V31" s="5"/>
      <c r="W31" s="1"/>
      <c r="X31" s="1"/>
      <c r="Y31" s="1"/>
      <c r="Z31" s="5"/>
    </row>
    <row r="32" spans="1:26" s="23" customFormat="1" x14ac:dyDescent="0.25">
      <c r="A32" s="10"/>
      <c r="B32" s="28" t="s">
        <v>9</v>
      </c>
      <c r="C32" s="10"/>
      <c r="D32" s="21">
        <f>SUM(OSRRefD22x_0)</f>
        <v>531523.91000000027</v>
      </c>
      <c r="E32" s="21"/>
      <c r="F32" s="33">
        <f t="shared" ref="F32:F43" si="12">IF(D$12=0,0,D32/D$12)</f>
        <v>0.74554731202939739</v>
      </c>
      <c r="G32" s="21"/>
      <c r="H32" s="21">
        <f>SUM(OSRRefH22x_0)</f>
        <v>467485.21291792649</v>
      </c>
      <c r="I32" s="21"/>
      <c r="J32" s="33">
        <f t="shared" ref="J32:J43" si="13">IF(H$12=0,0,H32/H$12)</f>
        <v>0.60486131471629034</v>
      </c>
      <c r="K32" s="4"/>
      <c r="L32" s="21">
        <f t="shared" ref="L32:L43" si="14">+D32-H32</f>
        <v>64038.697082073777</v>
      </c>
      <c r="M32" s="4"/>
      <c r="N32" s="33">
        <f t="shared" ref="N32:N43" si="15">IF(H32=0,0,L32/H32)</f>
        <v>0.1369855030972213</v>
      </c>
      <c r="O32" s="10"/>
      <c r="P32" s="21">
        <f>SUM(OSRRefP22x_0)</f>
        <v>1326192.3900000001</v>
      </c>
      <c r="Q32" s="21"/>
      <c r="R32" s="33">
        <f t="shared" ref="R32:R43" si="16">IF(P$12=0,0,P32/P$12)</f>
        <v>1.0696160133098351</v>
      </c>
      <c r="S32" s="21"/>
      <c r="T32" s="21">
        <f>SUM(OSRRefT22x_0)</f>
        <v>1331228.0154455812</v>
      </c>
      <c r="U32" s="21"/>
      <c r="V32" s="33">
        <f t="shared" ref="V32:V43" si="17">IF(T$12=0,0,T32/T$12)</f>
        <v>0.90304235529924604</v>
      </c>
      <c r="W32" s="4"/>
      <c r="X32" s="21">
        <f t="shared" ref="X32:X43" si="18">+P32-T32</f>
        <v>-5035.6254455810413</v>
      </c>
      <c r="Y32" s="4"/>
      <c r="Z32" s="33">
        <f t="shared" ref="Z32:Z43" si="19">IF(T32=0,0,X32/T32)</f>
        <v>-3.7826919108936759E-3</v>
      </c>
    </row>
    <row r="33" spans="1:26" s="26" customFormat="1" outlineLevel="1" collapsed="1" x14ac:dyDescent="0.25">
      <c r="A33" s="27"/>
      <c r="B33" s="13" t="str">
        <f>CONCATENATE("     ","*Benefits                                         ")</f>
        <v xml:space="preserve">     *Benefits                                         </v>
      </c>
      <c r="C33" s="13"/>
      <c r="D33" s="1">
        <f>SUM(OSRRefD22_0x_0)</f>
        <v>78475.53</v>
      </c>
      <c r="E33" s="1"/>
      <c r="F33" s="5">
        <f t="shared" si="12"/>
        <v>0.11007448461082833</v>
      </c>
      <c r="G33" s="1"/>
      <c r="H33" s="1">
        <f>SUM(OSRRefH22_0x_0)</f>
        <v>62843.492594849551</v>
      </c>
      <c r="I33" s="1"/>
      <c r="J33" s="5">
        <f t="shared" si="13"/>
        <v>8.1310801928953458E-2</v>
      </c>
      <c r="K33" s="1"/>
      <c r="L33" s="1">
        <f t="shared" si="14"/>
        <v>15632.037405150448</v>
      </c>
      <c r="M33" s="1"/>
      <c r="N33" s="5">
        <f t="shared" si="15"/>
        <v>0.24874552256237265</v>
      </c>
      <c r="O33" s="13"/>
      <c r="P33" s="1">
        <f>SUM(OSRRefP22_0x_0)</f>
        <v>202882.59</v>
      </c>
      <c r="Q33" s="1"/>
      <c r="R33" s="5">
        <f t="shared" si="16"/>
        <v>0.1636312112194927</v>
      </c>
      <c r="S33" s="1"/>
      <c r="T33" s="1">
        <f>SUM(OSRRefT22_0x_0)</f>
        <v>197826.15709558118</v>
      </c>
      <c r="U33" s="1"/>
      <c r="V33" s="5">
        <f t="shared" si="17"/>
        <v>0.13419594297194615</v>
      </c>
      <c r="W33" s="1"/>
      <c r="X33" s="1">
        <f t="shared" si="18"/>
        <v>5056.4329044188198</v>
      </c>
      <c r="Y33" s="1"/>
      <c r="Z33" s="5">
        <f t="shared" si="19"/>
        <v>2.5559981443585171E-2</v>
      </c>
    </row>
    <row r="34" spans="1:26" s="24" customFormat="1" hidden="1" outlineLevel="2" x14ac:dyDescent="0.25">
      <c r="A34" s="25"/>
      <c r="B34" s="11" t="str">
        <f>CONCATENATE("          ", "6111", " - ", "F.I.C.A.")</f>
        <v xml:space="preserve">          6111 - F.I.C.A.</v>
      </c>
      <c r="C34" s="11"/>
      <c r="D34" s="7">
        <v>11176.97</v>
      </c>
      <c r="E34" s="2"/>
      <c r="F34" s="6">
        <f t="shared" si="12"/>
        <v>1.5677488412766248E-2</v>
      </c>
      <c r="G34" s="2"/>
      <c r="H34" s="7">
        <v>10150.176200609543</v>
      </c>
      <c r="I34" s="2"/>
      <c r="J34" s="6">
        <f t="shared" si="13"/>
        <v>1.3132926457677186E-2</v>
      </c>
      <c r="K34" s="2"/>
      <c r="L34" s="7">
        <f t="shared" si="14"/>
        <v>1026.7937993904561</v>
      </c>
      <c r="M34" s="2"/>
      <c r="N34" s="6">
        <f t="shared" si="15"/>
        <v>0.10116019457167597</v>
      </c>
      <c r="O34" s="11"/>
      <c r="P34" s="7">
        <v>34411.729999999996</v>
      </c>
      <c r="Q34" s="2"/>
      <c r="R34" s="6">
        <f t="shared" si="16"/>
        <v>2.7754146179118439E-2</v>
      </c>
      <c r="S34" s="2"/>
      <c r="T34" s="7">
        <v>35375.543995935004</v>
      </c>
      <c r="U34" s="2"/>
      <c r="V34" s="6">
        <f t="shared" si="17"/>
        <v>2.3997102073748493E-2</v>
      </c>
      <c r="W34" s="2"/>
      <c r="X34" s="7">
        <f t="shared" si="18"/>
        <v>-963.81399593500828</v>
      </c>
      <c r="Y34" s="2"/>
      <c r="Z34" s="6">
        <f t="shared" si="19"/>
        <v>-2.724520635062912E-2</v>
      </c>
    </row>
    <row r="35" spans="1:26" s="24" customFormat="1" hidden="1" outlineLevel="2" x14ac:dyDescent="0.25">
      <c r="A35" s="25"/>
      <c r="B35" s="11" t="str">
        <f>CONCATENATE("          ", "6112", " - ", "COMPENSATION INSURANCE")</f>
        <v xml:space="preserve">          6112 - COMPENSATION INSURANCE</v>
      </c>
      <c r="C35" s="11"/>
      <c r="D35" s="7">
        <v>8784.84</v>
      </c>
      <c r="E35" s="2"/>
      <c r="F35" s="6">
        <f t="shared" si="12"/>
        <v>1.2322143417044641E-2</v>
      </c>
      <c r="G35" s="2"/>
      <c r="H35" s="7">
        <v>9035.0676142338416</v>
      </c>
      <c r="I35" s="2"/>
      <c r="J35" s="6">
        <f t="shared" si="13"/>
        <v>1.1690129922153299E-2</v>
      </c>
      <c r="K35" s="2"/>
      <c r="L35" s="7">
        <f t="shared" si="14"/>
        <v>-250.22761423384145</v>
      </c>
      <c r="M35" s="2"/>
      <c r="N35" s="6">
        <f t="shared" si="15"/>
        <v>-2.769515679546581E-2</v>
      </c>
      <c r="O35" s="11"/>
      <c r="P35" s="7">
        <v>19972.59</v>
      </c>
      <c r="Q35" s="2"/>
      <c r="R35" s="6">
        <f t="shared" si="16"/>
        <v>1.6108524111853696E-2</v>
      </c>
      <c r="S35" s="2"/>
      <c r="T35" s="7">
        <v>23323.323528099994</v>
      </c>
      <c r="U35" s="2"/>
      <c r="V35" s="6">
        <f t="shared" si="17"/>
        <v>1.5821443635388038E-2</v>
      </c>
      <c r="W35" s="2"/>
      <c r="X35" s="7">
        <f t="shared" si="18"/>
        <v>-3350.7335280999941</v>
      </c>
      <c r="Y35" s="2"/>
      <c r="Z35" s="6">
        <f t="shared" si="19"/>
        <v>-0.14366449635975004</v>
      </c>
    </row>
    <row r="36" spans="1:26" s="24" customFormat="1" hidden="1" outlineLevel="2" x14ac:dyDescent="0.25">
      <c r="A36" s="25"/>
      <c r="B36" s="11" t="str">
        <f>CONCATENATE("          ", "6113", " - ", "GROUP INSURANCE")</f>
        <v xml:space="preserve">          6113 - GROUP INSURANCE</v>
      </c>
      <c r="C36" s="11"/>
      <c r="D36" s="7">
        <v>20642.36</v>
      </c>
      <c r="E36" s="2"/>
      <c r="F36" s="6">
        <f t="shared" si="12"/>
        <v>2.8954212072873908E-2</v>
      </c>
      <c r="G36" s="2"/>
      <c r="H36" s="7">
        <v>21522.792307692311</v>
      </c>
      <c r="I36" s="2"/>
      <c r="J36" s="6">
        <f t="shared" si="13"/>
        <v>2.7847521358674451E-2</v>
      </c>
      <c r="K36" s="2"/>
      <c r="L36" s="7">
        <f t="shared" si="14"/>
        <v>-880.43230769231013</v>
      </c>
      <c r="M36" s="2"/>
      <c r="N36" s="6">
        <f t="shared" si="15"/>
        <v>-4.090697410937897E-2</v>
      </c>
      <c r="O36" s="11"/>
      <c r="P36" s="7">
        <v>61847.399999999994</v>
      </c>
      <c r="Q36" s="2"/>
      <c r="R36" s="6">
        <f t="shared" si="16"/>
        <v>4.9881879824071898E-2</v>
      </c>
      <c r="S36" s="2"/>
      <c r="T36" s="7">
        <v>64841.446153846169</v>
      </c>
      <c r="U36" s="2"/>
      <c r="V36" s="6">
        <f t="shared" si="17"/>
        <v>4.3985381599845177E-2</v>
      </c>
      <c r="W36" s="2"/>
      <c r="X36" s="7">
        <f t="shared" si="18"/>
        <v>-2994.046153846175</v>
      </c>
      <c r="Y36" s="2"/>
      <c r="Z36" s="6">
        <f t="shared" si="19"/>
        <v>-4.6174882446982229E-2</v>
      </c>
    </row>
    <row r="37" spans="1:26" s="24" customFormat="1" hidden="1" outlineLevel="2" x14ac:dyDescent="0.25">
      <c r="A37" s="25"/>
      <c r="B37" s="11" t="str">
        <f>CONCATENATE("          ", "6114", " - ", "STATE UNEMPLOYMENT INSURANCE")</f>
        <v xml:space="preserve">          6114 - STATE UNEMPLOYMENT INSURANCE</v>
      </c>
      <c r="C37" s="11"/>
      <c r="D37" s="7">
        <v>628.28</v>
      </c>
      <c r="E37" s="2"/>
      <c r="F37" s="6">
        <f t="shared" si="12"/>
        <v>8.8126320639428911E-4</v>
      </c>
      <c r="G37" s="2"/>
      <c r="H37" s="7">
        <v>640.22615815999995</v>
      </c>
      <c r="I37" s="2"/>
      <c r="J37" s="6">
        <f t="shared" si="13"/>
        <v>8.2836424562674664E-4</v>
      </c>
      <c r="K37" s="2"/>
      <c r="L37" s="7">
        <f t="shared" si="14"/>
        <v>-11.946158159999982</v>
      </c>
      <c r="M37" s="2"/>
      <c r="N37" s="6">
        <f t="shared" si="15"/>
        <v>-1.8659278456120965E-2</v>
      </c>
      <c r="O37" s="11"/>
      <c r="P37" s="7">
        <v>1413.62</v>
      </c>
      <c r="Q37" s="2"/>
      <c r="R37" s="6">
        <f t="shared" si="16"/>
        <v>1.1401291397359391E-3</v>
      </c>
      <c r="S37" s="2"/>
      <c r="T37" s="7">
        <v>1686.7420427</v>
      </c>
      <c r="U37" s="2"/>
      <c r="V37" s="6">
        <f t="shared" si="17"/>
        <v>1.1442063187892214E-3</v>
      </c>
      <c r="W37" s="2"/>
      <c r="X37" s="7">
        <f t="shared" si="18"/>
        <v>-273.12204270000007</v>
      </c>
      <c r="Y37" s="2"/>
      <c r="Z37" s="6">
        <f t="shared" si="19"/>
        <v>-0.16192282861628826</v>
      </c>
    </row>
    <row r="38" spans="1:26" s="24" customFormat="1" hidden="1" outlineLevel="2" x14ac:dyDescent="0.25">
      <c r="A38" s="25"/>
      <c r="B38" s="11" t="str">
        <f>CONCATENATE("          ", "6115", " - ", "P.E.R.S.")</f>
        <v xml:space="preserve">          6115 - P.E.R.S.</v>
      </c>
      <c r="C38" s="11"/>
      <c r="D38" s="7">
        <v>6237.4</v>
      </c>
      <c r="E38" s="2"/>
      <c r="F38" s="6">
        <f t="shared" si="12"/>
        <v>8.7489513012729021E-3</v>
      </c>
      <c r="G38" s="2"/>
      <c r="H38" s="7">
        <v>6790.4317276923139</v>
      </c>
      <c r="I38" s="2"/>
      <c r="J38" s="6">
        <f t="shared" si="13"/>
        <v>8.7858810264107162E-3</v>
      </c>
      <c r="K38" s="2"/>
      <c r="L38" s="7">
        <f t="shared" si="14"/>
        <v>-553.03172769231423</v>
      </c>
      <c r="M38" s="2"/>
      <c r="N38" s="6">
        <f t="shared" si="15"/>
        <v>-8.1442793311208017E-2</v>
      </c>
      <c r="O38" s="11"/>
      <c r="P38" s="7">
        <v>17796.560000000001</v>
      </c>
      <c r="Q38" s="2"/>
      <c r="R38" s="6">
        <f t="shared" si="16"/>
        <v>1.4353487247675491E-2</v>
      </c>
      <c r="S38" s="2"/>
      <c r="T38" s="7">
        <v>22068.903115000016</v>
      </c>
      <c r="U38" s="2"/>
      <c r="V38" s="6">
        <f t="shared" si="17"/>
        <v>1.4970503938177643E-2</v>
      </c>
      <c r="W38" s="2"/>
      <c r="X38" s="7">
        <f t="shared" si="18"/>
        <v>-4272.3431150000142</v>
      </c>
      <c r="Y38" s="2"/>
      <c r="Z38" s="6">
        <f t="shared" si="19"/>
        <v>-0.19359109479692013</v>
      </c>
    </row>
    <row r="39" spans="1:26" s="24" customFormat="1" hidden="1" outlineLevel="2" x14ac:dyDescent="0.25">
      <c r="A39" s="25"/>
      <c r="B39" s="11" t="str">
        <f>CONCATENATE("          ", "6116", " - ", "EDUCATIONAL BENEFITS")</f>
        <v xml:space="preserve">          6116 - EDUCATIONAL BENEFITS</v>
      </c>
      <c r="C39" s="11"/>
      <c r="D39" s="7"/>
      <c r="E39" s="2"/>
      <c r="F39" s="6">
        <f t="shared" si="12"/>
        <v>0</v>
      </c>
      <c r="G39" s="2"/>
      <c r="H39" s="7">
        <v>0</v>
      </c>
      <c r="I39" s="2"/>
      <c r="J39" s="6">
        <f t="shared" si="13"/>
        <v>0</v>
      </c>
      <c r="K39" s="2"/>
      <c r="L39" s="7">
        <f t="shared" si="14"/>
        <v>0</v>
      </c>
      <c r="M39" s="2"/>
      <c r="N39" s="6">
        <f t="shared" si="15"/>
        <v>0</v>
      </c>
      <c r="O39" s="11"/>
      <c r="P39" s="7"/>
      <c r="Q39" s="2"/>
      <c r="R39" s="6">
        <f t="shared" si="16"/>
        <v>0</v>
      </c>
      <c r="S39" s="2"/>
      <c r="T39" s="7">
        <v>8000</v>
      </c>
      <c r="U39" s="2"/>
      <c r="V39" s="6">
        <f t="shared" si="17"/>
        <v>5.4268230224826493E-3</v>
      </c>
      <c r="W39" s="2"/>
      <c r="X39" s="7">
        <f t="shared" si="18"/>
        <v>-8000</v>
      </c>
      <c r="Y39" s="2"/>
      <c r="Z39" s="6">
        <f t="shared" si="19"/>
        <v>-1</v>
      </c>
    </row>
    <row r="40" spans="1:26" s="24" customFormat="1" hidden="1" outlineLevel="2" x14ac:dyDescent="0.25">
      <c r="A40" s="25"/>
      <c r="B40" s="11" t="str">
        <f>CONCATENATE("          ", "6117", " - ", "RETIREMENT STAFF HOURLY")</f>
        <v xml:space="preserve">          6117 - RETIREMENT STAFF HOURLY</v>
      </c>
      <c r="C40" s="11"/>
      <c r="D40" s="7">
        <v>84</v>
      </c>
      <c r="E40" s="2"/>
      <c r="F40" s="6">
        <f t="shared" si="12"/>
        <v>1.1782343753918681E-4</v>
      </c>
      <c r="G40" s="2"/>
      <c r="H40" s="7"/>
      <c r="I40" s="2"/>
      <c r="J40" s="6">
        <f t="shared" si="13"/>
        <v>0</v>
      </c>
      <c r="K40" s="2"/>
      <c r="L40" s="7">
        <f t="shared" si="14"/>
        <v>84</v>
      </c>
      <c r="M40" s="2"/>
      <c r="N40" s="6">
        <f t="shared" si="15"/>
        <v>0</v>
      </c>
      <c r="O40" s="11"/>
      <c r="P40" s="7">
        <v>196</v>
      </c>
      <c r="Q40" s="2"/>
      <c r="R40" s="6">
        <f t="shared" si="16"/>
        <v>1.5808018518996908E-4</v>
      </c>
      <c r="S40" s="2"/>
      <c r="T40" s="7"/>
      <c r="U40" s="2"/>
      <c r="V40" s="6">
        <f t="shared" si="17"/>
        <v>0</v>
      </c>
      <c r="W40" s="2"/>
      <c r="X40" s="7">
        <f t="shared" si="18"/>
        <v>196</v>
      </c>
      <c r="Y40" s="2"/>
      <c r="Z40" s="6">
        <f t="shared" si="19"/>
        <v>0</v>
      </c>
    </row>
    <row r="41" spans="1:26" s="24" customFormat="1" hidden="1" outlineLevel="2" x14ac:dyDescent="0.25">
      <c r="A41" s="25"/>
      <c r="B41" s="11" t="str">
        <f>CONCATENATE("          ", "6118", " - ", "VACATION")</f>
        <v xml:space="preserve">          6118 - VACATION</v>
      </c>
      <c r="C41" s="11"/>
      <c r="D41" s="7">
        <v>9375.94</v>
      </c>
      <c r="E41" s="2"/>
      <c r="F41" s="6">
        <f t="shared" si="12"/>
        <v>1.3151255725728133E-2</v>
      </c>
      <c r="G41" s="2"/>
      <c r="H41" s="7">
        <v>5213.5640076923046</v>
      </c>
      <c r="I41" s="2"/>
      <c r="J41" s="6">
        <f t="shared" si="13"/>
        <v>6.7456319321140467E-3</v>
      </c>
      <c r="K41" s="2"/>
      <c r="L41" s="7">
        <f t="shared" si="14"/>
        <v>4162.3759923076959</v>
      </c>
      <c r="M41" s="2"/>
      <c r="N41" s="6">
        <f t="shared" si="15"/>
        <v>0.79837439152302669</v>
      </c>
      <c r="O41" s="11"/>
      <c r="P41" s="7">
        <v>23485.52</v>
      </c>
      <c r="Q41" s="2"/>
      <c r="R41" s="6">
        <f t="shared" si="16"/>
        <v>1.8941813014707768E-2</v>
      </c>
      <c r="S41" s="2"/>
      <c r="T41" s="7">
        <v>16836.25422499999</v>
      </c>
      <c r="U41" s="2"/>
      <c r="V41" s="6">
        <f t="shared" si="17"/>
        <v>1.142092150507509E-2</v>
      </c>
      <c r="W41" s="2"/>
      <c r="X41" s="7">
        <f t="shared" si="18"/>
        <v>6649.2657750000108</v>
      </c>
      <c r="Y41" s="2"/>
      <c r="Z41" s="6">
        <f t="shared" si="19"/>
        <v>0.39493735875801761</v>
      </c>
    </row>
    <row r="42" spans="1:26" s="24" customFormat="1" hidden="1" outlineLevel="2" x14ac:dyDescent="0.25">
      <c r="A42" s="25"/>
      <c r="B42" s="11" t="str">
        <f>CONCATENATE("          ", "6119", " - ", "SICK LEAVE")</f>
        <v xml:space="preserve">          6119 - SICK LEAVE</v>
      </c>
      <c r="C42" s="11"/>
      <c r="D42" s="7">
        <v>18723.14</v>
      </c>
      <c r="E42" s="2"/>
      <c r="F42" s="6">
        <f t="shared" si="12"/>
        <v>2.6262199003898215E-2</v>
      </c>
      <c r="G42" s="2"/>
      <c r="H42" s="7">
        <v>7766.2345787692338</v>
      </c>
      <c r="I42" s="2"/>
      <c r="J42" s="6">
        <f t="shared" si="13"/>
        <v>1.0048435175925415E-2</v>
      </c>
      <c r="K42" s="2"/>
      <c r="L42" s="7">
        <f t="shared" si="14"/>
        <v>10956.905421230766</v>
      </c>
      <c r="M42" s="2"/>
      <c r="N42" s="6">
        <f t="shared" si="15"/>
        <v>1.4108388447580447</v>
      </c>
      <c r="O42" s="11"/>
      <c r="P42" s="7">
        <v>36158.82</v>
      </c>
      <c r="Q42" s="2"/>
      <c r="R42" s="6">
        <f t="shared" si="16"/>
        <v>2.9163229397197742E-2</v>
      </c>
      <c r="S42" s="2"/>
      <c r="T42" s="7">
        <v>20518.944035</v>
      </c>
      <c r="U42" s="2"/>
      <c r="V42" s="6">
        <f t="shared" si="17"/>
        <v>1.391908473577138E-2</v>
      </c>
      <c r="W42" s="2"/>
      <c r="X42" s="7">
        <f t="shared" si="18"/>
        <v>15639.875964999999</v>
      </c>
      <c r="Y42" s="2"/>
      <c r="Z42" s="6">
        <f t="shared" si="19"/>
        <v>0.76221641514896787</v>
      </c>
    </row>
    <row r="43" spans="1:26" s="24" customFormat="1" hidden="1" outlineLevel="2" x14ac:dyDescent="0.25">
      <c r="A43" s="25"/>
      <c r="B43" s="11" t="str">
        <f>CONCATENATE("          ", "6156", " - ", "EMPLOYEE MEALS")</f>
        <v xml:space="preserve">          6156 - EMPLOYEE MEALS</v>
      </c>
      <c r="C43" s="11"/>
      <c r="D43" s="7">
        <v>2822.6</v>
      </c>
      <c r="E43" s="2"/>
      <c r="F43" s="6">
        <f t="shared" si="12"/>
        <v>3.9591480333108177E-3</v>
      </c>
      <c r="G43" s="2"/>
      <c r="H43" s="7">
        <v>1725</v>
      </c>
      <c r="I43" s="2"/>
      <c r="J43" s="6">
        <f t="shared" si="13"/>
        <v>2.2319118103715971E-3</v>
      </c>
      <c r="K43" s="2"/>
      <c r="L43" s="7">
        <f t="shared" si="14"/>
        <v>1097.5999999999999</v>
      </c>
      <c r="M43" s="2"/>
      <c r="N43" s="6">
        <f t="shared" si="15"/>
        <v>0.63628985507246372</v>
      </c>
      <c r="O43" s="11"/>
      <c r="P43" s="7">
        <v>7600.35</v>
      </c>
      <c r="Q43" s="2"/>
      <c r="R43" s="6">
        <f t="shared" si="16"/>
        <v>6.1299221199417426E-3</v>
      </c>
      <c r="S43" s="2"/>
      <c r="T43" s="7">
        <v>5175</v>
      </c>
      <c r="U43" s="2"/>
      <c r="V43" s="6">
        <f t="shared" si="17"/>
        <v>3.5104761426684636E-3</v>
      </c>
      <c r="W43" s="2"/>
      <c r="X43" s="7">
        <f t="shared" si="18"/>
        <v>2425.3500000000004</v>
      </c>
      <c r="Y43" s="2"/>
      <c r="Z43" s="6">
        <f t="shared" si="19"/>
        <v>0.46866666666666673</v>
      </c>
    </row>
    <row r="44" spans="1:26" s="26" customFormat="1" outlineLevel="1" collapsed="1" x14ac:dyDescent="0.25">
      <c r="A44" s="27"/>
      <c r="B44" s="13" t="str">
        <f>CONCATENATE("     ","*Payroll                                          ")</f>
        <v xml:space="preserve">     *Payroll                                          </v>
      </c>
      <c r="C44" s="13"/>
      <c r="D44" s="1">
        <f>SUM(OSRRefD22_1x_0)</f>
        <v>242299.64999999997</v>
      </c>
      <c r="E44" s="1"/>
      <c r="F44" s="5">
        <f t="shared" ref="F44:F54" si="20">IF(D$12=0,0,D44/D$12)</f>
        <v>0.33986401997073595</v>
      </c>
      <c r="G44" s="1"/>
      <c r="H44" s="1">
        <f>SUM(OSRRefH22_1x_0)</f>
        <v>230241.72032307694</v>
      </c>
      <c r="I44" s="1"/>
      <c r="J44" s="5">
        <f t="shared" ref="J44:J54" si="21">IF(H$12=0,0,H44/H$12)</f>
        <v>0.29790099410397081</v>
      </c>
      <c r="K44" s="1"/>
      <c r="L44" s="1">
        <f t="shared" ref="L44:L54" si="22">+D44-H44</f>
        <v>12057.929676923028</v>
      </c>
      <c r="M44" s="1"/>
      <c r="N44" s="5">
        <f t="shared" ref="N44:N54" si="23">IF(H44=0,0,L44/H44)</f>
        <v>5.2370741757850177E-2</v>
      </c>
      <c r="O44" s="13"/>
      <c r="P44" s="1">
        <f>SUM(OSRRefP22_1x_0)</f>
        <v>586530.5199999999</v>
      </c>
      <c r="Q44" s="1"/>
      <c r="R44" s="5">
        <f t="shared" ref="R44:R54" si="24">IF(P$12=0,0,P44/P$12)</f>
        <v>0.47305537357739208</v>
      </c>
      <c r="S44" s="1"/>
      <c r="T44" s="1">
        <f>SUM(OSRRefT22_1x_0)</f>
        <v>601177.52835000004</v>
      </c>
      <c r="U44" s="1"/>
      <c r="V44" s="5">
        <f t="shared" ref="V44:V54" si="25">IF(T$12=0,0,T44/T$12)</f>
        <v>0.40781050643112449</v>
      </c>
      <c r="W44" s="1"/>
      <c r="X44" s="1">
        <f t="shared" ref="X44:X54" si="26">+P44-T44</f>
        <v>-14647.008350000135</v>
      </c>
      <c r="Y44" s="1"/>
      <c r="Z44" s="5">
        <f t="shared" ref="Z44:Z54" si="27">IF(T44=0,0,X44/T44)</f>
        <v>-2.4363865346398613E-2</v>
      </c>
    </row>
    <row r="45" spans="1:26" s="24" customFormat="1" hidden="1" outlineLevel="2" x14ac:dyDescent="0.25">
      <c r="A45" s="25"/>
      <c r="B45" s="11" t="str">
        <f>CONCATENATE("          ", "6001", " - ", "ADMINISTRATIVE SALARIES")</f>
        <v xml:space="preserve">          6001 - ADMINISTRATIVE SALARIES</v>
      </c>
      <c r="C45" s="11"/>
      <c r="D45" s="7">
        <v>16211.87</v>
      </c>
      <c r="E45" s="2"/>
      <c r="F45" s="6">
        <f t="shared" si="20"/>
        <v>2.2739741099266863E-2</v>
      </c>
      <c r="G45" s="2"/>
      <c r="H45" s="7">
        <v>20213.021076923069</v>
      </c>
      <c r="I45" s="2"/>
      <c r="J45" s="6">
        <f t="shared" si="21"/>
        <v>2.6152858240507025E-2</v>
      </c>
      <c r="K45" s="2"/>
      <c r="L45" s="7">
        <f t="shared" si="22"/>
        <v>-4001.1510769230681</v>
      </c>
      <c r="M45" s="2"/>
      <c r="N45" s="6">
        <f t="shared" si="23"/>
        <v>-0.19794918640297307</v>
      </c>
      <c r="O45" s="11"/>
      <c r="P45" s="7">
        <v>51694.77</v>
      </c>
      <c r="Q45" s="2"/>
      <c r="R45" s="6">
        <f t="shared" si="24"/>
        <v>4.169346334159621E-2</v>
      </c>
      <c r="S45" s="2"/>
      <c r="T45" s="7">
        <v>65692.318499999979</v>
      </c>
      <c r="U45" s="2"/>
      <c r="V45" s="6">
        <f t="shared" si="25"/>
        <v>4.4562573304507844E-2</v>
      </c>
      <c r="W45" s="2"/>
      <c r="X45" s="7">
        <f t="shared" si="26"/>
        <v>-13997.548499999983</v>
      </c>
      <c r="Y45" s="2"/>
      <c r="Z45" s="6">
        <f t="shared" si="27"/>
        <v>-0.21307740112719553</v>
      </c>
    </row>
    <row r="46" spans="1:26" s="24" customFormat="1" hidden="1" outlineLevel="2" x14ac:dyDescent="0.25">
      <c r="A46" s="25"/>
      <c r="B46" s="11" t="str">
        <f>CONCATENATE("          ", "6002", " - ", "STAFF SALARIES")</f>
        <v xml:space="preserve">          6002 - STAFF SALARIES</v>
      </c>
      <c r="C46" s="11"/>
      <c r="D46" s="7">
        <v>55491.939999999995</v>
      </c>
      <c r="E46" s="2"/>
      <c r="F46" s="6">
        <f t="shared" si="20"/>
        <v>7.7836322934741686E-2</v>
      </c>
      <c r="G46" s="2"/>
      <c r="H46" s="7">
        <v>51367.801646153872</v>
      </c>
      <c r="I46" s="2"/>
      <c r="J46" s="6">
        <f t="shared" si="21"/>
        <v>6.6462842415580523E-2</v>
      </c>
      <c r="K46" s="2"/>
      <c r="L46" s="7">
        <f t="shared" si="22"/>
        <v>4124.1383538461232</v>
      </c>
      <c r="M46" s="2"/>
      <c r="N46" s="6">
        <f t="shared" si="23"/>
        <v>8.0286448352514125E-2</v>
      </c>
      <c r="O46" s="11"/>
      <c r="P46" s="7">
        <v>163514.31</v>
      </c>
      <c r="Q46" s="2"/>
      <c r="R46" s="6">
        <f t="shared" si="24"/>
        <v>0.13187945105107149</v>
      </c>
      <c r="S46" s="2"/>
      <c r="T46" s="7">
        <v>166945.35535000003</v>
      </c>
      <c r="U46" s="2"/>
      <c r="V46" s="6">
        <f t="shared" si="25"/>
        <v>0.11324786223874089</v>
      </c>
      <c r="W46" s="2"/>
      <c r="X46" s="7">
        <f t="shared" si="26"/>
        <v>-3431.0453500000294</v>
      </c>
      <c r="Y46" s="2"/>
      <c r="Z46" s="6">
        <f t="shared" si="27"/>
        <v>-2.0551906597262689E-2</v>
      </c>
    </row>
    <row r="47" spans="1:26" s="24" customFormat="1" hidden="1" outlineLevel="2" x14ac:dyDescent="0.25">
      <c r="A47" s="25"/>
      <c r="B47" s="11" t="str">
        <f>CONCATENATE("          ", "6003", " - ", "STAFF HOURLY-9 MONTH")</f>
        <v xml:space="preserve">          6003 - STAFF HOURLY-9 MONTH</v>
      </c>
      <c r="C47" s="11"/>
      <c r="D47" s="7"/>
      <c r="E47" s="2"/>
      <c r="F47" s="6">
        <f t="shared" si="20"/>
        <v>0</v>
      </c>
      <c r="G47" s="2"/>
      <c r="H47" s="7">
        <v>0</v>
      </c>
      <c r="I47" s="2"/>
      <c r="J47" s="6">
        <f t="shared" si="21"/>
        <v>0</v>
      </c>
      <c r="K47" s="2"/>
      <c r="L47" s="7">
        <f t="shared" si="22"/>
        <v>0</v>
      </c>
      <c r="M47" s="2"/>
      <c r="N47" s="6">
        <f t="shared" si="23"/>
        <v>0</v>
      </c>
      <c r="O47" s="11"/>
      <c r="P47" s="7"/>
      <c r="Q47" s="2"/>
      <c r="R47" s="6">
        <f t="shared" si="24"/>
        <v>0</v>
      </c>
      <c r="S47" s="2"/>
      <c r="T47" s="7">
        <v>0</v>
      </c>
      <c r="U47" s="2"/>
      <c r="V47" s="6">
        <f t="shared" si="25"/>
        <v>0</v>
      </c>
      <c r="W47" s="2"/>
      <c r="X47" s="7">
        <f t="shared" si="26"/>
        <v>0</v>
      </c>
      <c r="Y47" s="2"/>
      <c r="Z47" s="6">
        <f t="shared" si="27"/>
        <v>0</v>
      </c>
    </row>
    <row r="48" spans="1:26" s="24" customFormat="1" hidden="1" outlineLevel="2" x14ac:dyDescent="0.25">
      <c r="A48" s="25"/>
      <c r="B48" s="11" t="str">
        <f>CONCATENATE("          ", "6004", " - ", "STAFF HOURLY")</f>
        <v xml:space="preserve">          6004 - STAFF HOURLY</v>
      </c>
      <c r="C48" s="11"/>
      <c r="D48" s="7">
        <v>19617.900000000001</v>
      </c>
      <c r="E48" s="2"/>
      <c r="F48" s="6">
        <f t="shared" si="20"/>
        <v>2.751724303928587E-2</v>
      </c>
      <c r="G48" s="2"/>
      <c r="H48" s="7">
        <v>51917.641600000003</v>
      </c>
      <c r="I48" s="2"/>
      <c r="J48" s="6">
        <f t="shared" si="21"/>
        <v>6.7174259393437533E-2</v>
      </c>
      <c r="K48" s="2"/>
      <c r="L48" s="7">
        <f t="shared" si="22"/>
        <v>-32299.741600000001</v>
      </c>
      <c r="M48" s="2"/>
      <c r="N48" s="6">
        <f t="shared" si="23"/>
        <v>-0.62213422267624729</v>
      </c>
      <c r="O48" s="11"/>
      <c r="P48" s="7">
        <v>52528.57</v>
      </c>
      <c r="Q48" s="2"/>
      <c r="R48" s="6">
        <f t="shared" si="24"/>
        <v>4.236594935389925E-2</v>
      </c>
      <c r="S48" s="2"/>
      <c r="T48" s="7">
        <v>148474.12350000002</v>
      </c>
      <c r="U48" s="2"/>
      <c r="V48" s="6">
        <f t="shared" si="25"/>
        <v>0.10071784895659153</v>
      </c>
      <c r="W48" s="2"/>
      <c r="X48" s="7">
        <f t="shared" si="26"/>
        <v>-95945.553500000009</v>
      </c>
      <c r="Y48" s="2"/>
      <c r="Z48" s="6">
        <f t="shared" si="27"/>
        <v>-0.6462106071971524</v>
      </c>
    </row>
    <row r="49" spans="1:26" s="24" customFormat="1" hidden="1" outlineLevel="2" x14ac:dyDescent="0.25">
      <c r="A49" s="25"/>
      <c r="B49" s="11" t="str">
        <f>CONCATENATE("          ", "6005", " - ", "TEMPORARY WAGES-HOURLY")</f>
        <v xml:space="preserve">          6005 - TEMPORARY WAGES-HOURLY</v>
      </c>
      <c r="C49" s="11"/>
      <c r="D49" s="7">
        <v>50534.049999999996</v>
      </c>
      <c r="E49" s="2"/>
      <c r="F49" s="6">
        <f t="shared" si="20"/>
        <v>7.0882089092585032E-2</v>
      </c>
      <c r="G49" s="2"/>
      <c r="H49" s="7">
        <v>32630.505999999998</v>
      </c>
      <c r="I49" s="2"/>
      <c r="J49" s="6">
        <f t="shared" si="21"/>
        <v>4.2219369112928264E-2</v>
      </c>
      <c r="K49" s="2"/>
      <c r="L49" s="7">
        <f t="shared" si="22"/>
        <v>17903.543999999998</v>
      </c>
      <c r="M49" s="2"/>
      <c r="N49" s="6">
        <f t="shared" si="23"/>
        <v>0.54867503433749998</v>
      </c>
      <c r="O49" s="11"/>
      <c r="P49" s="7">
        <v>113898.23</v>
      </c>
      <c r="Q49" s="2"/>
      <c r="R49" s="6">
        <f t="shared" si="24"/>
        <v>9.1862516791886173E-2</v>
      </c>
      <c r="S49" s="2"/>
      <c r="T49" s="7">
        <v>74677.180999999997</v>
      </c>
      <c r="U49" s="2"/>
      <c r="V49" s="6">
        <f t="shared" si="25"/>
        <v>5.0657480638112984E-2</v>
      </c>
      <c r="W49" s="2"/>
      <c r="X49" s="7">
        <f t="shared" si="26"/>
        <v>39221.048999999999</v>
      </c>
      <c r="Y49" s="2"/>
      <c r="Z49" s="6">
        <f t="shared" si="27"/>
        <v>0.52520794806113535</v>
      </c>
    </row>
    <row r="50" spans="1:26" s="24" customFormat="1" hidden="1" outlineLevel="2" x14ac:dyDescent="0.25">
      <c r="A50" s="25"/>
      <c r="B50" s="11" t="str">
        <f>CONCATENATE("          ", "6006", " - ", "TEMPORARY PART TIME")</f>
        <v xml:space="preserve">          6006 - TEMPORARY PART TIME</v>
      </c>
      <c r="C50" s="11"/>
      <c r="D50" s="7">
        <v>2487.5</v>
      </c>
      <c r="E50" s="2"/>
      <c r="F50" s="6">
        <f t="shared" si="20"/>
        <v>3.4891166771277046E-3</v>
      </c>
      <c r="G50" s="2"/>
      <c r="H50" s="7">
        <v>0</v>
      </c>
      <c r="I50" s="2"/>
      <c r="J50" s="6">
        <f t="shared" si="21"/>
        <v>0</v>
      </c>
      <c r="K50" s="2"/>
      <c r="L50" s="7">
        <f t="shared" si="22"/>
        <v>2487.5</v>
      </c>
      <c r="M50" s="2"/>
      <c r="N50" s="6">
        <f t="shared" si="23"/>
        <v>0</v>
      </c>
      <c r="O50" s="11"/>
      <c r="P50" s="7">
        <v>6890.52</v>
      </c>
      <c r="Q50" s="2"/>
      <c r="R50" s="6">
        <f t="shared" si="24"/>
        <v>5.5574218247713561E-3</v>
      </c>
      <c r="S50" s="2"/>
      <c r="T50" s="7">
        <v>0</v>
      </c>
      <c r="U50" s="2"/>
      <c r="V50" s="6">
        <f t="shared" si="25"/>
        <v>0</v>
      </c>
      <c r="W50" s="2"/>
      <c r="X50" s="7">
        <f t="shared" si="26"/>
        <v>6890.52</v>
      </c>
      <c r="Y50" s="2"/>
      <c r="Z50" s="6">
        <f t="shared" si="27"/>
        <v>0</v>
      </c>
    </row>
    <row r="51" spans="1:26" s="24" customFormat="1" hidden="1" outlineLevel="2" x14ac:dyDescent="0.25">
      <c r="A51" s="25"/>
      <c r="B51" s="11" t="str">
        <f>CONCATENATE("          ", "6007", " - ", "STUDENT HOURLY")</f>
        <v xml:space="preserve">          6007 - STUDENT HOURLY</v>
      </c>
      <c r="C51" s="11"/>
      <c r="D51" s="7">
        <v>94385.08</v>
      </c>
      <c r="E51" s="2"/>
      <c r="F51" s="6">
        <f t="shared" si="20"/>
        <v>0.13239017354775179</v>
      </c>
      <c r="G51" s="2"/>
      <c r="H51" s="7">
        <v>892.5</v>
      </c>
      <c r="I51" s="2"/>
      <c r="J51" s="6">
        <f t="shared" si="21"/>
        <v>1.1547717627574785E-3</v>
      </c>
      <c r="K51" s="2"/>
      <c r="L51" s="7">
        <f t="shared" si="22"/>
        <v>93492.58</v>
      </c>
      <c r="M51" s="2"/>
      <c r="N51" s="6">
        <f t="shared" si="23"/>
        <v>104.75359103641456</v>
      </c>
      <c r="O51" s="11"/>
      <c r="P51" s="7">
        <v>190586.65</v>
      </c>
      <c r="Q51" s="2"/>
      <c r="R51" s="6">
        <f t="shared" si="24"/>
        <v>0.15371414758538682</v>
      </c>
      <c r="S51" s="2"/>
      <c r="T51" s="7">
        <v>45438.8</v>
      </c>
      <c r="U51" s="2"/>
      <c r="V51" s="6">
        <f t="shared" si="25"/>
        <v>3.082354074424808E-2</v>
      </c>
      <c r="W51" s="2"/>
      <c r="X51" s="7">
        <f t="shared" si="26"/>
        <v>145147.84999999998</v>
      </c>
      <c r="Y51" s="2"/>
      <c r="Z51" s="6">
        <f t="shared" si="27"/>
        <v>3.1943592260358979</v>
      </c>
    </row>
    <row r="52" spans="1:26" s="24" customFormat="1" hidden="1" outlineLevel="2" x14ac:dyDescent="0.25">
      <c r="A52" s="25"/>
      <c r="B52" s="11" t="str">
        <f>CONCATENATE("          ", "6008", " - ", "STUDENT HOURLY-FICA EXEMPT")</f>
        <v xml:space="preserve">          6008 - STUDENT HOURLY-FICA EXEMPT</v>
      </c>
      <c r="C52" s="11"/>
      <c r="D52" s="7">
        <v>3571.31</v>
      </c>
      <c r="E52" s="2"/>
      <c r="F52" s="6">
        <f t="shared" si="20"/>
        <v>5.0093335799770624E-3</v>
      </c>
      <c r="G52" s="2"/>
      <c r="H52" s="7">
        <v>73220.25</v>
      </c>
      <c r="I52" s="2"/>
      <c r="J52" s="6">
        <f t="shared" si="21"/>
        <v>9.4736893178759968E-2</v>
      </c>
      <c r="K52" s="2"/>
      <c r="L52" s="7">
        <f t="shared" si="22"/>
        <v>-69648.94</v>
      </c>
      <c r="M52" s="2"/>
      <c r="N52" s="6">
        <f t="shared" si="23"/>
        <v>-0.95122510507680602</v>
      </c>
      <c r="O52" s="11"/>
      <c r="P52" s="7">
        <v>7417.47</v>
      </c>
      <c r="Q52" s="2"/>
      <c r="R52" s="6">
        <f t="shared" si="24"/>
        <v>5.9824236287808162E-3</v>
      </c>
      <c r="S52" s="2"/>
      <c r="T52" s="7">
        <v>99949.75</v>
      </c>
      <c r="U52" s="2"/>
      <c r="V52" s="6">
        <f t="shared" si="25"/>
        <v>6.7801200548923149E-2</v>
      </c>
      <c r="W52" s="2"/>
      <c r="X52" s="7">
        <f t="shared" si="26"/>
        <v>-92532.28</v>
      </c>
      <c r="Y52" s="2"/>
      <c r="Z52" s="6">
        <f t="shared" si="27"/>
        <v>-0.92578800847425835</v>
      </c>
    </row>
    <row r="53" spans="1:26" s="24" customFormat="1" hidden="1" outlineLevel="2" x14ac:dyDescent="0.25">
      <c r="A53" s="25"/>
      <c r="B53" s="11" t="str">
        <f>CONCATENATE("          ", "6009", " - ", "TEMPORARY-SEASONAL")</f>
        <v xml:space="preserve">          6009 - TEMPORARY-SEASONAL</v>
      </c>
      <c r="C53" s="11"/>
      <c r="D53" s="7"/>
      <c r="E53" s="2"/>
      <c r="F53" s="6">
        <f t="shared" si="20"/>
        <v>0</v>
      </c>
      <c r="G53" s="2"/>
      <c r="H53" s="7">
        <v>0</v>
      </c>
      <c r="I53" s="2"/>
      <c r="J53" s="6">
        <f t="shared" si="21"/>
        <v>0</v>
      </c>
      <c r="K53" s="2"/>
      <c r="L53" s="7">
        <f t="shared" si="22"/>
        <v>0</v>
      </c>
      <c r="M53" s="2"/>
      <c r="N53" s="6">
        <f t="shared" si="23"/>
        <v>0</v>
      </c>
      <c r="O53" s="11"/>
      <c r="P53" s="7"/>
      <c r="Q53" s="2"/>
      <c r="R53" s="6">
        <f t="shared" si="24"/>
        <v>0</v>
      </c>
      <c r="S53" s="2"/>
      <c r="T53" s="7">
        <v>0</v>
      </c>
      <c r="U53" s="2"/>
      <c r="V53" s="6">
        <f t="shared" si="25"/>
        <v>0</v>
      </c>
      <c r="W53" s="2"/>
      <c r="X53" s="7">
        <f t="shared" si="26"/>
        <v>0</v>
      </c>
      <c r="Y53" s="2"/>
      <c r="Z53" s="6">
        <f t="shared" si="27"/>
        <v>0</v>
      </c>
    </row>
    <row r="54" spans="1:26" s="24" customFormat="1" hidden="1" outlineLevel="2" x14ac:dyDescent="0.25">
      <c r="A54" s="25"/>
      <c r="B54" s="11" t="str">
        <f>CONCATENATE("          ", "6010", " - ", "GRATUITY")</f>
        <v xml:space="preserve">          6010 - GRATUITY</v>
      </c>
      <c r="C54" s="11"/>
      <c r="D54" s="7"/>
      <c r="E54" s="2"/>
      <c r="F54" s="6">
        <f t="shared" si="20"/>
        <v>0</v>
      </c>
      <c r="G54" s="2"/>
      <c r="H54" s="7">
        <v>0</v>
      </c>
      <c r="I54" s="2"/>
      <c r="J54" s="6">
        <f t="shared" si="21"/>
        <v>0</v>
      </c>
      <c r="K54" s="2"/>
      <c r="L54" s="7">
        <f t="shared" si="22"/>
        <v>0</v>
      </c>
      <c r="M54" s="2"/>
      <c r="N54" s="6">
        <f t="shared" si="23"/>
        <v>0</v>
      </c>
      <c r="O54" s="11"/>
      <c r="P54" s="7"/>
      <c r="Q54" s="2"/>
      <c r="R54" s="6">
        <f t="shared" si="24"/>
        <v>0</v>
      </c>
      <c r="S54" s="2"/>
      <c r="T54" s="7">
        <v>0</v>
      </c>
      <c r="U54" s="2"/>
      <c r="V54" s="6">
        <f t="shared" si="25"/>
        <v>0</v>
      </c>
      <c r="W54" s="2"/>
      <c r="X54" s="7">
        <f t="shared" si="26"/>
        <v>0</v>
      </c>
      <c r="Y54" s="2"/>
      <c r="Z54" s="6">
        <f t="shared" si="27"/>
        <v>0</v>
      </c>
    </row>
    <row r="55" spans="1:26" s="26" customFormat="1" outlineLevel="1" collapsed="1" x14ac:dyDescent="0.25">
      <c r="A55" s="27"/>
      <c r="B55" s="13" t="str">
        <f>CONCATENATE("     ","Advertising/Promo                                 ")</f>
        <v xml:space="preserve">     Advertising/Promo                                 </v>
      </c>
      <c r="C55" s="13"/>
      <c r="D55" s="1">
        <f>SUM(OSRRefD22_2x_0)</f>
        <v>1455.58</v>
      </c>
      <c r="E55" s="1"/>
      <c r="F55" s="5">
        <f t="shared" ref="F55:F65" si="28">IF(D$12=0,0,D55/D$12)</f>
        <v>2.0416838001582087E-3</v>
      </c>
      <c r="G55" s="1"/>
      <c r="H55" s="1">
        <f>SUM(OSRRefH22_2x_0)</f>
        <v>1525</v>
      </c>
      <c r="I55" s="1"/>
      <c r="J55" s="5">
        <f t="shared" ref="J55:J65" si="29">IF(H$12=0,0,H55/H$12)</f>
        <v>1.9731394265603973E-3</v>
      </c>
      <c r="K55" s="1"/>
      <c r="L55" s="1">
        <f t="shared" ref="L55:L65" si="30">+D55-H55</f>
        <v>-69.420000000000073</v>
      </c>
      <c r="M55" s="1"/>
      <c r="N55" s="5">
        <f t="shared" ref="N55:N65" si="31">IF(H55=0,0,L55/H55)</f>
        <v>-4.5521311475409887E-2</v>
      </c>
      <c r="O55" s="13"/>
      <c r="P55" s="1">
        <f>SUM(OSRRefP22_2x_0)</f>
        <v>6637.12</v>
      </c>
      <c r="Q55" s="1"/>
      <c r="R55" s="5">
        <f t="shared" ref="R55:R65" si="32">IF(P$12=0,0,P55/P$12)</f>
        <v>5.3530467282043243E-3</v>
      </c>
      <c r="S55" s="1"/>
      <c r="T55" s="1">
        <f>SUM(OSRRefT22_2x_0)</f>
        <v>7125</v>
      </c>
      <c r="U55" s="1"/>
      <c r="V55" s="5">
        <f t="shared" ref="V55:V65" si="33">IF(T$12=0,0,T55/T$12)</f>
        <v>4.8332642543986093E-3</v>
      </c>
      <c r="W55" s="1"/>
      <c r="X55" s="1">
        <f t="shared" ref="X55:X65" si="34">+P55-T55</f>
        <v>-487.88000000000011</v>
      </c>
      <c r="Y55" s="1"/>
      <c r="Z55" s="5">
        <f t="shared" ref="Z55:Z65" si="35">IF(T55=0,0,X55/T55)</f>
        <v>-6.8474385964912302E-2</v>
      </c>
    </row>
    <row r="56" spans="1:26" s="24" customFormat="1" hidden="1" outlineLevel="2" x14ac:dyDescent="0.25">
      <c r="A56" s="25"/>
      <c r="B56" s="11" t="str">
        <f>CONCATENATE("          ", "6362", " - ", "ADVERTISING EXPENSE")</f>
        <v xml:space="preserve">          6362 - ADVERTISING EXPENSE</v>
      </c>
      <c r="C56" s="11"/>
      <c r="D56" s="7">
        <v>1455.58</v>
      </c>
      <c r="E56" s="2"/>
      <c r="F56" s="6">
        <f t="shared" si="28"/>
        <v>2.0416838001582087E-3</v>
      </c>
      <c r="G56" s="2"/>
      <c r="H56" s="7">
        <v>1525</v>
      </c>
      <c r="I56" s="2"/>
      <c r="J56" s="6">
        <f t="shared" si="29"/>
        <v>1.9731394265603973E-3</v>
      </c>
      <c r="K56" s="2"/>
      <c r="L56" s="7">
        <f t="shared" si="30"/>
        <v>-69.420000000000073</v>
      </c>
      <c r="M56" s="2"/>
      <c r="N56" s="6">
        <f t="shared" si="31"/>
        <v>-4.5521311475409887E-2</v>
      </c>
      <c r="O56" s="11"/>
      <c r="P56" s="7">
        <v>6637.12</v>
      </c>
      <c r="Q56" s="2"/>
      <c r="R56" s="6">
        <f t="shared" si="32"/>
        <v>5.3530467282043243E-3</v>
      </c>
      <c r="S56" s="2"/>
      <c r="T56" s="7">
        <v>7125</v>
      </c>
      <c r="U56" s="2"/>
      <c r="V56" s="6">
        <f t="shared" si="33"/>
        <v>4.8332642543986093E-3</v>
      </c>
      <c r="W56" s="2"/>
      <c r="X56" s="7">
        <f t="shared" si="34"/>
        <v>-487.88000000000011</v>
      </c>
      <c r="Y56" s="2"/>
      <c r="Z56" s="6">
        <f t="shared" si="35"/>
        <v>-6.8474385964912302E-2</v>
      </c>
    </row>
    <row r="57" spans="1:26" s="26" customFormat="1" outlineLevel="1" collapsed="1" x14ac:dyDescent="0.25">
      <c r="A57" s="27"/>
      <c r="B57" s="13" t="str">
        <f>CONCATENATE("     ","Bad Debts/Over/Short                              ")</f>
        <v xml:space="preserve">     Bad Debts/Over/Short                              </v>
      </c>
      <c r="C57" s="13"/>
      <c r="D57" s="1">
        <f>SUM(OSRRefD22_3x_0)</f>
        <v>-38.520000000000003</v>
      </c>
      <c r="E57" s="1"/>
      <c r="F57" s="5">
        <f t="shared" si="28"/>
        <v>-5.4030462071541385E-5</v>
      </c>
      <c r="G57" s="1"/>
      <c r="H57" s="1">
        <f>SUM(OSRRefH22_3x_0)</f>
        <v>144</v>
      </c>
      <c r="I57" s="1"/>
      <c r="J57" s="5">
        <f t="shared" si="29"/>
        <v>1.8631611634406376E-4</v>
      </c>
      <c r="K57" s="1"/>
      <c r="L57" s="1">
        <f t="shared" si="30"/>
        <v>-182.52</v>
      </c>
      <c r="M57" s="1"/>
      <c r="N57" s="5">
        <f t="shared" si="31"/>
        <v>-1.2675000000000001</v>
      </c>
      <c r="O57" s="13"/>
      <c r="P57" s="1">
        <f>SUM(OSRRefP22_3x_0)</f>
        <v>-51.26</v>
      </c>
      <c r="Q57" s="1"/>
      <c r="R57" s="5">
        <f t="shared" si="32"/>
        <v>-4.1342807616519462E-5</v>
      </c>
      <c r="S57" s="1"/>
      <c r="T57" s="1">
        <f>SUM(OSRRefT22_3x_0)</f>
        <v>412</v>
      </c>
      <c r="U57" s="1"/>
      <c r="V57" s="5">
        <f t="shared" si="33"/>
        <v>2.7948138565785644E-4</v>
      </c>
      <c r="W57" s="1"/>
      <c r="X57" s="1">
        <f t="shared" si="34"/>
        <v>-463.26</v>
      </c>
      <c r="Y57" s="1"/>
      <c r="Z57" s="5">
        <f t="shared" si="35"/>
        <v>-1.1244174757281553</v>
      </c>
    </row>
    <row r="58" spans="1:26" s="24" customFormat="1" hidden="1" outlineLevel="2" x14ac:dyDescent="0.25">
      <c r="A58" s="25"/>
      <c r="B58" s="11" t="str">
        <f>CONCATENATE("          ", "6272", " - ", "CASH (OVER/SHORT)")</f>
        <v xml:space="preserve">          6272 - CASH (OVER/SHORT)</v>
      </c>
      <c r="C58" s="11"/>
      <c r="D58" s="7">
        <v>-38.520000000000003</v>
      </c>
      <c r="E58" s="2"/>
      <c r="F58" s="6">
        <f t="shared" si="28"/>
        <v>-5.4030462071541385E-5</v>
      </c>
      <c r="G58" s="2"/>
      <c r="H58" s="7">
        <v>144</v>
      </c>
      <c r="I58" s="2"/>
      <c r="J58" s="6">
        <f t="shared" si="29"/>
        <v>1.8631611634406376E-4</v>
      </c>
      <c r="K58" s="2"/>
      <c r="L58" s="7">
        <f t="shared" si="30"/>
        <v>-182.52</v>
      </c>
      <c r="M58" s="2"/>
      <c r="N58" s="6">
        <f t="shared" si="31"/>
        <v>-1.2675000000000001</v>
      </c>
      <c r="O58" s="11"/>
      <c r="P58" s="7">
        <v>-51.26</v>
      </c>
      <c r="Q58" s="2"/>
      <c r="R58" s="6">
        <f t="shared" si="32"/>
        <v>-4.1342807616519462E-5</v>
      </c>
      <c r="S58" s="2"/>
      <c r="T58" s="7">
        <v>412</v>
      </c>
      <c r="U58" s="2"/>
      <c r="V58" s="6">
        <f t="shared" si="33"/>
        <v>2.7948138565785644E-4</v>
      </c>
      <c r="W58" s="2"/>
      <c r="X58" s="7">
        <f t="shared" si="34"/>
        <v>-463.26</v>
      </c>
      <c r="Y58" s="2"/>
      <c r="Z58" s="6">
        <f t="shared" si="35"/>
        <v>-1.1244174757281553</v>
      </c>
    </row>
    <row r="59" spans="1:26" s="26" customFormat="1" outlineLevel="1" collapsed="1" x14ac:dyDescent="0.25">
      <c r="A59" s="27"/>
      <c r="B59" s="13" t="str">
        <f>CONCATENATE("     ","Bank/card Fees                                    ")</f>
        <v xml:space="preserve">     Bank/card Fees                                    </v>
      </c>
      <c r="C59" s="13"/>
      <c r="D59" s="1">
        <f>SUM(OSRRefD22_4x_0)</f>
        <v>21139.22</v>
      </c>
      <c r="E59" s="1"/>
      <c r="F59" s="5">
        <f t="shared" si="28"/>
        <v>2.96511377059182E-2</v>
      </c>
      <c r="G59" s="1"/>
      <c r="H59" s="1">
        <f>SUM(OSRRefH22_4x_0)</f>
        <v>13356</v>
      </c>
      <c r="I59" s="1"/>
      <c r="J59" s="5">
        <f t="shared" si="29"/>
        <v>1.7280819790911915E-2</v>
      </c>
      <c r="K59" s="1"/>
      <c r="L59" s="1">
        <f t="shared" si="30"/>
        <v>7783.2200000000012</v>
      </c>
      <c r="M59" s="1"/>
      <c r="N59" s="5">
        <f t="shared" si="31"/>
        <v>0.58275082359988029</v>
      </c>
      <c r="O59" s="13"/>
      <c r="P59" s="1">
        <f>SUM(OSRRefP22_4x_0)</f>
        <v>34145.17</v>
      </c>
      <c r="Q59" s="1"/>
      <c r="R59" s="5">
        <f t="shared" si="32"/>
        <v>2.7539157127260083E-2</v>
      </c>
      <c r="S59" s="1"/>
      <c r="T59" s="1">
        <f>SUM(OSRRefT22_4x_0)</f>
        <v>25968</v>
      </c>
      <c r="U59" s="1"/>
      <c r="V59" s="5">
        <f t="shared" si="33"/>
        <v>1.761546753097868E-2</v>
      </c>
      <c r="W59" s="1"/>
      <c r="X59" s="1">
        <f t="shared" si="34"/>
        <v>8177.1699999999983</v>
      </c>
      <c r="Y59" s="1"/>
      <c r="Z59" s="5">
        <f t="shared" si="35"/>
        <v>0.31489410043130001</v>
      </c>
    </row>
    <row r="60" spans="1:26" s="24" customFormat="1" hidden="1" outlineLevel="2" x14ac:dyDescent="0.25">
      <c r="A60" s="25"/>
      <c r="B60" s="11" t="str">
        <f>CONCATENATE("          ", "6381", " - ", "BANK/CREDIT CARD FEES")</f>
        <v xml:space="preserve">          6381 - BANK/CREDIT CARD FEES</v>
      </c>
      <c r="C60" s="11"/>
      <c r="D60" s="7">
        <v>21139.22</v>
      </c>
      <c r="E60" s="2"/>
      <c r="F60" s="6">
        <f t="shared" si="28"/>
        <v>2.96511377059182E-2</v>
      </c>
      <c r="G60" s="2"/>
      <c r="H60" s="7">
        <v>13356</v>
      </c>
      <c r="I60" s="2"/>
      <c r="J60" s="6">
        <f t="shared" si="29"/>
        <v>1.7280819790911915E-2</v>
      </c>
      <c r="K60" s="2"/>
      <c r="L60" s="7">
        <f t="shared" si="30"/>
        <v>7783.2200000000012</v>
      </c>
      <c r="M60" s="2"/>
      <c r="N60" s="6">
        <f t="shared" si="31"/>
        <v>0.58275082359988029</v>
      </c>
      <c r="O60" s="11"/>
      <c r="P60" s="7">
        <v>34145.17</v>
      </c>
      <c r="Q60" s="2"/>
      <c r="R60" s="6">
        <f t="shared" si="32"/>
        <v>2.7539157127260083E-2</v>
      </c>
      <c r="S60" s="2"/>
      <c r="T60" s="7">
        <v>25968</v>
      </c>
      <c r="U60" s="2"/>
      <c r="V60" s="6">
        <f t="shared" si="33"/>
        <v>1.761546753097868E-2</v>
      </c>
      <c r="W60" s="2"/>
      <c r="X60" s="7">
        <f t="shared" si="34"/>
        <v>8177.1699999999983</v>
      </c>
      <c r="Y60" s="2"/>
      <c r="Z60" s="6">
        <f t="shared" si="35"/>
        <v>0.31489410043130001</v>
      </c>
    </row>
    <row r="61" spans="1:26" s="26" customFormat="1" outlineLevel="1" collapsed="1" x14ac:dyDescent="0.25">
      <c r="A61" s="27"/>
      <c r="B61" s="13" t="str">
        <f>CONCATENATE("     ","Depreciation                                      ")</f>
        <v xml:space="preserve">     Depreciation                                      </v>
      </c>
      <c r="C61" s="13"/>
      <c r="D61" s="1">
        <f>SUM(OSRRefD22_5x_0)</f>
        <v>39571.050000000003</v>
      </c>
      <c r="E61" s="1"/>
      <c r="F61" s="5">
        <f t="shared" si="28"/>
        <v>5.5504727833750461E-2</v>
      </c>
      <c r="G61" s="1"/>
      <c r="H61" s="1">
        <f>SUM(OSRRefH22_5x_0)</f>
        <v>41088</v>
      </c>
      <c r="I61" s="1"/>
      <c r="J61" s="5">
        <f t="shared" si="29"/>
        <v>5.3162198530172858E-2</v>
      </c>
      <c r="K61" s="1"/>
      <c r="L61" s="1">
        <f t="shared" si="30"/>
        <v>-1516.9499999999971</v>
      </c>
      <c r="M61" s="1"/>
      <c r="N61" s="5">
        <f t="shared" si="31"/>
        <v>-3.6919538551401801E-2</v>
      </c>
      <c r="O61" s="13"/>
      <c r="P61" s="1">
        <f>SUM(OSRRefP22_5x_0)</f>
        <v>118713.15</v>
      </c>
      <c r="Q61" s="1"/>
      <c r="R61" s="5">
        <f t="shared" si="32"/>
        <v>9.5745901716758036E-2</v>
      </c>
      <c r="S61" s="1"/>
      <c r="T61" s="1">
        <f>SUM(OSRRefT22_5x_0)</f>
        <v>119462</v>
      </c>
      <c r="U61" s="1"/>
      <c r="V61" s="5">
        <f t="shared" si="33"/>
        <v>8.1037391488977789E-2</v>
      </c>
      <c r="W61" s="1"/>
      <c r="X61" s="1">
        <f t="shared" si="34"/>
        <v>-748.85000000000582</v>
      </c>
      <c r="Y61" s="1"/>
      <c r="Z61" s="5">
        <f t="shared" si="35"/>
        <v>-6.2685205337262547E-3</v>
      </c>
    </row>
    <row r="62" spans="1:26" s="24" customFormat="1" hidden="1" outlineLevel="2" x14ac:dyDescent="0.25">
      <c r="A62" s="25"/>
      <c r="B62" s="11" t="str">
        <f>CONCATENATE("          ", "6321", " - ", "BUILDING DEPRECIATION")</f>
        <v xml:space="preserve">          6321 - BUILDING DEPRECIATION</v>
      </c>
      <c r="C62" s="11"/>
      <c r="D62" s="7">
        <v>24042.959999999999</v>
      </c>
      <c r="E62" s="2"/>
      <c r="F62" s="6">
        <f t="shared" si="28"/>
        <v>3.3724097569251987E-2</v>
      </c>
      <c r="G62" s="2"/>
      <c r="H62" s="7">
        <v>23119</v>
      </c>
      <c r="I62" s="2"/>
      <c r="J62" s="6">
        <f t="shared" si="29"/>
        <v>2.9912793706655626E-2</v>
      </c>
      <c r="K62" s="2"/>
      <c r="L62" s="7">
        <f t="shared" si="30"/>
        <v>923.95999999999913</v>
      </c>
      <c r="M62" s="2"/>
      <c r="N62" s="6">
        <f t="shared" si="31"/>
        <v>3.9965396427181069E-2</v>
      </c>
      <c r="O62" s="11"/>
      <c r="P62" s="7">
        <v>72128.88</v>
      </c>
      <c r="Q62" s="2"/>
      <c r="R62" s="6">
        <f t="shared" si="32"/>
        <v>5.8174217897678862E-2</v>
      </c>
      <c r="S62" s="2"/>
      <c r="T62" s="7">
        <v>69357</v>
      </c>
      <c r="U62" s="2"/>
      <c r="V62" s="6">
        <f t="shared" si="33"/>
        <v>4.7048520546291141E-2</v>
      </c>
      <c r="W62" s="2"/>
      <c r="X62" s="7">
        <f t="shared" si="34"/>
        <v>2771.8800000000047</v>
      </c>
      <c r="Y62" s="2"/>
      <c r="Z62" s="6">
        <f t="shared" si="35"/>
        <v>3.9965396427181173E-2</v>
      </c>
    </row>
    <row r="63" spans="1:26" s="24" customFormat="1" hidden="1" outlineLevel="2" x14ac:dyDescent="0.25">
      <c r="A63" s="25"/>
      <c r="B63" s="11" t="str">
        <f>CONCATENATE("          ", "6322", " - ", "EQUIPMENT DEPRECIATION EXPENSE")</f>
        <v xml:space="preserve">          6322 - EQUIPMENT DEPRECIATION EXPENSE</v>
      </c>
      <c r="C63" s="11"/>
      <c r="D63" s="7">
        <v>15103.84</v>
      </c>
      <c r="E63" s="2"/>
      <c r="F63" s="6">
        <f t="shared" si="28"/>
        <v>2.118555177192704E-2</v>
      </c>
      <c r="G63" s="2"/>
      <c r="H63" s="7">
        <v>15301</v>
      </c>
      <c r="I63" s="2"/>
      <c r="J63" s="6">
        <f t="shared" si="29"/>
        <v>1.9797381223475831E-2</v>
      </c>
      <c r="K63" s="2"/>
      <c r="L63" s="7">
        <f t="shared" si="30"/>
        <v>-197.15999999999985</v>
      </c>
      <c r="M63" s="2"/>
      <c r="N63" s="6">
        <f t="shared" si="31"/>
        <v>-1.2885432324684651E-2</v>
      </c>
      <c r="O63" s="11"/>
      <c r="P63" s="7">
        <v>45311.519999999997</v>
      </c>
      <c r="Q63" s="2"/>
      <c r="R63" s="6">
        <f t="shared" si="32"/>
        <v>3.6545170779790748E-2</v>
      </c>
      <c r="S63" s="2"/>
      <c r="T63" s="7">
        <v>45903</v>
      </c>
      <c r="U63" s="2"/>
      <c r="V63" s="6">
        <f t="shared" si="33"/>
        <v>3.1138432150127633E-2</v>
      </c>
      <c r="W63" s="2"/>
      <c r="X63" s="7">
        <f t="shared" si="34"/>
        <v>-591.4800000000032</v>
      </c>
      <c r="Y63" s="2"/>
      <c r="Z63" s="6">
        <f t="shared" si="35"/>
        <v>-1.2885432324684731E-2</v>
      </c>
    </row>
    <row r="64" spans="1:26" s="24" customFormat="1" hidden="1" outlineLevel="2" x14ac:dyDescent="0.25">
      <c r="A64" s="25"/>
      <c r="B64" s="11" t="str">
        <f>CONCATENATE("          ", "6324", " - ", "FURNITURE + FIXT DEPRECIATION")</f>
        <v xml:space="preserve">          6324 - FURNITURE + FIXT DEPRECIATION</v>
      </c>
      <c r="C64" s="11"/>
      <c r="D64" s="7"/>
      <c r="E64" s="2"/>
      <c r="F64" s="6">
        <f t="shared" si="28"/>
        <v>0</v>
      </c>
      <c r="G64" s="2"/>
      <c r="H64" s="7">
        <v>2244</v>
      </c>
      <c r="I64" s="2"/>
      <c r="J64" s="6">
        <f t="shared" si="29"/>
        <v>2.9034261463616604E-3</v>
      </c>
      <c r="K64" s="2"/>
      <c r="L64" s="7">
        <f t="shared" si="30"/>
        <v>-2244</v>
      </c>
      <c r="M64" s="2"/>
      <c r="N64" s="6">
        <f t="shared" si="31"/>
        <v>-1</v>
      </c>
      <c r="O64" s="11"/>
      <c r="P64" s="7"/>
      <c r="Q64" s="2"/>
      <c r="R64" s="6">
        <f t="shared" si="32"/>
        <v>0</v>
      </c>
      <c r="S64" s="2"/>
      <c r="T64" s="7">
        <v>2930</v>
      </c>
      <c r="U64" s="2"/>
      <c r="V64" s="6">
        <f t="shared" si="33"/>
        <v>1.9875739319842704E-3</v>
      </c>
      <c r="W64" s="2"/>
      <c r="X64" s="7">
        <f t="shared" si="34"/>
        <v>-2930</v>
      </c>
      <c r="Y64" s="2"/>
      <c r="Z64" s="6">
        <f t="shared" si="35"/>
        <v>-1</v>
      </c>
    </row>
    <row r="65" spans="1:26" s="24" customFormat="1" hidden="1" outlineLevel="2" x14ac:dyDescent="0.25">
      <c r="A65" s="25"/>
      <c r="B65" s="11" t="str">
        <f>CONCATENATE("          ", "6326", " - ", "VEHICLES DEPRECIATION EXPENSE")</f>
        <v xml:space="preserve">          6326 - VEHICLES DEPRECIATION EXPENSE</v>
      </c>
      <c r="C65" s="11"/>
      <c r="D65" s="7">
        <v>424.25</v>
      </c>
      <c r="E65" s="2"/>
      <c r="F65" s="6">
        <f t="shared" si="28"/>
        <v>5.950784925714286E-4</v>
      </c>
      <c r="G65" s="2"/>
      <c r="H65" s="7">
        <v>424</v>
      </c>
      <c r="I65" s="2"/>
      <c r="J65" s="6">
        <f t="shared" si="29"/>
        <v>5.4859745367974325E-4</v>
      </c>
      <c r="K65" s="2"/>
      <c r="L65" s="7">
        <f t="shared" si="30"/>
        <v>0.25</v>
      </c>
      <c r="M65" s="2"/>
      <c r="N65" s="6">
        <f t="shared" si="31"/>
        <v>5.8962264150943394E-4</v>
      </c>
      <c r="O65" s="11"/>
      <c r="P65" s="7">
        <v>1272.75</v>
      </c>
      <c r="Q65" s="2"/>
      <c r="R65" s="6">
        <f t="shared" si="32"/>
        <v>1.0265130392884344E-3</v>
      </c>
      <c r="S65" s="2"/>
      <c r="T65" s="7">
        <v>1272</v>
      </c>
      <c r="U65" s="2"/>
      <c r="V65" s="6">
        <f t="shared" si="33"/>
        <v>8.6286486057474121E-4</v>
      </c>
      <c r="W65" s="2"/>
      <c r="X65" s="7">
        <f t="shared" si="34"/>
        <v>0.75</v>
      </c>
      <c r="Y65" s="2"/>
      <c r="Z65" s="6">
        <f t="shared" si="35"/>
        <v>5.8962264150943394E-4</v>
      </c>
    </row>
    <row r="66" spans="1:26" s="26" customFormat="1" outlineLevel="1" collapsed="1" x14ac:dyDescent="0.25">
      <c r="A66" s="27"/>
      <c r="B66" s="13" t="str">
        <f>CONCATENATE("     ","Donations                                         ")</f>
        <v xml:space="preserve">     Donations                                         </v>
      </c>
      <c r="C66" s="13"/>
      <c r="D66" s="1">
        <f>SUM(OSRRefD22_6x_0)</f>
        <v>0</v>
      </c>
      <c r="E66" s="1"/>
      <c r="F66" s="5">
        <f t="shared" ref="F66:F74" si="36">IF(D$12=0,0,D66/D$12)</f>
        <v>0</v>
      </c>
      <c r="G66" s="1"/>
      <c r="H66" s="1">
        <f>SUM(OSRRefH22_6x_0)</f>
        <v>500</v>
      </c>
      <c r="I66" s="1"/>
      <c r="J66" s="5">
        <f t="shared" ref="J66:J74" si="37">IF(H$12=0,0,H66/H$12)</f>
        <v>6.4693095952799914E-4</v>
      </c>
      <c r="K66" s="1"/>
      <c r="L66" s="1">
        <f t="shared" ref="L66:L74" si="38">+D66-H66</f>
        <v>-500</v>
      </c>
      <c r="M66" s="1"/>
      <c r="N66" s="5">
        <f t="shared" ref="N66:N74" si="39">IF(H66=0,0,L66/H66)</f>
        <v>-1</v>
      </c>
      <c r="O66" s="13"/>
      <c r="P66" s="1">
        <f>SUM(OSRRefP22_6x_0)</f>
        <v>0</v>
      </c>
      <c r="Q66" s="1"/>
      <c r="R66" s="5">
        <f t="shared" ref="R66:R74" si="40">IF(P$12=0,0,P66/P$12)</f>
        <v>0</v>
      </c>
      <c r="S66" s="1"/>
      <c r="T66" s="1">
        <f>SUM(OSRRefT22_6x_0)</f>
        <v>800</v>
      </c>
      <c r="U66" s="1"/>
      <c r="V66" s="5">
        <f t="shared" ref="V66:V74" si="41">IF(T$12=0,0,T66/T$12)</f>
        <v>5.42682302248265E-4</v>
      </c>
      <c r="W66" s="1"/>
      <c r="X66" s="1">
        <f t="shared" ref="X66:X74" si="42">+P66-T66</f>
        <v>-800</v>
      </c>
      <c r="Y66" s="1"/>
      <c r="Z66" s="5">
        <f t="shared" ref="Z66:Z74" si="43">IF(T66=0,0,X66/T66)</f>
        <v>-1</v>
      </c>
    </row>
    <row r="67" spans="1:26" s="24" customFormat="1" hidden="1" outlineLevel="2" x14ac:dyDescent="0.25">
      <c r="A67" s="25"/>
      <c r="B67" s="11" t="str">
        <f>CONCATENATE("          ", "6399", " - ", "DONATION-ON CAMPUS")</f>
        <v xml:space="preserve">          6399 - DONATION-ON CAMPUS</v>
      </c>
      <c r="C67" s="11"/>
      <c r="D67" s="7"/>
      <c r="E67" s="2"/>
      <c r="F67" s="6">
        <f t="shared" si="36"/>
        <v>0</v>
      </c>
      <c r="G67" s="2"/>
      <c r="H67" s="7">
        <v>500</v>
      </c>
      <c r="I67" s="2"/>
      <c r="J67" s="6">
        <f t="shared" si="37"/>
        <v>6.4693095952799914E-4</v>
      </c>
      <c r="K67" s="2"/>
      <c r="L67" s="7">
        <f t="shared" si="38"/>
        <v>-500</v>
      </c>
      <c r="M67" s="2"/>
      <c r="N67" s="6">
        <f t="shared" si="39"/>
        <v>-1</v>
      </c>
      <c r="O67" s="11"/>
      <c r="P67" s="7"/>
      <c r="Q67" s="2"/>
      <c r="R67" s="6">
        <f t="shared" si="40"/>
        <v>0</v>
      </c>
      <c r="S67" s="2"/>
      <c r="T67" s="7">
        <v>800</v>
      </c>
      <c r="U67" s="2"/>
      <c r="V67" s="6">
        <f t="shared" si="41"/>
        <v>5.42682302248265E-4</v>
      </c>
      <c r="W67" s="2"/>
      <c r="X67" s="7">
        <f t="shared" si="42"/>
        <v>-800</v>
      </c>
      <c r="Y67" s="2"/>
      <c r="Z67" s="6">
        <f t="shared" si="43"/>
        <v>-1</v>
      </c>
    </row>
    <row r="68" spans="1:26" s="26" customFormat="1" outlineLevel="1" collapsed="1" x14ac:dyDescent="0.25">
      <c r="A68" s="27"/>
      <c r="B68" s="13" t="str">
        <f>CONCATENATE("     ","Employees' Appreciation                           ")</f>
        <v xml:space="preserve">     Employees' Appreciation                           </v>
      </c>
      <c r="C68" s="13"/>
      <c r="D68" s="1">
        <f>SUM(OSRRefD22_7x_0)</f>
        <v>19.84</v>
      </c>
      <c r="E68" s="1"/>
      <c r="F68" s="5">
        <f t="shared" si="36"/>
        <v>2.782877381877936E-5</v>
      </c>
      <c r="G68" s="1"/>
      <c r="H68" s="1">
        <f>SUM(OSRRefH22_7x_0)</f>
        <v>225</v>
      </c>
      <c r="I68" s="1"/>
      <c r="J68" s="5">
        <f t="shared" si="37"/>
        <v>2.9111893178759965E-4</v>
      </c>
      <c r="K68" s="1"/>
      <c r="L68" s="1">
        <f t="shared" si="38"/>
        <v>-205.16</v>
      </c>
      <c r="M68" s="1"/>
      <c r="N68" s="5">
        <f t="shared" si="39"/>
        <v>-0.9118222222222222</v>
      </c>
      <c r="O68" s="13"/>
      <c r="P68" s="1">
        <f>SUM(OSRRefP22_7x_0)</f>
        <v>419.56</v>
      </c>
      <c r="Q68" s="1"/>
      <c r="R68" s="5">
        <f t="shared" si="40"/>
        <v>3.3838838009338484E-4</v>
      </c>
      <c r="S68" s="1"/>
      <c r="T68" s="1">
        <f>SUM(OSRRefT22_7x_0)</f>
        <v>940</v>
      </c>
      <c r="U68" s="1"/>
      <c r="V68" s="5">
        <f t="shared" si="41"/>
        <v>6.3765170514171134E-4</v>
      </c>
      <c r="W68" s="1"/>
      <c r="X68" s="1">
        <f t="shared" si="42"/>
        <v>-520.44000000000005</v>
      </c>
      <c r="Y68" s="1"/>
      <c r="Z68" s="5">
        <f t="shared" si="43"/>
        <v>-0.55365957446808511</v>
      </c>
    </row>
    <row r="69" spans="1:26" s="24" customFormat="1" hidden="1" outlineLevel="2" x14ac:dyDescent="0.25">
      <c r="A69" s="25"/>
      <c r="B69" s="11" t="str">
        <f>CONCATENATE("          ", "6277", " - ", "EMPLOYEE APPRECIATION")</f>
        <v xml:space="preserve">          6277 - EMPLOYEE APPRECIATION</v>
      </c>
      <c r="C69" s="11"/>
      <c r="D69" s="7">
        <v>19.84</v>
      </c>
      <c r="E69" s="2"/>
      <c r="F69" s="6">
        <f t="shared" si="36"/>
        <v>2.782877381877936E-5</v>
      </c>
      <c r="G69" s="2"/>
      <c r="H69" s="7">
        <v>225</v>
      </c>
      <c r="I69" s="2"/>
      <c r="J69" s="6">
        <f t="shared" si="37"/>
        <v>2.9111893178759965E-4</v>
      </c>
      <c r="K69" s="2"/>
      <c r="L69" s="7">
        <f t="shared" si="38"/>
        <v>-205.16</v>
      </c>
      <c r="M69" s="2"/>
      <c r="N69" s="6">
        <f t="shared" si="39"/>
        <v>-0.9118222222222222</v>
      </c>
      <c r="O69" s="11"/>
      <c r="P69" s="7">
        <v>419.56</v>
      </c>
      <c r="Q69" s="2"/>
      <c r="R69" s="6">
        <f t="shared" si="40"/>
        <v>3.3838838009338484E-4</v>
      </c>
      <c r="S69" s="2"/>
      <c r="T69" s="7">
        <v>940</v>
      </c>
      <c r="U69" s="2"/>
      <c r="V69" s="6">
        <f t="shared" si="41"/>
        <v>6.3765170514171134E-4</v>
      </c>
      <c r="W69" s="2"/>
      <c r="X69" s="7">
        <f t="shared" si="42"/>
        <v>-520.44000000000005</v>
      </c>
      <c r="Y69" s="2"/>
      <c r="Z69" s="6">
        <f t="shared" si="43"/>
        <v>-0.55365957446808511</v>
      </c>
    </row>
    <row r="70" spans="1:26" s="26" customFormat="1" outlineLevel="1" collapsed="1" x14ac:dyDescent="0.25">
      <c r="A70" s="27"/>
      <c r="B70" s="13" t="str">
        <f>CONCATENATE("     ","Equipment Rental                                  ")</f>
        <v xml:space="preserve">     Equipment Rental                                  </v>
      </c>
      <c r="C70" s="13"/>
      <c r="D70" s="1">
        <f>SUM(OSRRefD22_8x_0)</f>
        <v>2203.21</v>
      </c>
      <c r="E70" s="1"/>
      <c r="F70" s="5">
        <f t="shared" si="36"/>
        <v>3.0903544740560926E-3</v>
      </c>
      <c r="G70" s="1"/>
      <c r="H70" s="1">
        <f>SUM(OSRRefH22_8x_0)</f>
        <v>1800</v>
      </c>
      <c r="I70" s="1"/>
      <c r="J70" s="5">
        <f t="shared" si="37"/>
        <v>2.3289514543007972E-3</v>
      </c>
      <c r="K70" s="1"/>
      <c r="L70" s="1">
        <f t="shared" si="38"/>
        <v>403.21000000000004</v>
      </c>
      <c r="M70" s="1"/>
      <c r="N70" s="5">
        <f t="shared" si="39"/>
        <v>0.22400555555555557</v>
      </c>
      <c r="O70" s="13"/>
      <c r="P70" s="1">
        <f>SUM(OSRRefP22_8x_0)</f>
        <v>6368.81</v>
      </c>
      <c r="Q70" s="1"/>
      <c r="R70" s="5">
        <f t="shared" si="40"/>
        <v>5.1366462461210557E-3</v>
      </c>
      <c r="S70" s="1"/>
      <c r="T70" s="1">
        <f>SUM(OSRRefT22_8x_0)</f>
        <v>4695</v>
      </c>
      <c r="U70" s="1"/>
      <c r="V70" s="5">
        <f t="shared" si="41"/>
        <v>3.184866761319505E-3</v>
      </c>
      <c r="W70" s="1"/>
      <c r="X70" s="1">
        <f t="shared" si="42"/>
        <v>1673.8100000000004</v>
      </c>
      <c r="Y70" s="1"/>
      <c r="Z70" s="5">
        <f t="shared" si="43"/>
        <v>0.35650905218317369</v>
      </c>
    </row>
    <row r="71" spans="1:26" s="24" customFormat="1" hidden="1" outlineLevel="2" x14ac:dyDescent="0.25">
      <c r="A71" s="25"/>
      <c r="B71" s="11" t="str">
        <f>CONCATENATE("          ", "6351", " - ", "EQUIPMENT RENTAL")</f>
        <v xml:space="preserve">          6351 - EQUIPMENT RENTAL</v>
      </c>
      <c r="C71" s="11"/>
      <c r="D71" s="7">
        <v>2203.21</v>
      </c>
      <c r="E71" s="2"/>
      <c r="F71" s="6">
        <f t="shared" si="36"/>
        <v>3.0903544740560926E-3</v>
      </c>
      <c r="G71" s="2"/>
      <c r="H71" s="7">
        <v>1800</v>
      </c>
      <c r="I71" s="2"/>
      <c r="J71" s="6">
        <f t="shared" si="37"/>
        <v>2.3289514543007972E-3</v>
      </c>
      <c r="K71" s="2"/>
      <c r="L71" s="7">
        <f t="shared" si="38"/>
        <v>403.21000000000004</v>
      </c>
      <c r="M71" s="2"/>
      <c r="N71" s="6">
        <f t="shared" si="39"/>
        <v>0.22400555555555557</v>
      </c>
      <c r="O71" s="11"/>
      <c r="P71" s="7">
        <v>6368.81</v>
      </c>
      <c r="Q71" s="2"/>
      <c r="R71" s="6">
        <f t="shared" si="40"/>
        <v>5.1366462461210557E-3</v>
      </c>
      <c r="S71" s="2"/>
      <c r="T71" s="7">
        <v>4695</v>
      </c>
      <c r="U71" s="2"/>
      <c r="V71" s="6">
        <f t="shared" si="41"/>
        <v>3.184866761319505E-3</v>
      </c>
      <c r="W71" s="2"/>
      <c r="X71" s="7">
        <f t="shared" si="42"/>
        <v>1673.8100000000004</v>
      </c>
      <c r="Y71" s="2"/>
      <c r="Z71" s="6">
        <f t="shared" si="43"/>
        <v>0.35650905218317369</v>
      </c>
    </row>
    <row r="72" spans="1:26" s="26" customFormat="1" outlineLevel="1" collapsed="1" x14ac:dyDescent="0.25">
      <c r="A72" s="27"/>
      <c r="B72" s="13" t="str">
        <f>CONCATENATE("     ","General                                           ")</f>
        <v xml:space="preserve">     General                                           </v>
      </c>
      <c r="C72" s="13"/>
      <c r="D72" s="1">
        <f>SUM(OSRRefD22_9x_0)</f>
        <v>7452.15</v>
      </c>
      <c r="E72" s="1"/>
      <c r="F72" s="5">
        <f t="shared" si="36"/>
        <v>1.0452832500686321E-2</v>
      </c>
      <c r="G72" s="1"/>
      <c r="H72" s="1">
        <f>SUM(OSRRefH22_9x_0)</f>
        <v>3300</v>
      </c>
      <c r="I72" s="1"/>
      <c r="J72" s="5">
        <f t="shared" si="37"/>
        <v>4.2697443328847942E-3</v>
      </c>
      <c r="K72" s="1"/>
      <c r="L72" s="1">
        <f t="shared" si="38"/>
        <v>4152.1499999999996</v>
      </c>
      <c r="M72" s="1"/>
      <c r="N72" s="5">
        <f t="shared" si="39"/>
        <v>1.2582272727272725</v>
      </c>
      <c r="O72" s="13"/>
      <c r="P72" s="1">
        <f>SUM(OSRRefP22_9x_0)</f>
        <v>29518.129999999997</v>
      </c>
      <c r="Q72" s="1"/>
      <c r="R72" s="5">
        <f t="shared" si="40"/>
        <v>2.3807303351334599E-2</v>
      </c>
      <c r="S72" s="1"/>
      <c r="T72" s="1">
        <f>SUM(OSRRefT22_9x_0)</f>
        <v>19850</v>
      </c>
      <c r="U72" s="1"/>
      <c r="V72" s="5">
        <f t="shared" si="41"/>
        <v>1.3465304624535074E-2</v>
      </c>
      <c r="W72" s="1"/>
      <c r="X72" s="1">
        <f t="shared" si="42"/>
        <v>9668.1299999999974</v>
      </c>
      <c r="Y72" s="1"/>
      <c r="Z72" s="5">
        <f t="shared" si="43"/>
        <v>0.4870594458438286</v>
      </c>
    </row>
    <row r="73" spans="1:26" s="24" customFormat="1" hidden="1" outlineLevel="2" x14ac:dyDescent="0.25">
      <c r="A73" s="25"/>
      <c r="B73" s="11" t="str">
        <f>CONCATENATE("          ", "6269", " - ", "ENTERTAINMENT")</f>
        <v xml:space="preserve">          6269 - ENTERTAINMENT</v>
      </c>
      <c r="C73" s="11"/>
      <c r="D73" s="7">
        <v>1050</v>
      </c>
      <c r="E73" s="2"/>
      <c r="F73" s="6">
        <f t="shared" si="36"/>
        <v>1.472792969239835E-3</v>
      </c>
      <c r="G73" s="2"/>
      <c r="H73" s="7">
        <v>900</v>
      </c>
      <c r="I73" s="2"/>
      <c r="J73" s="6">
        <f t="shared" si="37"/>
        <v>1.1644757271503986E-3</v>
      </c>
      <c r="K73" s="2"/>
      <c r="L73" s="7">
        <f t="shared" si="38"/>
        <v>150</v>
      </c>
      <c r="M73" s="2"/>
      <c r="N73" s="6">
        <f t="shared" si="39"/>
        <v>0.16666666666666666</v>
      </c>
      <c r="O73" s="11"/>
      <c r="P73" s="7">
        <v>3650</v>
      </c>
      <c r="Q73" s="2"/>
      <c r="R73" s="6">
        <f t="shared" si="40"/>
        <v>2.9438401833846283E-3</v>
      </c>
      <c r="S73" s="2"/>
      <c r="T73" s="7">
        <v>2400</v>
      </c>
      <c r="U73" s="2"/>
      <c r="V73" s="6">
        <f t="shared" si="41"/>
        <v>1.6280469067447949E-3</v>
      </c>
      <c r="W73" s="2"/>
      <c r="X73" s="7">
        <f t="shared" si="42"/>
        <v>1250</v>
      </c>
      <c r="Y73" s="2"/>
      <c r="Z73" s="6">
        <f t="shared" si="43"/>
        <v>0.52083333333333337</v>
      </c>
    </row>
    <row r="74" spans="1:26" s="24" customFormat="1" hidden="1" outlineLevel="2" x14ac:dyDescent="0.25">
      <c r="A74" s="25"/>
      <c r="B74" s="11" t="str">
        <f>CONCATENATE("          ", "6279", " - ", "GENERAL EXPENSE")</f>
        <v xml:space="preserve">          6279 - GENERAL EXPENSE</v>
      </c>
      <c r="C74" s="11"/>
      <c r="D74" s="7">
        <v>6402.15</v>
      </c>
      <c r="E74" s="2"/>
      <c r="F74" s="6">
        <f t="shared" si="36"/>
        <v>8.9800395314464862E-3</v>
      </c>
      <c r="G74" s="2"/>
      <c r="H74" s="7">
        <v>2400</v>
      </c>
      <c r="I74" s="2"/>
      <c r="J74" s="6">
        <f t="shared" si="37"/>
        <v>3.1052686057343962E-3</v>
      </c>
      <c r="K74" s="2"/>
      <c r="L74" s="7">
        <f t="shared" si="38"/>
        <v>4002.1499999999996</v>
      </c>
      <c r="M74" s="2"/>
      <c r="N74" s="6">
        <f t="shared" si="39"/>
        <v>1.6675624999999998</v>
      </c>
      <c r="O74" s="11"/>
      <c r="P74" s="7">
        <v>25868.129999999997</v>
      </c>
      <c r="Q74" s="2"/>
      <c r="R74" s="6">
        <f t="shared" si="40"/>
        <v>2.0863463167949972E-2</v>
      </c>
      <c r="S74" s="2"/>
      <c r="T74" s="7">
        <v>17450</v>
      </c>
      <c r="U74" s="2"/>
      <c r="V74" s="6">
        <f t="shared" si="41"/>
        <v>1.1837257717790279E-2</v>
      </c>
      <c r="W74" s="2"/>
      <c r="X74" s="7">
        <f t="shared" si="42"/>
        <v>8418.1299999999974</v>
      </c>
      <c r="Y74" s="2"/>
      <c r="Z74" s="6">
        <f t="shared" si="43"/>
        <v>0.48241432664756434</v>
      </c>
    </row>
    <row r="75" spans="1:26" s="26" customFormat="1" outlineLevel="1" collapsed="1" x14ac:dyDescent="0.25">
      <c r="A75" s="27"/>
      <c r="B75" s="13" t="str">
        <f>CONCATENATE("     ","Insurance                                         ")</f>
        <v xml:space="preserve">     Insurance                                         </v>
      </c>
      <c r="C75" s="13"/>
      <c r="D75" s="1">
        <f>SUM(OSRRefD22_10x_0)</f>
        <v>4240.13</v>
      </c>
      <c r="E75" s="1"/>
      <c r="F75" s="5">
        <f t="shared" ref="F75:F87" si="44">IF(D$12=0,0,D75/D$12)</f>
        <v>5.9474606215837167E-3</v>
      </c>
      <c r="G75" s="1"/>
      <c r="H75" s="1">
        <f>SUM(OSRRefH22_10x_0)</f>
        <v>4004</v>
      </c>
      <c r="I75" s="1"/>
      <c r="J75" s="5">
        <f t="shared" ref="J75:J87" si="45">IF(H$12=0,0,H75/H$12)</f>
        <v>5.180623123900217E-3</v>
      </c>
      <c r="K75" s="1"/>
      <c r="L75" s="1">
        <f t="shared" ref="L75:L87" si="46">+D75-H75</f>
        <v>236.13000000000011</v>
      </c>
      <c r="M75" s="1"/>
      <c r="N75" s="5">
        <f t="shared" ref="N75:N87" si="47">IF(H75=0,0,L75/H75)</f>
        <v>5.8973526473526501E-2</v>
      </c>
      <c r="O75" s="13"/>
      <c r="P75" s="1">
        <f>SUM(OSRRefP22_10x_0)</f>
        <v>12720.39</v>
      </c>
      <c r="Q75" s="1"/>
      <c r="R75" s="5">
        <f t="shared" ref="R75:R87" si="48">IF(P$12=0,0,P75/P$12)</f>
        <v>1.0259395953513422E-2</v>
      </c>
      <c r="S75" s="1"/>
      <c r="T75" s="1">
        <f>SUM(OSRRefT22_10x_0)</f>
        <v>12012</v>
      </c>
      <c r="U75" s="1"/>
      <c r="V75" s="5">
        <f t="shared" ref="V75:V87" si="49">IF(T$12=0,0,T75/T$12)</f>
        <v>8.1483747682576987E-3</v>
      </c>
      <c r="W75" s="1"/>
      <c r="X75" s="1">
        <f t="shared" ref="X75:X87" si="50">+P75-T75</f>
        <v>708.38999999999942</v>
      </c>
      <c r="Y75" s="1"/>
      <c r="Z75" s="5">
        <f t="shared" ref="Z75:Z87" si="51">IF(T75=0,0,X75/T75)</f>
        <v>5.8973526473526425E-2</v>
      </c>
    </row>
    <row r="76" spans="1:26" s="24" customFormat="1" hidden="1" outlineLevel="2" x14ac:dyDescent="0.25">
      <c r="A76" s="25"/>
      <c r="B76" s="11" t="str">
        <f>CONCATENATE("          ", "6314", " - ", "LIABILITY INSURANCE")</f>
        <v xml:space="preserve">          6314 - LIABILITY INSURANCE</v>
      </c>
      <c r="C76" s="11"/>
      <c r="D76" s="7">
        <v>4240.13</v>
      </c>
      <c r="E76" s="2"/>
      <c r="F76" s="6">
        <f t="shared" si="44"/>
        <v>5.9474606215837167E-3</v>
      </c>
      <c r="G76" s="2"/>
      <c r="H76" s="7">
        <v>4004</v>
      </c>
      <c r="I76" s="2"/>
      <c r="J76" s="6">
        <f t="shared" si="45"/>
        <v>5.180623123900217E-3</v>
      </c>
      <c r="K76" s="2"/>
      <c r="L76" s="7">
        <f t="shared" si="46"/>
        <v>236.13000000000011</v>
      </c>
      <c r="M76" s="2"/>
      <c r="N76" s="6">
        <f t="shared" si="47"/>
        <v>5.8973526473526501E-2</v>
      </c>
      <c r="O76" s="11"/>
      <c r="P76" s="7">
        <v>12720.39</v>
      </c>
      <c r="Q76" s="2"/>
      <c r="R76" s="6">
        <f t="shared" si="48"/>
        <v>1.0259395953513422E-2</v>
      </c>
      <c r="S76" s="2"/>
      <c r="T76" s="7">
        <v>12012</v>
      </c>
      <c r="U76" s="2"/>
      <c r="V76" s="6">
        <f t="shared" si="49"/>
        <v>8.1483747682576987E-3</v>
      </c>
      <c r="W76" s="2"/>
      <c r="X76" s="7">
        <f t="shared" si="50"/>
        <v>708.38999999999942</v>
      </c>
      <c r="Y76" s="2"/>
      <c r="Z76" s="6">
        <f t="shared" si="51"/>
        <v>5.8973526473526425E-2</v>
      </c>
    </row>
    <row r="77" spans="1:26" s="26" customFormat="1" outlineLevel="1" collapsed="1" x14ac:dyDescent="0.25">
      <c r="A77" s="27"/>
      <c r="B77" s="13" t="str">
        <f>CONCATENATE("     ","Interest                                          ")</f>
        <v xml:space="preserve">     Interest                                          </v>
      </c>
      <c r="C77" s="13"/>
      <c r="D77" s="1">
        <f>SUM(OSRRefD22_11x_0)</f>
        <v>7630</v>
      </c>
      <c r="E77" s="1"/>
      <c r="F77" s="5">
        <f t="shared" si="44"/>
        <v>1.0702295576476135E-2</v>
      </c>
      <c r="G77" s="1"/>
      <c r="H77" s="1">
        <f>SUM(OSRRefH22_11x_0)</f>
        <v>7754</v>
      </c>
      <c r="I77" s="1"/>
      <c r="J77" s="5">
        <f t="shared" si="45"/>
        <v>1.0032605320360211E-2</v>
      </c>
      <c r="K77" s="1"/>
      <c r="L77" s="1">
        <f t="shared" si="46"/>
        <v>-124</v>
      </c>
      <c r="M77" s="1"/>
      <c r="N77" s="5">
        <f t="shared" si="47"/>
        <v>-1.5991746195511993E-2</v>
      </c>
      <c r="O77" s="13"/>
      <c r="P77" s="1">
        <f>SUM(OSRRefP22_11x_0)</f>
        <v>22890</v>
      </c>
      <c r="Q77" s="1"/>
      <c r="R77" s="5">
        <f t="shared" si="48"/>
        <v>1.8461507341828529E-2</v>
      </c>
      <c r="S77" s="1"/>
      <c r="T77" s="1">
        <f>SUM(OSRRefT22_11x_0)</f>
        <v>23262</v>
      </c>
      <c r="U77" s="1"/>
      <c r="V77" s="5">
        <f t="shared" si="49"/>
        <v>1.5779844643623923E-2</v>
      </c>
      <c r="W77" s="1"/>
      <c r="X77" s="1">
        <f t="shared" si="50"/>
        <v>-372</v>
      </c>
      <c r="Y77" s="1"/>
      <c r="Z77" s="5">
        <f t="shared" si="51"/>
        <v>-1.5991746195511993E-2</v>
      </c>
    </row>
    <row r="78" spans="1:26" s="24" customFormat="1" hidden="1" outlineLevel="2" x14ac:dyDescent="0.25">
      <c r="A78" s="25"/>
      <c r="B78" s="11" t="str">
        <f>CONCATENATE("          ", "6401", " - ", "INTEREST EXPENSE")</f>
        <v xml:space="preserve">          6401 - INTEREST EXPENSE</v>
      </c>
      <c r="C78" s="11"/>
      <c r="D78" s="7">
        <v>7630</v>
      </c>
      <c r="E78" s="2"/>
      <c r="F78" s="6">
        <f t="shared" si="44"/>
        <v>1.0702295576476135E-2</v>
      </c>
      <c r="G78" s="2"/>
      <c r="H78" s="7">
        <v>7754</v>
      </c>
      <c r="I78" s="2"/>
      <c r="J78" s="6">
        <f t="shared" si="45"/>
        <v>1.0032605320360211E-2</v>
      </c>
      <c r="K78" s="2"/>
      <c r="L78" s="7">
        <f t="shared" si="46"/>
        <v>-124</v>
      </c>
      <c r="M78" s="2"/>
      <c r="N78" s="6">
        <f t="shared" si="47"/>
        <v>-1.5991746195511993E-2</v>
      </c>
      <c r="O78" s="11"/>
      <c r="P78" s="7">
        <v>22890</v>
      </c>
      <c r="Q78" s="2"/>
      <c r="R78" s="6">
        <f t="shared" si="48"/>
        <v>1.8461507341828529E-2</v>
      </c>
      <c r="S78" s="2"/>
      <c r="T78" s="7">
        <v>23262</v>
      </c>
      <c r="U78" s="2"/>
      <c r="V78" s="6">
        <f t="shared" si="49"/>
        <v>1.5779844643623923E-2</v>
      </c>
      <c r="W78" s="2"/>
      <c r="X78" s="7">
        <f t="shared" si="50"/>
        <v>-372</v>
      </c>
      <c r="Y78" s="2"/>
      <c r="Z78" s="6">
        <f t="shared" si="51"/>
        <v>-1.5991746195511993E-2</v>
      </c>
    </row>
    <row r="79" spans="1:26" s="26" customFormat="1" outlineLevel="1" collapsed="1" x14ac:dyDescent="0.25">
      <c r="A79" s="27"/>
      <c r="B79" s="13" t="str">
        <f>CONCATENATE("     ","Professional Services                             ")</f>
        <v xml:space="preserve">     Professional Services                             </v>
      </c>
      <c r="C79" s="13"/>
      <c r="D79" s="1">
        <f>SUM(OSRRefD22_12x_0)</f>
        <v>0</v>
      </c>
      <c r="E79" s="1"/>
      <c r="F79" s="5">
        <f t="shared" si="44"/>
        <v>0</v>
      </c>
      <c r="G79" s="1"/>
      <c r="H79" s="1">
        <f>SUM(OSRRefH22_12x_0)</f>
        <v>0</v>
      </c>
      <c r="I79" s="1"/>
      <c r="J79" s="5">
        <f t="shared" si="45"/>
        <v>0</v>
      </c>
      <c r="K79" s="1"/>
      <c r="L79" s="1">
        <f t="shared" si="46"/>
        <v>0</v>
      </c>
      <c r="M79" s="1"/>
      <c r="N79" s="5">
        <f t="shared" si="47"/>
        <v>0</v>
      </c>
      <c r="O79" s="13"/>
      <c r="P79" s="1">
        <f>SUM(OSRRefP22_12x_0)</f>
        <v>125</v>
      </c>
      <c r="Q79" s="1"/>
      <c r="R79" s="5">
        <f t="shared" si="48"/>
        <v>1.0081644463645987E-4</v>
      </c>
      <c r="S79" s="1"/>
      <c r="T79" s="1">
        <f>SUM(OSRRefT22_12x_0)</f>
        <v>0</v>
      </c>
      <c r="U79" s="1"/>
      <c r="V79" s="5">
        <f t="shared" si="49"/>
        <v>0</v>
      </c>
      <c r="W79" s="1"/>
      <c r="X79" s="1">
        <f t="shared" si="50"/>
        <v>125</v>
      </c>
      <c r="Y79" s="1"/>
      <c r="Z79" s="5">
        <f t="shared" si="51"/>
        <v>0</v>
      </c>
    </row>
    <row r="80" spans="1:26" s="24" customFormat="1" hidden="1" outlineLevel="2" x14ac:dyDescent="0.25">
      <c r="A80" s="25"/>
      <c r="B80" s="11" t="str">
        <f>CONCATENATE("          ", "6336", " - ", "PROFESSIONAL SERVICES")</f>
        <v xml:space="preserve">          6336 - PROFESSIONAL SERVICES</v>
      </c>
      <c r="C80" s="11"/>
      <c r="D80" s="7"/>
      <c r="E80" s="2"/>
      <c r="F80" s="6">
        <f t="shared" si="44"/>
        <v>0</v>
      </c>
      <c r="G80" s="2"/>
      <c r="H80" s="7"/>
      <c r="I80" s="2"/>
      <c r="J80" s="6">
        <f t="shared" si="45"/>
        <v>0</v>
      </c>
      <c r="K80" s="2"/>
      <c r="L80" s="7">
        <f t="shared" si="46"/>
        <v>0</v>
      </c>
      <c r="M80" s="2"/>
      <c r="N80" s="6">
        <f t="shared" si="47"/>
        <v>0</v>
      </c>
      <c r="O80" s="11"/>
      <c r="P80" s="7">
        <v>125</v>
      </c>
      <c r="Q80" s="2"/>
      <c r="R80" s="6">
        <f t="shared" si="48"/>
        <v>1.0081644463645987E-4</v>
      </c>
      <c r="S80" s="2"/>
      <c r="T80" s="7"/>
      <c r="U80" s="2"/>
      <c r="V80" s="6">
        <f t="shared" si="49"/>
        <v>0</v>
      </c>
      <c r="W80" s="2"/>
      <c r="X80" s="7">
        <f t="shared" si="50"/>
        <v>125</v>
      </c>
      <c r="Y80" s="2"/>
      <c r="Z80" s="6">
        <f t="shared" si="51"/>
        <v>0</v>
      </c>
    </row>
    <row r="81" spans="1:26" s="26" customFormat="1" outlineLevel="1" collapsed="1" x14ac:dyDescent="0.25">
      <c r="A81" s="27"/>
      <c r="B81" s="13" t="str">
        <f>CONCATENATE("     ","Rent                                              ")</f>
        <v xml:space="preserve">     Rent                                              </v>
      </c>
      <c r="C81" s="13"/>
      <c r="D81" s="1">
        <f>SUM(OSRRefD22_13x_0)</f>
        <v>1850</v>
      </c>
      <c r="E81" s="1"/>
      <c r="F81" s="5">
        <f t="shared" si="44"/>
        <v>2.594920945803519E-3</v>
      </c>
      <c r="G81" s="1"/>
      <c r="H81" s="1">
        <f>SUM(OSRRefH22_13x_0)</f>
        <v>1850</v>
      </c>
      <c r="I81" s="1"/>
      <c r="J81" s="5">
        <f t="shared" si="45"/>
        <v>2.3936445502535969E-3</v>
      </c>
      <c r="K81" s="1"/>
      <c r="L81" s="1">
        <f t="shared" si="46"/>
        <v>0</v>
      </c>
      <c r="M81" s="1"/>
      <c r="N81" s="5">
        <f t="shared" si="47"/>
        <v>0</v>
      </c>
      <c r="O81" s="13"/>
      <c r="P81" s="1">
        <f>SUM(OSRRefP22_13x_0)</f>
        <v>5550</v>
      </c>
      <c r="Q81" s="1"/>
      <c r="R81" s="5">
        <f t="shared" si="48"/>
        <v>4.4762501418588183E-3</v>
      </c>
      <c r="S81" s="1"/>
      <c r="T81" s="1">
        <f>SUM(OSRRefT22_13x_0)</f>
        <v>5550</v>
      </c>
      <c r="U81" s="1"/>
      <c r="V81" s="5">
        <f t="shared" si="49"/>
        <v>3.7648584718473379E-3</v>
      </c>
      <c r="W81" s="1"/>
      <c r="X81" s="1">
        <f t="shared" si="50"/>
        <v>0</v>
      </c>
      <c r="Y81" s="1"/>
      <c r="Z81" s="5">
        <f t="shared" si="51"/>
        <v>0</v>
      </c>
    </row>
    <row r="82" spans="1:26" s="24" customFormat="1" hidden="1" outlineLevel="2" x14ac:dyDescent="0.25">
      <c r="A82" s="25"/>
      <c r="B82" s="11" t="str">
        <f>CONCATENATE("          ", "6273", " - ", "RENT")</f>
        <v xml:space="preserve">          6273 - RENT</v>
      </c>
      <c r="C82" s="11"/>
      <c r="D82" s="7">
        <v>1850</v>
      </c>
      <c r="E82" s="2"/>
      <c r="F82" s="6">
        <f t="shared" si="44"/>
        <v>2.594920945803519E-3</v>
      </c>
      <c r="G82" s="2"/>
      <c r="H82" s="7">
        <v>1850</v>
      </c>
      <c r="I82" s="2"/>
      <c r="J82" s="6">
        <f t="shared" si="45"/>
        <v>2.3936445502535969E-3</v>
      </c>
      <c r="K82" s="2"/>
      <c r="L82" s="7">
        <f t="shared" si="46"/>
        <v>0</v>
      </c>
      <c r="M82" s="2"/>
      <c r="N82" s="6">
        <f t="shared" si="47"/>
        <v>0</v>
      </c>
      <c r="O82" s="11"/>
      <c r="P82" s="7">
        <v>5550</v>
      </c>
      <c r="Q82" s="2"/>
      <c r="R82" s="6">
        <f t="shared" si="48"/>
        <v>4.4762501418588183E-3</v>
      </c>
      <c r="S82" s="2"/>
      <c r="T82" s="7">
        <v>5550</v>
      </c>
      <c r="U82" s="2"/>
      <c r="V82" s="6">
        <f t="shared" si="49"/>
        <v>3.7648584718473379E-3</v>
      </c>
      <c r="W82" s="2"/>
      <c r="X82" s="7">
        <f t="shared" si="50"/>
        <v>0</v>
      </c>
      <c r="Y82" s="2"/>
      <c r="Z82" s="6">
        <f t="shared" si="51"/>
        <v>0</v>
      </c>
    </row>
    <row r="83" spans="1:26" s="26" customFormat="1" outlineLevel="1" collapsed="1" x14ac:dyDescent="0.25">
      <c r="A83" s="27"/>
      <c r="B83" s="13" t="str">
        <f>CONCATENATE("     ","Repair and Maintenance                            ")</f>
        <v xml:space="preserve">     Repair and Maintenance                            </v>
      </c>
      <c r="C83" s="13"/>
      <c r="D83" s="1">
        <f>SUM(OSRRefD22_14x_0)</f>
        <v>32297.57</v>
      </c>
      <c r="E83" s="1"/>
      <c r="F83" s="5">
        <f t="shared" si="44"/>
        <v>4.5302508590029926E-2</v>
      </c>
      <c r="G83" s="1"/>
      <c r="H83" s="1">
        <f>SUM(OSRRefH22_14x_0)</f>
        <v>18523</v>
      </c>
      <c r="I83" s="1"/>
      <c r="J83" s="5">
        <f t="shared" si="45"/>
        <v>2.3966204326674258E-2</v>
      </c>
      <c r="K83" s="1"/>
      <c r="L83" s="1">
        <f t="shared" si="46"/>
        <v>13774.57</v>
      </c>
      <c r="M83" s="1"/>
      <c r="N83" s="5">
        <f t="shared" si="47"/>
        <v>0.74364681747017225</v>
      </c>
      <c r="O83" s="13"/>
      <c r="P83" s="1">
        <f>SUM(OSRRefP22_14x_0)</f>
        <v>80107.38</v>
      </c>
      <c r="Q83" s="1"/>
      <c r="R83" s="5">
        <f t="shared" si="48"/>
        <v>6.460912992593483E-2</v>
      </c>
      <c r="S83" s="1"/>
      <c r="T83" s="1">
        <f>SUM(OSRRefT22_14x_0)</f>
        <v>65548</v>
      </c>
      <c r="U83" s="1"/>
      <c r="V83" s="5">
        <f t="shared" si="49"/>
        <v>4.4464674434711589E-2</v>
      </c>
      <c r="W83" s="1"/>
      <c r="X83" s="1">
        <f t="shared" si="50"/>
        <v>14559.380000000005</v>
      </c>
      <c r="Y83" s="1"/>
      <c r="Z83" s="5">
        <f t="shared" si="51"/>
        <v>0.22211783731006293</v>
      </c>
    </row>
    <row r="84" spans="1:26" s="24" customFormat="1" hidden="1" outlineLevel="2" x14ac:dyDescent="0.25">
      <c r="A84" s="25"/>
      <c r="B84" s="11" t="str">
        <f>CONCATENATE("          ", "6371", " - ", "COMPUTER SOFTWARE MAINTENANCE")</f>
        <v xml:space="preserve">          6371 - COMPUTER SOFTWARE MAINTENANCE</v>
      </c>
      <c r="C84" s="11"/>
      <c r="D84" s="7">
        <v>10932.69</v>
      </c>
      <c r="E84" s="2"/>
      <c r="F84" s="6">
        <f t="shared" si="44"/>
        <v>1.5334846635122527E-2</v>
      </c>
      <c r="G84" s="2"/>
      <c r="H84" s="7">
        <v>50</v>
      </c>
      <c r="I84" s="2"/>
      <c r="J84" s="6">
        <f t="shared" si="45"/>
        <v>6.4693095952799917E-5</v>
      </c>
      <c r="K84" s="2"/>
      <c r="L84" s="7">
        <f t="shared" si="46"/>
        <v>10882.69</v>
      </c>
      <c r="M84" s="2"/>
      <c r="N84" s="6">
        <f t="shared" si="47"/>
        <v>217.65380000000002</v>
      </c>
      <c r="O84" s="11"/>
      <c r="P84" s="7">
        <v>10932.69</v>
      </c>
      <c r="Q84" s="2"/>
      <c r="R84" s="6">
        <f t="shared" si="48"/>
        <v>8.8175594889006274E-3</v>
      </c>
      <c r="S84" s="2"/>
      <c r="T84" s="7">
        <v>650</v>
      </c>
      <c r="U84" s="2"/>
      <c r="V84" s="6">
        <f t="shared" si="49"/>
        <v>4.4092937057671526E-4</v>
      </c>
      <c r="W84" s="2"/>
      <c r="X84" s="7">
        <f t="shared" si="50"/>
        <v>10282.69</v>
      </c>
      <c r="Y84" s="2"/>
      <c r="Z84" s="6">
        <f t="shared" si="51"/>
        <v>15.819523076923078</v>
      </c>
    </row>
    <row r="85" spans="1:26" s="24" customFormat="1" hidden="1" outlineLevel="2" x14ac:dyDescent="0.25">
      <c r="A85" s="25"/>
      <c r="B85" s="11" t="str">
        <f>CONCATENATE("          ", "6372", " - ", "COMPUTER HARDWARE MAINTENANCE")</f>
        <v xml:space="preserve">          6372 - COMPUTER HARDWARE MAINTENANCE</v>
      </c>
      <c r="C85" s="11"/>
      <c r="D85" s="7"/>
      <c r="E85" s="2"/>
      <c r="F85" s="6">
        <f t="shared" si="44"/>
        <v>0</v>
      </c>
      <c r="G85" s="2"/>
      <c r="H85" s="7"/>
      <c r="I85" s="2"/>
      <c r="J85" s="6">
        <f t="shared" si="45"/>
        <v>0</v>
      </c>
      <c r="K85" s="2"/>
      <c r="L85" s="7">
        <f t="shared" si="46"/>
        <v>0</v>
      </c>
      <c r="M85" s="2"/>
      <c r="N85" s="6">
        <f t="shared" si="47"/>
        <v>0</v>
      </c>
      <c r="O85" s="11"/>
      <c r="P85" s="7"/>
      <c r="Q85" s="2"/>
      <c r="R85" s="6">
        <f t="shared" si="48"/>
        <v>0</v>
      </c>
      <c r="S85" s="2"/>
      <c r="T85" s="7">
        <v>200</v>
      </c>
      <c r="U85" s="2"/>
      <c r="V85" s="6">
        <f t="shared" si="49"/>
        <v>1.3567057556206625E-4</v>
      </c>
      <c r="W85" s="2"/>
      <c r="X85" s="7">
        <f t="shared" si="50"/>
        <v>-200</v>
      </c>
      <c r="Y85" s="2"/>
      <c r="Z85" s="6">
        <f t="shared" si="51"/>
        <v>-1</v>
      </c>
    </row>
    <row r="86" spans="1:26" s="24" customFormat="1" hidden="1" outlineLevel="2" x14ac:dyDescent="0.25">
      <c r="A86" s="25"/>
      <c r="B86" s="11" t="str">
        <f>CONCATENATE("          ", "6373", " - ", "MAINTENANCE CONTRACTS")</f>
        <v xml:space="preserve">          6373 - MAINTENANCE CONTRACTS</v>
      </c>
      <c r="C86" s="11"/>
      <c r="D86" s="7">
        <v>8717.31</v>
      </c>
      <c r="E86" s="2"/>
      <c r="F86" s="6">
        <f t="shared" si="44"/>
        <v>1.2227421789222958E-2</v>
      </c>
      <c r="G86" s="2"/>
      <c r="H86" s="7">
        <v>2573</v>
      </c>
      <c r="I86" s="2"/>
      <c r="J86" s="6">
        <f t="shared" si="45"/>
        <v>3.3291067177310838E-3</v>
      </c>
      <c r="K86" s="2"/>
      <c r="L86" s="7">
        <f t="shared" si="46"/>
        <v>6144.3099999999995</v>
      </c>
      <c r="M86" s="2"/>
      <c r="N86" s="6">
        <f t="shared" si="47"/>
        <v>2.3879945588806839</v>
      </c>
      <c r="O86" s="11"/>
      <c r="P86" s="7">
        <v>24808.510000000002</v>
      </c>
      <c r="Q86" s="2"/>
      <c r="R86" s="6">
        <f t="shared" si="48"/>
        <v>2.0008846199424491E-2</v>
      </c>
      <c r="S86" s="2"/>
      <c r="T86" s="7">
        <v>6973</v>
      </c>
      <c r="U86" s="2"/>
      <c r="V86" s="6">
        <f t="shared" si="49"/>
        <v>4.7301546169714395E-3</v>
      </c>
      <c r="W86" s="2"/>
      <c r="X86" s="7">
        <f t="shared" si="50"/>
        <v>17835.510000000002</v>
      </c>
      <c r="Y86" s="2"/>
      <c r="Z86" s="6">
        <f t="shared" si="51"/>
        <v>2.5577957837372725</v>
      </c>
    </row>
    <row r="87" spans="1:26" s="24" customFormat="1" hidden="1" outlineLevel="2" x14ac:dyDescent="0.25">
      <c r="A87" s="25"/>
      <c r="B87" s="11" t="str">
        <f>CONCATENATE("          ", "6375", " - ", "OUTSIDE REPAIRS &amp; MAINTENANCE")</f>
        <v xml:space="preserve">          6375 - OUTSIDE REPAIRS &amp; MAINTENANCE</v>
      </c>
      <c r="C87" s="11"/>
      <c r="D87" s="7">
        <v>12647.57</v>
      </c>
      <c r="E87" s="2"/>
      <c r="F87" s="6">
        <f t="shared" si="44"/>
        <v>1.7740240165684439E-2</v>
      </c>
      <c r="G87" s="2"/>
      <c r="H87" s="7">
        <v>15900</v>
      </c>
      <c r="I87" s="2"/>
      <c r="J87" s="6">
        <f t="shared" si="45"/>
        <v>2.0572404512990375E-2</v>
      </c>
      <c r="K87" s="2"/>
      <c r="L87" s="7">
        <f t="shared" si="46"/>
        <v>-3252.4300000000003</v>
      </c>
      <c r="M87" s="2"/>
      <c r="N87" s="6">
        <f t="shared" si="47"/>
        <v>-0.20455534591194971</v>
      </c>
      <c r="O87" s="11"/>
      <c r="P87" s="7">
        <v>44366.18</v>
      </c>
      <c r="Q87" s="2"/>
      <c r="R87" s="6">
        <f t="shared" si="48"/>
        <v>3.5782724237609705E-2</v>
      </c>
      <c r="S87" s="2"/>
      <c r="T87" s="7">
        <v>57725</v>
      </c>
      <c r="U87" s="2"/>
      <c r="V87" s="6">
        <f t="shared" si="49"/>
        <v>3.9157919871601367E-2</v>
      </c>
      <c r="W87" s="2"/>
      <c r="X87" s="7">
        <f t="shared" si="50"/>
        <v>-13358.82</v>
      </c>
      <c r="Y87" s="2"/>
      <c r="Z87" s="6">
        <f t="shared" si="51"/>
        <v>-0.23142174101342572</v>
      </c>
    </row>
    <row r="88" spans="1:26" s="26" customFormat="1" outlineLevel="1" collapsed="1" x14ac:dyDescent="0.25">
      <c r="A88" s="27"/>
      <c r="B88" s="13" t="str">
        <f>CONCATENATE("     ","Royalty &amp; Commissions                             ")</f>
        <v xml:space="preserve">     Royalty &amp; Commissions                             </v>
      </c>
      <c r="C88" s="13"/>
      <c r="D88" s="1">
        <f>SUM(OSRRefD22_15x_0)</f>
        <v>26561.729999999996</v>
      </c>
      <c r="E88" s="1"/>
      <c r="F88" s="5">
        <f t="shared" ref="F88:F91" si="52">IF(D$12=0,0,D88/D$12)</f>
        <v>3.7257075423663619E-2</v>
      </c>
      <c r="G88" s="1"/>
      <c r="H88" s="1">
        <f>SUM(OSRRefH22_15x_0)</f>
        <v>23064</v>
      </c>
      <c r="I88" s="1"/>
      <c r="J88" s="5">
        <f t="shared" ref="J88:J91" si="53">IF(H$12=0,0,H88/H$12)</f>
        <v>2.9841631301107546E-2</v>
      </c>
      <c r="K88" s="1"/>
      <c r="L88" s="1">
        <f t="shared" ref="L88:L91" si="54">+D88-H88</f>
        <v>3497.7299999999959</v>
      </c>
      <c r="M88" s="1"/>
      <c r="N88" s="5">
        <f t="shared" ref="N88:N91" si="55">IF(H88=0,0,L88/H88)</f>
        <v>0.15165322580645144</v>
      </c>
      <c r="O88" s="13"/>
      <c r="P88" s="1">
        <f>SUM(OSRRefP22_15x_0)</f>
        <v>60263.770000000004</v>
      </c>
      <c r="Q88" s="1"/>
      <c r="R88" s="5">
        <f t="shared" ref="R88:R91" si="56">IF(P$12=0,0,P88/P$12)</f>
        <v>4.8604632254314814E-2</v>
      </c>
      <c r="S88" s="1"/>
      <c r="T88" s="1">
        <f>SUM(OSRRefT22_15x_0)</f>
        <v>49421</v>
      </c>
      <c r="U88" s="1"/>
      <c r="V88" s="5">
        <f t="shared" ref="V88:V91" si="57">IF(T$12=0,0,T88/T$12)</f>
        <v>3.3524877574264381E-2</v>
      </c>
      <c r="W88" s="1"/>
      <c r="X88" s="1">
        <f t="shared" ref="X88:X91" si="58">+P88-T88</f>
        <v>10842.770000000004</v>
      </c>
      <c r="Y88" s="1"/>
      <c r="Z88" s="5">
        <f t="shared" ref="Z88:Z91" si="59">IF(T88=0,0,X88/T88)</f>
        <v>0.21939600574654508</v>
      </c>
    </row>
    <row r="89" spans="1:26" s="24" customFormat="1" hidden="1" outlineLevel="2" x14ac:dyDescent="0.25">
      <c r="A89" s="25"/>
      <c r="B89" s="11" t="str">
        <f>CONCATENATE("          ", "6253", " - ", "ROYALTY DUE ATHLETICS-LRG")</f>
        <v xml:space="preserve">          6253 - ROYALTY DUE ATHLETICS-LRG</v>
      </c>
      <c r="C89" s="11"/>
      <c r="D89" s="7"/>
      <c r="E89" s="2"/>
      <c r="F89" s="6">
        <f t="shared" si="52"/>
        <v>0</v>
      </c>
      <c r="G89" s="2"/>
      <c r="H89" s="7">
        <v>3000</v>
      </c>
      <c r="I89" s="2"/>
      <c r="J89" s="6">
        <f t="shared" si="53"/>
        <v>3.8815857571679949E-3</v>
      </c>
      <c r="K89" s="2"/>
      <c r="L89" s="7">
        <f t="shared" si="54"/>
        <v>-3000</v>
      </c>
      <c r="M89" s="2"/>
      <c r="N89" s="6">
        <f t="shared" si="55"/>
        <v>-1</v>
      </c>
      <c r="O89" s="11"/>
      <c r="P89" s="7"/>
      <c r="Q89" s="2"/>
      <c r="R89" s="6">
        <f t="shared" si="56"/>
        <v>0</v>
      </c>
      <c r="S89" s="2"/>
      <c r="T89" s="7">
        <v>9000</v>
      </c>
      <c r="U89" s="2"/>
      <c r="V89" s="6">
        <f t="shared" si="57"/>
        <v>6.1051759002929808E-3</v>
      </c>
      <c r="W89" s="2"/>
      <c r="X89" s="7">
        <f t="shared" si="58"/>
        <v>-9000</v>
      </c>
      <c r="Y89" s="2"/>
      <c r="Z89" s="6">
        <f t="shared" si="59"/>
        <v>-1</v>
      </c>
    </row>
    <row r="90" spans="1:26" s="24" customFormat="1" hidden="1" outlineLevel="2" x14ac:dyDescent="0.25">
      <c r="A90" s="25"/>
      <c r="B90" s="11" t="str">
        <f>CONCATENATE("          ", "6254", " - ", "ROYALTY &amp; COMMISSIONS")</f>
        <v xml:space="preserve">          6254 - ROYALTY &amp; COMMISSIONS</v>
      </c>
      <c r="C90" s="11"/>
      <c r="D90" s="7">
        <v>9813.9699999999993</v>
      </c>
      <c r="E90" s="2"/>
      <c r="F90" s="6">
        <f t="shared" si="52"/>
        <v>1.376566287269587E-2</v>
      </c>
      <c r="G90" s="2"/>
      <c r="H90" s="7"/>
      <c r="I90" s="2"/>
      <c r="J90" s="6">
        <f t="shared" si="53"/>
        <v>0</v>
      </c>
      <c r="K90" s="2"/>
      <c r="L90" s="7">
        <f t="shared" si="54"/>
        <v>9813.9699999999993</v>
      </c>
      <c r="M90" s="2"/>
      <c r="N90" s="6">
        <f t="shared" si="55"/>
        <v>0</v>
      </c>
      <c r="O90" s="11"/>
      <c r="P90" s="7">
        <v>34657.61</v>
      </c>
      <c r="Q90" s="2"/>
      <c r="R90" s="6">
        <f t="shared" si="56"/>
        <v>2.7952456158376143E-2</v>
      </c>
      <c r="S90" s="2"/>
      <c r="T90" s="7">
        <v>4117</v>
      </c>
      <c r="U90" s="2"/>
      <c r="V90" s="6">
        <f t="shared" si="57"/>
        <v>2.7927787979451332E-3</v>
      </c>
      <c r="W90" s="2"/>
      <c r="X90" s="7">
        <f t="shared" si="58"/>
        <v>30540.61</v>
      </c>
      <c r="Y90" s="2"/>
      <c r="Z90" s="6">
        <f t="shared" si="59"/>
        <v>7.4181709982997326</v>
      </c>
    </row>
    <row r="91" spans="1:26" s="24" customFormat="1" hidden="1" outlineLevel="2" x14ac:dyDescent="0.25">
      <c r="A91" s="25"/>
      <c r="B91" s="11" t="str">
        <f>CONCATENATE("          ", "6259", " - ", "ROYALTY &amp; COMMISSIONS")</f>
        <v xml:space="preserve">          6259 - ROYALTY &amp; COMMISSIONS</v>
      </c>
      <c r="C91" s="11"/>
      <c r="D91" s="7">
        <v>16747.759999999998</v>
      </c>
      <c r="E91" s="2"/>
      <c r="F91" s="6">
        <f t="shared" si="52"/>
        <v>2.349141255096775E-2</v>
      </c>
      <c r="G91" s="2"/>
      <c r="H91" s="7">
        <v>20064</v>
      </c>
      <c r="I91" s="2"/>
      <c r="J91" s="6">
        <f t="shared" si="53"/>
        <v>2.5960045543939551E-2</v>
      </c>
      <c r="K91" s="2"/>
      <c r="L91" s="7">
        <f t="shared" si="54"/>
        <v>-3316.2400000000016</v>
      </c>
      <c r="M91" s="2"/>
      <c r="N91" s="6">
        <f t="shared" si="55"/>
        <v>-0.16528309409888364</v>
      </c>
      <c r="O91" s="11"/>
      <c r="P91" s="7">
        <v>25606.16</v>
      </c>
      <c r="Q91" s="2"/>
      <c r="R91" s="6">
        <f t="shared" si="56"/>
        <v>2.0652176095938665E-2</v>
      </c>
      <c r="S91" s="2"/>
      <c r="T91" s="7">
        <v>36304</v>
      </c>
      <c r="U91" s="2"/>
      <c r="V91" s="6">
        <f t="shared" si="57"/>
        <v>2.4626922876026264E-2</v>
      </c>
      <c r="W91" s="2"/>
      <c r="X91" s="7">
        <f t="shared" si="58"/>
        <v>-10697.84</v>
      </c>
      <c r="Y91" s="2"/>
      <c r="Z91" s="6">
        <f t="shared" si="59"/>
        <v>-0.29467386513882771</v>
      </c>
    </row>
    <row r="92" spans="1:26" s="26" customFormat="1" outlineLevel="1" collapsed="1" x14ac:dyDescent="0.25">
      <c r="A92" s="27"/>
      <c r="B92" s="13" t="str">
        <f>CONCATENATE("     ","Services                                          ")</f>
        <v xml:space="preserve">     Services                                          </v>
      </c>
      <c r="C92" s="13"/>
      <c r="D92" s="1">
        <f>SUM(OSRRefD22_16x_0)</f>
        <v>19455.759999999998</v>
      </c>
      <c r="E92" s="1"/>
      <c r="F92" s="5">
        <f t="shared" ref="F92:F97" si="60">IF(D$12=0,0,D92/D$12)</f>
        <v>2.7289815751635822E-2</v>
      </c>
      <c r="G92" s="1"/>
      <c r="H92" s="1">
        <f>SUM(OSRRefH22_16x_0)</f>
        <v>22699</v>
      </c>
      <c r="I92" s="1"/>
      <c r="J92" s="5">
        <f t="shared" ref="J92:J97" si="61">IF(H$12=0,0,H92/H$12)</f>
        <v>2.9369371700652108E-2</v>
      </c>
      <c r="K92" s="1"/>
      <c r="L92" s="1">
        <f t="shared" ref="L92:L97" si="62">+D92-H92</f>
        <v>-3243.2400000000016</v>
      </c>
      <c r="M92" s="1"/>
      <c r="N92" s="5">
        <f t="shared" ref="N92:N97" si="63">IF(H92=0,0,L92/H92)</f>
        <v>-0.1428803030970528</v>
      </c>
      <c r="O92" s="13"/>
      <c r="P92" s="1">
        <f>SUM(OSRRefP22_16x_0)</f>
        <v>58527.539999999994</v>
      </c>
      <c r="Q92" s="1"/>
      <c r="R92" s="5">
        <f t="shared" ref="R92:R97" si="64">IF(P$12=0,0,P92/P$12)</f>
        <v>4.7204307968945515E-2</v>
      </c>
      <c r="S92" s="1"/>
      <c r="T92" s="1">
        <f>SUM(OSRRefT22_16x_0)</f>
        <v>66190</v>
      </c>
      <c r="U92" s="1"/>
      <c r="V92" s="5">
        <f t="shared" ref="V92:V97" si="65">IF(T$12=0,0,T92/T$12)</f>
        <v>4.4900176982265817E-2</v>
      </c>
      <c r="W92" s="1"/>
      <c r="X92" s="1">
        <f t="shared" ref="X92:X97" si="66">+P92-T92</f>
        <v>-7662.4600000000064</v>
      </c>
      <c r="Y92" s="1"/>
      <c r="Z92" s="5">
        <f t="shared" ref="Z92:Z97" si="67">IF(T92=0,0,X92/T92)</f>
        <v>-0.11576461701163328</v>
      </c>
    </row>
    <row r="93" spans="1:26" s="24" customFormat="1" hidden="1" outlineLevel="2" x14ac:dyDescent="0.25">
      <c r="A93" s="25"/>
      <c r="B93" s="11" t="str">
        <f>CONCATENATE("          ", "6282", " - ", "JANITORIAL/EXTERMINATOR EXPENS")</f>
        <v xml:space="preserve">          6282 - JANITORIAL/EXTERMINATOR EXPENS</v>
      </c>
      <c r="C93" s="11"/>
      <c r="D93" s="7">
        <v>1277.57</v>
      </c>
      <c r="E93" s="2"/>
      <c r="F93" s="6">
        <f t="shared" si="60"/>
        <v>1.7919962987730819E-3</v>
      </c>
      <c r="G93" s="2"/>
      <c r="H93" s="7">
        <v>1355</v>
      </c>
      <c r="I93" s="2"/>
      <c r="J93" s="6">
        <f t="shared" si="61"/>
        <v>1.7531829003208778E-3</v>
      </c>
      <c r="K93" s="2"/>
      <c r="L93" s="7">
        <f t="shared" si="62"/>
        <v>-77.430000000000064</v>
      </c>
      <c r="M93" s="2"/>
      <c r="N93" s="6">
        <f t="shared" si="63"/>
        <v>-5.7143911439114438E-2</v>
      </c>
      <c r="O93" s="11"/>
      <c r="P93" s="7">
        <v>3832.71</v>
      </c>
      <c r="Q93" s="2"/>
      <c r="R93" s="6">
        <f t="shared" si="64"/>
        <v>3.0912015641808488E-3</v>
      </c>
      <c r="S93" s="2"/>
      <c r="T93" s="7">
        <v>3850</v>
      </c>
      <c r="U93" s="2"/>
      <c r="V93" s="6">
        <f t="shared" si="65"/>
        <v>2.6116585795697752E-3</v>
      </c>
      <c r="W93" s="2"/>
      <c r="X93" s="7">
        <f t="shared" si="66"/>
        <v>-17.289999999999964</v>
      </c>
      <c r="Y93" s="2"/>
      <c r="Z93" s="6">
        <f t="shared" si="67"/>
        <v>-4.4909090909090819E-3</v>
      </c>
    </row>
    <row r="94" spans="1:26" s="24" customFormat="1" hidden="1" outlineLevel="2" x14ac:dyDescent="0.25">
      <c r="A94" s="25"/>
      <c r="B94" s="11" t="str">
        <f>CONCATENATE("          ", "6283", " - ", "PLANT SERVICE")</f>
        <v xml:space="preserve">          6283 - PLANT SERVICE</v>
      </c>
      <c r="C94" s="11"/>
      <c r="D94" s="7">
        <v>199.78</v>
      </c>
      <c r="E94" s="2"/>
      <c r="F94" s="6">
        <f t="shared" si="60"/>
        <v>2.8022340894736595E-4</v>
      </c>
      <c r="G94" s="2"/>
      <c r="H94" s="7">
        <v>185</v>
      </c>
      <c r="I94" s="2"/>
      <c r="J94" s="6">
        <f t="shared" si="61"/>
        <v>2.393644550253597E-4</v>
      </c>
      <c r="K94" s="2"/>
      <c r="L94" s="7">
        <f t="shared" si="62"/>
        <v>14.780000000000001</v>
      </c>
      <c r="M94" s="2"/>
      <c r="N94" s="6">
        <f t="shared" si="63"/>
        <v>7.98918918918919E-2</v>
      </c>
      <c r="O94" s="11"/>
      <c r="P94" s="7">
        <v>599.34</v>
      </c>
      <c r="Q94" s="2"/>
      <c r="R94" s="6">
        <f t="shared" si="64"/>
        <v>4.8338662342732689E-4</v>
      </c>
      <c r="S94" s="2"/>
      <c r="T94" s="7">
        <v>520</v>
      </c>
      <c r="U94" s="2"/>
      <c r="V94" s="6">
        <f t="shared" si="65"/>
        <v>3.5274349646137221E-4</v>
      </c>
      <c r="W94" s="2"/>
      <c r="X94" s="7">
        <f t="shared" si="66"/>
        <v>79.340000000000032</v>
      </c>
      <c r="Y94" s="2"/>
      <c r="Z94" s="6">
        <f t="shared" si="67"/>
        <v>0.15257692307692314</v>
      </c>
    </row>
    <row r="95" spans="1:26" s="24" customFormat="1" hidden="1" outlineLevel="2" x14ac:dyDescent="0.25">
      <c r="A95" s="25"/>
      <c r="B95" s="11" t="str">
        <f>CONCATENATE("          ", "6284", " - ", "TRASH REMOVAL EXPENSE")</f>
        <v xml:space="preserve">          6284 - TRASH REMOVAL EXPENSE</v>
      </c>
      <c r="C95" s="11"/>
      <c r="D95" s="7">
        <v>623</v>
      </c>
      <c r="E95" s="2"/>
      <c r="F95" s="6">
        <f t="shared" si="60"/>
        <v>8.7385716174896884E-4</v>
      </c>
      <c r="G95" s="2"/>
      <c r="H95" s="7">
        <v>3515</v>
      </c>
      <c r="I95" s="2"/>
      <c r="J95" s="6">
        <f t="shared" si="61"/>
        <v>4.5479246454818338E-3</v>
      </c>
      <c r="K95" s="2"/>
      <c r="L95" s="7">
        <f t="shared" si="62"/>
        <v>-2892</v>
      </c>
      <c r="M95" s="2"/>
      <c r="N95" s="6">
        <f t="shared" si="63"/>
        <v>-0.82275960170697016</v>
      </c>
      <c r="O95" s="11"/>
      <c r="P95" s="7">
        <v>4822</v>
      </c>
      <c r="Q95" s="2"/>
      <c r="R95" s="6">
        <f t="shared" si="64"/>
        <v>3.8890951682960758E-3</v>
      </c>
      <c r="S95" s="2"/>
      <c r="T95" s="7">
        <v>10545</v>
      </c>
      <c r="U95" s="2"/>
      <c r="V95" s="6">
        <f t="shared" si="65"/>
        <v>7.1532310965099419E-3</v>
      </c>
      <c r="W95" s="2"/>
      <c r="X95" s="7">
        <f t="shared" si="66"/>
        <v>-5723</v>
      </c>
      <c r="Y95" s="2"/>
      <c r="Z95" s="6">
        <f t="shared" si="67"/>
        <v>-0.54272166903745855</v>
      </c>
    </row>
    <row r="96" spans="1:26" s="24" customFormat="1" hidden="1" outlineLevel="2" x14ac:dyDescent="0.25">
      <c r="A96" s="25"/>
      <c r="B96" s="11" t="str">
        <f>CONCATENATE("          ", "6285", " - ", "JANITORIAL SERVICES")</f>
        <v xml:space="preserve">          6285 - JANITORIAL SERVICES</v>
      </c>
      <c r="C96" s="11"/>
      <c r="D96" s="7">
        <v>13674.46</v>
      </c>
      <c r="E96" s="2"/>
      <c r="F96" s="6">
        <f t="shared" si="60"/>
        <v>1.918061766300129E-2</v>
      </c>
      <c r="G96" s="2"/>
      <c r="H96" s="7">
        <v>13434</v>
      </c>
      <c r="I96" s="2"/>
      <c r="J96" s="6">
        <f t="shared" si="61"/>
        <v>1.7381741020598283E-2</v>
      </c>
      <c r="K96" s="2"/>
      <c r="L96" s="7">
        <f t="shared" si="62"/>
        <v>240.45999999999913</v>
      </c>
      <c r="M96" s="2"/>
      <c r="N96" s="6">
        <f t="shared" si="63"/>
        <v>1.789935983325883E-2</v>
      </c>
      <c r="O96" s="11"/>
      <c r="P96" s="7">
        <v>39813.379999999997</v>
      </c>
      <c r="Q96" s="2"/>
      <c r="R96" s="6">
        <f t="shared" si="64"/>
        <v>3.2110747364482703E-2</v>
      </c>
      <c r="S96" s="2"/>
      <c r="T96" s="7">
        <v>39874</v>
      </c>
      <c r="U96" s="2"/>
      <c r="V96" s="6">
        <f t="shared" si="65"/>
        <v>2.7048642649809145E-2</v>
      </c>
      <c r="W96" s="2"/>
      <c r="X96" s="7">
        <f t="shared" si="66"/>
        <v>-60.620000000002619</v>
      </c>
      <c r="Y96" s="2"/>
      <c r="Z96" s="6">
        <f t="shared" si="67"/>
        <v>-1.5202889100667759E-3</v>
      </c>
    </row>
    <row r="97" spans="1:26" s="24" customFormat="1" hidden="1" outlineLevel="2" x14ac:dyDescent="0.25">
      <c r="A97" s="25"/>
      <c r="B97" s="11" t="str">
        <f>CONCATENATE("          ", "6286", " - ", "LAUNDRY EXPENSE")</f>
        <v xml:space="preserve">          6286 - LAUNDRY EXPENSE</v>
      </c>
      <c r="C97" s="11"/>
      <c r="D97" s="7">
        <v>3680.95</v>
      </c>
      <c r="E97" s="2"/>
      <c r="F97" s="6">
        <f t="shared" si="60"/>
        <v>5.1631212191651146E-3</v>
      </c>
      <c r="G97" s="2"/>
      <c r="H97" s="7">
        <v>4210</v>
      </c>
      <c r="I97" s="2"/>
      <c r="J97" s="6">
        <f t="shared" si="61"/>
        <v>5.4471586792257535E-3</v>
      </c>
      <c r="K97" s="2"/>
      <c r="L97" s="7">
        <f t="shared" si="62"/>
        <v>-529.05000000000018</v>
      </c>
      <c r="M97" s="2"/>
      <c r="N97" s="6">
        <f t="shared" si="63"/>
        <v>-0.12566508313539196</v>
      </c>
      <c r="O97" s="11"/>
      <c r="P97" s="7">
        <v>9460.11</v>
      </c>
      <c r="Q97" s="2"/>
      <c r="R97" s="6">
        <f t="shared" si="64"/>
        <v>7.6298772485585637E-3</v>
      </c>
      <c r="S97" s="2"/>
      <c r="T97" s="7">
        <v>11401</v>
      </c>
      <c r="U97" s="2"/>
      <c r="V97" s="6">
        <f t="shared" si="65"/>
        <v>7.7339011599155856E-3</v>
      </c>
      <c r="W97" s="2"/>
      <c r="X97" s="7">
        <f t="shared" si="66"/>
        <v>-1940.8899999999994</v>
      </c>
      <c r="Y97" s="2"/>
      <c r="Z97" s="6">
        <f t="shared" si="67"/>
        <v>-0.17023857556354702</v>
      </c>
    </row>
    <row r="98" spans="1:26" s="26" customFormat="1" outlineLevel="1" collapsed="1" x14ac:dyDescent="0.25">
      <c r="A98" s="27"/>
      <c r="B98" s="13" t="str">
        <f>CONCATENATE("     ","Subscriptions &amp; Dues                              ")</f>
        <v xml:space="preserve">     Subscriptions &amp; Dues                              </v>
      </c>
      <c r="C98" s="13"/>
      <c r="D98" s="1">
        <f>SUM(OSRRefD22_17x_0)</f>
        <v>454.78</v>
      </c>
      <c r="E98" s="1"/>
      <c r="F98" s="5">
        <f t="shared" ref="F98:F110" si="68">IF(D$12=0,0,D98/D$12)</f>
        <v>6.3790170147704015E-4</v>
      </c>
      <c r="G98" s="1"/>
      <c r="H98" s="1">
        <f>SUM(OSRRefH22_17x_0)</f>
        <v>394</v>
      </c>
      <c r="I98" s="1"/>
      <c r="J98" s="5">
        <f t="shared" ref="J98:J110" si="69">IF(H$12=0,0,H98/H$12)</f>
        <v>5.0978159610806336E-4</v>
      </c>
      <c r="K98" s="1"/>
      <c r="L98" s="1">
        <f t="shared" ref="L98:L110" si="70">+D98-H98</f>
        <v>60.779999999999973</v>
      </c>
      <c r="M98" s="1"/>
      <c r="N98" s="5">
        <f t="shared" ref="N98:N110" si="71">IF(H98=0,0,L98/H98)</f>
        <v>0.15426395939086288</v>
      </c>
      <c r="O98" s="13"/>
      <c r="P98" s="1">
        <f>SUM(OSRRefP22_17x_0)</f>
        <v>1302.98</v>
      </c>
      <c r="Q98" s="1"/>
      <c r="R98" s="5">
        <f t="shared" ref="R98:R110" si="72">IF(P$12=0,0,P98/P$12)</f>
        <v>1.0508944882593159E-3</v>
      </c>
      <c r="S98" s="1"/>
      <c r="T98" s="1">
        <f>SUM(OSRRefT22_17x_0)</f>
        <v>1182</v>
      </c>
      <c r="U98" s="1"/>
      <c r="V98" s="5">
        <f t="shared" ref="V98:V110" si="73">IF(T$12=0,0,T98/T$12)</f>
        <v>8.0181310157181147E-4</v>
      </c>
      <c r="W98" s="1"/>
      <c r="X98" s="1">
        <f t="shared" ref="X98:X110" si="74">+P98-T98</f>
        <v>120.98000000000002</v>
      </c>
      <c r="Y98" s="1"/>
      <c r="Z98" s="5">
        <f t="shared" ref="Z98:Z110" si="75">IF(T98=0,0,X98/T98)</f>
        <v>0.10235194585448394</v>
      </c>
    </row>
    <row r="99" spans="1:26" s="24" customFormat="1" hidden="1" outlineLevel="2" x14ac:dyDescent="0.25">
      <c r="A99" s="25"/>
      <c r="B99" s="11" t="str">
        <f>CONCATENATE("          ", "6275", " - ", "SUBSCRIPTIONS")</f>
        <v xml:space="preserve">          6275 - SUBSCRIPTIONS</v>
      </c>
      <c r="C99" s="11"/>
      <c r="D99" s="7">
        <v>454.78</v>
      </c>
      <c r="E99" s="2"/>
      <c r="F99" s="6">
        <f t="shared" si="68"/>
        <v>6.3790170147704015E-4</v>
      </c>
      <c r="G99" s="2"/>
      <c r="H99" s="7">
        <v>394</v>
      </c>
      <c r="I99" s="2"/>
      <c r="J99" s="6">
        <f t="shared" si="69"/>
        <v>5.0978159610806336E-4</v>
      </c>
      <c r="K99" s="2"/>
      <c r="L99" s="7">
        <f t="shared" si="70"/>
        <v>60.779999999999973</v>
      </c>
      <c r="M99" s="2"/>
      <c r="N99" s="6">
        <f t="shared" si="71"/>
        <v>0.15426395939086288</v>
      </c>
      <c r="O99" s="11"/>
      <c r="P99" s="7">
        <v>1302.98</v>
      </c>
      <c r="Q99" s="2"/>
      <c r="R99" s="6">
        <f t="shared" si="72"/>
        <v>1.0508944882593159E-3</v>
      </c>
      <c r="S99" s="2"/>
      <c r="T99" s="7">
        <v>1182</v>
      </c>
      <c r="U99" s="2"/>
      <c r="V99" s="6">
        <f t="shared" si="73"/>
        <v>8.0181310157181147E-4</v>
      </c>
      <c r="W99" s="2"/>
      <c r="X99" s="7">
        <f t="shared" si="74"/>
        <v>120.98000000000002</v>
      </c>
      <c r="Y99" s="2"/>
      <c r="Z99" s="6">
        <f t="shared" si="75"/>
        <v>0.10235194585448394</v>
      </c>
    </row>
    <row r="100" spans="1:26" s="26" customFormat="1" outlineLevel="1" collapsed="1" x14ac:dyDescent="0.25">
      <c r="A100" s="27"/>
      <c r="B100" s="13" t="str">
        <f>CONCATENATE("     ","Supplies                                          ")</f>
        <v xml:space="preserve">     Supplies                                          </v>
      </c>
      <c r="C100" s="13"/>
      <c r="D100" s="1">
        <f>SUM(OSRRefD22_18x_0)</f>
        <v>26168.499999999996</v>
      </c>
      <c r="E100" s="1"/>
      <c r="F100" s="5">
        <f t="shared" si="68"/>
        <v>3.6705507443383446E-2</v>
      </c>
      <c r="G100" s="1"/>
      <c r="H100" s="1">
        <f>SUM(OSRRefH22_18x_0)</f>
        <v>14206</v>
      </c>
      <c r="I100" s="1"/>
      <c r="J100" s="5">
        <f t="shared" si="69"/>
        <v>1.8380602422109513E-2</v>
      </c>
      <c r="K100" s="1"/>
      <c r="L100" s="1">
        <f t="shared" si="70"/>
        <v>11962.499999999996</v>
      </c>
      <c r="M100" s="1"/>
      <c r="N100" s="5">
        <f t="shared" si="71"/>
        <v>0.84207377164578323</v>
      </c>
      <c r="O100" s="13"/>
      <c r="P100" s="1">
        <f>SUM(OSRRefP22_18x_0)</f>
        <v>61369.920000000006</v>
      </c>
      <c r="Q100" s="1"/>
      <c r="R100" s="5">
        <f t="shared" si="72"/>
        <v>4.9496777136191772E-2</v>
      </c>
      <c r="S100" s="1"/>
      <c r="T100" s="1">
        <f>SUM(OSRRefT22_18x_0)</f>
        <v>56813.33</v>
      </c>
      <c r="U100" s="1"/>
      <c r="V100" s="5">
        <f t="shared" si="73"/>
        <v>3.8539485903488026E-2</v>
      </c>
      <c r="W100" s="1"/>
      <c r="X100" s="1">
        <f t="shared" si="74"/>
        <v>4556.5900000000038</v>
      </c>
      <c r="Y100" s="1"/>
      <c r="Z100" s="5">
        <f t="shared" si="75"/>
        <v>8.02028326802883E-2</v>
      </c>
    </row>
    <row r="101" spans="1:26" s="24" customFormat="1" hidden="1" outlineLevel="2" x14ac:dyDescent="0.25">
      <c r="A101" s="25"/>
      <c r="B101" s="11" t="str">
        <f>CONCATENATE("          ", "6234", " - ", "EXPENDABLE SUPPLIES &amp; EQUIPMEN")</f>
        <v xml:space="preserve">          6234 - EXPENDABLE SUPPLIES &amp; EQUIPMEN</v>
      </c>
      <c r="C101" s="11"/>
      <c r="D101" s="7">
        <v>7670.09</v>
      </c>
      <c r="E101" s="2"/>
      <c r="F101" s="6">
        <f t="shared" si="68"/>
        <v>1.0758528214701683E-2</v>
      </c>
      <c r="G101" s="2"/>
      <c r="H101" s="7">
        <v>350</v>
      </c>
      <c r="I101" s="2"/>
      <c r="J101" s="6">
        <f t="shared" si="69"/>
        <v>4.5285167166959943E-4</v>
      </c>
      <c r="K101" s="2"/>
      <c r="L101" s="7">
        <f t="shared" si="70"/>
        <v>7320.09</v>
      </c>
      <c r="M101" s="2"/>
      <c r="N101" s="6">
        <f t="shared" si="71"/>
        <v>20.914542857142859</v>
      </c>
      <c r="O101" s="11"/>
      <c r="P101" s="7">
        <v>7670.09</v>
      </c>
      <c r="Q101" s="2"/>
      <c r="R101" s="6">
        <f t="shared" si="72"/>
        <v>6.1861696307333154E-3</v>
      </c>
      <c r="S101" s="2"/>
      <c r="T101" s="7">
        <v>2250</v>
      </c>
      <c r="U101" s="2"/>
      <c r="V101" s="6">
        <f t="shared" si="73"/>
        <v>1.5262939750732452E-3</v>
      </c>
      <c r="W101" s="2"/>
      <c r="X101" s="7">
        <f t="shared" si="74"/>
        <v>5420.09</v>
      </c>
      <c r="Y101" s="2"/>
      <c r="Z101" s="6">
        <f t="shared" si="75"/>
        <v>2.4089288888888891</v>
      </c>
    </row>
    <row r="102" spans="1:26" s="24" customFormat="1" hidden="1" outlineLevel="2" x14ac:dyDescent="0.25">
      <c r="A102" s="25"/>
      <c r="B102" s="11" t="str">
        <f>CONCATENATE("          ", "6237", " - ", "JANITORIAL SUPPLIES")</f>
        <v xml:space="preserve">          6237 - JANITORIAL SUPPLIES</v>
      </c>
      <c r="C102" s="11"/>
      <c r="D102" s="7">
        <v>4022.37</v>
      </c>
      <c r="E102" s="2"/>
      <c r="F102" s="6">
        <f t="shared" si="68"/>
        <v>5.6420173863630813E-3</v>
      </c>
      <c r="G102" s="2"/>
      <c r="H102" s="7">
        <v>4561</v>
      </c>
      <c r="I102" s="2"/>
      <c r="J102" s="6">
        <f t="shared" si="69"/>
        <v>5.901304212814408E-3</v>
      </c>
      <c r="K102" s="2"/>
      <c r="L102" s="7">
        <f t="shared" si="70"/>
        <v>-538.63000000000011</v>
      </c>
      <c r="M102" s="2"/>
      <c r="N102" s="6">
        <f t="shared" si="71"/>
        <v>-0.11809471607103708</v>
      </c>
      <c r="O102" s="11"/>
      <c r="P102" s="7">
        <v>11362.87</v>
      </c>
      <c r="Q102" s="2"/>
      <c r="R102" s="6">
        <f t="shared" si="72"/>
        <v>9.1645132341303271E-3</v>
      </c>
      <c r="S102" s="2"/>
      <c r="T102" s="7">
        <v>14283</v>
      </c>
      <c r="U102" s="2"/>
      <c r="V102" s="6">
        <f t="shared" si="73"/>
        <v>9.6889141537649607E-3</v>
      </c>
      <c r="W102" s="2"/>
      <c r="X102" s="7">
        <f t="shared" si="74"/>
        <v>-2920.1299999999992</v>
      </c>
      <c r="Y102" s="2"/>
      <c r="Z102" s="6">
        <f t="shared" si="75"/>
        <v>-0.20444794510957076</v>
      </c>
    </row>
    <row r="103" spans="1:26" s="24" customFormat="1" hidden="1" outlineLevel="2" x14ac:dyDescent="0.25">
      <c r="A103" s="25"/>
      <c r="B103" s="11" t="str">
        <f>CONCATENATE("          ", "6239", " - ", "KITCHEN SUPPLIES")</f>
        <v xml:space="preserve">          6239 - KITCHEN SUPPLIES</v>
      </c>
      <c r="C103" s="11"/>
      <c r="D103" s="7">
        <v>7569.78</v>
      </c>
      <c r="E103" s="2"/>
      <c r="F103" s="6">
        <f t="shared" si="68"/>
        <v>1.0617827393040303E-2</v>
      </c>
      <c r="G103" s="2"/>
      <c r="H103" s="7">
        <v>2300</v>
      </c>
      <c r="I103" s="2"/>
      <c r="J103" s="6">
        <f t="shared" si="69"/>
        <v>2.9758824138287963E-3</v>
      </c>
      <c r="K103" s="2"/>
      <c r="L103" s="7">
        <f t="shared" si="70"/>
        <v>5269.78</v>
      </c>
      <c r="M103" s="2"/>
      <c r="N103" s="6">
        <f t="shared" si="71"/>
        <v>2.2912086956521738</v>
      </c>
      <c r="O103" s="11"/>
      <c r="P103" s="7">
        <v>17994.36</v>
      </c>
      <c r="Q103" s="2"/>
      <c r="R103" s="6">
        <f t="shared" si="72"/>
        <v>1.4513019189668224E-2</v>
      </c>
      <c r="S103" s="2"/>
      <c r="T103" s="7">
        <v>14266</v>
      </c>
      <c r="U103" s="2"/>
      <c r="V103" s="6">
        <f t="shared" si="73"/>
        <v>9.6773821548421842E-3</v>
      </c>
      <c r="W103" s="2"/>
      <c r="X103" s="7">
        <f t="shared" si="74"/>
        <v>3728.3600000000006</v>
      </c>
      <c r="Y103" s="2"/>
      <c r="Z103" s="6">
        <f t="shared" si="75"/>
        <v>0.26134585728305065</v>
      </c>
    </row>
    <row r="104" spans="1:26" s="24" customFormat="1" hidden="1" outlineLevel="2" x14ac:dyDescent="0.25">
      <c r="A104" s="25"/>
      <c r="B104" s="11" t="str">
        <f>CONCATENATE("          ", "6241", " - ", "OFFICE EXPENSE")</f>
        <v xml:space="preserve">          6241 - OFFICE EXPENSE</v>
      </c>
      <c r="C104" s="11"/>
      <c r="D104" s="7">
        <v>1837.41</v>
      </c>
      <c r="E104" s="2"/>
      <c r="F104" s="6">
        <f t="shared" si="68"/>
        <v>2.5772614567723482E-3</v>
      </c>
      <c r="G104" s="2"/>
      <c r="H104" s="7">
        <v>1090</v>
      </c>
      <c r="I104" s="2"/>
      <c r="J104" s="6">
        <f t="shared" si="69"/>
        <v>1.4103094917710382E-3</v>
      </c>
      <c r="K104" s="2"/>
      <c r="L104" s="7">
        <f t="shared" si="70"/>
        <v>747.41000000000008</v>
      </c>
      <c r="M104" s="2"/>
      <c r="N104" s="6">
        <f t="shared" si="71"/>
        <v>0.68569724770642204</v>
      </c>
      <c r="O104" s="11"/>
      <c r="P104" s="7">
        <v>8765.69</v>
      </c>
      <c r="Q104" s="2"/>
      <c r="R104" s="6">
        <f t="shared" si="72"/>
        <v>7.0698056046829593E-3</v>
      </c>
      <c r="S104" s="2"/>
      <c r="T104" s="7">
        <v>3311.25</v>
      </c>
      <c r="U104" s="2"/>
      <c r="V104" s="6">
        <f t="shared" si="73"/>
        <v>2.2461959666494591E-3</v>
      </c>
      <c r="W104" s="2"/>
      <c r="X104" s="7">
        <f t="shared" si="74"/>
        <v>5454.4400000000005</v>
      </c>
      <c r="Y104" s="2"/>
      <c r="Z104" s="6">
        <f t="shared" si="75"/>
        <v>1.6472449981124955</v>
      </c>
    </row>
    <row r="105" spans="1:26" s="24" customFormat="1" hidden="1" outlineLevel="2" x14ac:dyDescent="0.25">
      <c r="A105" s="25"/>
      <c r="B105" s="11" t="str">
        <f>CONCATENATE("          ", "6243", " - ", "PAPER SUPPLIES")</f>
        <v xml:space="preserve">          6243 - PAPER SUPPLIES</v>
      </c>
      <c r="C105" s="11"/>
      <c r="D105" s="7">
        <v>3788.95</v>
      </c>
      <c r="E105" s="2"/>
      <c r="F105" s="6">
        <f t="shared" si="68"/>
        <v>5.3146084960012125E-3</v>
      </c>
      <c r="G105" s="2"/>
      <c r="H105" s="7">
        <v>5145</v>
      </c>
      <c r="I105" s="2"/>
      <c r="J105" s="6">
        <f t="shared" si="69"/>
        <v>6.6569195735431113E-3</v>
      </c>
      <c r="K105" s="2"/>
      <c r="L105" s="7">
        <f t="shared" si="70"/>
        <v>-1356.0500000000002</v>
      </c>
      <c r="M105" s="2"/>
      <c r="N105" s="6">
        <f t="shared" si="71"/>
        <v>-0.26356656948493684</v>
      </c>
      <c r="O105" s="11"/>
      <c r="P105" s="7">
        <v>10340.74</v>
      </c>
      <c r="Q105" s="2"/>
      <c r="R105" s="6">
        <f t="shared" si="72"/>
        <v>8.3401331336802071E-3</v>
      </c>
      <c r="S105" s="2"/>
      <c r="T105" s="7">
        <v>11440</v>
      </c>
      <c r="U105" s="2"/>
      <c r="V105" s="6">
        <f t="shared" si="73"/>
        <v>7.760356922150189E-3</v>
      </c>
      <c r="W105" s="2"/>
      <c r="X105" s="7">
        <f t="shared" si="74"/>
        <v>-1099.2600000000002</v>
      </c>
      <c r="Y105" s="2"/>
      <c r="Z105" s="6">
        <f t="shared" si="75"/>
        <v>-9.6089160839160859E-2</v>
      </c>
    </row>
    <row r="106" spans="1:26" s="24" customFormat="1" hidden="1" outlineLevel="2" x14ac:dyDescent="0.25">
      <c r="A106" s="25"/>
      <c r="B106" s="11" t="str">
        <f>CONCATENATE("          ", "6244", " - ", "SAFETY SUPPLY EXPENSE")</f>
        <v xml:space="preserve">          6244 - SAFETY SUPPLY EXPENSE</v>
      </c>
      <c r="C106" s="11"/>
      <c r="D106" s="7"/>
      <c r="E106" s="2"/>
      <c r="F106" s="6">
        <f t="shared" si="68"/>
        <v>0</v>
      </c>
      <c r="G106" s="2"/>
      <c r="H106" s="7">
        <v>110</v>
      </c>
      <c r="I106" s="2"/>
      <c r="J106" s="6">
        <f t="shared" si="69"/>
        <v>1.4232481109615981E-4</v>
      </c>
      <c r="K106" s="2"/>
      <c r="L106" s="7">
        <f t="shared" si="70"/>
        <v>-110</v>
      </c>
      <c r="M106" s="2"/>
      <c r="N106" s="6">
        <f t="shared" si="71"/>
        <v>-1</v>
      </c>
      <c r="O106" s="11"/>
      <c r="P106" s="7"/>
      <c r="Q106" s="2"/>
      <c r="R106" s="6">
        <f t="shared" si="72"/>
        <v>0</v>
      </c>
      <c r="S106" s="2"/>
      <c r="T106" s="7">
        <v>330</v>
      </c>
      <c r="U106" s="2"/>
      <c r="V106" s="6">
        <f t="shared" si="73"/>
        <v>2.238564496774093E-4</v>
      </c>
      <c r="W106" s="2"/>
      <c r="X106" s="7">
        <f t="shared" si="74"/>
        <v>-330</v>
      </c>
      <c r="Y106" s="2"/>
      <c r="Z106" s="6">
        <f t="shared" si="75"/>
        <v>-1</v>
      </c>
    </row>
    <row r="107" spans="1:26" s="24" customFormat="1" hidden="1" outlineLevel="2" x14ac:dyDescent="0.25">
      <c r="A107" s="25"/>
      <c r="B107" s="11" t="str">
        <f>CONCATENATE("          ", "6245", " - ", "PRINTING")</f>
        <v xml:space="preserve">          6245 - PRINTING</v>
      </c>
      <c r="C107" s="11"/>
      <c r="D107" s="7">
        <v>28.27</v>
      </c>
      <c r="E107" s="2"/>
      <c r="F107" s="6">
        <f t="shared" si="68"/>
        <v>3.965319737181918E-5</v>
      </c>
      <c r="G107" s="2"/>
      <c r="H107" s="7">
        <v>50</v>
      </c>
      <c r="I107" s="2"/>
      <c r="J107" s="6">
        <f t="shared" si="69"/>
        <v>6.4693095952799917E-5</v>
      </c>
      <c r="K107" s="2"/>
      <c r="L107" s="7">
        <f t="shared" si="70"/>
        <v>-21.73</v>
      </c>
      <c r="M107" s="2"/>
      <c r="N107" s="6">
        <f t="shared" si="71"/>
        <v>-0.43459999999999999</v>
      </c>
      <c r="O107" s="11"/>
      <c r="P107" s="7">
        <v>199.19</v>
      </c>
      <c r="Q107" s="2"/>
      <c r="R107" s="6">
        <f t="shared" si="72"/>
        <v>1.6065302085709152E-4</v>
      </c>
      <c r="S107" s="2"/>
      <c r="T107" s="7">
        <v>700</v>
      </c>
      <c r="U107" s="2"/>
      <c r="V107" s="6">
        <f t="shared" si="73"/>
        <v>4.748470144672318E-4</v>
      </c>
      <c r="W107" s="2"/>
      <c r="X107" s="7">
        <f t="shared" si="74"/>
        <v>-500.81</v>
      </c>
      <c r="Y107" s="2"/>
      <c r="Z107" s="6">
        <f t="shared" si="75"/>
        <v>-0.71544285714285716</v>
      </c>
    </row>
    <row r="108" spans="1:26" s="24" customFormat="1" hidden="1" outlineLevel="2" x14ac:dyDescent="0.25">
      <c r="A108" s="25"/>
      <c r="B108" s="11" t="str">
        <f>CONCATENATE("          ", "6246", " - ", "REPLACEMENTS")</f>
        <v xml:space="preserve">          6246 - REPLACEMENTS</v>
      </c>
      <c r="C108" s="11"/>
      <c r="D108" s="7"/>
      <c r="E108" s="2"/>
      <c r="F108" s="6">
        <f t="shared" si="68"/>
        <v>0</v>
      </c>
      <c r="G108" s="2"/>
      <c r="H108" s="7"/>
      <c r="I108" s="2"/>
      <c r="J108" s="6">
        <f t="shared" si="69"/>
        <v>0</v>
      </c>
      <c r="K108" s="2"/>
      <c r="L108" s="7">
        <f t="shared" si="70"/>
        <v>0</v>
      </c>
      <c r="M108" s="2"/>
      <c r="N108" s="6">
        <f t="shared" si="71"/>
        <v>0</v>
      </c>
      <c r="O108" s="11"/>
      <c r="P108" s="7"/>
      <c r="Q108" s="2"/>
      <c r="R108" s="6">
        <f t="shared" si="72"/>
        <v>0</v>
      </c>
      <c r="S108" s="2"/>
      <c r="T108" s="7">
        <v>2400</v>
      </c>
      <c r="U108" s="2"/>
      <c r="V108" s="6">
        <f t="shared" si="73"/>
        <v>1.6280469067447949E-3</v>
      </c>
      <c r="W108" s="2"/>
      <c r="X108" s="7">
        <f t="shared" si="74"/>
        <v>-2400</v>
      </c>
      <c r="Y108" s="2"/>
      <c r="Z108" s="6">
        <f t="shared" si="75"/>
        <v>-1</v>
      </c>
    </row>
    <row r="109" spans="1:26" s="24" customFormat="1" hidden="1" outlineLevel="2" x14ac:dyDescent="0.25">
      <c r="A109" s="25"/>
      <c r="B109" s="11" t="str">
        <f>CONCATENATE("          ", "6247", " - ", "STORE SUPPLIES")</f>
        <v xml:space="preserve">          6247 - STORE SUPPLIES</v>
      </c>
      <c r="C109" s="11"/>
      <c r="D109" s="7">
        <v>582.28</v>
      </c>
      <c r="E109" s="2"/>
      <c r="F109" s="6">
        <f t="shared" si="68"/>
        <v>8.1674084774187728E-4</v>
      </c>
      <c r="G109" s="2"/>
      <c r="H109" s="7">
        <v>400</v>
      </c>
      <c r="I109" s="2"/>
      <c r="J109" s="6">
        <f t="shared" si="69"/>
        <v>5.1754476762239934E-4</v>
      </c>
      <c r="K109" s="2"/>
      <c r="L109" s="7">
        <f t="shared" si="70"/>
        <v>182.27999999999997</v>
      </c>
      <c r="M109" s="2"/>
      <c r="N109" s="6">
        <f t="shared" si="71"/>
        <v>0.45569999999999994</v>
      </c>
      <c r="O109" s="11"/>
      <c r="P109" s="7">
        <v>1693.15</v>
      </c>
      <c r="Q109" s="2"/>
      <c r="R109" s="6">
        <f t="shared" si="72"/>
        <v>1.3655789058897763E-3</v>
      </c>
      <c r="S109" s="2"/>
      <c r="T109" s="7">
        <v>2733.08</v>
      </c>
      <c r="U109" s="2"/>
      <c r="V109" s="6">
        <f t="shared" si="73"/>
        <v>1.8539926832858598E-3</v>
      </c>
      <c r="W109" s="2"/>
      <c r="X109" s="7">
        <f t="shared" si="74"/>
        <v>-1039.9299999999998</v>
      </c>
      <c r="Y109" s="2"/>
      <c r="Z109" s="6">
        <f t="shared" si="75"/>
        <v>-0.38049746074026369</v>
      </c>
    </row>
    <row r="110" spans="1:26" s="24" customFormat="1" hidden="1" outlineLevel="2" x14ac:dyDescent="0.25">
      <c r="A110" s="25"/>
      <c r="B110" s="11" t="str">
        <f>CONCATENATE("          ", "6248", " - ", "UNIFORMS")</f>
        <v xml:space="preserve">          6248 - UNIFORMS</v>
      </c>
      <c r="C110" s="11"/>
      <c r="D110" s="7">
        <v>669.35</v>
      </c>
      <c r="E110" s="2"/>
      <c r="F110" s="6">
        <f t="shared" si="68"/>
        <v>9.3887045139112724E-4</v>
      </c>
      <c r="G110" s="2"/>
      <c r="H110" s="7">
        <v>200</v>
      </c>
      <c r="I110" s="2"/>
      <c r="J110" s="6">
        <f t="shared" si="69"/>
        <v>2.5877238381119967E-4</v>
      </c>
      <c r="K110" s="2"/>
      <c r="L110" s="7">
        <f t="shared" si="70"/>
        <v>469.35</v>
      </c>
      <c r="M110" s="2"/>
      <c r="N110" s="6">
        <f t="shared" si="71"/>
        <v>2.3467500000000001</v>
      </c>
      <c r="O110" s="11"/>
      <c r="P110" s="7">
        <v>3343.83</v>
      </c>
      <c r="Q110" s="2"/>
      <c r="R110" s="6">
        <f t="shared" si="72"/>
        <v>2.6969044165498688E-3</v>
      </c>
      <c r="S110" s="2"/>
      <c r="T110" s="7">
        <v>5100</v>
      </c>
      <c r="U110" s="2"/>
      <c r="V110" s="6">
        <f t="shared" si="73"/>
        <v>3.4595996768326891E-3</v>
      </c>
      <c r="W110" s="2"/>
      <c r="X110" s="7">
        <f t="shared" si="74"/>
        <v>-1756.17</v>
      </c>
      <c r="Y110" s="2"/>
      <c r="Z110" s="6">
        <f t="shared" si="75"/>
        <v>-0.34434705882352945</v>
      </c>
    </row>
    <row r="111" spans="1:26" s="26" customFormat="1" outlineLevel="1" collapsed="1" x14ac:dyDescent="0.25">
      <c r="A111" s="27"/>
      <c r="B111" s="13" t="str">
        <f>CONCATENATE("     ","Telephone/Data Lines                              ")</f>
        <v xml:space="preserve">     Telephone/Data Lines                              </v>
      </c>
      <c r="C111" s="13"/>
      <c r="D111" s="1">
        <f>SUM(OSRRefD22_19x_0)</f>
        <v>2436.21</v>
      </c>
      <c r="E111" s="1"/>
      <c r="F111" s="5">
        <f t="shared" ref="F111:F113" si="76">IF(D$12=0,0,D111/D$12)</f>
        <v>3.4171742472302656E-3</v>
      </c>
      <c r="G111" s="1"/>
      <c r="H111" s="1">
        <f>SUM(OSRRefH22_19x_0)</f>
        <v>1718</v>
      </c>
      <c r="I111" s="1"/>
      <c r="J111" s="5">
        <f t="shared" ref="J111:J113" si="77">IF(H$12=0,0,H111/H$12)</f>
        <v>2.222854776938205E-3</v>
      </c>
      <c r="K111" s="1"/>
      <c r="L111" s="1">
        <f t="shared" ref="L111:L113" si="78">+D111-H111</f>
        <v>718.21</v>
      </c>
      <c r="M111" s="1"/>
      <c r="N111" s="5">
        <f t="shared" ref="N111:N113" si="79">IF(H111=0,0,L111/H111)</f>
        <v>0.41805005820721769</v>
      </c>
      <c r="O111" s="13"/>
      <c r="P111" s="1">
        <f>SUM(OSRRefP22_19x_0)</f>
        <v>4733.8900000000003</v>
      </c>
      <c r="Q111" s="1"/>
      <c r="R111" s="5">
        <f t="shared" ref="R111:R113" si="80">IF(P$12=0,0,P111/P$12)</f>
        <v>3.8180316728007283E-3</v>
      </c>
      <c r="S111" s="1"/>
      <c r="T111" s="1">
        <f>SUM(OSRRefT22_19x_0)</f>
        <v>4864</v>
      </c>
      <c r="U111" s="1"/>
      <c r="V111" s="5">
        <f t="shared" ref="V111:V113" si="81">IF(T$12=0,0,T111/T$12)</f>
        <v>3.2995083976694508E-3</v>
      </c>
      <c r="W111" s="1"/>
      <c r="X111" s="1">
        <f t="shared" ref="X111:X113" si="82">+P111-T111</f>
        <v>-130.10999999999967</v>
      </c>
      <c r="Y111" s="1"/>
      <c r="Z111" s="5">
        <f t="shared" ref="Z111:Z113" si="83">IF(T111=0,0,X111/T111)</f>
        <v>-2.6749588815789406E-2</v>
      </c>
    </row>
    <row r="112" spans="1:26" s="24" customFormat="1" hidden="1" outlineLevel="2" x14ac:dyDescent="0.25">
      <c r="A112" s="25"/>
      <c r="B112" s="11" t="str">
        <f>CONCATENATE("          ", "6303", " - ", "DATA PHONE LINES")</f>
        <v xml:space="preserve">          6303 - DATA PHONE LINES</v>
      </c>
      <c r="C112" s="11"/>
      <c r="D112" s="7"/>
      <c r="E112" s="2"/>
      <c r="F112" s="6">
        <f t="shared" si="76"/>
        <v>0</v>
      </c>
      <c r="G112" s="2"/>
      <c r="H112" s="7">
        <v>448</v>
      </c>
      <c r="I112" s="2"/>
      <c r="J112" s="6">
        <f t="shared" si="77"/>
        <v>5.7965013973708727E-4</v>
      </c>
      <c r="K112" s="2"/>
      <c r="L112" s="7">
        <f t="shared" si="78"/>
        <v>-448</v>
      </c>
      <c r="M112" s="2"/>
      <c r="N112" s="6">
        <f t="shared" si="79"/>
        <v>-1</v>
      </c>
      <c r="O112" s="11"/>
      <c r="P112" s="7"/>
      <c r="Q112" s="2"/>
      <c r="R112" s="6">
        <f t="shared" si="80"/>
        <v>0</v>
      </c>
      <c r="S112" s="2"/>
      <c r="T112" s="7">
        <v>1294</v>
      </c>
      <c r="U112" s="2"/>
      <c r="V112" s="6">
        <f t="shared" si="81"/>
        <v>8.777886238865685E-4</v>
      </c>
      <c r="W112" s="2"/>
      <c r="X112" s="7">
        <f t="shared" si="82"/>
        <v>-1294</v>
      </c>
      <c r="Y112" s="2"/>
      <c r="Z112" s="6">
        <f t="shared" si="83"/>
        <v>-1</v>
      </c>
    </row>
    <row r="113" spans="1:26" s="24" customFormat="1" hidden="1" outlineLevel="2" x14ac:dyDescent="0.25">
      <c r="A113" s="25"/>
      <c r="B113" s="11" t="str">
        <f>CONCATENATE("          ", "6309", " - ", "TELEPHONE")</f>
        <v xml:space="preserve">          6309 - TELEPHONE</v>
      </c>
      <c r="C113" s="11"/>
      <c r="D113" s="7">
        <v>2436.21</v>
      </c>
      <c r="E113" s="2"/>
      <c r="F113" s="6">
        <f t="shared" si="76"/>
        <v>3.4171742472302656E-3</v>
      </c>
      <c r="G113" s="2"/>
      <c r="H113" s="7">
        <v>1270</v>
      </c>
      <c r="I113" s="2"/>
      <c r="J113" s="6">
        <f t="shared" si="77"/>
        <v>1.6432046372011179E-3</v>
      </c>
      <c r="K113" s="2"/>
      <c r="L113" s="7">
        <f t="shared" si="78"/>
        <v>1166.21</v>
      </c>
      <c r="M113" s="2"/>
      <c r="N113" s="6">
        <f t="shared" si="79"/>
        <v>0.91827559055118113</v>
      </c>
      <c r="O113" s="11"/>
      <c r="P113" s="7">
        <v>4733.8900000000003</v>
      </c>
      <c r="Q113" s="2"/>
      <c r="R113" s="6">
        <f t="shared" si="80"/>
        <v>3.8180316728007283E-3</v>
      </c>
      <c r="S113" s="2"/>
      <c r="T113" s="7">
        <v>3570</v>
      </c>
      <c r="U113" s="2"/>
      <c r="V113" s="6">
        <f t="shared" si="81"/>
        <v>2.4217197737828825E-3</v>
      </c>
      <c r="W113" s="2"/>
      <c r="X113" s="7">
        <f t="shared" si="82"/>
        <v>1163.8900000000003</v>
      </c>
      <c r="Y113" s="2"/>
      <c r="Z113" s="6">
        <f t="shared" si="83"/>
        <v>0.32601960784313733</v>
      </c>
    </row>
    <row r="114" spans="1:26" s="26" customFormat="1" outlineLevel="1" collapsed="1" x14ac:dyDescent="0.25">
      <c r="A114" s="27"/>
      <c r="B114" s="13" t="str">
        <f>CONCATENATE("     ","Training                                          ")</f>
        <v xml:space="preserve">     Training                                          </v>
      </c>
      <c r="C114" s="13"/>
      <c r="D114" s="1">
        <f>SUM(OSRRefD22_20x_0)</f>
        <v>334.7</v>
      </c>
      <c r="E114" s="1"/>
      <c r="F114" s="5">
        <f t="shared" ref="F114:F119" si="84">IF(D$12=0,0,D114/D$12)</f>
        <v>4.6947029219483125E-4</v>
      </c>
      <c r="G114" s="1"/>
      <c r="H114" s="1">
        <f>SUM(OSRRefH22_20x_0)</f>
        <v>300</v>
      </c>
      <c r="I114" s="1"/>
      <c r="J114" s="5">
        <f t="shared" ref="J114:J119" si="85">IF(H$12=0,0,H114/H$12)</f>
        <v>3.8815857571679953E-4</v>
      </c>
      <c r="K114" s="1"/>
      <c r="L114" s="1">
        <f t="shared" ref="L114:L119" si="86">+D114-H114</f>
        <v>34.699999999999989</v>
      </c>
      <c r="M114" s="1"/>
      <c r="N114" s="5">
        <f t="shared" ref="N114:N119" si="87">IF(H114=0,0,L114/H114)</f>
        <v>0.11566666666666663</v>
      </c>
      <c r="O114" s="13"/>
      <c r="P114" s="1">
        <f>SUM(OSRRefP22_20x_0)</f>
        <v>1378.55</v>
      </c>
      <c r="Q114" s="1"/>
      <c r="R114" s="5">
        <f t="shared" ref="R114:R119" si="88">IF(P$12=0,0,P114/P$12)</f>
        <v>1.1118440780287339E-3</v>
      </c>
      <c r="S114" s="1"/>
      <c r="T114" s="1">
        <f>SUM(OSRRefT22_20x_0)</f>
        <v>5080</v>
      </c>
      <c r="U114" s="1"/>
      <c r="V114" s="5">
        <f t="shared" ref="V114:V119" si="89">IF(T$12=0,0,T114/T$12)</f>
        <v>3.4460326192764824E-3</v>
      </c>
      <c r="W114" s="1"/>
      <c r="X114" s="1">
        <f t="shared" ref="X114:X119" si="90">+P114-T114</f>
        <v>-3701.45</v>
      </c>
      <c r="Y114" s="1"/>
      <c r="Z114" s="5">
        <f t="shared" ref="Z114:Z119" si="91">IF(T114=0,0,X114/T114)</f>
        <v>-0.72863188976377946</v>
      </c>
    </row>
    <row r="115" spans="1:26" s="24" customFormat="1" hidden="1" outlineLevel="2" x14ac:dyDescent="0.25">
      <c r="A115" s="25"/>
      <c r="B115" s="11" t="str">
        <f>CONCATENATE("          ", "6376", " - ", "TRAINING")</f>
        <v xml:space="preserve">          6376 - TRAINING</v>
      </c>
      <c r="C115" s="11"/>
      <c r="D115" s="7">
        <v>334.7</v>
      </c>
      <c r="E115" s="2"/>
      <c r="F115" s="6">
        <f t="shared" si="84"/>
        <v>4.6947029219483125E-4</v>
      </c>
      <c r="G115" s="2"/>
      <c r="H115" s="7">
        <v>300</v>
      </c>
      <c r="I115" s="2"/>
      <c r="J115" s="6">
        <f t="shared" si="85"/>
        <v>3.8815857571679953E-4</v>
      </c>
      <c r="K115" s="2"/>
      <c r="L115" s="7">
        <f t="shared" si="86"/>
        <v>34.699999999999989</v>
      </c>
      <c r="M115" s="2"/>
      <c r="N115" s="6">
        <f t="shared" si="87"/>
        <v>0.11566666666666663</v>
      </c>
      <c r="O115" s="11"/>
      <c r="P115" s="7">
        <v>1378.55</v>
      </c>
      <c r="Q115" s="2"/>
      <c r="R115" s="6">
        <f t="shared" si="88"/>
        <v>1.1118440780287339E-3</v>
      </c>
      <c r="S115" s="2"/>
      <c r="T115" s="7">
        <v>5080</v>
      </c>
      <c r="U115" s="2"/>
      <c r="V115" s="6">
        <f t="shared" si="89"/>
        <v>3.4460326192764824E-3</v>
      </c>
      <c r="W115" s="2"/>
      <c r="X115" s="7">
        <f t="shared" si="90"/>
        <v>-3701.45</v>
      </c>
      <c r="Y115" s="2"/>
      <c r="Z115" s="6">
        <f t="shared" si="91"/>
        <v>-0.72863188976377946</v>
      </c>
    </row>
    <row r="116" spans="1:26" s="26" customFormat="1" outlineLevel="1" collapsed="1" x14ac:dyDescent="0.25">
      <c r="A116" s="27"/>
      <c r="B116" s="13" t="str">
        <f>CONCATENATE("     ","Travel                                            ")</f>
        <v xml:space="preserve">     Travel                                            </v>
      </c>
      <c r="C116" s="13"/>
      <c r="D116" s="1">
        <f>SUM(OSRRefD22_21x_0)</f>
        <v>249.82</v>
      </c>
      <c r="E116" s="1"/>
      <c r="F116" s="5">
        <f t="shared" si="84"/>
        <v>3.5041251388142437E-4</v>
      </c>
      <c r="G116" s="1"/>
      <c r="H116" s="1">
        <f>SUM(OSRRefH22_21x_0)</f>
        <v>500</v>
      </c>
      <c r="I116" s="1"/>
      <c r="J116" s="5">
        <f t="shared" si="85"/>
        <v>6.4693095952799914E-4</v>
      </c>
      <c r="K116" s="1"/>
      <c r="L116" s="1">
        <f t="shared" si="86"/>
        <v>-250.18</v>
      </c>
      <c r="M116" s="1"/>
      <c r="N116" s="5">
        <f t="shared" si="87"/>
        <v>-0.50036000000000003</v>
      </c>
      <c r="O116" s="13"/>
      <c r="P116" s="1">
        <f>SUM(OSRRefP22_21x_0)</f>
        <v>1101.18</v>
      </c>
      <c r="Q116" s="1"/>
      <c r="R116" s="5">
        <f t="shared" si="88"/>
        <v>8.8813642003821502E-4</v>
      </c>
      <c r="S116" s="1"/>
      <c r="T116" s="1">
        <f>SUM(OSRRefT22_21x_0)</f>
        <v>5700</v>
      </c>
      <c r="U116" s="1"/>
      <c r="V116" s="5">
        <f t="shared" si="89"/>
        <v>3.8666114035188878E-3</v>
      </c>
      <c r="W116" s="1"/>
      <c r="X116" s="1">
        <f t="shared" si="90"/>
        <v>-4598.82</v>
      </c>
      <c r="Y116" s="1"/>
      <c r="Z116" s="5">
        <f t="shared" si="91"/>
        <v>-0.80681052631578942</v>
      </c>
    </row>
    <row r="117" spans="1:26" s="24" customFormat="1" hidden="1" outlineLevel="2" x14ac:dyDescent="0.25">
      <c r="A117" s="25"/>
      <c r="B117" s="11" t="str">
        <f>CONCATENATE("          ", "6292", " - ", "TRAVEL/CONFERENCE")</f>
        <v xml:space="preserve">          6292 - TRAVEL/CONFERENCE</v>
      </c>
      <c r="C117" s="11"/>
      <c r="D117" s="7"/>
      <c r="E117" s="2"/>
      <c r="F117" s="6">
        <f t="shared" si="84"/>
        <v>0</v>
      </c>
      <c r="G117" s="2"/>
      <c r="H117" s="7">
        <v>500</v>
      </c>
      <c r="I117" s="2"/>
      <c r="J117" s="6">
        <f t="shared" si="85"/>
        <v>6.4693095952799914E-4</v>
      </c>
      <c r="K117" s="2"/>
      <c r="L117" s="7">
        <f t="shared" si="86"/>
        <v>-500</v>
      </c>
      <c r="M117" s="2"/>
      <c r="N117" s="6">
        <f t="shared" si="87"/>
        <v>-1</v>
      </c>
      <c r="O117" s="11"/>
      <c r="P117" s="7">
        <v>545.69000000000005</v>
      </c>
      <c r="Q117" s="2"/>
      <c r="R117" s="6">
        <f t="shared" si="88"/>
        <v>4.401162053893583E-4</v>
      </c>
      <c r="S117" s="2"/>
      <c r="T117" s="7">
        <v>5700</v>
      </c>
      <c r="U117" s="2"/>
      <c r="V117" s="6">
        <f t="shared" si="89"/>
        <v>3.8666114035188878E-3</v>
      </c>
      <c r="W117" s="2"/>
      <c r="X117" s="7">
        <f t="shared" si="90"/>
        <v>-5154.3099999999995</v>
      </c>
      <c r="Y117" s="2"/>
      <c r="Z117" s="6">
        <f t="shared" si="91"/>
        <v>-0.90426491228070172</v>
      </c>
    </row>
    <row r="118" spans="1:26" s="24" customFormat="1" hidden="1" outlineLevel="2" x14ac:dyDescent="0.25">
      <c r="A118" s="25"/>
      <c r="B118" s="11" t="str">
        <f>CONCATENATE("          ", "6294", " - ", "TRAVEL OPERATIONAL")</f>
        <v xml:space="preserve">          6294 - TRAVEL OPERATIONAL</v>
      </c>
      <c r="C118" s="11"/>
      <c r="D118" s="7"/>
      <c r="E118" s="2"/>
      <c r="F118" s="6">
        <f t="shared" si="84"/>
        <v>0</v>
      </c>
      <c r="G118" s="2"/>
      <c r="H118" s="7"/>
      <c r="I118" s="2"/>
      <c r="J118" s="6">
        <f t="shared" si="85"/>
        <v>0</v>
      </c>
      <c r="K118" s="2"/>
      <c r="L118" s="7">
        <f t="shared" si="86"/>
        <v>0</v>
      </c>
      <c r="M118" s="2"/>
      <c r="N118" s="6">
        <f t="shared" si="87"/>
        <v>0</v>
      </c>
      <c r="O118" s="11"/>
      <c r="P118" s="7">
        <v>45.49</v>
      </c>
      <c r="Q118" s="2"/>
      <c r="R118" s="6">
        <f t="shared" si="88"/>
        <v>3.6689120532100475E-5</v>
      </c>
      <c r="S118" s="2"/>
      <c r="T118" s="7"/>
      <c r="U118" s="2"/>
      <c r="V118" s="6">
        <f t="shared" si="89"/>
        <v>0</v>
      </c>
      <c r="W118" s="2"/>
      <c r="X118" s="7">
        <f t="shared" si="90"/>
        <v>45.49</v>
      </c>
      <c r="Y118" s="2"/>
      <c r="Z118" s="6">
        <f t="shared" si="91"/>
        <v>0</v>
      </c>
    </row>
    <row r="119" spans="1:26" s="24" customFormat="1" hidden="1" outlineLevel="2" x14ac:dyDescent="0.25">
      <c r="A119" s="25"/>
      <c r="B119" s="11" t="str">
        <f>CONCATENATE("          ", "6298", " - ", "VEHICLE MILEAGE")</f>
        <v xml:space="preserve">          6298 - VEHICLE MILEAGE</v>
      </c>
      <c r="C119" s="11"/>
      <c r="D119" s="7">
        <v>249.82</v>
      </c>
      <c r="E119" s="2"/>
      <c r="F119" s="6">
        <f t="shared" si="84"/>
        <v>3.5041251388142437E-4</v>
      </c>
      <c r="G119" s="2"/>
      <c r="H119" s="7"/>
      <c r="I119" s="2"/>
      <c r="J119" s="6">
        <f t="shared" si="85"/>
        <v>0</v>
      </c>
      <c r="K119" s="2"/>
      <c r="L119" s="7">
        <f t="shared" si="86"/>
        <v>249.82</v>
      </c>
      <c r="M119" s="2"/>
      <c r="N119" s="6">
        <f t="shared" si="87"/>
        <v>0</v>
      </c>
      <c r="O119" s="11"/>
      <c r="P119" s="7">
        <v>510</v>
      </c>
      <c r="Q119" s="2"/>
      <c r="R119" s="6">
        <f t="shared" si="88"/>
        <v>4.1133109411675624E-4</v>
      </c>
      <c r="S119" s="2"/>
      <c r="T119" s="7">
        <v>0</v>
      </c>
      <c r="U119" s="2"/>
      <c r="V119" s="6">
        <f t="shared" si="89"/>
        <v>0</v>
      </c>
      <c r="W119" s="2"/>
      <c r="X119" s="7">
        <f t="shared" si="90"/>
        <v>510</v>
      </c>
      <c r="Y119" s="2"/>
      <c r="Z119" s="6">
        <f t="shared" si="91"/>
        <v>0</v>
      </c>
    </row>
    <row r="120" spans="1:26" s="26" customFormat="1" outlineLevel="1" collapsed="1" x14ac:dyDescent="0.25">
      <c r="A120" s="27"/>
      <c r="B120" s="13" t="str">
        <f>CONCATENATE("     ","Utilities                                         ")</f>
        <v xml:space="preserve">     Utilities                                         </v>
      </c>
      <c r="C120" s="13"/>
      <c r="D120" s="1">
        <f>SUM(OSRRefD22_22x_0)</f>
        <v>17267</v>
      </c>
      <c r="E120" s="1"/>
      <c r="F120" s="5">
        <f t="shared" ref="F120:F121" si="92">IF(D$12=0,0,D120/D$12)</f>
        <v>2.4219729714156413E-2</v>
      </c>
      <c r="G120" s="1"/>
      <c r="H120" s="1">
        <f>SUM(OSRRefH22_22x_0)</f>
        <v>17450</v>
      </c>
      <c r="I120" s="1"/>
      <c r="J120" s="5">
        <f t="shared" ref="J120:J121" si="93">IF(H$12=0,0,H120/H$12)</f>
        <v>2.2577890487527171E-2</v>
      </c>
      <c r="K120" s="1"/>
      <c r="L120" s="1">
        <f t="shared" ref="L120:L121" si="94">+D120-H120</f>
        <v>-183</v>
      </c>
      <c r="M120" s="1"/>
      <c r="N120" s="5">
        <f t="shared" ref="N120:N121" si="95">IF(H120=0,0,L120/H120)</f>
        <v>-1.0487106017191977E-2</v>
      </c>
      <c r="O120" s="13"/>
      <c r="P120" s="1">
        <f>SUM(OSRRefP22_22x_0)</f>
        <v>30958</v>
      </c>
      <c r="Q120" s="1"/>
      <c r="R120" s="5">
        <f t="shared" ref="R120:R121" si="96">IF(P$12=0,0,P120/P$12)</f>
        <v>2.4968603944444195E-2</v>
      </c>
      <c r="S120" s="1"/>
      <c r="T120" s="1">
        <f>SUM(OSRRefT22_22x_0)</f>
        <v>57350</v>
      </c>
      <c r="U120" s="1"/>
      <c r="V120" s="5">
        <f t="shared" ref="V120:V121" si="97">IF(T$12=0,0,T120/T$12)</f>
        <v>3.8903537542422491E-2</v>
      </c>
      <c r="W120" s="1"/>
      <c r="X120" s="1">
        <f t="shared" ref="X120:X121" si="98">+P120-T120</f>
        <v>-26392</v>
      </c>
      <c r="Y120" s="1"/>
      <c r="Z120" s="5">
        <f t="shared" ref="Z120:Z121" si="99">IF(T120=0,0,X120/T120)</f>
        <v>-0.46019180470793375</v>
      </c>
    </row>
    <row r="121" spans="1:26" s="24" customFormat="1" hidden="1" outlineLevel="2" x14ac:dyDescent="0.25">
      <c r="A121" s="25"/>
      <c r="B121" s="11" t="str">
        <f>CONCATENATE("          ", "6274", " - ", "UTILITIES")</f>
        <v xml:space="preserve">          6274 - UTILITIES</v>
      </c>
      <c r="C121" s="11"/>
      <c r="D121" s="7">
        <v>17267</v>
      </c>
      <c r="E121" s="2"/>
      <c r="F121" s="6">
        <f t="shared" si="92"/>
        <v>2.4219729714156413E-2</v>
      </c>
      <c r="G121" s="2"/>
      <c r="H121" s="7">
        <v>17450</v>
      </c>
      <c r="I121" s="2"/>
      <c r="J121" s="6">
        <f t="shared" si="93"/>
        <v>2.2577890487527171E-2</v>
      </c>
      <c r="K121" s="2"/>
      <c r="L121" s="7">
        <f t="shared" si="94"/>
        <v>-183</v>
      </c>
      <c r="M121" s="2"/>
      <c r="N121" s="6">
        <f t="shared" si="95"/>
        <v>-1.0487106017191977E-2</v>
      </c>
      <c r="O121" s="11"/>
      <c r="P121" s="7">
        <v>30958</v>
      </c>
      <c r="Q121" s="2"/>
      <c r="R121" s="6">
        <f t="shared" si="96"/>
        <v>2.4968603944444195E-2</v>
      </c>
      <c r="S121" s="2"/>
      <c r="T121" s="7">
        <v>57350</v>
      </c>
      <c r="U121" s="2"/>
      <c r="V121" s="6">
        <f t="shared" si="97"/>
        <v>3.8903537542422491E-2</v>
      </c>
      <c r="W121" s="2"/>
      <c r="X121" s="7">
        <f t="shared" si="98"/>
        <v>-26392</v>
      </c>
      <c r="Y121" s="2"/>
      <c r="Z121" s="6">
        <f t="shared" si="99"/>
        <v>-0.46019180470793375</v>
      </c>
    </row>
    <row r="122" spans="1:26" s="63" customFormat="1" x14ac:dyDescent="0.25">
      <c r="A122" s="36"/>
      <c r="B122" s="36"/>
      <c r="C122" s="36"/>
      <c r="D122" s="1"/>
      <c r="E122" s="1"/>
      <c r="F122" s="5"/>
      <c r="G122" s="1"/>
      <c r="H122" s="1"/>
      <c r="I122" s="1"/>
      <c r="J122" s="5"/>
      <c r="K122" s="1"/>
      <c r="L122" s="1"/>
      <c r="M122" s="1"/>
      <c r="N122" s="5"/>
      <c r="O122" s="36"/>
      <c r="P122" s="1"/>
      <c r="Q122" s="1"/>
      <c r="R122" s="5"/>
      <c r="S122" s="1"/>
      <c r="T122" s="1"/>
      <c r="U122" s="1"/>
      <c r="V122" s="5"/>
      <c r="W122" s="1"/>
      <c r="X122" s="1"/>
      <c r="Y122" s="1"/>
      <c r="Z122" s="5"/>
    </row>
    <row r="123" spans="1:26" s="23" customFormat="1" collapsed="1" x14ac:dyDescent="0.25">
      <c r="A123" s="10"/>
      <c r="B123" s="28" t="s">
        <v>0</v>
      </c>
      <c r="C123" s="10"/>
      <c r="D123" s="4">
        <f>SUM(OSRRefD25x_0)</f>
        <v>237266.33000000002</v>
      </c>
      <c r="E123" s="4"/>
      <c r="F123" s="12">
        <f t="shared" ref="F123:F127" si="100">IF(D$12=0,0,D123/D$12)</f>
        <v>0.33280398348698914</v>
      </c>
      <c r="G123" s="4"/>
      <c r="H123" s="4">
        <f>SUM(OSRRefH25x_0)</f>
        <v>210279</v>
      </c>
      <c r="I123" s="4"/>
      <c r="J123" s="12">
        <f t="shared" ref="J123:J127" si="101">IF(H$12=0,0,H123/H$12)</f>
        <v>0.27207199047717628</v>
      </c>
      <c r="K123" s="4"/>
      <c r="L123" s="4">
        <f t="shared" ref="L123:L127" si="102">+D123-H123</f>
        <v>26987.330000000016</v>
      </c>
      <c r="M123" s="4"/>
      <c r="N123" s="12">
        <f t="shared" ref="N123:N127" si="103">IF(H123=0,0,L123/H123)</f>
        <v>0.12834058560293712</v>
      </c>
      <c r="O123" s="10"/>
      <c r="P123" s="4">
        <f>SUM(OSRRefP25x_0)</f>
        <v>302660.99</v>
      </c>
      <c r="Q123" s="4"/>
      <c r="R123" s="12">
        <f t="shared" ref="R123:R127" si="104">IF(P$12=0,0,P123/P$12)</f>
        <v>0.24410563953560907</v>
      </c>
      <c r="S123" s="4"/>
      <c r="T123" s="4">
        <f>SUM(OSRRefT25x_0)</f>
        <v>259492</v>
      </c>
      <c r="U123" s="4"/>
      <c r="V123" s="12">
        <f t="shared" ref="V123:V127" si="105">IF(T$12=0,0,T123/T$12)</f>
        <v>0.17602714496875846</v>
      </c>
      <c r="W123" s="4"/>
      <c r="X123" s="4">
        <f t="shared" ref="X123:X127" si="106">+P123-T123</f>
        <v>43168.989999999991</v>
      </c>
      <c r="Y123" s="4"/>
      <c r="Z123" s="12">
        <f t="shared" ref="Z123:Z127" si="107">IF(T123=0,0,X123/T123)</f>
        <v>0.16635961802290625</v>
      </c>
    </row>
    <row r="124" spans="1:26" s="24" customFormat="1" hidden="1" outlineLevel="1" x14ac:dyDescent="0.25">
      <c r="A124" s="46"/>
      <c r="B124" s="11" t="str">
        <f>CONCATENATE("          ", "9150", " - ", "MISC. INCOME")</f>
        <v xml:space="preserve">          9150 - MISC. INCOME</v>
      </c>
      <c r="C124" s="11"/>
      <c r="D124" s="2">
        <f>--18738.99</f>
        <v>18738.990000000002</v>
      </c>
      <c r="E124" s="2"/>
      <c r="F124" s="19">
        <f t="shared" si="100"/>
        <v>2.6284431164433887E-2</v>
      </c>
      <c r="G124" s="2"/>
      <c r="H124" s="2">
        <v>10925</v>
      </c>
      <c r="I124" s="2"/>
      <c r="J124" s="19">
        <f t="shared" si="101"/>
        <v>1.4135441465686781E-2</v>
      </c>
      <c r="K124" s="2"/>
      <c r="L124" s="2">
        <f t="shared" si="102"/>
        <v>7813.9900000000016</v>
      </c>
      <c r="M124" s="2"/>
      <c r="N124" s="19">
        <f t="shared" si="103"/>
        <v>0.71523935926773474</v>
      </c>
      <c r="O124" s="11"/>
      <c r="P124" s="2">
        <f>--66526.94</f>
        <v>66526.94</v>
      </c>
      <c r="Q124" s="2"/>
      <c r="R124" s="19">
        <f t="shared" si="104"/>
        <v>5.3656076506744699E-2</v>
      </c>
      <c r="S124" s="2"/>
      <c r="T124" s="2">
        <v>41294</v>
      </c>
      <c r="U124" s="2"/>
      <c r="V124" s="19">
        <f t="shared" si="105"/>
        <v>2.8011903736299814E-2</v>
      </c>
      <c r="W124" s="2"/>
      <c r="X124" s="2">
        <f t="shared" si="106"/>
        <v>25232.940000000002</v>
      </c>
      <c r="Y124" s="2"/>
      <c r="Z124" s="19">
        <f t="shared" si="107"/>
        <v>0.61105584346394159</v>
      </c>
    </row>
    <row r="125" spans="1:26" s="24" customFormat="1" hidden="1" outlineLevel="1" x14ac:dyDescent="0.25">
      <c r="A125" s="46"/>
      <c r="B125" s="11" t="str">
        <f>CONCATENATE("          ", "9151", " - ", "MISC. INCOME")</f>
        <v xml:space="preserve">          9151 - MISC. INCOME</v>
      </c>
      <c r="C125" s="11"/>
      <c r="D125" s="2">
        <f>0</f>
        <v>0</v>
      </c>
      <c r="E125" s="2"/>
      <c r="F125" s="19">
        <f t="shared" si="100"/>
        <v>0</v>
      </c>
      <c r="G125" s="2"/>
      <c r="H125" s="2">
        <v>199354</v>
      </c>
      <c r="I125" s="2"/>
      <c r="J125" s="19">
        <f t="shared" si="101"/>
        <v>0.25793654901148949</v>
      </c>
      <c r="K125" s="2"/>
      <c r="L125" s="2">
        <f t="shared" si="102"/>
        <v>-199354</v>
      </c>
      <c r="M125" s="2"/>
      <c r="N125" s="19">
        <f t="shared" si="103"/>
        <v>-1</v>
      </c>
      <c r="O125" s="11"/>
      <c r="P125" s="2">
        <f>0</f>
        <v>0</v>
      </c>
      <c r="Q125" s="2"/>
      <c r="R125" s="19">
        <f t="shared" si="104"/>
        <v>0</v>
      </c>
      <c r="S125" s="2"/>
      <c r="T125" s="2">
        <v>218198</v>
      </c>
      <c r="U125" s="2"/>
      <c r="V125" s="19">
        <f t="shared" si="105"/>
        <v>0.14801524123245866</v>
      </c>
      <c r="W125" s="2"/>
      <c r="X125" s="2">
        <f t="shared" si="106"/>
        <v>-218198</v>
      </c>
      <c r="Y125" s="2"/>
      <c r="Z125" s="19">
        <f t="shared" si="107"/>
        <v>-1</v>
      </c>
    </row>
    <row r="126" spans="1:26" s="24" customFormat="1" hidden="1" outlineLevel="1" x14ac:dyDescent="0.25">
      <c r="A126" s="46"/>
      <c r="B126" s="11" t="str">
        <f>CONCATENATE("          ", "9160", " - ", "MISC. INCOME")</f>
        <v xml:space="preserve">          9160 - MISC. INCOME</v>
      </c>
      <c r="C126" s="11"/>
      <c r="D126" s="2">
        <f>--20000</f>
        <v>20000</v>
      </c>
      <c r="E126" s="2"/>
      <c r="F126" s="19">
        <f t="shared" si="100"/>
        <v>2.8053199414092098E-2</v>
      </c>
      <c r="G126" s="2"/>
      <c r="H126" s="2"/>
      <c r="I126" s="2"/>
      <c r="J126" s="19">
        <f t="shared" si="101"/>
        <v>0</v>
      </c>
      <c r="K126" s="2"/>
      <c r="L126" s="2">
        <f t="shared" si="102"/>
        <v>20000</v>
      </c>
      <c r="M126" s="2"/>
      <c r="N126" s="19">
        <f t="shared" si="103"/>
        <v>0</v>
      </c>
      <c r="O126" s="11"/>
      <c r="P126" s="2">
        <f>--30973.27</f>
        <v>30973.27</v>
      </c>
      <c r="Q126" s="2"/>
      <c r="R126" s="19">
        <f t="shared" si="104"/>
        <v>2.4980919681320986E-2</v>
      </c>
      <c r="S126" s="2"/>
      <c r="T126" s="2"/>
      <c r="U126" s="2"/>
      <c r="V126" s="19">
        <f t="shared" si="105"/>
        <v>0</v>
      </c>
      <c r="W126" s="2"/>
      <c r="X126" s="2">
        <f t="shared" si="106"/>
        <v>30973.27</v>
      </c>
      <c r="Y126" s="2"/>
      <c r="Z126" s="19">
        <f t="shared" si="107"/>
        <v>0</v>
      </c>
    </row>
    <row r="127" spans="1:26" s="24" customFormat="1" hidden="1" outlineLevel="1" x14ac:dyDescent="0.25">
      <c r="A127" s="46"/>
      <c r="B127" s="11" t="str">
        <f>CONCATENATE("          ", "9165", " - ", "OTHER INCOME")</f>
        <v xml:space="preserve">          9165 - OTHER INCOME</v>
      </c>
      <c r="C127" s="11"/>
      <c r="D127" s="2">
        <f>--198527.34</f>
        <v>198527.34</v>
      </c>
      <c r="E127" s="2"/>
      <c r="F127" s="19">
        <f t="shared" si="100"/>
        <v>0.27846635290846311</v>
      </c>
      <c r="G127" s="2"/>
      <c r="H127" s="2"/>
      <c r="I127" s="2"/>
      <c r="J127" s="19">
        <f t="shared" si="101"/>
        <v>0</v>
      </c>
      <c r="K127" s="2"/>
      <c r="L127" s="2">
        <f t="shared" si="102"/>
        <v>198527.34</v>
      </c>
      <c r="M127" s="2"/>
      <c r="N127" s="19">
        <f t="shared" si="103"/>
        <v>0</v>
      </c>
      <c r="O127" s="11"/>
      <c r="P127" s="2">
        <f>--205160.78</f>
        <v>205160.78</v>
      </c>
      <c r="Q127" s="2"/>
      <c r="R127" s="19">
        <f t="shared" si="104"/>
        <v>0.16546864334754338</v>
      </c>
      <c r="S127" s="2"/>
      <c r="T127" s="2"/>
      <c r="U127" s="2"/>
      <c r="V127" s="19">
        <f t="shared" si="105"/>
        <v>0</v>
      </c>
      <c r="W127" s="2"/>
      <c r="X127" s="2">
        <f t="shared" si="106"/>
        <v>205160.78</v>
      </c>
      <c r="Y127" s="2"/>
      <c r="Z127" s="19">
        <f t="shared" si="107"/>
        <v>0</v>
      </c>
    </row>
    <row r="128" spans="1:26" x14ac:dyDescent="0.25">
      <c r="A128" s="9"/>
      <c r="B128" s="10"/>
      <c r="C128" s="10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O128" s="10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3" customFormat="1" x14ac:dyDescent="0.25">
      <c r="A129" s="10"/>
      <c r="B129" s="29" t="s">
        <v>3</v>
      </c>
      <c r="C129" s="29"/>
      <c r="D129" s="22">
        <f>+D30-D32+D123</f>
        <v>155221.4699999998</v>
      </c>
      <c r="E129" s="14"/>
      <c r="F129" s="20">
        <f>IF(D$12=0,0,D129/D$12)</f>
        <v>0.2177229425629254</v>
      </c>
      <c r="G129" s="14"/>
      <c r="H129" s="22">
        <f>+H30-H32+H123</f>
        <v>276583.78708207351</v>
      </c>
      <c r="I129" s="14"/>
      <c r="J129" s="20">
        <f>IF(H$12=0,0,H129/H$12)</f>
        <v>0.3578612295337873</v>
      </c>
      <c r="K129" s="15"/>
      <c r="L129" s="22">
        <f>+D129-H129</f>
        <v>-121362.31708207371</v>
      </c>
      <c r="M129" s="15"/>
      <c r="N129" s="20">
        <f>IF(H129=0,0,L129/H129)</f>
        <v>-0.43879042355458325</v>
      </c>
      <c r="O129" s="28"/>
      <c r="P129" s="22">
        <f>+P30-P32+P123</f>
        <v>-225565.23999999976</v>
      </c>
      <c r="Q129" s="14"/>
      <c r="R129" s="20">
        <f>IF(P$12=0,0,P129/P$12)</f>
        <v>-0.18192548424295807</v>
      </c>
      <c r="S129" s="14"/>
      <c r="T129" s="22">
        <f>+T30-T32+T123</f>
        <v>-58037.015445581172</v>
      </c>
      <c r="U129" s="14"/>
      <c r="V129" s="20">
        <f>IF(T$12=0,0,T129/T$12)</f>
        <v>-3.936957644703263E-2</v>
      </c>
      <c r="W129" s="15"/>
      <c r="X129" s="22">
        <f>+P129-T129</f>
        <v>-167528.22455441859</v>
      </c>
      <c r="Y129" s="15"/>
      <c r="Z129" s="20">
        <f>IF(T129=0,0,X129/T129)</f>
        <v>2.8865754599580096</v>
      </c>
    </row>
    <row r="130" spans="1:26" x14ac:dyDescent="0.25">
      <c r="A130" s="9"/>
      <c r="B130" s="10"/>
      <c r="C130" s="9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s="23" customFormat="1" x14ac:dyDescent="0.25">
      <c r="A131" s="52"/>
      <c r="B131" s="10" t="s">
        <v>14</v>
      </c>
      <c r="C131" s="10"/>
      <c r="D131" s="4">
        <v>67478.680000000008</v>
      </c>
      <c r="E131" s="4"/>
      <c r="F131" s="12">
        <f>IF(D$12=0,0,D131/D$12)</f>
        <v>9.4649643311985415E-2</v>
      </c>
      <c r="G131" s="4"/>
      <c r="H131" s="4">
        <v>72569</v>
      </c>
      <c r="I131" s="4"/>
      <c r="J131" s="12">
        <f>IF(H$12=0,0,H131/H$12)</f>
        <v>9.389426560397475E-2</v>
      </c>
      <c r="K131" s="4"/>
      <c r="L131" s="4">
        <f>+D131-H131</f>
        <v>-5090.3199999999924</v>
      </c>
      <c r="M131" s="4"/>
      <c r="N131" s="12">
        <f>IF(H131=0,0,L131/H131)</f>
        <v>-7.0144552081467193E-2</v>
      </c>
      <c r="O131" s="10"/>
      <c r="P131" s="4">
        <v>133179.23000000001</v>
      </c>
      <c r="Q131" s="4"/>
      <c r="R131" s="12">
        <f>IF(P$12=0,0,P131/P$12)</f>
        <v>0.10741325174417085</v>
      </c>
      <c r="S131" s="4"/>
      <c r="T131" s="4">
        <v>186459</v>
      </c>
      <c r="U131" s="4"/>
      <c r="V131" s="12">
        <f>IF(T$12=0,0,T131/T$12)</f>
        <v>0.12648499924363654</v>
      </c>
      <c r="W131" s="4"/>
      <c r="X131" s="4">
        <f>+P131-T131</f>
        <v>-53279.76999999999</v>
      </c>
      <c r="Y131" s="4"/>
      <c r="Z131" s="12">
        <f>IF(T131=0,0,X131/T131)</f>
        <v>-0.28574523085504044</v>
      </c>
    </row>
    <row r="132" spans="1:26" x14ac:dyDescent="0.25">
      <c r="A132" s="9"/>
      <c r="B132" s="10"/>
      <c r="C132" s="10"/>
      <c r="D132" s="3"/>
      <c r="E132" s="3"/>
      <c r="F132" s="8"/>
      <c r="G132" s="3"/>
      <c r="H132" s="3"/>
      <c r="I132" s="3"/>
      <c r="J132" s="8"/>
      <c r="K132" s="3"/>
      <c r="L132" s="3"/>
      <c r="M132" s="3"/>
      <c r="N132" s="8"/>
      <c r="O132" s="10"/>
      <c r="P132" s="3"/>
      <c r="Q132" s="3"/>
      <c r="R132" s="8"/>
      <c r="S132" s="3"/>
      <c r="T132" s="3"/>
      <c r="U132" s="3"/>
      <c r="V132" s="8"/>
      <c r="W132" s="3"/>
      <c r="X132" s="3"/>
      <c r="Y132" s="3"/>
      <c r="Z132" s="8"/>
    </row>
    <row r="133" spans="1:26" s="23" customFormat="1" ht="15.75" thickBot="1" x14ac:dyDescent="0.3">
      <c r="A133" s="10"/>
      <c r="B133" s="29" t="s">
        <v>4</v>
      </c>
      <c r="C133" s="29"/>
      <c r="D133" s="35">
        <f>+D129-D131</f>
        <v>87742.78999999979</v>
      </c>
      <c r="E133" s="14"/>
      <c r="F133" s="32">
        <f>IF(D$12=0,0,D133/D$12)</f>
        <v>0.12307329925094</v>
      </c>
      <c r="G133" s="14"/>
      <c r="H133" s="35">
        <f>+H129-H131</f>
        <v>204014.78708207351</v>
      </c>
      <c r="I133" s="14"/>
      <c r="J133" s="32">
        <f>IF(H$12=0,0,H133/H$12)</f>
        <v>0.26396696392981256</v>
      </c>
      <c r="K133" s="15"/>
      <c r="L133" s="35">
        <f>D133-H133</f>
        <v>-116271.99708207372</v>
      </c>
      <c r="M133" s="15"/>
      <c r="N133" s="32">
        <f>IF(H133=0,0,L133/H133)</f>
        <v>-0.56991945900126562</v>
      </c>
      <c r="O133" s="28"/>
      <c r="P133" s="35">
        <f>+P129-P131</f>
        <v>-358744.46999999974</v>
      </c>
      <c r="Q133" s="14"/>
      <c r="R133" s="32">
        <f>IF(P$12=0,0,P133/P$12)</f>
        <v>-0.28933873598712889</v>
      </c>
      <c r="S133" s="14"/>
      <c r="T133" s="35">
        <f>+T129-T131</f>
        <v>-244496.01544558117</v>
      </c>
      <c r="U133" s="14"/>
      <c r="V133" s="32">
        <f>IF(T$12=0,0,T133/T$12)</f>
        <v>-0.16585457569066916</v>
      </c>
      <c r="W133" s="15"/>
      <c r="X133" s="35">
        <f>P133-T133</f>
        <v>-114248.45455441857</v>
      </c>
      <c r="Y133" s="15"/>
      <c r="Z133" s="32">
        <f>IF(T133=0,0,X133/T133)</f>
        <v>0.46728145792563019</v>
      </c>
    </row>
    <row r="134" spans="1:26" ht="15.75" thickTop="1" x14ac:dyDescent="0.25">
      <c r="A134" s="9"/>
      <c r="B134" s="9"/>
      <c r="C134" s="9"/>
      <c r="D134" s="3"/>
      <c r="E134" s="3"/>
      <c r="F134" s="8"/>
      <c r="G134" s="3"/>
      <c r="H134" s="3"/>
      <c r="I134" s="3"/>
      <c r="J134" s="8"/>
      <c r="K134" s="3"/>
      <c r="L134" s="3"/>
      <c r="M134" s="3"/>
      <c r="N134" s="8"/>
      <c r="P134" s="3"/>
      <c r="Q134" s="3"/>
      <c r="R134" s="8"/>
      <c r="S134" s="3"/>
      <c r="T134" s="3"/>
      <c r="U134" s="3"/>
      <c r="V134" s="8"/>
      <c r="W134" s="3"/>
      <c r="X134" s="3"/>
      <c r="Y134" s="3"/>
      <c r="Z134" s="8"/>
    </row>
    <row r="135" spans="1:26" x14ac:dyDescent="0.25">
      <c r="A135" s="9"/>
      <c r="B135" s="9"/>
      <c r="C135" s="9"/>
      <c r="D135" s="3"/>
      <c r="E135" s="3"/>
      <c r="F135" s="8"/>
      <c r="G135" s="3"/>
      <c r="H135" s="3"/>
      <c r="I135" s="3"/>
      <c r="J135" s="8"/>
      <c r="K135" s="3"/>
      <c r="L135" s="3"/>
      <c r="M135" s="3"/>
      <c r="N135" s="8"/>
      <c r="P135" s="3"/>
      <c r="Q135" s="3"/>
      <c r="R135" s="8"/>
      <c r="S135" s="3"/>
      <c r="T135" s="3"/>
      <c r="U135" s="3"/>
      <c r="V135" s="8"/>
      <c r="W135" s="3"/>
      <c r="X135" s="3"/>
      <c r="Y135" s="3"/>
      <c r="Z135" s="8"/>
    </row>
    <row r="136" spans="1:26" s="23" customFormat="1" ht="15.75" thickBot="1" x14ac:dyDescent="0.3">
      <c r="A136" s="10"/>
      <c r="B136" s="29" t="s">
        <v>5</v>
      </c>
      <c r="C136" s="29"/>
      <c r="D136" s="30">
        <f>SUM(D133:D135)</f>
        <v>87742.78999999979</v>
      </c>
      <c r="E136" s="14"/>
      <c r="F136" s="31">
        <f>IF(D$12=0,0,D136/D$12)</f>
        <v>0.12307329925094</v>
      </c>
      <c r="G136" s="14"/>
      <c r="H136" s="30">
        <f>SUM(H133:H135)</f>
        <v>204014.78708207351</v>
      </c>
      <c r="I136" s="14"/>
      <c r="J136" s="31">
        <f>IF(H$12=0,0,H136/H$12)</f>
        <v>0.26396696392981256</v>
      </c>
      <c r="K136" s="15"/>
      <c r="L136" s="30">
        <f>+D136-H136</f>
        <v>-116271.99708207372</v>
      </c>
      <c r="M136" s="15"/>
      <c r="N136" s="31">
        <f>IF(H136=0,0,L136/H136)</f>
        <v>-0.56991945900126562</v>
      </c>
      <c r="O136" s="28"/>
      <c r="P136" s="30">
        <f>SUM(P133:P135)</f>
        <v>-358744.46999999974</v>
      </c>
      <c r="Q136" s="14"/>
      <c r="R136" s="31">
        <f>IF(P$12=0,0,P136/P$12)</f>
        <v>-0.28933873598712889</v>
      </c>
      <c r="S136" s="14"/>
      <c r="T136" s="30">
        <f>SUM(T133:T135)</f>
        <v>-244496.01544558117</v>
      </c>
      <c r="U136" s="14"/>
      <c r="V136" s="31">
        <f>IF(T$12=0,0,T136/T$12)</f>
        <v>-0.16585457569066916</v>
      </c>
      <c r="W136" s="15"/>
      <c r="X136" s="30">
        <f>+P136-T136</f>
        <v>-114248.45455441857</v>
      </c>
      <c r="Y136" s="15"/>
      <c r="Z136" s="31">
        <f>IF(T136=0,0,X136/T136)</f>
        <v>0.46728145792563019</v>
      </c>
    </row>
    <row r="137" spans="1:26" ht="15.75" thickTop="1" x14ac:dyDescent="0.25">
      <c r="A137" s="9"/>
      <c r="C137" s="9"/>
      <c r="D137" s="18"/>
      <c r="E137" s="18"/>
      <c r="G137" s="18"/>
      <c r="H137" s="18"/>
      <c r="I137" s="18"/>
      <c r="J137" s="43"/>
      <c r="K137" s="18"/>
      <c r="L137" s="18"/>
      <c r="M137" s="18"/>
      <c r="P137" s="18"/>
      <c r="Q137" s="18"/>
      <c r="R137" s="43"/>
      <c r="S137" s="18"/>
      <c r="T137" s="18"/>
      <c r="U137" s="18"/>
      <c r="V137" s="43"/>
      <c r="W137" s="18"/>
      <c r="X137" s="18"/>
    </row>
    <row r="138" spans="1:26" x14ac:dyDescent="0.25">
      <c r="A138" s="9"/>
      <c r="B138" s="53">
        <v>43756.451963738429</v>
      </c>
      <c r="D138" s="18"/>
      <c r="E138" s="18"/>
      <c r="G138" s="18"/>
      <c r="H138" s="18"/>
      <c r="I138" s="18"/>
      <c r="J138" s="43"/>
      <c r="K138" s="18"/>
      <c r="L138" s="18"/>
      <c r="M138" s="18"/>
      <c r="P138" s="18"/>
      <c r="Q138" s="18"/>
      <c r="R138" s="43"/>
      <c r="S138" s="18"/>
      <c r="T138" s="18"/>
      <c r="U138" s="18"/>
      <c r="V138" s="43"/>
      <c r="W138" s="18"/>
      <c r="X138" s="18"/>
    </row>
    <row r="139" spans="1:26" x14ac:dyDescent="0.25">
      <c r="A139" s="9"/>
      <c r="B139" s="55" t="s">
        <v>314</v>
      </c>
      <c r="D139" s="18"/>
      <c r="E139" s="18"/>
      <c r="G139" s="18"/>
      <c r="H139" s="18"/>
      <c r="I139" s="18"/>
      <c r="J139" s="43"/>
      <c r="K139" s="18"/>
      <c r="L139" s="18"/>
      <c r="M139" s="18"/>
      <c r="P139" s="18"/>
      <c r="Q139" s="18"/>
      <c r="R139" s="43"/>
      <c r="S139" s="18"/>
      <c r="T139" s="18"/>
      <c r="U139" s="18"/>
      <c r="V139" s="43"/>
      <c r="W139" s="18"/>
      <c r="X139" s="18"/>
    </row>
    <row r="140" spans="1:26" x14ac:dyDescent="0.25">
      <c r="A140" s="9"/>
      <c r="B140" s="56"/>
      <c r="D140" s="18"/>
      <c r="E140" s="18"/>
      <c r="G140" s="18"/>
      <c r="H140" s="18"/>
      <c r="I140" s="18"/>
      <c r="J140" s="43"/>
      <c r="K140" s="18"/>
      <c r="L140" s="18"/>
      <c r="M140" s="18"/>
      <c r="P140" s="18"/>
      <c r="Q140" s="18"/>
      <c r="R140" s="43"/>
      <c r="S140" s="18"/>
      <c r="T140" s="18"/>
      <c r="U140" s="18"/>
      <c r="V140" s="43"/>
      <c r="W140" s="18"/>
      <c r="X140" s="18"/>
    </row>
    <row r="141" spans="1:26" x14ac:dyDescent="0.25">
      <c r="D141" s="18"/>
      <c r="E141" s="18"/>
      <c r="G141" s="18"/>
      <c r="H141" s="18"/>
      <c r="I141" s="18"/>
      <c r="J141" s="43"/>
      <c r="K141" s="18"/>
      <c r="L141" s="18"/>
      <c r="M141" s="18"/>
      <c r="P141" s="18"/>
      <c r="Q141" s="18"/>
      <c r="R141" s="43"/>
      <c r="S141" s="18"/>
      <c r="T141" s="18"/>
      <c r="U141" s="18"/>
      <c r="V141" s="43"/>
      <c r="W141" s="18"/>
      <c r="X141" s="18"/>
    </row>
  </sheetData>
  <pageMargins left="0.25" right="0.25" top="0.75" bottom="0.75" header="0.3" footer="0.3"/>
  <pageSetup scale="55" fitToWidth="2" orientation="landscape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str">
        <f>CONCATENATE("Period ",RIGHT(202003,2),", ",2020)</f>
        <v>Period 03, 2020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43736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tr">
        <f>CONCATENATE("Department ","405", " - ", "Library Starbucks")</f>
        <v>Department 405 - Library Starbucks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118599.85</v>
      </c>
      <c r="E12" s="4"/>
      <c r="F12" s="12"/>
      <c r="G12" s="4"/>
      <c r="H12" s="4">
        <f>SUM(OSRRefH13x_0)</f>
        <v>142800</v>
      </c>
      <c r="I12" s="4"/>
      <c r="J12" s="12"/>
      <c r="K12" s="4"/>
      <c r="L12" s="4">
        <f t="shared" ref="L12:L15" si="0">+D12-H12</f>
        <v>-24200.149999999994</v>
      </c>
      <c r="M12" s="4"/>
      <c r="N12" s="12">
        <f t="shared" ref="N12:N15" si="1">IF(H12=0,0,L12/H12)</f>
        <v>-0.16946883753501396</v>
      </c>
      <c r="O12" s="10"/>
      <c r="P12" s="4">
        <f>SUM(OSRRefP13x_0)</f>
        <v>171121.77</v>
      </c>
      <c r="Q12" s="4"/>
      <c r="R12" s="12"/>
      <c r="S12" s="4"/>
      <c r="T12" s="4">
        <f>SUM(OSRRefT13x_0)</f>
        <v>259800</v>
      </c>
      <c r="U12" s="4"/>
      <c r="V12" s="12"/>
      <c r="W12" s="4"/>
      <c r="X12" s="4">
        <f t="shared" ref="X12:X15" si="2">+P12-T12</f>
        <v>-88678.23000000001</v>
      </c>
      <c r="Y12" s="4"/>
      <c r="Z12" s="12">
        <f t="shared" ref="Z12:Z15" si="3">IF(T12=0,0,X12/T12)</f>
        <v>-0.34133267898383374</v>
      </c>
    </row>
    <row r="13" spans="1:26" s="24" customFormat="1" hidden="1" outlineLevel="1" x14ac:dyDescent="0.25">
      <c r="A13" s="46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142800</v>
      </c>
      <c r="I13" s="2"/>
      <c r="J13" s="19"/>
      <c r="K13" s="2"/>
      <c r="L13" s="2">
        <f t="shared" si="0"/>
        <v>-142800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259800</v>
      </c>
      <c r="U13" s="2"/>
      <c r="V13" s="19"/>
      <c r="W13" s="2"/>
      <c r="X13" s="2">
        <f t="shared" si="2"/>
        <v>-259800</v>
      </c>
      <c r="Y13" s="2"/>
      <c r="Z13" s="19">
        <f t="shared" si="3"/>
        <v>-1</v>
      </c>
    </row>
    <row r="14" spans="1:26" s="24" customFormat="1" hidden="1" outlineLevel="1" x14ac:dyDescent="0.25">
      <c r="A14" s="46"/>
      <c r="B14" s="11" t="str">
        <f>CONCATENATE("          ", "4051", " - ", "TAXABLE SALES-FOOD")</f>
        <v xml:space="preserve">          4051 - TAXABLE SALES-FOOD</v>
      </c>
      <c r="C14" s="11"/>
      <c r="D14" s="2">
        <f>--29470.66</f>
        <v>29470.66</v>
      </c>
      <c r="E14" s="2"/>
      <c r="F14" s="19"/>
      <c r="G14" s="2"/>
      <c r="H14" s="2"/>
      <c r="I14" s="2"/>
      <c r="J14" s="19"/>
      <c r="K14" s="2"/>
      <c r="L14" s="2">
        <f t="shared" si="0"/>
        <v>29470.66</v>
      </c>
      <c r="M14" s="2"/>
      <c r="N14" s="19">
        <f t="shared" si="1"/>
        <v>0</v>
      </c>
      <c r="O14" s="11"/>
      <c r="P14" s="2">
        <f>--43328.4</f>
        <v>43328.4</v>
      </c>
      <c r="Q14" s="2"/>
      <c r="R14" s="19"/>
      <c r="S14" s="2"/>
      <c r="T14" s="2"/>
      <c r="U14" s="2"/>
      <c r="V14" s="19"/>
      <c r="W14" s="2"/>
      <c r="X14" s="2">
        <f t="shared" si="2"/>
        <v>43328.4</v>
      </c>
      <c r="Y14" s="2"/>
      <c r="Z14" s="19">
        <f t="shared" si="3"/>
        <v>0</v>
      </c>
    </row>
    <row r="15" spans="1:26" s="24" customFormat="1" hidden="1" outlineLevel="1" x14ac:dyDescent="0.25">
      <c r="A15" s="46"/>
      <c r="B15" s="11" t="str">
        <f>CONCATENATE("          ", "4151", " - ", "NON-TAXABLE SALES-FOOD")</f>
        <v xml:space="preserve">          4151 - NON-TAXABLE SALES-FOOD</v>
      </c>
      <c r="C15" s="11"/>
      <c r="D15" s="2">
        <f>--89129.19</f>
        <v>89129.19</v>
      </c>
      <c r="E15" s="2"/>
      <c r="F15" s="19"/>
      <c r="G15" s="2"/>
      <c r="H15" s="2"/>
      <c r="I15" s="2"/>
      <c r="J15" s="19"/>
      <c r="K15" s="2"/>
      <c r="L15" s="2">
        <f t="shared" si="0"/>
        <v>89129.19</v>
      </c>
      <c r="M15" s="2"/>
      <c r="N15" s="19">
        <f t="shared" si="1"/>
        <v>0</v>
      </c>
      <c r="O15" s="11"/>
      <c r="P15" s="2">
        <f>--127793.37</f>
        <v>127793.37</v>
      </c>
      <c r="Q15" s="2"/>
      <c r="R15" s="19"/>
      <c r="S15" s="2"/>
      <c r="T15" s="2"/>
      <c r="U15" s="2"/>
      <c r="V15" s="19"/>
      <c r="W15" s="2"/>
      <c r="X15" s="2">
        <f t="shared" si="2"/>
        <v>127793.37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59749.149999999994</v>
      </c>
      <c r="E17" s="4"/>
      <c r="F17" s="12">
        <f t="shared" ref="F17:F20" si="4">IF(D$12=0,0,D17/D$12)</f>
        <v>0.50378773666239873</v>
      </c>
      <c r="G17" s="4"/>
      <c r="H17" s="4">
        <f>SUM(OSRRefH16x_0)</f>
        <v>45696</v>
      </c>
      <c r="I17" s="4"/>
      <c r="J17" s="12">
        <f t="shared" ref="J17:J20" si="5">IF(H$12=0,0,H17/H$12)</f>
        <v>0.32</v>
      </c>
      <c r="K17" s="4"/>
      <c r="L17" s="4">
        <f t="shared" ref="L17:L20" si="6">+D17-H17</f>
        <v>14053.149999999994</v>
      </c>
      <c r="M17" s="4"/>
      <c r="N17" s="12">
        <f t="shared" ref="N17:N20" si="7">IF(H17=0,0,L17/H17)</f>
        <v>0.30753567051820718</v>
      </c>
      <c r="O17" s="10"/>
      <c r="P17" s="4">
        <f>SUM(OSRRefP16x_0)</f>
        <v>80997.67</v>
      </c>
      <c r="Q17" s="4"/>
      <c r="R17" s="12">
        <f t="shared" ref="R17:R20" si="8">IF(P$12=0,0,P17/P$12)</f>
        <v>0.47333352150343</v>
      </c>
      <c r="S17" s="4"/>
      <c r="T17" s="4">
        <f>SUM(OSRRefT16x_0)</f>
        <v>83136</v>
      </c>
      <c r="U17" s="4"/>
      <c r="V17" s="12">
        <f t="shared" ref="V17:V20" si="9">IF(T$12=0,0,T17/T$12)</f>
        <v>0.32</v>
      </c>
      <c r="W17" s="4"/>
      <c r="X17" s="4">
        <f t="shared" ref="X17:X20" si="10">+P17-T17</f>
        <v>-2138.3300000000017</v>
      </c>
      <c r="Y17" s="4"/>
      <c r="Z17" s="12">
        <f t="shared" ref="Z17:Z20" si="11">IF(T17=0,0,X17/T17)</f>
        <v>-2.5720867013087012E-2</v>
      </c>
    </row>
    <row r="18" spans="1:26" s="24" customFormat="1" hidden="1" outlineLevel="1" x14ac:dyDescent="0.25">
      <c r="A18" s="46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4"/>
        <v>0</v>
      </c>
      <c r="G18" s="2"/>
      <c r="H18" s="2">
        <v>45696</v>
      </c>
      <c r="I18" s="2"/>
      <c r="J18" s="19">
        <f t="shared" si="5"/>
        <v>0.32</v>
      </c>
      <c r="K18" s="2"/>
      <c r="L18" s="2">
        <f t="shared" si="6"/>
        <v>-45696</v>
      </c>
      <c r="M18" s="2"/>
      <c r="N18" s="19">
        <f t="shared" si="7"/>
        <v>-1</v>
      </c>
      <c r="O18" s="11"/>
      <c r="P18" s="2"/>
      <c r="Q18" s="2"/>
      <c r="R18" s="19">
        <f t="shared" si="8"/>
        <v>0</v>
      </c>
      <c r="S18" s="2"/>
      <c r="T18" s="2">
        <v>83136</v>
      </c>
      <c r="U18" s="2"/>
      <c r="V18" s="19">
        <f t="shared" si="9"/>
        <v>0.32</v>
      </c>
      <c r="W18" s="2"/>
      <c r="X18" s="2">
        <f t="shared" si="10"/>
        <v>-83136</v>
      </c>
      <c r="Y18" s="2"/>
      <c r="Z18" s="19">
        <f t="shared" si="11"/>
        <v>-1</v>
      </c>
    </row>
    <row r="19" spans="1:26" s="24" customFormat="1" hidden="1" outlineLevel="1" x14ac:dyDescent="0.25">
      <c r="A19" s="46"/>
      <c r="B19" s="11" t="str">
        <f>CONCATENATE("          ", "5053", " - ", "PURCHASES @ COST-FOOD")</f>
        <v xml:space="preserve">          5053 - PURCHASES @ COST-FOOD</v>
      </c>
      <c r="C19" s="11"/>
      <c r="D19" s="2">
        <v>60901.149999999994</v>
      </c>
      <c r="E19" s="2"/>
      <c r="F19" s="19">
        <f t="shared" si="4"/>
        <v>0.51350107103845399</v>
      </c>
      <c r="G19" s="2"/>
      <c r="H19" s="2"/>
      <c r="I19" s="2"/>
      <c r="J19" s="19">
        <f t="shared" si="5"/>
        <v>0</v>
      </c>
      <c r="K19" s="2"/>
      <c r="L19" s="2">
        <f t="shared" si="6"/>
        <v>60901.149999999994</v>
      </c>
      <c r="M19" s="2"/>
      <c r="N19" s="19">
        <f t="shared" si="7"/>
        <v>0</v>
      </c>
      <c r="O19" s="11"/>
      <c r="P19" s="2">
        <v>84681.67</v>
      </c>
      <c r="Q19" s="2"/>
      <c r="R19" s="19">
        <f t="shared" si="8"/>
        <v>0.49486205057369381</v>
      </c>
      <c r="S19" s="2"/>
      <c r="T19" s="2"/>
      <c r="U19" s="2"/>
      <c r="V19" s="19">
        <f t="shared" si="9"/>
        <v>0</v>
      </c>
      <c r="W19" s="2"/>
      <c r="X19" s="2">
        <f t="shared" si="10"/>
        <v>84681.67</v>
      </c>
      <c r="Y19" s="2"/>
      <c r="Z19" s="19">
        <f t="shared" si="11"/>
        <v>0</v>
      </c>
    </row>
    <row r="20" spans="1:26" s="24" customFormat="1" hidden="1" outlineLevel="1" x14ac:dyDescent="0.25">
      <c r="A20" s="46"/>
      <c r="B20" s="11" t="str">
        <f>CONCATENATE("          ", "5059", " - ", "PURCHASES @ COST-FOOD")</f>
        <v xml:space="preserve">          5059 - PURCHASES @ COST-FOOD</v>
      </c>
      <c r="C20" s="11"/>
      <c r="D20" s="2">
        <v>-1152</v>
      </c>
      <c r="E20" s="2"/>
      <c r="F20" s="19">
        <f t="shared" si="4"/>
        <v>-9.7133343760552812E-3</v>
      </c>
      <c r="G20" s="2"/>
      <c r="H20" s="2"/>
      <c r="I20" s="2"/>
      <c r="J20" s="19">
        <f t="shared" si="5"/>
        <v>0</v>
      </c>
      <c r="K20" s="2"/>
      <c r="L20" s="2">
        <f t="shared" si="6"/>
        <v>-1152</v>
      </c>
      <c r="M20" s="2"/>
      <c r="N20" s="19">
        <f t="shared" si="7"/>
        <v>0</v>
      </c>
      <c r="O20" s="11"/>
      <c r="P20" s="2">
        <v>-3684</v>
      </c>
      <c r="Q20" s="2"/>
      <c r="R20" s="19">
        <f t="shared" si="8"/>
        <v>-2.1528529070263827E-2</v>
      </c>
      <c r="S20" s="2"/>
      <c r="T20" s="2"/>
      <c r="U20" s="2"/>
      <c r="V20" s="19">
        <f t="shared" si="9"/>
        <v>0</v>
      </c>
      <c r="W20" s="2"/>
      <c r="X20" s="2">
        <f t="shared" si="10"/>
        <v>-3684</v>
      </c>
      <c r="Y20" s="2"/>
      <c r="Z20" s="19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6</v>
      </c>
      <c r="C22" s="29"/>
      <c r="D22" s="22">
        <f>D12-D17</f>
        <v>58850.700000000012</v>
      </c>
      <c r="E22" s="14"/>
      <c r="F22" s="20">
        <f>IF(D$12=0,0,D22/D$12)</f>
        <v>0.49621226333760127</v>
      </c>
      <c r="G22" s="14"/>
      <c r="H22" s="22">
        <f>H12-H17</f>
        <v>97104</v>
      </c>
      <c r="I22" s="14"/>
      <c r="J22" s="20">
        <f>IF(H$12=0,0,H22/H$12)</f>
        <v>0.68</v>
      </c>
      <c r="K22" s="15"/>
      <c r="L22" s="22">
        <f>+D22-H22</f>
        <v>-38253.299999999988</v>
      </c>
      <c r="M22" s="15"/>
      <c r="N22" s="20">
        <f>IF(H22=0,0,L22/H22)</f>
        <v>-0.39394154720711805</v>
      </c>
      <c r="O22" s="28"/>
      <c r="P22" s="22">
        <f>P12-P17</f>
        <v>90124.099999999991</v>
      </c>
      <c r="Q22" s="14"/>
      <c r="R22" s="20">
        <f>IF(P$12=0,0,P22/P$12)</f>
        <v>0.52666647849657</v>
      </c>
      <c r="S22" s="14"/>
      <c r="T22" s="22">
        <f>T12-T17</f>
        <v>176664</v>
      </c>
      <c r="U22" s="14"/>
      <c r="V22" s="20">
        <f>IF(T$12=0,0,T22/T$12)</f>
        <v>0.68</v>
      </c>
      <c r="W22" s="15"/>
      <c r="X22" s="22">
        <f>+P22-T22</f>
        <v>-86539.900000000009</v>
      </c>
      <c r="Y22" s="15"/>
      <c r="Z22" s="20">
        <f>IF(T22=0,0,X22/T22)</f>
        <v>-0.48985588461712637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9</v>
      </c>
      <c r="C24" s="10"/>
      <c r="D24" s="21">
        <f>SUM(OSRRefD22x_0)</f>
        <v>63563.870000000017</v>
      </c>
      <c r="E24" s="21"/>
      <c r="F24" s="33">
        <f t="shared" ref="F24:F34" si="12">IF(D$12=0,0,D24/D$12)</f>
        <v>0.5359523641893309</v>
      </c>
      <c r="G24" s="21"/>
      <c r="H24" s="21">
        <f>SUM(OSRRefH22x_0)</f>
        <v>60422.319069600009</v>
      </c>
      <c r="I24" s="21"/>
      <c r="J24" s="33">
        <f t="shared" ref="J24:J34" si="13">IF(H$12=0,0,H24/H$12)</f>
        <v>0.42312548368067232</v>
      </c>
      <c r="K24" s="4"/>
      <c r="L24" s="21">
        <f t="shared" ref="L24:L34" si="14">+D24-H24</f>
        <v>3141.5509304000079</v>
      </c>
      <c r="M24" s="4"/>
      <c r="N24" s="33">
        <f t="shared" ref="N24:N34" si="15">IF(H24=0,0,L24/H24)</f>
        <v>5.1993220034823213E-2</v>
      </c>
      <c r="O24" s="10"/>
      <c r="P24" s="21">
        <f>SUM(OSRRefP22x_0)</f>
        <v>149187.78000000003</v>
      </c>
      <c r="Q24" s="21"/>
      <c r="R24" s="33">
        <f t="shared" ref="R24:R34" si="16">IF(P$12=0,0,P24/P$12)</f>
        <v>0.87182232862598397</v>
      </c>
      <c r="S24" s="21"/>
      <c r="T24" s="21">
        <f>SUM(OSRRefT22x_0)</f>
        <v>158052.50677620003</v>
      </c>
      <c r="U24" s="21"/>
      <c r="V24" s="33">
        <f t="shared" ref="V24:V34" si="17">IF(T$12=0,0,T24/T$12)</f>
        <v>0.60836222777598159</v>
      </c>
      <c r="W24" s="4"/>
      <c r="X24" s="21">
        <f t="shared" ref="X24:X34" si="18">+P24-T24</f>
        <v>-8864.7267761999974</v>
      </c>
      <c r="Y24" s="4"/>
      <c r="Z24" s="33">
        <f t="shared" ref="Z24:Z34" si="19">IF(T24=0,0,X24/T24)</f>
        <v>-5.6087226688231635E-2</v>
      </c>
    </row>
    <row r="25" spans="1:26" s="26" customFormat="1" outlineLevel="1" collapsed="1" x14ac:dyDescent="0.25">
      <c r="A25" s="27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5245.57</v>
      </c>
      <c r="E25" s="1"/>
      <c r="F25" s="5">
        <f t="shared" si="12"/>
        <v>4.4229145315107896E-2</v>
      </c>
      <c r="G25" s="1"/>
      <c r="H25" s="1">
        <f>SUM(OSRRefH22_0x_0)</f>
        <v>5443.1684234461563</v>
      </c>
      <c r="I25" s="1"/>
      <c r="J25" s="5">
        <f t="shared" si="13"/>
        <v>3.8117425934496893E-2</v>
      </c>
      <c r="K25" s="1"/>
      <c r="L25" s="1">
        <f t="shared" si="14"/>
        <v>-197.59842344615663</v>
      </c>
      <c r="M25" s="1"/>
      <c r="N25" s="5">
        <f t="shared" si="15"/>
        <v>-3.6302096145879301E-2</v>
      </c>
      <c r="O25" s="13"/>
      <c r="P25" s="1">
        <f>SUM(OSRRefP22_0x_0)</f>
        <v>15272.449999999997</v>
      </c>
      <c r="Q25" s="1"/>
      <c r="R25" s="5">
        <f t="shared" si="16"/>
        <v>8.9249018403678257E-2</v>
      </c>
      <c r="S25" s="1"/>
      <c r="T25" s="1">
        <f>SUM(OSRRefT22_0x_0)</f>
        <v>24498.26717620001</v>
      </c>
      <c r="U25" s="1"/>
      <c r="V25" s="5">
        <f t="shared" si="17"/>
        <v>9.4296640401077797E-2</v>
      </c>
      <c r="W25" s="1"/>
      <c r="X25" s="1">
        <f t="shared" si="18"/>
        <v>-9225.8171762000129</v>
      </c>
      <c r="Y25" s="1"/>
      <c r="Z25" s="5">
        <f t="shared" si="19"/>
        <v>-0.37659060168806002</v>
      </c>
    </row>
    <row r="26" spans="1:26" s="24" customFormat="1" hidden="1" outlineLevel="2" x14ac:dyDescent="0.25">
      <c r="A26" s="25"/>
      <c r="B26" s="11" t="str">
        <f>CONCATENATE("          ", "6111", " - ", "F.I.C.A.")</f>
        <v xml:space="preserve">          6111 - F.I.C.A.</v>
      </c>
      <c r="C26" s="11"/>
      <c r="D26" s="7">
        <v>761.34</v>
      </c>
      <c r="E26" s="2"/>
      <c r="F26" s="6">
        <f t="shared" si="12"/>
        <v>6.4194010363419511E-3</v>
      </c>
      <c r="G26" s="2"/>
      <c r="H26" s="7">
        <v>724.52340313846196</v>
      </c>
      <c r="I26" s="2"/>
      <c r="J26" s="6">
        <f t="shared" si="13"/>
        <v>5.0736932992889493E-3</v>
      </c>
      <c r="K26" s="2"/>
      <c r="L26" s="7">
        <f t="shared" si="14"/>
        <v>36.816596861538073</v>
      </c>
      <c r="M26" s="2"/>
      <c r="N26" s="6">
        <f t="shared" si="15"/>
        <v>5.0814917367827443E-2</v>
      </c>
      <c r="O26" s="11"/>
      <c r="P26" s="7">
        <v>3138.5</v>
      </c>
      <c r="Q26" s="2"/>
      <c r="R26" s="6">
        <f t="shared" si="16"/>
        <v>1.8340740631656628E-2</v>
      </c>
      <c r="S26" s="2"/>
      <c r="T26" s="7">
        <v>3793.4650601999992</v>
      </c>
      <c r="U26" s="2"/>
      <c r="V26" s="6">
        <f t="shared" si="17"/>
        <v>1.4601482140877595E-2</v>
      </c>
      <c r="W26" s="2"/>
      <c r="X26" s="7">
        <f t="shared" si="18"/>
        <v>-654.96506019999924</v>
      </c>
      <c r="Y26" s="2"/>
      <c r="Z26" s="6">
        <f t="shared" si="19"/>
        <v>-0.17265614676979998</v>
      </c>
    </row>
    <row r="27" spans="1:26" s="24" customFormat="1" hidden="1" outlineLevel="2" x14ac:dyDescent="0.25">
      <c r="A27" s="25"/>
      <c r="B27" s="11" t="str">
        <f>CONCATENATE("          ", "6112", " - ", "COMPENSATION INSURANCE")</f>
        <v xml:space="preserve">          6112 - COMPENSATION INSURANCE</v>
      </c>
      <c r="C27" s="11"/>
      <c r="D27" s="7">
        <v>1161.49</v>
      </c>
      <c r="E27" s="2"/>
      <c r="F27" s="6">
        <f t="shared" si="12"/>
        <v>9.7933513406635846E-3</v>
      </c>
      <c r="G27" s="2"/>
      <c r="H27" s="7">
        <v>1246.8450436923101</v>
      </c>
      <c r="I27" s="2"/>
      <c r="J27" s="6">
        <f t="shared" si="13"/>
        <v>8.7314078689937676E-3</v>
      </c>
      <c r="K27" s="2"/>
      <c r="L27" s="7">
        <f t="shared" si="14"/>
        <v>-85.355043692310119</v>
      </c>
      <c r="M27" s="2"/>
      <c r="N27" s="6">
        <f t="shared" si="15"/>
        <v>-6.8456817568561937E-2</v>
      </c>
      <c r="O27" s="11"/>
      <c r="P27" s="7">
        <v>2345.79</v>
      </c>
      <c r="Q27" s="2"/>
      <c r="R27" s="6">
        <f t="shared" si="16"/>
        <v>1.3708308416865956E-2</v>
      </c>
      <c r="S27" s="2"/>
      <c r="T27" s="7">
        <v>2802.769992000005</v>
      </c>
      <c r="U27" s="2"/>
      <c r="V27" s="6">
        <f t="shared" si="17"/>
        <v>1.0788183187066994E-2</v>
      </c>
      <c r="W27" s="2"/>
      <c r="X27" s="7">
        <f t="shared" si="18"/>
        <v>-456.97999200000504</v>
      </c>
      <c r="Y27" s="2"/>
      <c r="Z27" s="6">
        <f t="shared" si="19"/>
        <v>-0.16304584154403357</v>
      </c>
    </row>
    <row r="28" spans="1:26" s="24" customFormat="1" hidden="1" outlineLevel="2" x14ac:dyDescent="0.25">
      <c r="A28" s="25"/>
      <c r="B28" s="11" t="str">
        <f>CONCATENATE("          ", "6113", " - ", "GROUP INSURANCE")</f>
        <v xml:space="preserve">          6113 - GROUP INSURANCE</v>
      </c>
      <c r="C28" s="11"/>
      <c r="D28" s="7">
        <v>1376.23</v>
      </c>
      <c r="E28" s="2"/>
      <c r="F28" s="6">
        <f t="shared" si="12"/>
        <v>1.1603977576700139E-2</v>
      </c>
      <c r="G28" s="2"/>
      <c r="H28" s="7">
        <v>1326</v>
      </c>
      <c r="I28" s="2"/>
      <c r="J28" s="6">
        <f t="shared" si="13"/>
        <v>9.285714285714286E-3</v>
      </c>
      <c r="K28" s="2"/>
      <c r="L28" s="7">
        <f t="shared" si="14"/>
        <v>50.230000000000018</v>
      </c>
      <c r="M28" s="2"/>
      <c r="N28" s="6">
        <f t="shared" si="15"/>
        <v>3.788084464555054E-2</v>
      </c>
      <c r="O28" s="11"/>
      <c r="P28" s="7">
        <v>4128.6899999999996</v>
      </c>
      <c r="Q28" s="2"/>
      <c r="R28" s="6">
        <f t="shared" si="16"/>
        <v>2.4127204855349495E-2</v>
      </c>
      <c r="S28" s="2"/>
      <c r="T28" s="7">
        <v>3978</v>
      </c>
      <c r="U28" s="2"/>
      <c r="V28" s="6">
        <f t="shared" si="17"/>
        <v>1.5311778290993071E-2</v>
      </c>
      <c r="W28" s="2"/>
      <c r="X28" s="7">
        <f t="shared" si="18"/>
        <v>150.6899999999996</v>
      </c>
      <c r="Y28" s="2"/>
      <c r="Z28" s="6">
        <f t="shared" si="19"/>
        <v>3.7880844645550429E-2</v>
      </c>
    </row>
    <row r="29" spans="1:26" s="24" customFormat="1" hidden="1" outlineLevel="2" x14ac:dyDescent="0.25">
      <c r="A29" s="25"/>
      <c r="B29" s="11" t="str">
        <f>CONCATENATE("          ", "6114", " - ", "STATE UNEMPLOYMENT INSURANCE")</f>
        <v xml:space="preserve">          6114 - STATE UNEMPLOYMENT INSURANCE</v>
      </c>
      <c r="C29" s="11"/>
      <c r="D29" s="7">
        <v>77.83</v>
      </c>
      <c r="E29" s="2"/>
      <c r="F29" s="6">
        <f t="shared" si="12"/>
        <v>6.5624029035449868E-4</v>
      </c>
      <c r="G29" s="2"/>
      <c r="H29" s="7">
        <v>83.551472000000004</v>
      </c>
      <c r="I29" s="2"/>
      <c r="J29" s="6">
        <f t="shared" si="13"/>
        <v>5.8509434173669469E-4</v>
      </c>
      <c r="K29" s="2"/>
      <c r="L29" s="7">
        <f t="shared" si="14"/>
        <v>-5.7214720000000057</v>
      </c>
      <c r="M29" s="2"/>
      <c r="N29" s="6">
        <f t="shared" si="15"/>
        <v>-6.8478410529978523E-2</v>
      </c>
      <c r="O29" s="11"/>
      <c r="P29" s="7">
        <v>159.13</v>
      </c>
      <c r="Q29" s="2"/>
      <c r="R29" s="6">
        <f t="shared" si="16"/>
        <v>9.2992259254915375E-4</v>
      </c>
      <c r="S29" s="2"/>
      <c r="T29" s="7">
        <v>187.81448399999999</v>
      </c>
      <c r="U29" s="2"/>
      <c r="V29" s="6">
        <f t="shared" si="17"/>
        <v>7.2291949191685906E-4</v>
      </c>
      <c r="W29" s="2"/>
      <c r="X29" s="7">
        <f t="shared" si="18"/>
        <v>-28.684483999999998</v>
      </c>
      <c r="Y29" s="2"/>
      <c r="Z29" s="6">
        <f t="shared" si="19"/>
        <v>-0.15272775234949398</v>
      </c>
    </row>
    <row r="30" spans="1:26" s="24" customFormat="1" hidden="1" outlineLevel="2" x14ac:dyDescent="0.25">
      <c r="A30" s="25"/>
      <c r="B30" s="11" t="str">
        <f>CONCATENATE("          ", "6115", " - ", "P.E.R.S.")</f>
        <v xml:space="preserve">          6115 - P.E.R.S.</v>
      </c>
      <c r="C30" s="11"/>
      <c r="D30" s="7">
        <v>696.67</v>
      </c>
      <c r="E30" s="2"/>
      <c r="F30" s="6">
        <f t="shared" si="12"/>
        <v>5.8741221004916947E-3</v>
      </c>
      <c r="G30" s="2"/>
      <c r="H30" s="7">
        <v>814.17761230769202</v>
      </c>
      <c r="I30" s="2"/>
      <c r="J30" s="6">
        <f t="shared" si="13"/>
        <v>5.7015238957121286E-3</v>
      </c>
      <c r="K30" s="2"/>
      <c r="L30" s="7">
        <f t="shared" si="14"/>
        <v>-117.50761230769206</v>
      </c>
      <c r="M30" s="2"/>
      <c r="N30" s="6">
        <f t="shared" si="15"/>
        <v>-0.14432675442233098</v>
      </c>
      <c r="O30" s="11"/>
      <c r="P30" s="7">
        <v>2090.0100000000002</v>
      </c>
      <c r="Q30" s="2"/>
      <c r="R30" s="6">
        <f t="shared" si="16"/>
        <v>1.2213583344772558E-2</v>
      </c>
      <c r="S30" s="2"/>
      <c r="T30" s="7">
        <v>2646.0772400000042</v>
      </c>
      <c r="U30" s="2"/>
      <c r="V30" s="6">
        <f t="shared" si="17"/>
        <v>1.0185054811393396E-2</v>
      </c>
      <c r="W30" s="2"/>
      <c r="X30" s="7">
        <f t="shared" si="18"/>
        <v>-556.06724000000395</v>
      </c>
      <c r="Y30" s="2"/>
      <c r="Z30" s="6">
        <f t="shared" si="19"/>
        <v>-0.21014777331292228</v>
      </c>
    </row>
    <row r="31" spans="1:26" s="24" customFormat="1" hidden="1" outlineLevel="2" x14ac:dyDescent="0.25">
      <c r="A31" s="25"/>
      <c r="B31" s="11" t="str">
        <f>CONCATENATE("          ", "6116", " - ", "EDUCATIONAL BENEFITS")</f>
        <v xml:space="preserve">          6116 - EDUCATIONAL BENEFITS</v>
      </c>
      <c r="C31" s="11"/>
      <c r="D31" s="7"/>
      <c r="E31" s="2"/>
      <c r="F31" s="6">
        <f t="shared" si="12"/>
        <v>0</v>
      </c>
      <c r="G31" s="2"/>
      <c r="H31" s="7">
        <v>0</v>
      </c>
      <c r="I31" s="2"/>
      <c r="J31" s="6">
        <f t="shared" si="13"/>
        <v>0</v>
      </c>
      <c r="K31" s="2"/>
      <c r="L31" s="7">
        <f t="shared" si="14"/>
        <v>0</v>
      </c>
      <c r="M31" s="2"/>
      <c r="N31" s="6">
        <f t="shared" si="15"/>
        <v>0</v>
      </c>
      <c r="O31" s="11"/>
      <c r="P31" s="7"/>
      <c r="Q31" s="2"/>
      <c r="R31" s="6">
        <f t="shared" si="16"/>
        <v>0</v>
      </c>
      <c r="S31" s="2"/>
      <c r="T31" s="7">
        <v>8000</v>
      </c>
      <c r="U31" s="2"/>
      <c r="V31" s="6">
        <f t="shared" si="17"/>
        <v>3.0792917628945343E-2</v>
      </c>
      <c r="W31" s="2"/>
      <c r="X31" s="7">
        <f t="shared" si="18"/>
        <v>-8000</v>
      </c>
      <c r="Y31" s="2"/>
      <c r="Z31" s="6">
        <f t="shared" si="19"/>
        <v>-1</v>
      </c>
    </row>
    <row r="32" spans="1:26" s="24" customFormat="1" hidden="1" outlineLevel="2" x14ac:dyDescent="0.25">
      <c r="A32" s="25"/>
      <c r="B32" s="11" t="str">
        <f>CONCATENATE("          ", "6118", " - ", "VACATION")</f>
        <v xml:space="preserve">          6118 - VACATION</v>
      </c>
      <c r="C32" s="11"/>
      <c r="D32" s="7">
        <v>384</v>
      </c>
      <c r="E32" s="2"/>
      <c r="F32" s="6">
        <f t="shared" si="12"/>
        <v>3.2377781253517604E-3</v>
      </c>
      <c r="G32" s="2"/>
      <c r="H32" s="7">
        <v>284.01544615384603</v>
      </c>
      <c r="I32" s="2"/>
      <c r="J32" s="6">
        <f t="shared" si="13"/>
        <v>1.9889036845507427E-3</v>
      </c>
      <c r="K32" s="2"/>
      <c r="L32" s="7">
        <f t="shared" si="14"/>
        <v>99.984553846153972</v>
      </c>
      <c r="M32" s="2"/>
      <c r="N32" s="6">
        <f t="shared" si="15"/>
        <v>0.35203914153314797</v>
      </c>
      <c r="O32" s="11"/>
      <c r="P32" s="7">
        <v>1152</v>
      </c>
      <c r="Q32" s="2"/>
      <c r="R32" s="6">
        <f t="shared" si="16"/>
        <v>6.7320481783235417E-3</v>
      </c>
      <c r="S32" s="2"/>
      <c r="T32" s="7">
        <v>923.05020000000002</v>
      </c>
      <c r="U32" s="2"/>
      <c r="V32" s="6">
        <f t="shared" si="17"/>
        <v>3.5529260969976908E-3</v>
      </c>
      <c r="W32" s="2"/>
      <c r="X32" s="7">
        <f t="shared" si="18"/>
        <v>228.94979999999998</v>
      </c>
      <c r="Y32" s="2"/>
      <c r="Z32" s="6">
        <f t="shared" si="19"/>
        <v>0.24803613064598218</v>
      </c>
    </row>
    <row r="33" spans="1:26" s="24" customFormat="1" hidden="1" outlineLevel="2" x14ac:dyDescent="0.25">
      <c r="A33" s="25"/>
      <c r="B33" s="11" t="str">
        <f>CONCATENATE("          ", "6119", " - ", "SICK LEAVE")</f>
        <v xml:space="preserve">          6119 - SICK LEAVE</v>
      </c>
      <c r="C33" s="11"/>
      <c r="D33" s="7">
        <v>460.04</v>
      </c>
      <c r="E33" s="2"/>
      <c r="F33" s="6">
        <f t="shared" si="12"/>
        <v>3.8789256478823537E-3</v>
      </c>
      <c r="G33" s="2"/>
      <c r="H33" s="7">
        <v>964.05544615384599</v>
      </c>
      <c r="I33" s="2"/>
      <c r="J33" s="6">
        <f t="shared" si="13"/>
        <v>6.7510885585003221E-3</v>
      </c>
      <c r="K33" s="2"/>
      <c r="L33" s="7">
        <f t="shared" si="14"/>
        <v>-504.01544615384597</v>
      </c>
      <c r="M33" s="2"/>
      <c r="N33" s="6">
        <f t="shared" si="15"/>
        <v>-0.52280752955096543</v>
      </c>
      <c r="O33" s="11"/>
      <c r="P33" s="7">
        <v>1380.12</v>
      </c>
      <c r="Q33" s="2"/>
      <c r="R33" s="6">
        <f t="shared" si="16"/>
        <v>8.0651339686353164E-3</v>
      </c>
      <c r="S33" s="2"/>
      <c r="T33" s="7">
        <v>2167.0902000000001</v>
      </c>
      <c r="U33" s="2"/>
      <c r="V33" s="6">
        <f t="shared" si="17"/>
        <v>8.3413787528868362E-3</v>
      </c>
      <c r="W33" s="2"/>
      <c r="X33" s="7">
        <f t="shared" si="18"/>
        <v>-786.9702000000002</v>
      </c>
      <c r="Y33" s="2"/>
      <c r="Z33" s="6">
        <f t="shared" si="19"/>
        <v>-0.36314602871629442</v>
      </c>
    </row>
    <row r="34" spans="1:26" s="24" customFormat="1" hidden="1" outlineLevel="2" x14ac:dyDescent="0.25">
      <c r="A34" s="25"/>
      <c r="B34" s="11" t="str">
        <f>CONCATENATE("          ", "6156", " - ", "EMPLOYEE MEALS")</f>
        <v xml:space="preserve">          6156 - EMPLOYEE MEALS</v>
      </c>
      <c r="C34" s="11"/>
      <c r="D34" s="7">
        <v>327.97</v>
      </c>
      <c r="E34" s="2"/>
      <c r="F34" s="6">
        <f t="shared" si="12"/>
        <v>2.7653491973219191E-3</v>
      </c>
      <c r="G34" s="2"/>
      <c r="H34" s="7"/>
      <c r="I34" s="2"/>
      <c r="J34" s="6">
        <f t="shared" si="13"/>
        <v>0</v>
      </c>
      <c r="K34" s="2"/>
      <c r="L34" s="7">
        <f t="shared" si="14"/>
        <v>327.97</v>
      </c>
      <c r="M34" s="2"/>
      <c r="N34" s="6">
        <f t="shared" si="15"/>
        <v>0</v>
      </c>
      <c r="O34" s="11"/>
      <c r="P34" s="7">
        <v>878.21</v>
      </c>
      <c r="Q34" s="2"/>
      <c r="R34" s="6">
        <f t="shared" si="16"/>
        <v>5.1320764155256228E-3</v>
      </c>
      <c r="S34" s="2"/>
      <c r="T34" s="7"/>
      <c r="U34" s="2"/>
      <c r="V34" s="6">
        <f t="shared" si="17"/>
        <v>0</v>
      </c>
      <c r="W34" s="2"/>
      <c r="X34" s="7">
        <f t="shared" si="18"/>
        <v>878.21</v>
      </c>
      <c r="Y34" s="2"/>
      <c r="Z34" s="6">
        <f t="shared" si="19"/>
        <v>0</v>
      </c>
    </row>
    <row r="35" spans="1:26" s="26" customFormat="1" outlineLevel="1" collapsed="1" x14ac:dyDescent="0.25">
      <c r="A35" s="27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29581.030000000002</v>
      </c>
      <c r="E35" s="1"/>
      <c r="F35" s="5">
        <f t="shared" ref="F35:F45" si="20">IF(D$12=0,0,D35/D$12)</f>
        <v>0.24941878088378697</v>
      </c>
      <c r="G35" s="1"/>
      <c r="H35" s="1">
        <f>SUM(OSRRefH22_1x_0)</f>
        <v>31567.150646153852</v>
      </c>
      <c r="I35" s="1"/>
      <c r="J35" s="5">
        <f t="shared" ref="J35:J45" si="21">IF(H$12=0,0,H35/H$12)</f>
        <v>0.22105847791424266</v>
      </c>
      <c r="K35" s="1"/>
      <c r="L35" s="1">
        <f t="shared" ref="L35:L45" si="22">+D35-H35</f>
        <v>-1986.1206461538495</v>
      </c>
      <c r="M35" s="1"/>
      <c r="N35" s="5">
        <f t="shared" ref="N35:N45" si="23">IF(H35=0,0,L35/H35)</f>
        <v>-6.2917324037791766E-2</v>
      </c>
      <c r="O35" s="13"/>
      <c r="P35" s="1">
        <f>SUM(OSRRefP22_1x_0)</f>
        <v>66734.650000000009</v>
      </c>
      <c r="Q35" s="1"/>
      <c r="R35" s="5">
        <f t="shared" ref="R35:R45" si="24">IF(P$12=0,0,P35/P$12)</f>
        <v>0.38998340187808955</v>
      </c>
      <c r="S35" s="1"/>
      <c r="T35" s="1">
        <f>SUM(OSRRefT22_1x_0)</f>
        <v>70390.239600000001</v>
      </c>
      <c r="U35" s="1"/>
      <c r="V35" s="5">
        <f t="shared" ref="V35:V45" si="25">IF(T$12=0,0,T35/T$12)</f>
        <v>0.2709401062355658</v>
      </c>
      <c r="W35" s="1"/>
      <c r="X35" s="1">
        <f t="shared" ref="X35:X45" si="26">+P35-T35</f>
        <v>-3655.5895999999921</v>
      </c>
      <c r="Y35" s="1"/>
      <c r="Z35" s="5">
        <f t="shared" ref="Z35:Z45" si="27">IF(T35=0,0,X35/T35)</f>
        <v>-5.1933188759880171E-2</v>
      </c>
    </row>
    <row r="36" spans="1:26" s="24" customFormat="1" hidden="1" outlineLevel="2" x14ac:dyDescent="0.25">
      <c r="A36" s="25"/>
      <c r="B36" s="11" t="str">
        <f>CONCATENATE("          ", "6001", " - ", "ADMINISTRATIVE SALARIES")</f>
        <v xml:space="preserve">          6001 - ADMINISTRATIVE SALARIES</v>
      </c>
      <c r="C36" s="11"/>
      <c r="D36" s="7"/>
      <c r="E36" s="2"/>
      <c r="F36" s="6">
        <f t="shared" si="20"/>
        <v>0</v>
      </c>
      <c r="G36" s="2"/>
      <c r="H36" s="7">
        <v>0</v>
      </c>
      <c r="I36" s="2"/>
      <c r="J36" s="6">
        <f t="shared" si="21"/>
        <v>0</v>
      </c>
      <c r="K36" s="2"/>
      <c r="L36" s="7">
        <f t="shared" si="22"/>
        <v>0</v>
      </c>
      <c r="M36" s="2"/>
      <c r="N36" s="6">
        <f t="shared" si="23"/>
        <v>0</v>
      </c>
      <c r="O36" s="11"/>
      <c r="P36" s="7"/>
      <c r="Q36" s="2"/>
      <c r="R36" s="6">
        <f t="shared" si="24"/>
        <v>0</v>
      </c>
      <c r="S36" s="2"/>
      <c r="T36" s="7">
        <v>0</v>
      </c>
      <c r="U36" s="2"/>
      <c r="V36" s="6">
        <f t="shared" si="25"/>
        <v>0</v>
      </c>
      <c r="W36" s="2"/>
      <c r="X36" s="7">
        <f t="shared" si="26"/>
        <v>0</v>
      </c>
      <c r="Y36" s="2"/>
      <c r="Z36" s="6">
        <f t="shared" si="27"/>
        <v>0</v>
      </c>
    </row>
    <row r="37" spans="1:26" s="24" customFormat="1" hidden="1" outlineLevel="2" x14ac:dyDescent="0.25">
      <c r="A37" s="25"/>
      <c r="B37" s="11" t="str">
        <f>CONCATENATE("          ", "6002", " - ", "STAFF SALARIES")</f>
        <v xml:space="preserve">          6002 - STAFF SALARIES</v>
      </c>
      <c r="C37" s="11"/>
      <c r="D37" s="7">
        <v>9973.84</v>
      </c>
      <c r="E37" s="2"/>
      <c r="F37" s="6">
        <f t="shared" si="20"/>
        <v>8.4096565046245839E-2</v>
      </c>
      <c r="G37" s="2"/>
      <c r="H37" s="7">
        <v>8899.1506461538502</v>
      </c>
      <c r="I37" s="2"/>
      <c r="J37" s="6">
        <f t="shared" si="21"/>
        <v>6.2318982115923321E-2</v>
      </c>
      <c r="K37" s="2"/>
      <c r="L37" s="7">
        <f t="shared" si="22"/>
        <v>1074.68935384615</v>
      </c>
      <c r="M37" s="2"/>
      <c r="N37" s="6">
        <f t="shared" si="23"/>
        <v>0.12076313758219422</v>
      </c>
      <c r="O37" s="11"/>
      <c r="P37" s="7">
        <v>31999.52</v>
      </c>
      <c r="Q37" s="2"/>
      <c r="R37" s="6">
        <f t="shared" si="24"/>
        <v>0.18699853326669075</v>
      </c>
      <c r="S37" s="2"/>
      <c r="T37" s="7">
        <v>28922.239600000001</v>
      </c>
      <c r="U37" s="2"/>
      <c r="V37" s="6">
        <f t="shared" si="25"/>
        <v>0.11132501770592763</v>
      </c>
      <c r="W37" s="2"/>
      <c r="X37" s="7">
        <f t="shared" si="26"/>
        <v>3077.2803999999996</v>
      </c>
      <c r="Y37" s="2"/>
      <c r="Z37" s="6">
        <f t="shared" si="27"/>
        <v>0.1063984132127859</v>
      </c>
    </row>
    <row r="38" spans="1:26" s="24" customFormat="1" hidden="1" outlineLevel="2" x14ac:dyDescent="0.25">
      <c r="A38" s="25"/>
      <c r="B38" s="11" t="str">
        <f>CONCATENATE("          ", "6003", " - ", "STAFF HOURLY-9 MONTH")</f>
        <v xml:space="preserve">          6003 - STAFF HOURLY-9 MONTH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5"/>
      <c r="B39" s="11" t="str">
        <f>CONCATENATE("          ", "6004", " - ", "STAFF HOURLY")</f>
        <v xml:space="preserve">          6004 - STAFF HOURLY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5"/>
      <c r="B40" s="11" t="str">
        <f>CONCATENATE("          ", "6005", " - ", "TEMPORARY WAGES-HOURLY")</f>
        <v xml:space="preserve">          6005 - TEMPORARY WAGES-HOURLY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>
        <v>45.5</v>
      </c>
      <c r="Q40" s="2"/>
      <c r="R40" s="6">
        <f t="shared" si="24"/>
        <v>2.6589252787649403E-4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45.5</v>
      </c>
      <c r="Y40" s="2"/>
      <c r="Z40" s="6">
        <f t="shared" si="27"/>
        <v>0</v>
      </c>
    </row>
    <row r="41" spans="1:26" s="24" customFormat="1" hidden="1" outlineLevel="2" x14ac:dyDescent="0.25">
      <c r="A41" s="25"/>
      <c r="B41" s="11" t="str">
        <f>CONCATENATE("          ", "6006", " - ", "TEMPORARY PART TIME")</f>
        <v xml:space="preserve">          6006 - TEMPORARY PART TIME</v>
      </c>
      <c r="C41" s="11"/>
      <c r="D41" s="7"/>
      <c r="E41" s="2"/>
      <c r="F41" s="6">
        <f t="shared" si="20"/>
        <v>0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0</v>
      </c>
      <c r="M41" s="2"/>
      <c r="N41" s="6">
        <f t="shared" si="23"/>
        <v>0</v>
      </c>
      <c r="O41" s="11"/>
      <c r="P41" s="7"/>
      <c r="Q41" s="2"/>
      <c r="R41" s="6">
        <f t="shared" si="24"/>
        <v>0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0</v>
      </c>
      <c r="Y41" s="2"/>
      <c r="Z41" s="6">
        <f t="shared" si="27"/>
        <v>0</v>
      </c>
    </row>
    <row r="42" spans="1:26" s="24" customFormat="1" hidden="1" outlineLevel="2" x14ac:dyDescent="0.25">
      <c r="A42" s="25"/>
      <c r="B42" s="11" t="str">
        <f>CONCATENATE("          ", "6007", " - ", "STUDENT HOURLY")</f>
        <v xml:space="preserve">          6007 - STUDENT HOURLY</v>
      </c>
      <c r="C42" s="11"/>
      <c r="D42" s="7">
        <v>19481.190000000002</v>
      </c>
      <c r="E42" s="2"/>
      <c r="F42" s="6">
        <f t="shared" si="20"/>
        <v>0.16425981989016009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19481.190000000002</v>
      </c>
      <c r="M42" s="2"/>
      <c r="N42" s="6">
        <f t="shared" si="23"/>
        <v>0</v>
      </c>
      <c r="O42" s="11"/>
      <c r="P42" s="7">
        <v>34563.630000000005</v>
      </c>
      <c r="Q42" s="2"/>
      <c r="R42" s="6">
        <f t="shared" si="24"/>
        <v>0.20198265831401818</v>
      </c>
      <c r="S42" s="2"/>
      <c r="T42" s="7">
        <v>18800</v>
      </c>
      <c r="U42" s="2"/>
      <c r="V42" s="6">
        <f t="shared" si="25"/>
        <v>7.2363356428021552E-2</v>
      </c>
      <c r="W42" s="2"/>
      <c r="X42" s="7">
        <f t="shared" si="26"/>
        <v>15763.630000000005</v>
      </c>
      <c r="Y42" s="2"/>
      <c r="Z42" s="6">
        <f t="shared" si="27"/>
        <v>0.83849095744680879</v>
      </c>
    </row>
    <row r="43" spans="1:26" s="24" customFormat="1" hidden="1" outlineLevel="2" x14ac:dyDescent="0.25">
      <c r="A43" s="25"/>
      <c r="B43" s="11" t="str">
        <f>CONCATENATE("          ", "6008", " - ", "STUDENT HOURLY-FICA EXEMPT")</f>
        <v xml:space="preserve">          6008 - STUDENT HOURLY-FICA EXEMPT</v>
      </c>
      <c r="C43" s="11"/>
      <c r="D43" s="7">
        <v>126</v>
      </c>
      <c r="E43" s="2"/>
      <c r="F43" s="6">
        <f t="shared" si="20"/>
        <v>1.0623959473810463E-3</v>
      </c>
      <c r="G43" s="2"/>
      <c r="H43" s="7">
        <v>22668</v>
      </c>
      <c r="I43" s="2"/>
      <c r="J43" s="6">
        <f t="shared" si="21"/>
        <v>0.15873949579831934</v>
      </c>
      <c r="K43" s="2"/>
      <c r="L43" s="7">
        <f t="shared" si="22"/>
        <v>-22542</v>
      </c>
      <c r="M43" s="2"/>
      <c r="N43" s="6">
        <f t="shared" si="23"/>
        <v>-0.99444150344097404</v>
      </c>
      <c r="O43" s="11"/>
      <c r="P43" s="7">
        <v>126</v>
      </c>
      <c r="Q43" s="2"/>
      <c r="R43" s="6">
        <f t="shared" si="24"/>
        <v>7.3631776950413739E-4</v>
      </c>
      <c r="S43" s="2"/>
      <c r="T43" s="7">
        <v>22668</v>
      </c>
      <c r="U43" s="2"/>
      <c r="V43" s="6">
        <f t="shared" si="25"/>
        <v>8.725173210161663E-2</v>
      </c>
      <c r="W43" s="2"/>
      <c r="X43" s="7">
        <f t="shared" si="26"/>
        <v>-22542</v>
      </c>
      <c r="Y43" s="2"/>
      <c r="Z43" s="6">
        <f t="shared" si="27"/>
        <v>-0.99444150344097404</v>
      </c>
    </row>
    <row r="44" spans="1:26" s="24" customFormat="1" hidden="1" outlineLevel="2" x14ac:dyDescent="0.25">
      <c r="A44" s="25"/>
      <c r="B44" s="11" t="str">
        <f>CONCATENATE("          ", "6009", " - ", "TEMPORARY-SEASONAL")</f>
        <v xml:space="preserve">          6009 - TEMPORARY-SEASONAL</v>
      </c>
      <c r="C44" s="11"/>
      <c r="D44" s="7"/>
      <c r="E44" s="2"/>
      <c r="F44" s="6">
        <f t="shared" si="20"/>
        <v>0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0</v>
      </c>
      <c r="M44" s="2"/>
      <c r="N44" s="6">
        <f t="shared" si="23"/>
        <v>0</v>
      </c>
      <c r="O44" s="11"/>
      <c r="P44" s="7"/>
      <c r="Q44" s="2"/>
      <c r="R44" s="6">
        <f t="shared" si="24"/>
        <v>0</v>
      </c>
      <c r="S44" s="2"/>
      <c r="T44" s="7">
        <v>0</v>
      </c>
      <c r="U44" s="2"/>
      <c r="V44" s="6">
        <f t="shared" si="25"/>
        <v>0</v>
      </c>
      <c r="W44" s="2"/>
      <c r="X44" s="7">
        <f t="shared" si="26"/>
        <v>0</v>
      </c>
      <c r="Y44" s="2"/>
      <c r="Z44" s="6">
        <f t="shared" si="27"/>
        <v>0</v>
      </c>
    </row>
    <row r="45" spans="1:26" s="24" customFormat="1" hidden="1" outlineLevel="2" x14ac:dyDescent="0.25">
      <c r="A45" s="25"/>
      <c r="B45" s="11" t="str">
        <f>CONCATENATE("          ", "6010", " - ", "GRATUITY")</f>
        <v xml:space="preserve">          6010 - GRATUITY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26" customFormat="1" outlineLevel="1" collapsed="1" x14ac:dyDescent="0.25">
      <c r="A46" s="27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362.87</v>
      </c>
      <c r="E46" s="1"/>
      <c r="F46" s="5">
        <f t="shared" ref="F46:F55" si="28">IF(D$12=0,0,D46/D$12)</f>
        <v>3.0596160113187327E-3</v>
      </c>
      <c r="G46" s="1"/>
      <c r="H46" s="1">
        <f>SUM(OSRRefH22_2x_0)</f>
        <v>150</v>
      </c>
      <c r="I46" s="1"/>
      <c r="J46" s="5">
        <f t="shared" ref="J46:J55" si="29">IF(H$12=0,0,H46/H$12)</f>
        <v>1.0504201680672268E-3</v>
      </c>
      <c r="K46" s="1"/>
      <c r="L46" s="1">
        <f t="shared" ref="L46:L55" si="30">+D46-H46</f>
        <v>212.87</v>
      </c>
      <c r="M46" s="1"/>
      <c r="N46" s="5">
        <f t="shared" ref="N46:N55" si="31">IF(H46=0,0,L46/H46)</f>
        <v>1.4191333333333334</v>
      </c>
      <c r="O46" s="13"/>
      <c r="P46" s="1">
        <f>SUM(OSRRefP22_2x_0)</f>
        <v>428.26</v>
      </c>
      <c r="Q46" s="1"/>
      <c r="R46" s="5">
        <f t="shared" ref="R46:R55" si="32">IF(P$12=0,0,P46/P$12)</f>
        <v>2.5026622854590623E-3</v>
      </c>
      <c r="S46" s="1"/>
      <c r="T46" s="1">
        <f>SUM(OSRRefT22_2x_0)</f>
        <v>450</v>
      </c>
      <c r="U46" s="1"/>
      <c r="V46" s="5">
        <f t="shared" ref="V46:V55" si="33">IF(T$12=0,0,T46/T$12)</f>
        <v>1.7321016166281756E-3</v>
      </c>
      <c r="W46" s="1"/>
      <c r="X46" s="1">
        <f t="shared" ref="X46:X55" si="34">+P46-T46</f>
        <v>-21.740000000000009</v>
      </c>
      <c r="Y46" s="1"/>
      <c r="Z46" s="5">
        <f t="shared" ref="Z46:Z55" si="35">IF(T46=0,0,X46/T46)</f>
        <v>-4.8311111111111131E-2</v>
      </c>
    </row>
    <row r="47" spans="1:26" s="24" customFormat="1" hidden="1" outlineLevel="2" x14ac:dyDescent="0.25">
      <c r="A47" s="25"/>
      <c r="B47" s="11" t="str">
        <f>CONCATENATE("          ", "6362", " - ", "ADVERTISING EXPENSE")</f>
        <v xml:space="preserve">          6362 - ADVERTISING EXPENSE</v>
      </c>
      <c r="C47" s="11"/>
      <c r="D47" s="7">
        <v>362.87</v>
      </c>
      <c r="E47" s="2"/>
      <c r="F47" s="6">
        <f t="shared" si="28"/>
        <v>3.0596160113187327E-3</v>
      </c>
      <c r="G47" s="2"/>
      <c r="H47" s="7">
        <v>150</v>
      </c>
      <c r="I47" s="2"/>
      <c r="J47" s="6">
        <f t="shared" si="29"/>
        <v>1.0504201680672268E-3</v>
      </c>
      <c r="K47" s="2"/>
      <c r="L47" s="7">
        <f t="shared" si="30"/>
        <v>212.87</v>
      </c>
      <c r="M47" s="2"/>
      <c r="N47" s="6">
        <f t="shared" si="31"/>
        <v>1.4191333333333334</v>
      </c>
      <c r="O47" s="11"/>
      <c r="P47" s="7">
        <v>428.26</v>
      </c>
      <c r="Q47" s="2"/>
      <c r="R47" s="6">
        <f t="shared" si="32"/>
        <v>2.5026622854590623E-3</v>
      </c>
      <c r="S47" s="2"/>
      <c r="T47" s="7">
        <v>450</v>
      </c>
      <c r="U47" s="2"/>
      <c r="V47" s="6">
        <f t="shared" si="33"/>
        <v>1.7321016166281756E-3</v>
      </c>
      <c r="W47" s="2"/>
      <c r="X47" s="7">
        <f t="shared" si="34"/>
        <v>-21.740000000000009</v>
      </c>
      <c r="Y47" s="2"/>
      <c r="Z47" s="6">
        <f t="shared" si="35"/>
        <v>-4.8311111111111131E-2</v>
      </c>
    </row>
    <row r="48" spans="1:26" s="26" customFormat="1" outlineLevel="1" collapsed="1" x14ac:dyDescent="0.25">
      <c r="A48" s="27"/>
      <c r="B48" s="13" t="str">
        <f>CONCATENATE("     ","Bad Debts/Over/Short                              ")</f>
        <v xml:space="preserve">     Bad Debts/Over/Short                              </v>
      </c>
      <c r="C48" s="13"/>
      <c r="D48" s="1">
        <f>SUM(OSRRefD22_3x_0)</f>
        <v>-13.8</v>
      </c>
      <c r="E48" s="1"/>
      <c r="F48" s="5">
        <f t="shared" si="28"/>
        <v>-1.163576513798289E-4</v>
      </c>
      <c r="G48" s="1"/>
      <c r="H48" s="1">
        <f>SUM(OSRRefH22_3x_0)</f>
        <v>20</v>
      </c>
      <c r="I48" s="1"/>
      <c r="J48" s="5">
        <f t="shared" si="29"/>
        <v>1.4005602240896358E-4</v>
      </c>
      <c r="K48" s="1"/>
      <c r="L48" s="1">
        <f t="shared" si="30"/>
        <v>-33.799999999999997</v>
      </c>
      <c r="M48" s="1"/>
      <c r="N48" s="5">
        <f t="shared" si="31"/>
        <v>-1.69</v>
      </c>
      <c r="O48" s="13"/>
      <c r="P48" s="1">
        <f>SUM(OSRRefP22_3x_0)</f>
        <v>-7.64</v>
      </c>
      <c r="Q48" s="1"/>
      <c r="R48" s="5">
        <f t="shared" si="32"/>
        <v>-4.4646569515965155E-5</v>
      </c>
      <c r="S48" s="1"/>
      <c r="T48" s="1">
        <f>SUM(OSRRefT22_3x_0)</f>
        <v>60</v>
      </c>
      <c r="U48" s="1"/>
      <c r="V48" s="5">
        <f t="shared" si="33"/>
        <v>2.3094688221709007E-4</v>
      </c>
      <c r="W48" s="1"/>
      <c r="X48" s="1">
        <f t="shared" si="34"/>
        <v>-67.64</v>
      </c>
      <c r="Y48" s="1"/>
      <c r="Z48" s="5">
        <f t="shared" si="35"/>
        <v>-1.1273333333333333</v>
      </c>
    </row>
    <row r="49" spans="1:26" s="24" customFormat="1" hidden="1" outlineLevel="2" x14ac:dyDescent="0.25">
      <c r="A49" s="25"/>
      <c r="B49" s="11" t="str">
        <f>CONCATENATE("          ", "6272", " - ", "CASH (OVER/SHORT)")</f>
        <v xml:space="preserve">          6272 - CASH (OVER/SHORT)</v>
      </c>
      <c r="C49" s="11"/>
      <c r="D49" s="7">
        <v>-13.8</v>
      </c>
      <c r="E49" s="2"/>
      <c r="F49" s="6">
        <f t="shared" si="28"/>
        <v>-1.163576513798289E-4</v>
      </c>
      <c r="G49" s="2"/>
      <c r="H49" s="7">
        <v>20</v>
      </c>
      <c r="I49" s="2"/>
      <c r="J49" s="6">
        <f t="shared" si="29"/>
        <v>1.4005602240896358E-4</v>
      </c>
      <c r="K49" s="2"/>
      <c r="L49" s="7">
        <f t="shared" si="30"/>
        <v>-33.799999999999997</v>
      </c>
      <c r="M49" s="2"/>
      <c r="N49" s="6">
        <f t="shared" si="31"/>
        <v>-1.69</v>
      </c>
      <c r="O49" s="11"/>
      <c r="P49" s="7">
        <v>-7.64</v>
      </c>
      <c r="Q49" s="2"/>
      <c r="R49" s="6">
        <f t="shared" si="32"/>
        <v>-4.4646569515965155E-5</v>
      </c>
      <c r="S49" s="2"/>
      <c r="T49" s="7">
        <v>60</v>
      </c>
      <c r="U49" s="2"/>
      <c r="V49" s="6">
        <f t="shared" si="33"/>
        <v>2.3094688221709007E-4</v>
      </c>
      <c r="W49" s="2"/>
      <c r="X49" s="7">
        <f t="shared" si="34"/>
        <v>-67.64</v>
      </c>
      <c r="Y49" s="2"/>
      <c r="Z49" s="6">
        <f t="shared" si="35"/>
        <v>-1.1273333333333333</v>
      </c>
    </row>
    <row r="50" spans="1:26" s="26" customFormat="1" outlineLevel="1" collapsed="1" x14ac:dyDescent="0.25">
      <c r="A50" s="27"/>
      <c r="B50" s="13" t="str">
        <f>CONCATENATE("     ","Bank/card Fees                                    ")</f>
        <v xml:space="preserve">     Bank/card Fees                                    </v>
      </c>
      <c r="C50" s="13"/>
      <c r="D50" s="1">
        <f>SUM(OSRRefD22_4x_0)</f>
        <v>3009.5</v>
      </c>
      <c r="E50" s="1"/>
      <c r="F50" s="5">
        <f t="shared" si="28"/>
        <v>2.5375242886057612E-2</v>
      </c>
      <c r="G50" s="1"/>
      <c r="H50" s="1">
        <f>SUM(OSRRefH22_4x_0)</f>
        <v>0</v>
      </c>
      <c r="I50" s="1"/>
      <c r="J50" s="5">
        <f t="shared" si="29"/>
        <v>0</v>
      </c>
      <c r="K50" s="1"/>
      <c r="L50" s="1">
        <f t="shared" si="30"/>
        <v>3009.5</v>
      </c>
      <c r="M50" s="1"/>
      <c r="N50" s="5">
        <f t="shared" si="31"/>
        <v>0</v>
      </c>
      <c r="O50" s="13"/>
      <c r="P50" s="1">
        <f>SUM(OSRRefP22_4x_0)</f>
        <v>4403.8599999999997</v>
      </c>
      <c r="Q50" s="1"/>
      <c r="R50" s="5">
        <f t="shared" si="32"/>
        <v>2.5735241050861033E-2</v>
      </c>
      <c r="S50" s="1"/>
      <c r="T50" s="1">
        <f>SUM(OSRRefT22_4x_0)</f>
        <v>0</v>
      </c>
      <c r="U50" s="1"/>
      <c r="V50" s="5">
        <f t="shared" si="33"/>
        <v>0</v>
      </c>
      <c r="W50" s="1"/>
      <c r="X50" s="1">
        <f t="shared" si="34"/>
        <v>4403.8599999999997</v>
      </c>
      <c r="Y50" s="1"/>
      <c r="Z50" s="5">
        <f t="shared" si="35"/>
        <v>0</v>
      </c>
    </row>
    <row r="51" spans="1:26" s="24" customFormat="1" hidden="1" outlineLevel="2" x14ac:dyDescent="0.25">
      <c r="A51" s="25"/>
      <c r="B51" s="11" t="str">
        <f>CONCATENATE("          ", "6381", " - ", "BANK/CREDIT CARD FEES")</f>
        <v xml:space="preserve">          6381 - BANK/CREDIT CARD FEES</v>
      </c>
      <c r="C51" s="11"/>
      <c r="D51" s="7">
        <v>3009.5</v>
      </c>
      <c r="E51" s="2"/>
      <c r="F51" s="6">
        <f t="shared" si="28"/>
        <v>2.5375242886057612E-2</v>
      </c>
      <c r="G51" s="2"/>
      <c r="H51" s="7"/>
      <c r="I51" s="2"/>
      <c r="J51" s="6">
        <f t="shared" si="29"/>
        <v>0</v>
      </c>
      <c r="K51" s="2"/>
      <c r="L51" s="7">
        <f t="shared" si="30"/>
        <v>3009.5</v>
      </c>
      <c r="M51" s="2"/>
      <c r="N51" s="6">
        <f t="shared" si="31"/>
        <v>0</v>
      </c>
      <c r="O51" s="11"/>
      <c r="P51" s="7">
        <v>4403.8599999999997</v>
      </c>
      <c r="Q51" s="2"/>
      <c r="R51" s="6">
        <f t="shared" si="32"/>
        <v>2.5735241050861033E-2</v>
      </c>
      <c r="S51" s="2"/>
      <c r="T51" s="7"/>
      <c r="U51" s="2"/>
      <c r="V51" s="6">
        <f t="shared" si="33"/>
        <v>0</v>
      </c>
      <c r="W51" s="2"/>
      <c r="X51" s="7">
        <f t="shared" si="34"/>
        <v>4403.8599999999997</v>
      </c>
      <c r="Y51" s="2"/>
      <c r="Z51" s="6">
        <f t="shared" si="35"/>
        <v>0</v>
      </c>
    </row>
    <row r="52" spans="1:26" s="26" customFormat="1" outlineLevel="1" collapsed="1" x14ac:dyDescent="0.25">
      <c r="A52" s="27"/>
      <c r="B52" s="13" t="str">
        <f>CONCATENATE("     ","Depreciation                                      ")</f>
        <v xml:space="preserve">     Depreciation                                      </v>
      </c>
      <c r="C52" s="13"/>
      <c r="D52" s="1">
        <f>SUM(OSRRefD22_5x_0)</f>
        <v>5612.57</v>
      </c>
      <c r="E52" s="1"/>
      <c r="F52" s="5">
        <f t="shared" si="28"/>
        <v>4.7323584304701898E-2</v>
      </c>
      <c r="G52" s="1"/>
      <c r="H52" s="1">
        <f>SUM(OSRRefH22_5x_0)</f>
        <v>6318</v>
      </c>
      <c r="I52" s="1"/>
      <c r="J52" s="5">
        <f t="shared" si="29"/>
        <v>4.4243697478991595E-2</v>
      </c>
      <c r="K52" s="1"/>
      <c r="L52" s="1">
        <f t="shared" si="30"/>
        <v>-705.43000000000029</v>
      </c>
      <c r="M52" s="1"/>
      <c r="N52" s="5">
        <f t="shared" si="31"/>
        <v>-0.11165400443178225</v>
      </c>
      <c r="O52" s="13"/>
      <c r="P52" s="1">
        <f>SUM(OSRRefP22_5x_0)</f>
        <v>16837.71</v>
      </c>
      <c r="Q52" s="1"/>
      <c r="R52" s="5">
        <f t="shared" si="32"/>
        <v>9.8396071990138959E-2</v>
      </c>
      <c r="S52" s="1"/>
      <c r="T52" s="1">
        <f>SUM(OSRRefT22_5x_0)</f>
        <v>17620</v>
      </c>
      <c r="U52" s="1"/>
      <c r="V52" s="5">
        <f t="shared" si="33"/>
        <v>6.7821401077752114E-2</v>
      </c>
      <c r="W52" s="1"/>
      <c r="X52" s="1">
        <f t="shared" si="34"/>
        <v>-782.29000000000087</v>
      </c>
      <c r="Y52" s="1"/>
      <c r="Z52" s="5">
        <f t="shared" si="35"/>
        <v>-4.4397843359818438E-2</v>
      </c>
    </row>
    <row r="53" spans="1:26" s="24" customFormat="1" hidden="1" outlineLevel="2" x14ac:dyDescent="0.25">
      <c r="A53" s="25"/>
      <c r="B53" s="11" t="str">
        <f>CONCATENATE("          ", "6321", " - ", "BUILDING DEPRECIATION")</f>
        <v xml:space="preserve">          6321 - BUILDING DEPRECIATION</v>
      </c>
      <c r="C53" s="11"/>
      <c r="D53" s="7">
        <v>4626.5</v>
      </c>
      <c r="E53" s="2"/>
      <c r="F53" s="6">
        <f t="shared" si="28"/>
        <v>3.9009324210781043E-2</v>
      </c>
      <c r="G53" s="2"/>
      <c r="H53" s="7">
        <v>5165</v>
      </c>
      <c r="I53" s="2"/>
      <c r="J53" s="6">
        <f t="shared" si="29"/>
        <v>3.6169467787114849E-2</v>
      </c>
      <c r="K53" s="2"/>
      <c r="L53" s="7">
        <f t="shared" si="30"/>
        <v>-538.5</v>
      </c>
      <c r="M53" s="2"/>
      <c r="N53" s="6">
        <f t="shared" si="31"/>
        <v>-0.1042594385285576</v>
      </c>
      <c r="O53" s="11"/>
      <c r="P53" s="7">
        <v>13879.5</v>
      </c>
      <c r="Q53" s="2"/>
      <c r="R53" s="6">
        <f t="shared" si="32"/>
        <v>8.110890858597361E-2</v>
      </c>
      <c r="S53" s="2"/>
      <c r="T53" s="7">
        <v>15495</v>
      </c>
      <c r="U53" s="2"/>
      <c r="V53" s="6">
        <f t="shared" si="33"/>
        <v>5.9642032332563509E-2</v>
      </c>
      <c r="W53" s="2"/>
      <c r="X53" s="7">
        <f t="shared" si="34"/>
        <v>-1615.5</v>
      </c>
      <c r="Y53" s="2"/>
      <c r="Z53" s="6">
        <f t="shared" si="35"/>
        <v>-0.1042594385285576</v>
      </c>
    </row>
    <row r="54" spans="1:26" s="24" customFormat="1" hidden="1" outlineLevel="2" x14ac:dyDescent="0.25">
      <c r="A54" s="25"/>
      <c r="B54" s="11" t="str">
        <f>CONCATENATE("          ", "6322", " - ", "EQUIPMENT DEPRECIATION EXPENSE")</f>
        <v xml:space="preserve">          6322 - EQUIPMENT DEPRECIATION EXPENSE</v>
      </c>
      <c r="C54" s="11"/>
      <c r="D54" s="7">
        <v>986.07</v>
      </c>
      <c r="E54" s="2"/>
      <c r="F54" s="6">
        <f t="shared" si="28"/>
        <v>8.3142600939208611E-3</v>
      </c>
      <c r="G54" s="2"/>
      <c r="H54" s="7">
        <v>486</v>
      </c>
      <c r="I54" s="2"/>
      <c r="J54" s="6">
        <f t="shared" si="29"/>
        <v>3.4033613445378151E-3</v>
      </c>
      <c r="K54" s="2"/>
      <c r="L54" s="7">
        <f t="shared" si="30"/>
        <v>500.07000000000005</v>
      </c>
      <c r="M54" s="2"/>
      <c r="N54" s="6">
        <f t="shared" si="31"/>
        <v>1.0289506172839507</v>
      </c>
      <c r="O54" s="11"/>
      <c r="P54" s="7">
        <v>2958.21</v>
      </c>
      <c r="Q54" s="2"/>
      <c r="R54" s="6">
        <f t="shared" si="32"/>
        <v>1.7287163404165352E-2</v>
      </c>
      <c r="S54" s="2"/>
      <c r="T54" s="7">
        <v>1458</v>
      </c>
      <c r="U54" s="2"/>
      <c r="V54" s="6">
        <f t="shared" si="33"/>
        <v>5.6120092378752883E-3</v>
      </c>
      <c r="W54" s="2"/>
      <c r="X54" s="7">
        <f t="shared" si="34"/>
        <v>1500.21</v>
      </c>
      <c r="Y54" s="2"/>
      <c r="Z54" s="6">
        <f t="shared" si="35"/>
        <v>1.0289506172839507</v>
      </c>
    </row>
    <row r="55" spans="1:26" s="24" customFormat="1" hidden="1" outlineLevel="2" x14ac:dyDescent="0.25">
      <c r="A55" s="25"/>
      <c r="B55" s="11" t="str">
        <f>CONCATENATE("          ", "6324", " - ", "FURNITURE + FIXT DEPRECIATION")</f>
        <v xml:space="preserve">          6324 - FURNITURE + FIXT DEPRECIATION</v>
      </c>
      <c r="C55" s="11"/>
      <c r="D55" s="7"/>
      <c r="E55" s="2"/>
      <c r="F55" s="6">
        <f t="shared" si="28"/>
        <v>0</v>
      </c>
      <c r="G55" s="2"/>
      <c r="H55" s="7">
        <v>667</v>
      </c>
      <c r="I55" s="2"/>
      <c r="J55" s="6">
        <f t="shared" si="29"/>
        <v>4.6708683473389353E-3</v>
      </c>
      <c r="K55" s="2"/>
      <c r="L55" s="7">
        <f t="shared" si="30"/>
        <v>-667</v>
      </c>
      <c r="M55" s="2"/>
      <c r="N55" s="6">
        <f t="shared" si="31"/>
        <v>-1</v>
      </c>
      <c r="O55" s="11"/>
      <c r="P55" s="7"/>
      <c r="Q55" s="2"/>
      <c r="R55" s="6">
        <f t="shared" si="32"/>
        <v>0</v>
      </c>
      <c r="S55" s="2"/>
      <c r="T55" s="7">
        <v>667</v>
      </c>
      <c r="U55" s="2"/>
      <c r="V55" s="6">
        <f t="shared" si="33"/>
        <v>2.5673595073133181E-3</v>
      </c>
      <c r="W55" s="2"/>
      <c r="X55" s="7">
        <f t="shared" si="34"/>
        <v>-667</v>
      </c>
      <c r="Y55" s="2"/>
      <c r="Z55" s="6">
        <f t="shared" si="35"/>
        <v>-1</v>
      </c>
    </row>
    <row r="56" spans="1:26" s="26" customFormat="1" outlineLevel="1" collapsed="1" x14ac:dyDescent="0.25">
      <c r="A56" s="27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SUM(OSRRefD22_6x_0)</f>
        <v>0</v>
      </c>
      <c r="E56" s="1"/>
      <c r="F56" s="5">
        <f t="shared" ref="F56:F67" si="36">IF(D$12=0,0,D56/D$12)</f>
        <v>0</v>
      </c>
      <c r="G56" s="1"/>
      <c r="H56" s="1">
        <f>SUM(OSRRefH22_6x_0)</f>
        <v>75</v>
      </c>
      <c r="I56" s="1"/>
      <c r="J56" s="5">
        <f t="shared" ref="J56:J67" si="37">IF(H$12=0,0,H56/H$12)</f>
        <v>5.2521008403361342E-4</v>
      </c>
      <c r="K56" s="1"/>
      <c r="L56" s="1">
        <f t="shared" ref="L56:L67" si="38">+D56-H56</f>
        <v>-75</v>
      </c>
      <c r="M56" s="1"/>
      <c r="N56" s="5">
        <f t="shared" ref="N56:N67" si="39">IF(H56=0,0,L56/H56)</f>
        <v>-1</v>
      </c>
      <c r="O56" s="13"/>
      <c r="P56" s="1">
        <f>SUM(OSRRefP22_6x_0)</f>
        <v>0</v>
      </c>
      <c r="Q56" s="1"/>
      <c r="R56" s="5">
        <f t="shared" ref="R56:R67" si="40">IF(P$12=0,0,P56/P$12)</f>
        <v>0</v>
      </c>
      <c r="S56" s="1"/>
      <c r="T56" s="1">
        <f>SUM(OSRRefT22_6x_0)</f>
        <v>225</v>
      </c>
      <c r="U56" s="1"/>
      <c r="V56" s="5">
        <f t="shared" ref="V56:V67" si="41">IF(T$12=0,0,T56/T$12)</f>
        <v>8.660508083140878E-4</v>
      </c>
      <c r="W56" s="1"/>
      <c r="X56" s="1">
        <f t="shared" ref="X56:X67" si="42">+P56-T56</f>
        <v>-225</v>
      </c>
      <c r="Y56" s="1"/>
      <c r="Z56" s="5">
        <f t="shared" ref="Z56:Z67" si="43">IF(T56=0,0,X56/T56)</f>
        <v>-1</v>
      </c>
    </row>
    <row r="57" spans="1:26" s="24" customFormat="1" hidden="1" outlineLevel="2" x14ac:dyDescent="0.25">
      <c r="A57" s="25"/>
      <c r="B57" s="11" t="str">
        <f>CONCATENATE("          ", "6277", " - ", "EMPLOYEE APPRECIATION")</f>
        <v xml:space="preserve">          6277 - EMPLOYEE APPRECIATION</v>
      </c>
      <c r="C57" s="11"/>
      <c r="D57" s="7"/>
      <c r="E57" s="2"/>
      <c r="F57" s="6">
        <f t="shared" si="36"/>
        <v>0</v>
      </c>
      <c r="G57" s="2"/>
      <c r="H57" s="7">
        <v>75</v>
      </c>
      <c r="I57" s="2"/>
      <c r="J57" s="6">
        <f t="shared" si="37"/>
        <v>5.2521008403361342E-4</v>
      </c>
      <c r="K57" s="2"/>
      <c r="L57" s="7">
        <f t="shared" si="38"/>
        <v>-75</v>
      </c>
      <c r="M57" s="2"/>
      <c r="N57" s="6">
        <f t="shared" si="39"/>
        <v>-1</v>
      </c>
      <c r="O57" s="11"/>
      <c r="P57" s="7"/>
      <c r="Q57" s="2"/>
      <c r="R57" s="6">
        <f t="shared" si="40"/>
        <v>0</v>
      </c>
      <c r="S57" s="2"/>
      <c r="T57" s="7">
        <v>225</v>
      </c>
      <c r="U57" s="2"/>
      <c r="V57" s="6">
        <f t="shared" si="41"/>
        <v>8.660508083140878E-4</v>
      </c>
      <c r="W57" s="2"/>
      <c r="X57" s="7">
        <f t="shared" si="42"/>
        <v>-225</v>
      </c>
      <c r="Y57" s="2"/>
      <c r="Z57" s="6">
        <f t="shared" si="43"/>
        <v>-1</v>
      </c>
    </row>
    <row r="58" spans="1:26" s="26" customFormat="1" outlineLevel="1" collapsed="1" x14ac:dyDescent="0.25">
      <c r="A58" s="27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SUM(OSRRefD22_7x_0)</f>
        <v>327.23</v>
      </c>
      <c r="E58" s="1"/>
      <c r="F58" s="5">
        <f t="shared" si="36"/>
        <v>2.7591097290595224E-3</v>
      </c>
      <c r="G58" s="1"/>
      <c r="H58" s="1">
        <f>SUM(OSRRefH22_7x_0)</f>
        <v>115</v>
      </c>
      <c r="I58" s="1"/>
      <c r="J58" s="5">
        <f t="shared" si="37"/>
        <v>8.0532212885154057E-4</v>
      </c>
      <c r="K58" s="1"/>
      <c r="L58" s="1">
        <f t="shared" si="38"/>
        <v>212.23000000000002</v>
      </c>
      <c r="M58" s="1"/>
      <c r="N58" s="5">
        <f t="shared" si="39"/>
        <v>1.8454782608695655</v>
      </c>
      <c r="O58" s="13"/>
      <c r="P58" s="1">
        <f>SUM(OSRRefP22_7x_0)</f>
        <v>1159.94</v>
      </c>
      <c r="Q58" s="1"/>
      <c r="R58" s="5">
        <f t="shared" si="40"/>
        <v>6.7784478853859451E-3</v>
      </c>
      <c r="S58" s="1"/>
      <c r="T58" s="1">
        <f>SUM(OSRRefT22_7x_0)</f>
        <v>345</v>
      </c>
      <c r="U58" s="1"/>
      <c r="V58" s="5">
        <f t="shared" si="41"/>
        <v>1.3279445727482678E-3</v>
      </c>
      <c r="W58" s="1"/>
      <c r="X58" s="1">
        <f t="shared" si="42"/>
        <v>814.94</v>
      </c>
      <c r="Y58" s="1"/>
      <c r="Z58" s="5">
        <f t="shared" si="43"/>
        <v>2.3621449275362321</v>
      </c>
    </row>
    <row r="59" spans="1:26" s="24" customFormat="1" hidden="1" outlineLevel="2" x14ac:dyDescent="0.25">
      <c r="A59" s="25"/>
      <c r="B59" s="11" t="str">
        <f>CONCATENATE("          ", "6351", " - ", "EQUIPMENT RENTAL")</f>
        <v xml:space="preserve">          6351 - EQUIPMENT RENTAL</v>
      </c>
      <c r="C59" s="11"/>
      <c r="D59" s="7">
        <v>327.23</v>
      </c>
      <c r="E59" s="2"/>
      <c r="F59" s="6">
        <f t="shared" si="36"/>
        <v>2.7591097290595224E-3</v>
      </c>
      <c r="G59" s="2"/>
      <c r="H59" s="7">
        <v>115</v>
      </c>
      <c r="I59" s="2"/>
      <c r="J59" s="6">
        <f t="shared" si="37"/>
        <v>8.0532212885154057E-4</v>
      </c>
      <c r="K59" s="2"/>
      <c r="L59" s="7">
        <f t="shared" si="38"/>
        <v>212.23000000000002</v>
      </c>
      <c r="M59" s="2"/>
      <c r="N59" s="6">
        <f t="shared" si="39"/>
        <v>1.8454782608695655</v>
      </c>
      <c r="O59" s="11"/>
      <c r="P59" s="7">
        <v>1159.94</v>
      </c>
      <c r="Q59" s="2"/>
      <c r="R59" s="6">
        <f t="shared" si="40"/>
        <v>6.7784478853859451E-3</v>
      </c>
      <c r="S59" s="2"/>
      <c r="T59" s="7">
        <v>345</v>
      </c>
      <c r="U59" s="2"/>
      <c r="V59" s="6">
        <f t="shared" si="41"/>
        <v>1.3279445727482678E-3</v>
      </c>
      <c r="W59" s="2"/>
      <c r="X59" s="7">
        <f t="shared" si="42"/>
        <v>814.94</v>
      </c>
      <c r="Y59" s="2"/>
      <c r="Z59" s="6">
        <f t="shared" si="43"/>
        <v>2.3621449275362321</v>
      </c>
    </row>
    <row r="60" spans="1:26" s="26" customFormat="1" outlineLevel="1" collapsed="1" x14ac:dyDescent="0.25">
      <c r="A60" s="27"/>
      <c r="B60" s="13" t="str">
        <f>CONCATENATE("     ","General                                           ")</f>
        <v xml:space="preserve">     General                                           </v>
      </c>
      <c r="C60" s="13"/>
      <c r="D60" s="1">
        <f>SUM(OSRRefD22_8x_0)</f>
        <v>791.37</v>
      </c>
      <c r="E60" s="1"/>
      <c r="F60" s="5">
        <f t="shared" si="36"/>
        <v>6.6726054038011009E-3</v>
      </c>
      <c r="G60" s="1"/>
      <c r="H60" s="1">
        <f>SUM(OSRRefH22_8x_0)</f>
        <v>1000</v>
      </c>
      <c r="I60" s="1"/>
      <c r="J60" s="5">
        <f t="shared" si="37"/>
        <v>7.0028011204481795E-3</v>
      </c>
      <c r="K60" s="1"/>
      <c r="L60" s="1">
        <f t="shared" si="38"/>
        <v>-208.63</v>
      </c>
      <c r="M60" s="1"/>
      <c r="N60" s="5">
        <f t="shared" si="39"/>
        <v>-0.20862999999999998</v>
      </c>
      <c r="O60" s="13"/>
      <c r="P60" s="1">
        <f>SUM(OSRRefP22_8x_0)</f>
        <v>3184.87</v>
      </c>
      <c r="Q60" s="1"/>
      <c r="R60" s="5">
        <f t="shared" si="40"/>
        <v>1.8611717258417794E-2</v>
      </c>
      <c r="S60" s="1"/>
      <c r="T60" s="1">
        <f>SUM(OSRRefT22_8x_0)</f>
        <v>3000</v>
      </c>
      <c r="U60" s="1"/>
      <c r="V60" s="5">
        <f t="shared" si="41"/>
        <v>1.1547344110854504E-2</v>
      </c>
      <c r="W60" s="1"/>
      <c r="X60" s="1">
        <f t="shared" si="42"/>
        <v>184.86999999999989</v>
      </c>
      <c r="Y60" s="1"/>
      <c r="Z60" s="5">
        <f t="shared" si="43"/>
        <v>6.1623333333333294E-2</v>
      </c>
    </row>
    <row r="61" spans="1:26" s="24" customFormat="1" hidden="1" outlineLevel="2" x14ac:dyDescent="0.25">
      <c r="A61" s="25"/>
      <c r="B61" s="11" t="str">
        <f>CONCATENATE("          ", "6279", " - ", "GENERAL EXPENSE")</f>
        <v xml:space="preserve">          6279 - GENERAL EXPENSE</v>
      </c>
      <c r="C61" s="11"/>
      <c r="D61" s="7">
        <v>791.37</v>
      </c>
      <c r="E61" s="2"/>
      <c r="F61" s="6">
        <f t="shared" si="36"/>
        <v>6.6726054038011009E-3</v>
      </c>
      <c r="G61" s="2"/>
      <c r="H61" s="7">
        <v>1000</v>
      </c>
      <c r="I61" s="2"/>
      <c r="J61" s="6">
        <f t="shared" si="37"/>
        <v>7.0028011204481795E-3</v>
      </c>
      <c r="K61" s="2"/>
      <c r="L61" s="7">
        <f t="shared" si="38"/>
        <v>-208.63</v>
      </c>
      <c r="M61" s="2"/>
      <c r="N61" s="6">
        <f t="shared" si="39"/>
        <v>-0.20862999999999998</v>
      </c>
      <c r="O61" s="11"/>
      <c r="P61" s="7">
        <v>3184.87</v>
      </c>
      <c r="Q61" s="2"/>
      <c r="R61" s="6">
        <f t="shared" si="40"/>
        <v>1.8611717258417794E-2</v>
      </c>
      <c r="S61" s="2"/>
      <c r="T61" s="7">
        <v>3000</v>
      </c>
      <c r="U61" s="2"/>
      <c r="V61" s="6">
        <f t="shared" si="41"/>
        <v>1.1547344110854504E-2</v>
      </c>
      <c r="W61" s="2"/>
      <c r="X61" s="7">
        <f t="shared" si="42"/>
        <v>184.86999999999989</v>
      </c>
      <c r="Y61" s="2"/>
      <c r="Z61" s="6">
        <f t="shared" si="43"/>
        <v>6.1623333333333294E-2</v>
      </c>
    </row>
    <row r="62" spans="1:26" s="26" customFormat="1" outlineLevel="1" collapsed="1" x14ac:dyDescent="0.25">
      <c r="A62" s="27"/>
      <c r="B62" s="13" t="str">
        <f>CONCATENATE("     ","Rent                                              ")</f>
        <v xml:space="preserve">     Rent                                              </v>
      </c>
      <c r="C62" s="13"/>
      <c r="D62" s="1">
        <f>SUM(OSRRefD22_9x_0)</f>
        <v>1850</v>
      </c>
      <c r="E62" s="1"/>
      <c r="F62" s="5">
        <f t="shared" si="36"/>
        <v>1.5598670655991555E-2</v>
      </c>
      <c r="G62" s="1"/>
      <c r="H62" s="1">
        <f>SUM(OSRRefH22_9x_0)</f>
        <v>1850</v>
      </c>
      <c r="I62" s="1"/>
      <c r="J62" s="5">
        <f t="shared" si="37"/>
        <v>1.2955182072829132E-2</v>
      </c>
      <c r="K62" s="1"/>
      <c r="L62" s="1">
        <f t="shared" si="38"/>
        <v>0</v>
      </c>
      <c r="M62" s="1"/>
      <c r="N62" s="5">
        <f t="shared" si="39"/>
        <v>0</v>
      </c>
      <c r="O62" s="13"/>
      <c r="P62" s="1">
        <f>SUM(OSRRefP22_9x_0)</f>
        <v>5550</v>
      </c>
      <c r="Q62" s="1"/>
      <c r="R62" s="5">
        <f t="shared" si="40"/>
        <v>3.2433044609110812E-2</v>
      </c>
      <c r="S62" s="1"/>
      <c r="T62" s="1">
        <f>SUM(OSRRefT22_9x_0)</f>
        <v>5550</v>
      </c>
      <c r="U62" s="1"/>
      <c r="V62" s="5">
        <f t="shared" si="41"/>
        <v>2.1362586605080832E-2</v>
      </c>
      <c r="W62" s="1"/>
      <c r="X62" s="1">
        <f t="shared" si="42"/>
        <v>0</v>
      </c>
      <c r="Y62" s="1"/>
      <c r="Z62" s="5">
        <f t="shared" si="43"/>
        <v>0</v>
      </c>
    </row>
    <row r="63" spans="1:26" s="24" customFormat="1" hidden="1" outlineLevel="2" x14ac:dyDescent="0.25">
      <c r="A63" s="25"/>
      <c r="B63" s="11" t="str">
        <f>CONCATENATE("          ", "6273", " - ", "RENT")</f>
        <v xml:space="preserve">          6273 - RENT</v>
      </c>
      <c r="C63" s="11"/>
      <c r="D63" s="7">
        <v>1850</v>
      </c>
      <c r="E63" s="2"/>
      <c r="F63" s="6">
        <f t="shared" si="36"/>
        <v>1.5598670655991555E-2</v>
      </c>
      <c r="G63" s="2"/>
      <c r="H63" s="7">
        <v>1850</v>
      </c>
      <c r="I63" s="2"/>
      <c r="J63" s="6">
        <f t="shared" si="37"/>
        <v>1.2955182072829132E-2</v>
      </c>
      <c r="K63" s="2"/>
      <c r="L63" s="7">
        <f t="shared" si="38"/>
        <v>0</v>
      </c>
      <c r="M63" s="2"/>
      <c r="N63" s="6">
        <f t="shared" si="39"/>
        <v>0</v>
      </c>
      <c r="O63" s="11"/>
      <c r="P63" s="7">
        <v>5550</v>
      </c>
      <c r="Q63" s="2"/>
      <c r="R63" s="6">
        <f t="shared" si="40"/>
        <v>3.2433044609110812E-2</v>
      </c>
      <c r="S63" s="2"/>
      <c r="T63" s="7">
        <v>5550</v>
      </c>
      <c r="U63" s="2"/>
      <c r="V63" s="6">
        <f t="shared" si="41"/>
        <v>2.1362586605080832E-2</v>
      </c>
      <c r="W63" s="2"/>
      <c r="X63" s="7">
        <f t="shared" si="42"/>
        <v>0</v>
      </c>
      <c r="Y63" s="2"/>
      <c r="Z63" s="6">
        <f t="shared" si="43"/>
        <v>0</v>
      </c>
    </row>
    <row r="64" spans="1:26" s="26" customFormat="1" outlineLevel="1" collapsed="1" x14ac:dyDescent="0.25">
      <c r="A64" s="27"/>
      <c r="B64" s="13" t="str">
        <f>CONCATENATE("     ","Repair and Maintenance                            ")</f>
        <v xml:space="preserve">     Repair and Maintenance                            </v>
      </c>
      <c r="C64" s="13"/>
      <c r="D64" s="1">
        <f>SUM(OSRRefD22_10x_0)</f>
        <v>4447.72</v>
      </c>
      <c r="E64" s="1"/>
      <c r="F64" s="5">
        <f t="shared" si="36"/>
        <v>3.750190240544149E-2</v>
      </c>
      <c r="G64" s="1"/>
      <c r="H64" s="1">
        <f>SUM(OSRRefH22_10x_0)</f>
        <v>1300</v>
      </c>
      <c r="I64" s="1"/>
      <c r="J64" s="5">
        <f t="shared" si="37"/>
        <v>9.1036414565826337E-3</v>
      </c>
      <c r="K64" s="1"/>
      <c r="L64" s="1">
        <f t="shared" si="38"/>
        <v>3147.7200000000003</v>
      </c>
      <c r="M64" s="1"/>
      <c r="N64" s="5">
        <f t="shared" si="39"/>
        <v>2.4213230769230769</v>
      </c>
      <c r="O64" s="13"/>
      <c r="P64" s="1">
        <f>SUM(OSRRefP22_10x_0)</f>
        <v>10606.720000000001</v>
      </c>
      <c r="Q64" s="1"/>
      <c r="R64" s="5">
        <f t="shared" si="40"/>
        <v>6.198346358853115E-2</v>
      </c>
      <c r="S64" s="1"/>
      <c r="T64" s="1">
        <f>SUM(OSRRefT22_10x_0)</f>
        <v>3800</v>
      </c>
      <c r="U64" s="1"/>
      <c r="V64" s="5">
        <f t="shared" si="41"/>
        <v>1.4626635873749037E-2</v>
      </c>
      <c r="W64" s="1"/>
      <c r="X64" s="1">
        <f t="shared" si="42"/>
        <v>6806.7200000000012</v>
      </c>
      <c r="Y64" s="1"/>
      <c r="Z64" s="5">
        <f t="shared" si="43"/>
        <v>1.7912421052631582</v>
      </c>
    </row>
    <row r="65" spans="1:26" s="24" customFormat="1" hidden="1" outlineLevel="2" x14ac:dyDescent="0.25">
      <c r="A65" s="25"/>
      <c r="B65" s="11" t="str">
        <f>CONCATENATE("          ", "6372", " - ", "COMPUTER HARDWARE MAINTENANCE")</f>
        <v xml:space="preserve">          6372 - COMPUTER HARDWARE MAINTENANCE</v>
      </c>
      <c r="C65" s="11"/>
      <c r="D65" s="7"/>
      <c r="E65" s="2"/>
      <c r="F65" s="6">
        <f t="shared" si="36"/>
        <v>0</v>
      </c>
      <c r="G65" s="2"/>
      <c r="H65" s="7"/>
      <c r="I65" s="2"/>
      <c r="J65" s="6">
        <f t="shared" si="37"/>
        <v>0</v>
      </c>
      <c r="K65" s="2"/>
      <c r="L65" s="7">
        <f t="shared" si="38"/>
        <v>0</v>
      </c>
      <c r="M65" s="2"/>
      <c r="N65" s="6">
        <f t="shared" si="39"/>
        <v>0</v>
      </c>
      <c r="O65" s="11"/>
      <c r="P65" s="7"/>
      <c r="Q65" s="2"/>
      <c r="R65" s="6">
        <f t="shared" si="40"/>
        <v>0</v>
      </c>
      <c r="S65" s="2"/>
      <c r="T65" s="7">
        <v>200</v>
      </c>
      <c r="U65" s="2"/>
      <c r="V65" s="6">
        <f t="shared" si="41"/>
        <v>7.6982294072363352E-4</v>
      </c>
      <c r="W65" s="2"/>
      <c r="X65" s="7">
        <f t="shared" si="42"/>
        <v>-200</v>
      </c>
      <c r="Y65" s="2"/>
      <c r="Z65" s="6">
        <f t="shared" si="43"/>
        <v>-1</v>
      </c>
    </row>
    <row r="66" spans="1:26" s="24" customFormat="1" hidden="1" outlineLevel="2" x14ac:dyDescent="0.25">
      <c r="A66" s="25"/>
      <c r="B66" s="11" t="str">
        <f>CONCATENATE("          ", "6373", " - ", "MAINTENANCE CONTRACTS")</f>
        <v xml:space="preserve">          6373 - MAINTENANCE CONTRACTS</v>
      </c>
      <c r="C66" s="11"/>
      <c r="D66" s="7">
        <v>3396</v>
      </c>
      <c r="E66" s="2"/>
      <c r="F66" s="6">
        <f t="shared" si="36"/>
        <v>2.8634100296079632E-2</v>
      </c>
      <c r="G66" s="2"/>
      <c r="H66" s="7">
        <v>1000</v>
      </c>
      <c r="I66" s="2"/>
      <c r="J66" s="6">
        <f t="shared" si="37"/>
        <v>7.0028011204481795E-3</v>
      </c>
      <c r="K66" s="2"/>
      <c r="L66" s="7">
        <f t="shared" si="38"/>
        <v>2396</v>
      </c>
      <c r="M66" s="2"/>
      <c r="N66" s="6">
        <f t="shared" si="39"/>
        <v>2.3959999999999999</v>
      </c>
      <c r="O66" s="11"/>
      <c r="P66" s="7">
        <v>5396</v>
      </c>
      <c r="Q66" s="2"/>
      <c r="R66" s="6">
        <f t="shared" si="40"/>
        <v>3.1533100668605756E-2</v>
      </c>
      <c r="S66" s="2"/>
      <c r="T66" s="7">
        <v>3000</v>
      </c>
      <c r="U66" s="2"/>
      <c r="V66" s="6">
        <f t="shared" si="41"/>
        <v>1.1547344110854504E-2</v>
      </c>
      <c r="W66" s="2"/>
      <c r="X66" s="7">
        <f t="shared" si="42"/>
        <v>2396</v>
      </c>
      <c r="Y66" s="2"/>
      <c r="Z66" s="6">
        <f t="shared" si="43"/>
        <v>0.79866666666666664</v>
      </c>
    </row>
    <row r="67" spans="1:26" s="24" customFormat="1" hidden="1" outlineLevel="2" x14ac:dyDescent="0.25">
      <c r="A67" s="25"/>
      <c r="B67" s="11" t="str">
        <f>CONCATENATE("          ", "6375", " - ", "OUTSIDE REPAIRS &amp; MAINTENANCE")</f>
        <v xml:space="preserve">          6375 - OUTSIDE REPAIRS &amp; MAINTENANCE</v>
      </c>
      <c r="C67" s="11"/>
      <c r="D67" s="7">
        <v>1051.72</v>
      </c>
      <c r="E67" s="2"/>
      <c r="F67" s="6">
        <f t="shared" si="36"/>
        <v>8.8678021093618574E-3</v>
      </c>
      <c r="G67" s="2"/>
      <c r="H67" s="7">
        <v>300</v>
      </c>
      <c r="I67" s="2"/>
      <c r="J67" s="6">
        <f t="shared" si="37"/>
        <v>2.1008403361344537E-3</v>
      </c>
      <c r="K67" s="2"/>
      <c r="L67" s="7">
        <f t="shared" si="38"/>
        <v>751.72</v>
      </c>
      <c r="M67" s="2"/>
      <c r="N67" s="6">
        <f t="shared" si="39"/>
        <v>2.5057333333333336</v>
      </c>
      <c r="O67" s="11"/>
      <c r="P67" s="7">
        <v>5210.72</v>
      </c>
      <c r="Q67" s="2"/>
      <c r="R67" s="6">
        <f t="shared" si="40"/>
        <v>3.0450362919925388E-2</v>
      </c>
      <c r="S67" s="2"/>
      <c r="T67" s="7">
        <v>600</v>
      </c>
      <c r="U67" s="2"/>
      <c r="V67" s="6">
        <f t="shared" si="41"/>
        <v>2.3094688221709007E-3</v>
      </c>
      <c r="W67" s="2"/>
      <c r="X67" s="7">
        <f t="shared" si="42"/>
        <v>4610.72</v>
      </c>
      <c r="Y67" s="2"/>
      <c r="Z67" s="6">
        <f t="shared" si="43"/>
        <v>7.6845333333333334</v>
      </c>
    </row>
    <row r="68" spans="1:26" s="26" customFormat="1" outlineLevel="1" collapsed="1" x14ac:dyDescent="0.25">
      <c r="A68" s="27"/>
      <c r="B68" s="13" t="str">
        <f>CONCATENATE("     ","Royalty &amp; Commissions                             ")</f>
        <v xml:space="preserve">     Royalty &amp; Commissions                             </v>
      </c>
      <c r="C68" s="13"/>
      <c r="D68" s="1">
        <f>SUM(OSRRefD22_11x_0)</f>
        <v>9041.44</v>
      </c>
      <c r="E68" s="1"/>
      <c r="F68" s="5">
        <f t="shared" ref="F68:F73" si="44">IF(D$12=0,0,D68/D$12)</f>
        <v>7.62348350356261E-2</v>
      </c>
      <c r="G68" s="1"/>
      <c r="H68" s="1">
        <f>SUM(OSRRefH22_11x_0)</f>
        <v>11424</v>
      </c>
      <c r="I68" s="1"/>
      <c r="J68" s="5">
        <f t="shared" ref="J68:J73" si="45">IF(H$12=0,0,H68/H$12)</f>
        <v>0.08</v>
      </c>
      <c r="K68" s="1"/>
      <c r="L68" s="1">
        <f t="shared" ref="L68:L73" si="46">+D68-H68</f>
        <v>-2382.5599999999995</v>
      </c>
      <c r="M68" s="1"/>
      <c r="N68" s="5">
        <f t="shared" ref="N68:N73" si="47">IF(H68=0,0,L68/H68)</f>
        <v>-0.20855742296918764</v>
      </c>
      <c r="O68" s="13"/>
      <c r="P68" s="1">
        <f>SUM(OSRRefP22_11x_0)</f>
        <v>16462.96</v>
      </c>
      <c r="Q68" s="1"/>
      <c r="R68" s="5">
        <f t="shared" ref="R68:R73" si="48">IF(P$12=0,0,P68/P$12)</f>
        <v>9.6206111005046294E-2</v>
      </c>
      <c r="S68" s="1"/>
      <c r="T68" s="1">
        <f>SUM(OSRRefT22_11x_0)</f>
        <v>20784</v>
      </c>
      <c r="U68" s="1"/>
      <c r="V68" s="5">
        <f t="shared" ref="V68:V73" si="49">IF(T$12=0,0,T68/T$12)</f>
        <v>0.08</v>
      </c>
      <c r="W68" s="1"/>
      <c r="X68" s="1">
        <f t="shared" ref="X68:X73" si="50">+P68-T68</f>
        <v>-4321.0400000000009</v>
      </c>
      <c r="Y68" s="1"/>
      <c r="Z68" s="5">
        <f t="shared" ref="Z68:Z73" si="51">IF(T68=0,0,X68/T68)</f>
        <v>-0.20790223248652814</v>
      </c>
    </row>
    <row r="69" spans="1:26" s="24" customFormat="1" hidden="1" outlineLevel="2" x14ac:dyDescent="0.25">
      <c r="A69" s="25"/>
      <c r="B69" s="11" t="str">
        <f>CONCATENATE("          ", "6259", " - ", "ROYALTY &amp; COMMISSIONS")</f>
        <v xml:space="preserve">          6259 - ROYALTY &amp; COMMISSIONS</v>
      </c>
      <c r="C69" s="11"/>
      <c r="D69" s="7">
        <v>9041.44</v>
      </c>
      <c r="E69" s="2"/>
      <c r="F69" s="6">
        <f t="shared" si="44"/>
        <v>7.62348350356261E-2</v>
      </c>
      <c r="G69" s="2"/>
      <c r="H69" s="7">
        <v>11424</v>
      </c>
      <c r="I69" s="2"/>
      <c r="J69" s="6">
        <f t="shared" si="45"/>
        <v>0.08</v>
      </c>
      <c r="K69" s="2"/>
      <c r="L69" s="7">
        <f t="shared" si="46"/>
        <v>-2382.5599999999995</v>
      </c>
      <c r="M69" s="2"/>
      <c r="N69" s="6">
        <f t="shared" si="47"/>
        <v>-0.20855742296918764</v>
      </c>
      <c r="O69" s="11"/>
      <c r="P69" s="7">
        <v>16462.96</v>
      </c>
      <c r="Q69" s="2"/>
      <c r="R69" s="6">
        <f t="shared" si="48"/>
        <v>9.6206111005046294E-2</v>
      </c>
      <c r="S69" s="2"/>
      <c r="T69" s="7">
        <v>20784</v>
      </c>
      <c r="U69" s="2"/>
      <c r="V69" s="6">
        <f t="shared" si="49"/>
        <v>0.08</v>
      </c>
      <c r="W69" s="2"/>
      <c r="X69" s="7">
        <f t="shared" si="50"/>
        <v>-4321.0400000000009</v>
      </c>
      <c r="Y69" s="2"/>
      <c r="Z69" s="6">
        <f t="shared" si="51"/>
        <v>-0.20790223248652814</v>
      </c>
    </row>
    <row r="70" spans="1:26" s="26" customFormat="1" outlineLevel="1" collapsed="1" x14ac:dyDescent="0.25">
      <c r="A70" s="27"/>
      <c r="B70" s="13" t="str">
        <f>CONCATENATE("     ","Services                                          ")</f>
        <v xml:space="preserve">     Services                                          </v>
      </c>
      <c r="C70" s="13"/>
      <c r="D70" s="1">
        <f>SUM(OSRRefD22_12x_0)</f>
        <v>379.64</v>
      </c>
      <c r="E70" s="1"/>
      <c r="F70" s="5">
        <f t="shared" si="44"/>
        <v>3.2010158528868286E-3</v>
      </c>
      <c r="G70" s="1"/>
      <c r="H70" s="1">
        <f>SUM(OSRRefH22_12x_0)</f>
        <v>360</v>
      </c>
      <c r="I70" s="1"/>
      <c r="J70" s="5">
        <f t="shared" si="45"/>
        <v>2.5210084033613447E-3</v>
      </c>
      <c r="K70" s="1"/>
      <c r="L70" s="1">
        <f t="shared" si="46"/>
        <v>19.639999999999986</v>
      </c>
      <c r="M70" s="1"/>
      <c r="N70" s="5">
        <f t="shared" si="47"/>
        <v>5.4555555555555517E-2</v>
      </c>
      <c r="O70" s="13"/>
      <c r="P70" s="1">
        <f>SUM(OSRRefP22_12x_0)</f>
        <v>1091.58</v>
      </c>
      <c r="Q70" s="1"/>
      <c r="R70" s="5">
        <f t="shared" si="48"/>
        <v>6.3789662764708426E-3</v>
      </c>
      <c r="S70" s="1"/>
      <c r="T70" s="1">
        <f>SUM(OSRRefT22_12x_0)</f>
        <v>1080</v>
      </c>
      <c r="U70" s="1"/>
      <c r="V70" s="5">
        <f t="shared" si="49"/>
        <v>4.1570438799076216E-3</v>
      </c>
      <c r="W70" s="1"/>
      <c r="X70" s="1">
        <f t="shared" si="50"/>
        <v>11.579999999999927</v>
      </c>
      <c r="Y70" s="1"/>
      <c r="Z70" s="5">
        <f t="shared" si="51"/>
        <v>1.0722222222222156E-2</v>
      </c>
    </row>
    <row r="71" spans="1:26" s="24" customFormat="1" hidden="1" outlineLevel="2" x14ac:dyDescent="0.25">
      <c r="A71" s="25"/>
      <c r="B71" s="11" t="str">
        <f>CONCATENATE("          ", "6282", " - ", "JANITORIAL/EXTERMINATOR EXPENS")</f>
        <v xml:space="preserve">          6282 - JANITORIAL/EXTERMINATOR EXPENS</v>
      </c>
      <c r="C71" s="11"/>
      <c r="D71" s="7">
        <v>96.96</v>
      </c>
      <c r="E71" s="2"/>
      <c r="F71" s="6">
        <f t="shared" si="44"/>
        <v>8.1753897665131942E-4</v>
      </c>
      <c r="G71" s="2"/>
      <c r="H71" s="7">
        <v>100</v>
      </c>
      <c r="I71" s="2"/>
      <c r="J71" s="6">
        <f t="shared" si="45"/>
        <v>7.0028011204481793E-4</v>
      </c>
      <c r="K71" s="2"/>
      <c r="L71" s="7">
        <f t="shared" si="46"/>
        <v>-3.0400000000000063</v>
      </c>
      <c r="M71" s="2"/>
      <c r="N71" s="6">
        <f t="shared" si="47"/>
        <v>-3.0400000000000062E-2</v>
      </c>
      <c r="O71" s="11"/>
      <c r="P71" s="7">
        <v>290.88</v>
      </c>
      <c r="Q71" s="2"/>
      <c r="R71" s="6">
        <f t="shared" si="48"/>
        <v>1.6998421650266942E-3</v>
      </c>
      <c r="S71" s="2"/>
      <c r="T71" s="7">
        <v>300</v>
      </c>
      <c r="U71" s="2"/>
      <c r="V71" s="6">
        <f t="shared" si="49"/>
        <v>1.1547344110854503E-3</v>
      </c>
      <c r="W71" s="2"/>
      <c r="X71" s="7">
        <f t="shared" si="50"/>
        <v>-9.1200000000000045</v>
      </c>
      <c r="Y71" s="2"/>
      <c r="Z71" s="6">
        <f t="shared" si="51"/>
        <v>-3.0400000000000014E-2</v>
      </c>
    </row>
    <row r="72" spans="1:26" s="24" customFormat="1" hidden="1" outlineLevel="2" x14ac:dyDescent="0.25">
      <c r="A72" s="25"/>
      <c r="B72" s="11" t="str">
        <f>CONCATENATE("          ", "6284", " - ", "TRASH REMOVAL EXPENSE")</f>
        <v xml:space="preserve">          6284 - TRASH REMOVAL EXPENSE</v>
      </c>
      <c r="C72" s="11"/>
      <c r="D72" s="7"/>
      <c r="E72" s="2"/>
      <c r="F72" s="6">
        <f t="shared" si="44"/>
        <v>0</v>
      </c>
      <c r="G72" s="2"/>
      <c r="H72" s="7">
        <v>40</v>
      </c>
      <c r="I72" s="2"/>
      <c r="J72" s="6">
        <f t="shared" si="45"/>
        <v>2.8011204481792715E-4</v>
      </c>
      <c r="K72" s="2"/>
      <c r="L72" s="7">
        <f t="shared" si="46"/>
        <v>-40</v>
      </c>
      <c r="M72" s="2"/>
      <c r="N72" s="6">
        <f t="shared" si="47"/>
        <v>-1</v>
      </c>
      <c r="O72" s="11"/>
      <c r="P72" s="7">
        <v>94</v>
      </c>
      <c r="Q72" s="2"/>
      <c r="R72" s="6">
        <f t="shared" si="48"/>
        <v>5.4931643121737235E-4</v>
      </c>
      <c r="S72" s="2"/>
      <c r="T72" s="7">
        <v>120</v>
      </c>
      <c r="U72" s="2"/>
      <c r="V72" s="6">
        <f t="shared" si="49"/>
        <v>4.6189376443418013E-4</v>
      </c>
      <c r="W72" s="2"/>
      <c r="X72" s="7">
        <f t="shared" si="50"/>
        <v>-26</v>
      </c>
      <c r="Y72" s="2"/>
      <c r="Z72" s="6">
        <f t="shared" si="51"/>
        <v>-0.21666666666666667</v>
      </c>
    </row>
    <row r="73" spans="1:26" s="24" customFormat="1" hidden="1" outlineLevel="2" x14ac:dyDescent="0.25">
      <c r="A73" s="25"/>
      <c r="B73" s="11" t="str">
        <f>CONCATENATE("          ", "6286", " - ", "LAUNDRY EXPENSE")</f>
        <v xml:space="preserve">          6286 - LAUNDRY EXPENSE</v>
      </c>
      <c r="C73" s="11"/>
      <c r="D73" s="7">
        <v>282.68</v>
      </c>
      <c r="E73" s="2"/>
      <c r="F73" s="6">
        <f t="shared" si="44"/>
        <v>2.3834768762355093E-3</v>
      </c>
      <c r="G73" s="2"/>
      <c r="H73" s="7">
        <v>220</v>
      </c>
      <c r="I73" s="2"/>
      <c r="J73" s="6">
        <f t="shared" si="45"/>
        <v>1.5406162464985994E-3</v>
      </c>
      <c r="K73" s="2"/>
      <c r="L73" s="7">
        <f t="shared" si="46"/>
        <v>62.680000000000007</v>
      </c>
      <c r="M73" s="2"/>
      <c r="N73" s="6">
        <f t="shared" si="47"/>
        <v>0.28490909090909095</v>
      </c>
      <c r="O73" s="11"/>
      <c r="P73" s="7">
        <v>706.7</v>
      </c>
      <c r="Q73" s="2"/>
      <c r="R73" s="6">
        <f t="shared" si="48"/>
        <v>4.1298076802267769E-3</v>
      </c>
      <c r="S73" s="2"/>
      <c r="T73" s="7">
        <v>660</v>
      </c>
      <c r="U73" s="2"/>
      <c r="V73" s="6">
        <f t="shared" si="49"/>
        <v>2.5404157043879909E-3</v>
      </c>
      <c r="W73" s="2"/>
      <c r="X73" s="7">
        <f t="shared" si="50"/>
        <v>46.700000000000045</v>
      </c>
      <c r="Y73" s="2"/>
      <c r="Z73" s="6">
        <f t="shared" si="51"/>
        <v>7.0757575757575825E-2</v>
      </c>
    </row>
    <row r="74" spans="1:26" s="26" customFormat="1" outlineLevel="1" collapsed="1" x14ac:dyDescent="0.25">
      <c r="A74" s="27"/>
      <c r="B74" s="13" t="str">
        <f>CONCATENATE("     ","Subscriptions &amp; Dues                              ")</f>
        <v xml:space="preserve">     Subscriptions &amp; Dues                              </v>
      </c>
      <c r="C74" s="13"/>
      <c r="D74" s="1">
        <f>SUM(OSRRefD22_13x_0)</f>
        <v>30.68</v>
      </c>
      <c r="E74" s="1"/>
      <c r="F74" s="5">
        <f t="shared" ref="F74:F85" si="52">IF(D$12=0,0,D74/D$12)</f>
        <v>2.5868498147341666E-4</v>
      </c>
      <c r="G74" s="1"/>
      <c r="H74" s="1">
        <f>SUM(OSRRefH22_13x_0)</f>
        <v>0</v>
      </c>
      <c r="I74" s="1"/>
      <c r="J74" s="5">
        <f t="shared" ref="J74:J85" si="53">IF(H$12=0,0,H74/H$12)</f>
        <v>0</v>
      </c>
      <c r="K74" s="1"/>
      <c r="L74" s="1">
        <f t="shared" ref="L74:L85" si="54">+D74-H74</f>
        <v>30.68</v>
      </c>
      <c r="M74" s="1"/>
      <c r="N74" s="5">
        <f t="shared" ref="N74:N85" si="55">IF(H74=0,0,L74/H74)</f>
        <v>0</v>
      </c>
      <c r="O74" s="13"/>
      <c r="P74" s="1">
        <f>SUM(OSRRefP22_13x_0)</f>
        <v>61.36</v>
      </c>
      <c r="Q74" s="1"/>
      <c r="R74" s="5">
        <f t="shared" ref="R74:R85" si="56">IF(P$12=0,0,P74/P$12)</f>
        <v>3.5857506616487195E-4</v>
      </c>
      <c r="S74" s="1"/>
      <c r="T74" s="1">
        <f>SUM(OSRRefT22_13x_0)</f>
        <v>0</v>
      </c>
      <c r="U74" s="1"/>
      <c r="V74" s="5">
        <f t="shared" ref="V74:V85" si="57">IF(T$12=0,0,T74/T$12)</f>
        <v>0</v>
      </c>
      <c r="W74" s="1"/>
      <c r="X74" s="1">
        <f t="shared" ref="X74:X85" si="58">+P74-T74</f>
        <v>61.36</v>
      </c>
      <c r="Y74" s="1"/>
      <c r="Z74" s="5">
        <f t="shared" ref="Z74:Z85" si="59">IF(T74=0,0,X74/T74)</f>
        <v>0</v>
      </c>
    </row>
    <row r="75" spans="1:26" s="24" customFormat="1" hidden="1" outlineLevel="2" x14ac:dyDescent="0.25">
      <c r="A75" s="25"/>
      <c r="B75" s="11" t="str">
        <f>CONCATENATE("          ", "6275", " - ", "SUBSCRIPTIONS")</f>
        <v xml:space="preserve">          6275 - SUBSCRIPTIONS</v>
      </c>
      <c r="C75" s="11"/>
      <c r="D75" s="7">
        <v>30.68</v>
      </c>
      <c r="E75" s="2"/>
      <c r="F75" s="6">
        <f t="shared" si="52"/>
        <v>2.5868498147341666E-4</v>
      </c>
      <c r="G75" s="2"/>
      <c r="H75" s="7"/>
      <c r="I75" s="2"/>
      <c r="J75" s="6">
        <f t="shared" si="53"/>
        <v>0</v>
      </c>
      <c r="K75" s="2"/>
      <c r="L75" s="7">
        <f t="shared" si="54"/>
        <v>30.68</v>
      </c>
      <c r="M75" s="2"/>
      <c r="N75" s="6">
        <f t="shared" si="55"/>
        <v>0</v>
      </c>
      <c r="O75" s="11"/>
      <c r="P75" s="7">
        <v>61.36</v>
      </c>
      <c r="Q75" s="2"/>
      <c r="R75" s="6">
        <f t="shared" si="56"/>
        <v>3.5857506616487195E-4</v>
      </c>
      <c r="S75" s="2"/>
      <c r="T75" s="7"/>
      <c r="U75" s="2"/>
      <c r="V75" s="6">
        <f t="shared" si="57"/>
        <v>0</v>
      </c>
      <c r="W75" s="2"/>
      <c r="X75" s="7">
        <f t="shared" si="58"/>
        <v>61.36</v>
      </c>
      <c r="Y75" s="2"/>
      <c r="Z75" s="6">
        <f t="shared" si="59"/>
        <v>0</v>
      </c>
    </row>
    <row r="76" spans="1:26" s="26" customFormat="1" outlineLevel="1" collapsed="1" x14ac:dyDescent="0.25">
      <c r="A76" s="27"/>
      <c r="B76" s="13" t="str">
        <f>CONCATENATE("     ","Supplies                                          ")</f>
        <v xml:space="preserve">     Supplies                                          </v>
      </c>
      <c r="C76" s="13"/>
      <c r="D76" s="1">
        <f>SUM(OSRRefD22_14x_0)</f>
        <v>2255.35</v>
      </c>
      <c r="E76" s="1"/>
      <c r="F76" s="5">
        <f t="shared" si="52"/>
        <v>1.9016465872427325E-2</v>
      </c>
      <c r="G76" s="1"/>
      <c r="H76" s="1">
        <f>SUM(OSRRefH22_14x_0)</f>
        <v>400</v>
      </c>
      <c r="I76" s="1"/>
      <c r="J76" s="5">
        <f t="shared" si="53"/>
        <v>2.8011204481792717E-3</v>
      </c>
      <c r="K76" s="1"/>
      <c r="L76" s="1">
        <f t="shared" si="54"/>
        <v>1855.35</v>
      </c>
      <c r="M76" s="1"/>
      <c r="N76" s="5">
        <f t="shared" si="55"/>
        <v>4.6383749999999999</v>
      </c>
      <c r="O76" s="13"/>
      <c r="P76" s="1">
        <f>SUM(OSRRefP22_14x_0)</f>
        <v>6046.4600000000009</v>
      </c>
      <c r="Q76" s="1"/>
      <c r="R76" s="5">
        <f t="shared" si="56"/>
        <v>3.5334253496793547E-2</v>
      </c>
      <c r="S76" s="1"/>
      <c r="T76" s="1">
        <f>SUM(OSRRefT22_14x_0)</f>
        <v>8550</v>
      </c>
      <c r="U76" s="1"/>
      <c r="V76" s="5">
        <f t="shared" si="57"/>
        <v>3.2909930715935336E-2</v>
      </c>
      <c r="W76" s="1"/>
      <c r="X76" s="1">
        <f t="shared" si="58"/>
        <v>-2503.5399999999991</v>
      </c>
      <c r="Y76" s="1"/>
      <c r="Z76" s="5">
        <f t="shared" si="59"/>
        <v>-0.29281169590643263</v>
      </c>
    </row>
    <row r="77" spans="1:26" s="24" customFormat="1" hidden="1" outlineLevel="2" x14ac:dyDescent="0.25">
      <c r="A77" s="25"/>
      <c r="B77" s="11" t="str">
        <f>CONCATENATE("          ", "6237", " - ", "JANITORIAL SUPPLIES")</f>
        <v xml:space="preserve">          6237 - JANITORIAL SUPPLIES</v>
      </c>
      <c r="C77" s="11"/>
      <c r="D77" s="7">
        <v>274.91000000000003</v>
      </c>
      <c r="E77" s="2"/>
      <c r="F77" s="6">
        <f t="shared" si="52"/>
        <v>2.3179624594803451E-3</v>
      </c>
      <c r="G77" s="2"/>
      <c r="H77" s="7">
        <v>100</v>
      </c>
      <c r="I77" s="2"/>
      <c r="J77" s="6">
        <f t="shared" si="53"/>
        <v>7.0028011204481793E-4</v>
      </c>
      <c r="K77" s="2"/>
      <c r="L77" s="7">
        <f t="shared" si="54"/>
        <v>174.91000000000003</v>
      </c>
      <c r="M77" s="2"/>
      <c r="N77" s="6">
        <f t="shared" si="55"/>
        <v>1.7491000000000003</v>
      </c>
      <c r="O77" s="11"/>
      <c r="P77" s="7">
        <v>598.88</v>
      </c>
      <c r="Q77" s="2"/>
      <c r="R77" s="6">
        <f t="shared" si="56"/>
        <v>3.499730046036808E-3</v>
      </c>
      <c r="S77" s="2"/>
      <c r="T77" s="7">
        <v>300</v>
      </c>
      <c r="U77" s="2"/>
      <c r="V77" s="6">
        <f t="shared" si="57"/>
        <v>1.1547344110854503E-3</v>
      </c>
      <c r="W77" s="2"/>
      <c r="X77" s="7">
        <f t="shared" si="58"/>
        <v>298.88</v>
      </c>
      <c r="Y77" s="2"/>
      <c r="Z77" s="6">
        <f t="shared" si="59"/>
        <v>0.99626666666666663</v>
      </c>
    </row>
    <row r="78" spans="1:26" s="24" customFormat="1" hidden="1" outlineLevel="2" x14ac:dyDescent="0.25">
      <c r="A78" s="25"/>
      <c r="B78" s="11" t="str">
        <f>CONCATENATE("          ", "6239", " - ", "KITCHEN SUPPLIES")</f>
        <v xml:space="preserve">          6239 - KITCHEN SUPPLIES</v>
      </c>
      <c r="C78" s="11"/>
      <c r="D78" s="7">
        <v>950.73</v>
      </c>
      <c r="E78" s="2"/>
      <c r="F78" s="6">
        <f t="shared" si="52"/>
        <v>8.0162833258220819E-3</v>
      </c>
      <c r="G78" s="2"/>
      <c r="H78" s="7"/>
      <c r="I78" s="2"/>
      <c r="J78" s="6">
        <f t="shared" si="53"/>
        <v>0</v>
      </c>
      <c r="K78" s="2"/>
      <c r="L78" s="7">
        <f t="shared" si="54"/>
        <v>950.73</v>
      </c>
      <c r="M78" s="2"/>
      <c r="N78" s="6">
        <f t="shared" si="55"/>
        <v>0</v>
      </c>
      <c r="O78" s="11"/>
      <c r="P78" s="7">
        <v>3118.7</v>
      </c>
      <c r="Q78" s="2"/>
      <c r="R78" s="6">
        <f t="shared" si="56"/>
        <v>1.8225033553591691E-2</v>
      </c>
      <c r="S78" s="2"/>
      <c r="T78" s="7">
        <v>4900</v>
      </c>
      <c r="U78" s="2"/>
      <c r="V78" s="6">
        <f t="shared" si="57"/>
        <v>1.8860662047729022E-2</v>
      </c>
      <c r="W78" s="2"/>
      <c r="X78" s="7">
        <f t="shared" si="58"/>
        <v>-1781.3000000000002</v>
      </c>
      <c r="Y78" s="2"/>
      <c r="Z78" s="6">
        <f t="shared" si="59"/>
        <v>-0.36353061224489802</v>
      </c>
    </row>
    <row r="79" spans="1:26" s="24" customFormat="1" hidden="1" outlineLevel="2" x14ac:dyDescent="0.25">
      <c r="A79" s="25"/>
      <c r="B79" s="11" t="str">
        <f>CONCATENATE("          ", "6241", " - ", "OFFICE EXPENSE")</f>
        <v xml:space="preserve">          6241 - OFFICE EXPENSE</v>
      </c>
      <c r="C79" s="11"/>
      <c r="D79" s="7">
        <v>482.31</v>
      </c>
      <c r="E79" s="2"/>
      <c r="F79" s="6">
        <f t="shared" si="52"/>
        <v>4.0666999157250201E-3</v>
      </c>
      <c r="G79" s="2"/>
      <c r="H79" s="7">
        <v>100</v>
      </c>
      <c r="I79" s="2"/>
      <c r="J79" s="6">
        <f t="shared" si="53"/>
        <v>7.0028011204481793E-4</v>
      </c>
      <c r="K79" s="2"/>
      <c r="L79" s="7">
        <f t="shared" si="54"/>
        <v>382.31</v>
      </c>
      <c r="M79" s="2"/>
      <c r="N79" s="6">
        <f t="shared" si="55"/>
        <v>3.8231000000000002</v>
      </c>
      <c r="O79" s="11"/>
      <c r="P79" s="7">
        <v>668.18</v>
      </c>
      <c r="Q79" s="2"/>
      <c r="R79" s="6">
        <f t="shared" si="56"/>
        <v>3.904704819264083E-3</v>
      </c>
      <c r="S79" s="2"/>
      <c r="T79" s="7">
        <v>350</v>
      </c>
      <c r="U79" s="2"/>
      <c r="V79" s="6">
        <f t="shared" si="57"/>
        <v>1.3471901462663587E-3</v>
      </c>
      <c r="W79" s="2"/>
      <c r="X79" s="7">
        <f t="shared" si="58"/>
        <v>318.17999999999995</v>
      </c>
      <c r="Y79" s="2"/>
      <c r="Z79" s="6">
        <f t="shared" si="59"/>
        <v>0.90908571428571416</v>
      </c>
    </row>
    <row r="80" spans="1:26" s="24" customFormat="1" hidden="1" outlineLevel="2" x14ac:dyDescent="0.25">
      <c r="A80" s="25"/>
      <c r="B80" s="11" t="str">
        <f>CONCATENATE("          ", "6243", " - ", "PAPER SUPPLIES")</f>
        <v xml:space="preserve">          6243 - PAPER SUPPLIES</v>
      </c>
      <c r="C80" s="11"/>
      <c r="D80" s="7">
        <v>255.85</v>
      </c>
      <c r="E80" s="2"/>
      <c r="F80" s="6">
        <f t="shared" si="52"/>
        <v>2.1572539931542915E-3</v>
      </c>
      <c r="G80" s="2"/>
      <c r="H80" s="7"/>
      <c r="I80" s="2"/>
      <c r="J80" s="6">
        <f t="shared" si="53"/>
        <v>0</v>
      </c>
      <c r="K80" s="2"/>
      <c r="L80" s="7">
        <f t="shared" si="54"/>
        <v>255.85</v>
      </c>
      <c r="M80" s="2"/>
      <c r="N80" s="6">
        <f t="shared" si="55"/>
        <v>0</v>
      </c>
      <c r="O80" s="11"/>
      <c r="P80" s="7">
        <v>2299.34</v>
      </c>
      <c r="Q80" s="2"/>
      <c r="R80" s="6">
        <f t="shared" si="56"/>
        <v>1.3436864286759075E-2</v>
      </c>
      <c r="S80" s="2"/>
      <c r="T80" s="7"/>
      <c r="U80" s="2"/>
      <c r="V80" s="6">
        <f t="shared" si="57"/>
        <v>0</v>
      </c>
      <c r="W80" s="2"/>
      <c r="X80" s="7">
        <f t="shared" si="58"/>
        <v>2299.34</v>
      </c>
      <c r="Y80" s="2"/>
      <c r="Z80" s="6">
        <f t="shared" si="59"/>
        <v>0</v>
      </c>
    </row>
    <row r="81" spans="1:26" s="24" customFormat="1" hidden="1" outlineLevel="2" x14ac:dyDescent="0.25">
      <c r="A81" s="25"/>
      <c r="B81" s="11" t="str">
        <f>CONCATENATE("          ", "6244", " - ", "SAFETY SUPPLY EXPENSE")</f>
        <v xml:space="preserve">          6244 - SAFETY SUPPLY EXPENSE</v>
      </c>
      <c r="C81" s="11"/>
      <c r="D81" s="7"/>
      <c r="E81" s="2"/>
      <c r="F81" s="6">
        <f t="shared" si="52"/>
        <v>0</v>
      </c>
      <c r="G81" s="2"/>
      <c r="H81" s="7">
        <v>50</v>
      </c>
      <c r="I81" s="2"/>
      <c r="J81" s="6">
        <f t="shared" si="53"/>
        <v>3.5014005602240897E-4</v>
      </c>
      <c r="K81" s="2"/>
      <c r="L81" s="7">
        <f t="shared" si="54"/>
        <v>-50</v>
      </c>
      <c r="M81" s="2"/>
      <c r="N81" s="6">
        <f t="shared" si="55"/>
        <v>-1</v>
      </c>
      <c r="O81" s="11"/>
      <c r="P81" s="7"/>
      <c r="Q81" s="2"/>
      <c r="R81" s="6">
        <f t="shared" si="56"/>
        <v>0</v>
      </c>
      <c r="S81" s="2"/>
      <c r="T81" s="7">
        <v>150</v>
      </c>
      <c r="U81" s="2"/>
      <c r="V81" s="6">
        <f t="shared" si="57"/>
        <v>5.7736720554272516E-4</v>
      </c>
      <c r="W81" s="2"/>
      <c r="X81" s="7">
        <f t="shared" si="58"/>
        <v>-150</v>
      </c>
      <c r="Y81" s="2"/>
      <c r="Z81" s="6">
        <f t="shared" si="59"/>
        <v>-1</v>
      </c>
    </row>
    <row r="82" spans="1:26" s="24" customFormat="1" hidden="1" outlineLevel="2" x14ac:dyDescent="0.25">
      <c r="A82" s="25"/>
      <c r="B82" s="11" t="str">
        <f>CONCATENATE("          ", "6245", " - ", "PRINTING")</f>
        <v xml:space="preserve">          6245 - PRINTING</v>
      </c>
      <c r="C82" s="11"/>
      <c r="D82" s="7"/>
      <c r="E82" s="2"/>
      <c r="F82" s="6">
        <f t="shared" si="52"/>
        <v>0</v>
      </c>
      <c r="G82" s="2"/>
      <c r="H82" s="7">
        <v>50</v>
      </c>
      <c r="I82" s="2"/>
      <c r="J82" s="6">
        <f t="shared" si="53"/>
        <v>3.5014005602240897E-4</v>
      </c>
      <c r="K82" s="2"/>
      <c r="L82" s="7">
        <f t="shared" si="54"/>
        <v>-50</v>
      </c>
      <c r="M82" s="2"/>
      <c r="N82" s="6">
        <f t="shared" si="55"/>
        <v>-1</v>
      </c>
      <c r="O82" s="11"/>
      <c r="P82" s="7">
        <v>23.01</v>
      </c>
      <c r="Q82" s="2"/>
      <c r="R82" s="6">
        <f t="shared" si="56"/>
        <v>1.3446564981182699E-4</v>
      </c>
      <c r="S82" s="2"/>
      <c r="T82" s="7">
        <v>200</v>
      </c>
      <c r="U82" s="2"/>
      <c r="V82" s="6">
        <f t="shared" si="57"/>
        <v>7.6982294072363352E-4</v>
      </c>
      <c r="W82" s="2"/>
      <c r="X82" s="7">
        <f t="shared" si="58"/>
        <v>-176.99</v>
      </c>
      <c r="Y82" s="2"/>
      <c r="Z82" s="6">
        <f t="shared" si="59"/>
        <v>-0.88495000000000001</v>
      </c>
    </row>
    <row r="83" spans="1:26" s="24" customFormat="1" hidden="1" outlineLevel="2" x14ac:dyDescent="0.25">
      <c r="A83" s="25"/>
      <c r="B83" s="11" t="str">
        <f>CONCATENATE("          ", "6246", " - ", "REPLACEMENTS")</f>
        <v xml:space="preserve">          6246 - REPLACEMENTS</v>
      </c>
      <c r="C83" s="11"/>
      <c r="D83" s="7"/>
      <c r="E83" s="2"/>
      <c r="F83" s="6">
        <f t="shared" si="52"/>
        <v>0</v>
      </c>
      <c r="G83" s="2"/>
      <c r="H83" s="7"/>
      <c r="I83" s="2"/>
      <c r="J83" s="6">
        <f t="shared" si="53"/>
        <v>0</v>
      </c>
      <c r="K83" s="2"/>
      <c r="L83" s="7">
        <f t="shared" si="54"/>
        <v>0</v>
      </c>
      <c r="M83" s="2"/>
      <c r="N83" s="6">
        <f t="shared" si="55"/>
        <v>0</v>
      </c>
      <c r="O83" s="11"/>
      <c r="P83" s="7"/>
      <c r="Q83" s="2"/>
      <c r="R83" s="6">
        <f t="shared" si="56"/>
        <v>0</v>
      </c>
      <c r="S83" s="2"/>
      <c r="T83" s="7">
        <v>2400</v>
      </c>
      <c r="U83" s="2"/>
      <c r="V83" s="6">
        <f t="shared" si="57"/>
        <v>9.2378752886836026E-3</v>
      </c>
      <c r="W83" s="2"/>
      <c r="X83" s="7">
        <f t="shared" si="58"/>
        <v>-2400</v>
      </c>
      <c r="Y83" s="2"/>
      <c r="Z83" s="6">
        <f t="shared" si="59"/>
        <v>-1</v>
      </c>
    </row>
    <row r="84" spans="1:26" s="24" customFormat="1" hidden="1" outlineLevel="2" x14ac:dyDescent="0.25">
      <c r="A84" s="25"/>
      <c r="B84" s="11" t="str">
        <f>CONCATENATE("          ", "6247", " - ", "STORE SUPPLIES")</f>
        <v xml:space="preserve">          6247 - STORE SUPPLIES</v>
      </c>
      <c r="C84" s="11"/>
      <c r="D84" s="7">
        <v>291.55</v>
      </c>
      <c r="E84" s="2"/>
      <c r="F84" s="6">
        <f t="shared" si="52"/>
        <v>2.4582661782455882E-3</v>
      </c>
      <c r="G84" s="2"/>
      <c r="H84" s="7">
        <v>100</v>
      </c>
      <c r="I84" s="2"/>
      <c r="J84" s="6">
        <f t="shared" si="53"/>
        <v>7.0028011204481793E-4</v>
      </c>
      <c r="K84" s="2"/>
      <c r="L84" s="7">
        <f t="shared" si="54"/>
        <v>191.55</v>
      </c>
      <c r="M84" s="2"/>
      <c r="N84" s="6">
        <f t="shared" si="55"/>
        <v>1.9155000000000002</v>
      </c>
      <c r="O84" s="11"/>
      <c r="P84" s="7">
        <v>-679.25</v>
      </c>
      <c r="Q84" s="2"/>
      <c r="R84" s="6">
        <f t="shared" si="56"/>
        <v>-3.9693955947276609E-3</v>
      </c>
      <c r="S84" s="2"/>
      <c r="T84" s="7">
        <v>250</v>
      </c>
      <c r="U84" s="2"/>
      <c r="V84" s="6">
        <f t="shared" si="57"/>
        <v>9.6227867590454198E-4</v>
      </c>
      <c r="W84" s="2"/>
      <c r="X84" s="7">
        <f t="shared" si="58"/>
        <v>-929.25</v>
      </c>
      <c r="Y84" s="2"/>
      <c r="Z84" s="6">
        <f t="shared" si="59"/>
        <v>-3.7170000000000001</v>
      </c>
    </row>
    <row r="85" spans="1:26" s="24" customFormat="1" hidden="1" outlineLevel="2" x14ac:dyDescent="0.25">
      <c r="A85" s="25"/>
      <c r="B85" s="11" t="str">
        <f>CONCATENATE("          ", "6248", " - ", "UNIFORMS")</f>
        <v xml:space="preserve">          6248 - UNIFORMS</v>
      </c>
      <c r="C85" s="11"/>
      <c r="D85" s="7"/>
      <c r="E85" s="2"/>
      <c r="F85" s="6">
        <f t="shared" si="52"/>
        <v>0</v>
      </c>
      <c r="G85" s="2"/>
      <c r="H85" s="7"/>
      <c r="I85" s="2"/>
      <c r="J85" s="6">
        <f t="shared" si="53"/>
        <v>0</v>
      </c>
      <c r="K85" s="2"/>
      <c r="L85" s="7">
        <f t="shared" si="54"/>
        <v>0</v>
      </c>
      <c r="M85" s="2"/>
      <c r="N85" s="6">
        <f t="shared" si="55"/>
        <v>0</v>
      </c>
      <c r="O85" s="11"/>
      <c r="P85" s="7">
        <v>17.600000000000001</v>
      </c>
      <c r="Q85" s="2"/>
      <c r="R85" s="6">
        <f t="shared" si="56"/>
        <v>1.0285073605772079E-4</v>
      </c>
      <c r="S85" s="2"/>
      <c r="T85" s="7"/>
      <c r="U85" s="2"/>
      <c r="V85" s="6">
        <f t="shared" si="57"/>
        <v>0</v>
      </c>
      <c r="W85" s="2"/>
      <c r="X85" s="7">
        <f t="shared" si="58"/>
        <v>17.600000000000001</v>
      </c>
      <c r="Y85" s="2"/>
      <c r="Z85" s="6">
        <f t="shared" si="59"/>
        <v>0</v>
      </c>
    </row>
    <row r="86" spans="1:26" s="26" customFormat="1" outlineLevel="1" collapsed="1" x14ac:dyDescent="0.25">
      <c r="A86" s="27"/>
      <c r="B86" s="13" t="str">
        <f>CONCATENATE("     ","Telephone/Data Lines                              ")</f>
        <v xml:space="preserve">     Telephone/Data Lines                              </v>
      </c>
      <c r="C86" s="13"/>
      <c r="D86" s="1">
        <f>SUM(OSRRefD22_15x_0)</f>
        <v>100</v>
      </c>
      <c r="E86" s="1"/>
      <c r="F86" s="5">
        <f t="shared" ref="F86:F91" si="60">IF(D$12=0,0,D86/D$12)</f>
        <v>8.4317138681035424E-4</v>
      </c>
      <c r="G86" s="1"/>
      <c r="H86" s="1">
        <f>SUM(OSRRefH22_15x_0)</f>
        <v>50</v>
      </c>
      <c r="I86" s="1"/>
      <c r="J86" s="5">
        <f t="shared" ref="J86:J91" si="61">IF(H$12=0,0,H86/H$12)</f>
        <v>3.5014005602240897E-4</v>
      </c>
      <c r="K86" s="1"/>
      <c r="L86" s="1">
        <f t="shared" ref="L86:L91" si="62">+D86-H86</f>
        <v>50</v>
      </c>
      <c r="M86" s="1"/>
      <c r="N86" s="5">
        <f t="shared" ref="N86:N91" si="63">IF(H86=0,0,L86/H86)</f>
        <v>1</v>
      </c>
      <c r="O86" s="13"/>
      <c r="P86" s="1">
        <f>SUM(OSRRefP22_15x_0)</f>
        <v>267.95</v>
      </c>
      <c r="Q86" s="1"/>
      <c r="R86" s="5">
        <f t="shared" ref="R86:R91" si="64">IF(P$12=0,0,P86/P$12)</f>
        <v>1.5658440185605841E-3</v>
      </c>
      <c r="S86" s="1"/>
      <c r="T86" s="1">
        <f>SUM(OSRRefT22_15x_0)</f>
        <v>150</v>
      </c>
      <c r="U86" s="1"/>
      <c r="V86" s="5">
        <f t="shared" ref="V86:V91" si="65">IF(T$12=0,0,T86/T$12)</f>
        <v>5.7736720554272516E-4</v>
      </c>
      <c r="W86" s="1"/>
      <c r="X86" s="1">
        <f t="shared" ref="X86:X91" si="66">+P86-T86</f>
        <v>117.94999999999999</v>
      </c>
      <c r="Y86" s="1"/>
      <c r="Z86" s="5">
        <f t="shared" ref="Z86:Z91" si="67">IF(T86=0,0,X86/T86)</f>
        <v>0.78633333333333322</v>
      </c>
    </row>
    <row r="87" spans="1:26" s="24" customFormat="1" hidden="1" outlineLevel="2" x14ac:dyDescent="0.25">
      <c r="A87" s="25"/>
      <c r="B87" s="11" t="str">
        <f>CONCATENATE("          ", "6309", " - ", "TELEPHONE")</f>
        <v xml:space="preserve">          6309 - TELEPHONE</v>
      </c>
      <c r="C87" s="11"/>
      <c r="D87" s="7">
        <v>100</v>
      </c>
      <c r="E87" s="2"/>
      <c r="F87" s="6">
        <f t="shared" si="60"/>
        <v>8.4317138681035424E-4</v>
      </c>
      <c r="G87" s="2"/>
      <c r="H87" s="7">
        <v>50</v>
      </c>
      <c r="I87" s="2"/>
      <c r="J87" s="6">
        <f t="shared" si="61"/>
        <v>3.5014005602240897E-4</v>
      </c>
      <c r="K87" s="2"/>
      <c r="L87" s="7">
        <f t="shared" si="62"/>
        <v>50</v>
      </c>
      <c r="M87" s="2"/>
      <c r="N87" s="6">
        <f t="shared" si="63"/>
        <v>1</v>
      </c>
      <c r="O87" s="11"/>
      <c r="P87" s="7">
        <v>267.95</v>
      </c>
      <c r="Q87" s="2"/>
      <c r="R87" s="6">
        <f t="shared" si="64"/>
        <v>1.5658440185605841E-3</v>
      </c>
      <c r="S87" s="2"/>
      <c r="T87" s="7">
        <v>150</v>
      </c>
      <c r="U87" s="2"/>
      <c r="V87" s="6">
        <f t="shared" si="65"/>
        <v>5.7736720554272516E-4</v>
      </c>
      <c r="W87" s="2"/>
      <c r="X87" s="7">
        <f t="shared" si="66"/>
        <v>117.94999999999999</v>
      </c>
      <c r="Y87" s="2"/>
      <c r="Z87" s="6">
        <f t="shared" si="67"/>
        <v>0.78633333333333322</v>
      </c>
    </row>
    <row r="88" spans="1:26" s="26" customFormat="1" outlineLevel="1" collapsed="1" x14ac:dyDescent="0.25">
      <c r="A88" s="27"/>
      <c r="B88" s="13" t="str">
        <f>CONCATENATE("     ","Training                                          ")</f>
        <v xml:space="preserve">     Training                                          </v>
      </c>
      <c r="C88" s="13"/>
      <c r="D88" s="1">
        <f>SUM(OSRRefD22_16x_0)</f>
        <v>142.69999999999999</v>
      </c>
      <c r="E88" s="1"/>
      <c r="F88" s="5">
        <f t="shared" si="60"/>
        <v>1.2032055689783754E-3</v>
      </c>
      <c r="G88" s="1"/>
      <c r="H88" s="1">
        <f>SUM(OSRRefH22_16x_0)</f>
        <v>0</v>
      </c>
      <c r="I88" s="1"/>
      <c r="J88" s="5">
        <f t="shared" si="61"/>
        <v>0</v>
      </c>
      <c r="K88" s="1"/>
      <c r="L88" s="1">
        <f t="shared" si="62"/>
        <v>142.69999999999999</v>
      </c>
      <c r="M88" s="1"/>
      <c r="N88" s="5">
        <f t="shared" si="63"/>
        <v>0</v>
      </c>
      <c r="O88" s="13"/>
      <c r="P88" s="1">
        <f>SUM(OSRRefP22_16x_0)</f>
        <v>380.65</v>
      </c>
      <c r="Q88" s="1"/>
      <c r="R88" s="5">
        <f t="shared" si="64"/>
        <v>2.2244393568392846E-3</v>
      </c>
      <c r="S88" s="1"/>
      <c r="T88" s="1">
        <f>SUM(OSRRefT22_16x_0)</f>
        <v>500</v>
      </c>
      <c r="U88" s="1"/>
      <c r="V88" s="5">
        <f t="shared" si="65"/>
        <v>1.924557351809084E-3</v>
      </c>
      <c r="W88" s="1"/>
      <c r="X88" s="1">
        <f t="shared" si="66"/>
        <v>-119.35000000000002</v>
      </c>
      <c r="Y88" s="1"/>
      <c r="Z88" s="5">
        <f t="shared" si="67"/>
        <v>-0.23870000000000005</v>
      </c>
    </row>
    <row r="89" spans="1:26" s="24" customFormat="1" hidden="1" outlineLevel="2" x14ac:dyDescent="0.25">
      <c r="A89" s="25"/>
      <c r="B89" s="11" t="str">
        <f>CONCATENATE("          ", "6376", " - ", "TRAINING")</f>
        <v xml:space="preserve">          6376 - TRAINING</v>
      </c>
      <c r="C89" s="11"/>
      <c r="D89" s="7">
        <v>142.69999999999999</v>
      </c>
      <c r="E89" s="2"/>
      <c r="F89" s="6">
        <f t="shared" si="60"/>
        <v>1.2032055689783754E-3</v>
      </c>
      <c r="G89" s="2"/>
      <c r="H89" s="7"/>
      <c r="I89" s="2"/>
      <c r="J89" s="6">
        <f t="shared" si="61"/>
        <v>0</v>
      </c>
      <c r="K89" s="2"/>
      <c r="L89" s="7">
        <f t="shared" si="62"/>
        <v>142.69999999999999</v>
      </c>
      <c r="M89" s="2"/>
      <c r="N89" s="6">
        <f t="shared" si="63"/>
        <v>0</v>
      </c>
      <c r="O89" s="11"/>
      <c r="P89" s="7">
        <v>380.65</v>
      </c>
      <c r="Q89" s="2"/>
      <c r="R89" s="6">
        <f t="shared" si="64"/>
        <v>2.2244393568392846E-3</v>
      </c>
      <c r="S89" s="2"/>
      <c r="T89" s="7">
        <v>500</v>
      </c>
      <c r="U89" s="2"/>
      <c r="V89" s="6">
        <f t="shared" si="65"/>
        <v>1.924557351809084E-3</v>
      </c>
      <c r="W89" s="2"/>
      <c r="X89" s="7">
        <f t="shared" si="66"/>
        <v>-119.35000000000002</v>
      </c>
      <c r="Y89" s="2"/>
      <c r="Z89" s="6">
        <f t="shared" si="67"/>
        <v>-0.23870000000000005</v>
      </c>
    </row>
    <row r="90" spans="1:26" s="26" customFormat="1" outlineLevel="1" collapsed="1" x14ac:dyDescent="0.25">
      <c r="A90" s="27"/>
      <c r="B90" s="13" t="str">
        <f>CONCATENATE("     ","Utilities                                         ")</f>
        <v xml:space="preserve">     Utilities                                         </v>
      </c>
      <c r="C90" s="13"/>
      <c r="D90" s="1">
        <f>SUM(OSRRefD22_17x_0)</f>
        <v>400</v>
      </c>
      <c r="E90" s="1"/>
      <c r="F90" s="5">
        <f t="shared" si="60"/>
        <v>3.3726855472414169E-3</v>
      </c>
      <c r="G90" s="1"/>
      <c r="H90" s="1">
        <f>SUM(OSRRefH22_17x_0)</f>
        <v>350</v>
      </c>
      <c r="I90" s="1"/>
      <c r="J90" s="5">
        <f t="shared" si="61"/>
        <v>2.4509803921568627E-3</v>
      </c>
      <c r="K90" s="1"/>
      <c r="L90" s="1">
        <f t="shared" si="62"/>
        <v>50</v>
      </c>
      <c r="M90" s="1"/>
      <c r="N90" s="5">
        <f t="shared" si="63"/>
        <v>0.14285714285714285</v>
      </c>
      <c r="O90" s="13"/>
      <c r="P90" s="1">
        <f>SUM(OSRRefP22_17x_0)</f>
        <v>706</v>
      </c>
      <c r="Q90" s="1"/>
      <c r="R90" s="5">
        <f t="shared" si="64"/>
        <v>4.1257170259517539E-3</v>
      </c>
      <c r="S90" s="1"/>
      <c r="T90" s="1">
        <f>SUM(OSRRefT22_17x_0)</f>
        <v>1050</v>
      </c>
      <c r="U90" s="1"/>
      <c r="V90" s="5">
        <f t="shared" si="65"/>
        <v>4.0415704387990765E-3</v>
      </c>
      <c r="W90" s="1"/>
      <c r="X90" s="1">
        <f t="shared" si="66"/>
        <v>-344</v>
      </c>
      <c r="Y90" s="1"/>
      <c r="Z90" s="5">
        <f t="shared" si="67"/>
        <v>-0.32761904761904764</v>
      </c>
    </row>
    <row r="91" spans="1:26" s="24" customFormat="1" hidden="1" outlineLevel="2" x14ac:dyDescent="0.25">
      <c r="A91" s="25"/>
      <c r="B91" s="11" t="str">
        <f>CONCATENATE("          ", "6274", " - ", "UTILITIES")</f>
        <v xml:space="preserve">          6274 - UTILITIES</v>
      </c>
      <c r="C91" s="11"/>
      <c r="D91" s="7">
        <v>400</v>
      </c>
      <c r="E91" s="2"/>
      <c r="F91" s="6">
        <f t="shared" si="60"/>
        <v>3.3726855472414169E-3</v>
      </c>
      <c r="G91" s="2"/>
      <c r="H91" s="7">
        <v>350</v>
      </c>
      <c r="I91" s="2"/>
      <c r="J91" s="6">
        <f t="shared" si="61"/>
        <v>2.4509803921568627E-3</v>
      </c>
      <c r="K91" s="2"/>
      <c r="L91" s="7">
        <f t="shared" si="62"/>
        <v>50</v>
      </c>
      <c r="M91" s="2"/>
      <c r="N91" s="6">
        <f t="shared" si="63"/>
        <v>0.14285714285714285</v>
      </c>
      <c r="O91" s="11"/>
      <c r="P91" s="7">
        <v>706</v>
      </c>
      <c r="Q91" s="2"/>
      <c r="R91" s="6">
        <f t="shared" si="64"/>
        <v>4.1257170259517539E-3</v>
      </c>
      <c r="S91" s="2"/>
      <c r="T91" s="7">
        <v>1050</v>
      </c>
      <c r="U91" s="2"/>
      <c r="V91" s="6">
        <f t="shared" si="65"/>
        <v>4.0415704387990765E-3</v>
      </c>
      <c r="W91" s="2"/>
      <c r="X91" s="7">
        <f t="shared" si="66"/>
        <v>-344</v>
      </c>
      <c r="Y91" s="2"/>
      <c r="Z91" s="6">
        <f t="shared" si="67"/>
        <v>-0.32761904761904764</v>
      </c>
    </row>
    <row r="92" spans="1:26" s="63" customFormat="1" x14ac:dyDescent="0.25">
      <c r="A92" s="36"/>
      <c r="B92" s="36"/>
      <c r="C92" s="36"/>
      <c r="D92" s="1"/>
      <c r="E92" s="1"/>
      <c r="F92" s="5"/>
      <c r="G92" s="1"/>
      <c r="H92" s="1"/>
      <c r="I92" s="1"/>
      <c r="J92" s="5"/>
      <c r="K92" s="1"/>
      <c r="L92" s="1"/>
      <c r="M92" s="1"/>
      <c r="N92" s="5"/>
      <c r="O92" s="36"/>
      <c r="P92" s="1"/>
      <c r="Q92" s="1"/>
      <c r="R92" s="5"/>
      <c r="S92" s="1"/>
      <c r="T92" s="1"/>
      <c r="U92" s="1"/>
      <c r="V92" s="5"/>
      <c r="W92" s="1"/>
      <c r="X92" s="1"/>
      <c r="Y92" s="1"/>
      <c r="Z92" s="5"/>
    </row>
    <row r="93" spans="1:26" s="23" customFormat="1" x14ac:dyDescent="0.25">
      <c r="A93" s="10"/>
      <c r="B93" s="28" t="s">
        <v>0</v>
      </c>
      <c r="C93" s="10"/>
      <c r="D93" s="4">
        <f>SUM(0)</f>
        <v>0</v>
      </c>
      <c r="E93" s="4"/>
      <c r="F93" s="12">
        <f>IF(D$12=0,0,D93/D$12)</f>
        <v>0</v>
      </c>
      <c r="G93" s="4"/>
      <c r="H93" s="4">
        <f>SUM(0)</f>
        <v>0</v>
      </c>
      <c r="I93" s="4"/>
      <c r="J93" s="12">
        <f>IF(H$12=0,0,H93/H$12)</f>
        <v>0</v>
      </c>
      <c r="K93" s="4"/>
      <c r="L93" s="4">
        <f>+D93-H93</f>
        <v>0</v>
      </c>
      <c r="M93" s="4"/>
      <c r="N93" s="12">
        <f>IF(H93=0,0,L93/H93)</f>
        <v>0</v>
      </c>
      <c r="O93" s="10"/>
      <c r="P93" s="4">
        <f>SUM(0)</f>
        <v>0</v>
      </c>
      <c r="Q93" s="4"/>
      <c r="R93" s="12">
        <f>IF(P$12=0,0,P93/P$12)</f>
        <v>0</v>
      </c>
      <c r="S93" s="4"/>
      <c r="T93" s="4">
        <f>SUM(0)</f>
        <v>0</v>
      </c>
      <c r="U93" s="4"/>
      <c r="V93" s="12">
        <f>IF(T$12=0,0,T93/T$12)</f>
        <v>0</v>
      </c>
      <c r="W93" s="4"/>
      <c r="X93" s="4">
        <f>+P93-T93</f>
        <v>0</v>
      </c>
      <c r="Y93" s="4"/>
      <c r="Z93" s="12">
        <f>IF(T93=0,0,X93/T93)</f>
        <v>0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25">
      <c r="A95" s="10"/>
      <c r="B95" s="29" t="s">
        <v>3</v>
      </c>
      <c r="C95" s="29"/>
      <c r="D95" s="22">
        <f>+D22-D24+D93</f>
        <v>-4713.1700000000055</v>
      </c>
      <c r="E95" s="14"/>
      <c r="F95" s="20">
        <f>IF(D$12=0,0,D95/D$12)</f>
        <v>-3.9740100851729618E-2</v>
      </c>
      <c r="G95" s="14"/>
      <c r="H95" s="22">
        <f>+H22-H24+H93</f>
        <v>36681.680930399991</v>
      </c>
      <c r="I95" s="14"/>
      <c r="J95" s="20">
        <f>IF(H$12=0,0,H95/H$12)</f>
        <v>0.25687451631932767</v>
      </c>
      <c r="K95" s="15"/>
      <c r="L95" s="22">
        <f>+D95-H95</f>
        <v>-41394.850930399996</v>
      </c>
      <c r="M95" s="15"/>
      <c r="N95" s="20">
        <f>IF(H95=0,0,L95/H95)</f>
        <v>-1.12848838658574</v>
      </c>
      <c r="O95" s="28"/>
      <c r="P95" s="22">
        <f>+P22-P24+P93</f>
        <v>-59063.680000000037</v>
      </c>
      <c r="Q95" s="14"/>
      <c r="R95" s="20">
        <f>IF(P$12=0,0,P95/P$12)</f>
        <v>-0.34515585012941391</v>
      </c>
      <c r="S95" s="14"/>
      <c r="T95" s="22">
        <f>+T22-T24+T93</f>
        <v>18611.493223799975</v>
      </c>
      <c r="U95" s="14"/>
      <c r="V95" s="20">
        <f>IF(T$12=0,0,T95/T$12)</f>
        <v>7.1637772224018376E-2</v>
      </c>
      <c r="W95" s="15"/>
      <c r="X95" s="22">
        <f>+P95-T95</f>
        <v>-77675.173223800011</v>
      </c>
      <c r="Y95" s="15"/>
      <c r="Z95" s="20">
        <f>IF(T95=0,0,X95/T95)</f>
        <v>-4.1735057090674852</v>
      </c>
    </row>
    <row r="96" spans="1:26" x14ac:dyDescent="0.25">
      <c r="A96" s="9"/>
      <c r="B96" s="10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x14ac:dyDescent="0.25">
      <c r="A97" s="52"/>
      <c r="B97" s="10" t="s">
        <v>14</v>
      </c>
      <c r="C97" s="10"/>
      <c r="D97" s="4">
        <v>11832.22</v>
      </c>
      <c r="E97" s="4"/>
      <c r="F97" s="12">
        <f>IF(D$12=0,0,D97/D$12)</f>
        <v>9.9765893464452096E-2</v>
      </c>
      <c r="G97" s="4"/>
      <c r="H97" s="4">
        <v>13860</v>
      </c>
      <c r="I97" s="4"/>
      <c r="J97" s="12">
        <f>IF(H$12=0,0,H97/H$12)</f>
        <v>9.7058823529411767E-2</v>
      </c>
      <c r="K97" s="4"/>
      <c r="L97" s="4">
        <f>+D97-H97</f>
        <v>-2027.7800000000007</v>
      </c>
      <c r="M97" s="4"/>
      <c r="N97" s="12">
        <f>IF(H97=0,0,L97/H97)</f>
        <v>-0.14630447330447335</v>
      </c>
      <c r="O97" s="10"/>
      <c r="P97" s="4">
        <v>18380.75</v>
      </c>
      <c r="Q97" s="4"/>
      <c r="R97" s="12">
        <f>IF(P$12=0,0,P97/P$12)</f>
        <v>0.10741327652232677</v>
      </c>
      <c r="S97" s="4"/>
      <c r="T97" s="4">
        <v>32861</v>
      </c>
      <c r="U97" s="4"/>
      <c r="V97" s="12">
        <f>IF(T$12=0,0,T97/T$12)</f>
        <v>0.1264857582755966</v>
      </c>
      <c r="W97" s="4"/>
      <c r="X97" s="4">
        <f>+P97-T97</f>
        <v>-14480.25</v>
      </c>
      <c r="Y97" s="4"/>
      <c r="Z97" s="12">
        <f>IF(T97=0,0,X97/T97)</f>
        <v>-0.44065153221143605</v>
      </c>
    </row>
    <row r="98" spans="1:26" x14ac:dyDescent="0.25">
      <c r="A98" s="9"/>
      <c r="B98" s="10"/>
      <c r="C98" s="10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O98" s="10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9" t="s">
        <v>4</v>
      </c>
      <c r="C99" s="29"/>
      <c r="D99" s="35">
        <f>+D95-D97</f>
        <v>-16545.390000000007</v>
      </c>
      <c r="E99" s="14"/>
      <c r="F99" s="32">
        <f>IF(D$12=0,0,D99/D$12)</f>
        <v>-0.13950599431618174</v>
      </c>
      <c r="G99" s="14"/>
      <c r="H99" s="35">
        <f>+H95-H97</f>
        <v>22821.680930399991</v>
      </c>
      <c r="I99" s="14"/>
      <c r="J99" s="32">
        <f>IF(H$12=0,0,H99/H$12)</f>
        <v>0.15981569278991589</v>
      </c>
      <c r="K99" s="15"/>
      <c r="L99" s="35">
        <f>D99-H99</f>
        <v>-39367.070930399997</v>
      </c>
      <c r="M99" s="15"/>
      <c r="N99" s="32">
        <f>IF(H99=0,0,L99/H99)</f>
        <v>-1.7249855981449838</v>
      </c>
      <c r="O99" s="28"/>
      <c r="P99" s="35">
        <f>+P95-P97</f>
        <v>-77444.430000000037</v>
      </c>
      <c r="Q99" s="14"/>
      <c r="R99" s="32">
        <f>IF(P$12=0,0,P99/P$12)</f>
        <v>-0.45256912665174071</v>
      </c>
      <c r="S99" s="14"/>
      <c r="T99" s="35">
        <f>+T95-T97</f>
        <v>-14249.506776200025</v>
      </c>
      <c r="U99" s="14"/>
      <c r="V99" s="32">
        <f>IF(T$12=0,0,T99/T$12)</f>
        <v>-5.4847986051578236E-2</v>
      </c>
      <c r="W99" s="15"/>
      <c r="X99" s="35">
        <f>P99-T99</f>
        <v>-63194.923223800011</v>
      </c>
      <c r="Y99" s="15"/>
      <c r="Z99" s="32">
        <f>IF(T99=0,0,X99/T99)</f>
        <v>4.4348849554112402</v>
      </c>
    </row>
    <row r="100" spans="1:26" ht="15.75" thickTop="1" x14ac:dyDescent="0.25">
      <c r="A100" s="9"/>
      <c r="B100" s="9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x14ac:dyDescent="0.25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ht="15.75" thickBot="1" x14ac:dyDescent="0.3">
      <c r="A102" s="10"/>
      <c r="B102" s="29" t="s">
        <v>5</v>
      </c>
      <c r="C102" s="29"/>
      <c r="D102" s="30">
        <f>SUM(D99:D101)</f>
        <v>-16545.390000000007</v>
      </c>
      <c r="E102" s="14"/>
      <c r="F102" s="31">
        <f>IF(D$12=0,0,D102/D$12)</f>
        <v>-0.13950599431618174</v>
      </c>
      <c r="G102" s="14"/>
      <c r="H102" s="30">
        <f>SUM(H99:H101)</f>
        <v>22821.680930399991</v>
      </c>
      <c r="I102" s="14"/>
      <c r="J102" s="31">
        <f>IF(H$12=0,0,H102/H$12)</f>
        <v>0.15981569278991589</v>
      </c>
      <c r="K102" s="15"/>
      <c r="L102" s="30">
        <f>+D102-H102</f>
        <v>-39367.070930399997</v>
      </c>
      <c r="M102" s="15"/>
      <c r="N102" s="31">
        <f>IF(H102=0,0,L102/H102)</f>
        <v>-1.7249855981449838</v>
      </c>
      <c r="O102" s="28"/>
      <c r="P102" s="30">
        <f>SUM(P99:P101)</f>
        <v>-77444.430000000037</v>
      </c>
      <c r="Q102" s="14"/>
      <c r="R102" s="31">
        <f>IF(P$12=0,0,P102/P$12)</f>
        <v>-0.45256912665174071</v>
      </c>
      <c r="S102" s="14"/>
      <c r="T102" s="30">
        <f>SUM(T99:T101)</f>
        <v>-14249.506776200025</v>
      </c>
      <c r="U102" s="14"/>
      <c r="V102" s="31">
        <f>IF(T$12=0,0,T102/T$12)</f>
        <v>-5.4847986051578236E-2</v>
      </c>
      <c r="W102" s="15"/>
      <c r="X102" s="30">
        <f>+P102-T102</f>
        <v>-63194.923223800011</v>
      </c>
      <c r="Y102" s="15"/>
      <c r="Z102" s="31">
        <f>IF(T102=0,0,X102/T102)</f>
        <v>4.4348849554112402</v>
      </c>
    </row>
    <row r="103" spans="1:26" ht="15.75" thickTop="1" x14ac:dyDescent="0.25">
      <c r="A103" s="9"/>
      <c r="C103" s="9"/>
      <c r="D103" s="18"/>
      <c r="E103" s="18"/>
      <c r="G103" s="18"/>
      <c r="H103" s="18"/>
      <c r="I103" s="18"/>
      <c r="J103" s="43"/>
      <c r="K103" s="18"/>
      <c r="L103" s="18"/>
      <c r="M103" s="18"/>
      <c r="P103" s="18"/>
      <c r="Q103" s="18"/>
      <c r="R103" s="43"/>
      <c r="S103" s="18"/>
      <c r="T103" s="18"/>
      <c r="U103" s="18"/>
      <c r="V103" s="43"/>
      <c r="W103" s="18"/>
      <c r="X103" s="18"/>
    </row>
    <row r="104" spans="1:26" x14ac:dyDescent="0.25">
      <c r="A104" s="9"/>
      <c r="B104" s="53">
        <v>43756.452557523146</v>
      </c>
      <c r="D104" s="18"/>
      <c r="E104" s="18"/>
      <c r="G104" s="18"/>
      <c r="H104" s="18"/>
      <c r="I104" s="18"/>
      <c r="J104" s="43"/>
      <c r="K104" s="18"/>
      <c r="L104" s="18"/>
      <c r="M104" s="18"/>
      <c r="P104" s="18"/>
      <c r="Q104" s="18"/>
      <c r="R104" s="43"/>
      <c r="S104" s="18"/>
      <c r="T104" s="18"/>
      <c r="U104" s="18"/>
      <c r="V104" s="43"/>
      <c r="W104" s="18"/>
      <c r="X104" s="18"/>
    </row>
    <row r="105" spans="1:26" x14ac:dyDescent="0.25">
      <c r="A105" s="9"/>
      <c r="B105" s="55" t="s">
        <v>314</v>
      </c>
      <c r="D105" s="18"/>
      <c r="E105" s="18"/>
      <c r="G105" s="18"/>
      <c r="H105" s="18"/>
      <c r="I105" s="18"/>
      <c r="J105" s="43"/>
      <c r="K105" s="18"/>
      <c r="L105" s="18"/>
      <c r="M105" s="18"/>
      <c r="P105" s="18"/>
      <c r="Q105" s="18"/>
      <c r="R105" s="43"/>
      <c r="S105" s="18"/>
      <c r="T105" s="18"/>
      <c r="U105" s="18"/>
      <c r="V105" s="43"/>
      <c r="W105" s="18"/>
      <c r="X105" s="18"/>
    </row>
    <row r="106" spans="1:26" x14ac:dyDescent="0.25">
      <c r="A106" s="9"/>
      <c r="B106" s="56"/>
      <c r="D106" s="18"/>
      <c r="E106" s="18"/>
      <c r="G106" s="18"/>
      <c r="H106" s="18"/>
      <c r="I106" s="18"/>
      <c r="J106" s="43"/>
      <c r="K106" s="18"/>
      <c r="L106" s="18"/>
      <c r="M106" s="18"/>
      <c r="P106" s="18"/>
      <c r="Q106" s="18"/>
      <c r="R106" s="43"/>
      <c r="S106" s="18"/>
      <c r="T106" s="18"/>
      <c r="U106" s="18"/>
      <c r="V106" s="43"/>
      <c r="W106" s="18"/>
      <c r="X106" s="18"/>
    </row>
    <row r="107" spans="1:26" x14ac:dyDescent="0.25">
      <c r="D107" s="18"/>
      <c r="E107" s="18"/>
      <c r="G107" s="18"/>
      <c r="H107" s="18"/>
      <c r="I107" s="18"/>
      <c r="J107" s="43"/>
      <c r="K107" s="18"/>
      <c r="L107" s="18"/>
      <c r="M107" s="18"/>
      <c r="P107" s="18"/>
      <c r="Q107" s="18"/>
      <c r="R107" s="43"/>
      <c r="S107" s="18"/>
      <c r="T107" s="18"/>
      <c r="U107" s="18"/>
      <c r="V107" s="43"/>
      <c r="W107" s="18"/>
      <c r="X107" s="18"/>
    </row>
  </sheetData>
  <pageMargins left="0.25" right="0.25" top="0.75" bottom="0.75" header="0.3" footer="0.3"/>
  <pageSetup scale="55" fitToWidth="2" orientation="landscape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str">
        <f>CONCATENATE("Period ",RIGHT(202003,2),", ",2020)</f>
        <v>Period 03, 2020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43736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tr">
        <f>CONCATENATE("Department ","406", " - ", "OPA! Greek")</f>
        <v>Department 406 - OPA! Greek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40021.279999999999</v>
      </c>
      <c r="E12" s="4"/>
      <c r="F12" s="12"/>
      <c r="G12" s="4"/>
      <c r="H12" s="4">
        <f>SUM(OSRRefH13x_0)</f>
        <v>54000</v>
      </c>
      <c r="I12" s="4"/>
      <c r="J12" s="12"/>
      <c r="K12" s="4"/>
      <c r="L12" s="4">
        <f t="shared" ref="L12:L16" si="0">+D12-H12</f>
        <v>-13978.720000000001</v>
      </c>
      <c r="M12" s="4"/>
      <c r="N12" s="12">
        <f t="shared" ref="N12:N16" si="1">IF(H12=0,0,L12/H12)</f>
        <v>-0.2588651851851852</v>
      </c>
      <c r="O12" s="10"/>
      <c r="P12" s="4">
        <f>SUM(OSRRefP13x_0)</f>
        <v>55741.31</v>
      </c>
      <c r="Q12" s="4"/>
      <c r="R12" s="12"/>
      <c r="S12" s="4"/>
      <c r="T12" s="4">
        <f>SUM(OSRRefT13x_0)</f>
        <v>89000</v>
      </c>
      <c r="U12" s="4"/>
      <c r="V12" s="12"/>
      <c r="W12" s="4"/>
      <c r="X12" s="4">
        <f t="shared" ref="X12:X16" si="2">+P12-T12</f>
        <v>-33258.69</v>
      </c>
      <c r="Y12" s="4"/>
      <c r="Z12" s="12">
        <f t="shared" ref="Z12:Z16" si="3">IF(T12=0,0,X12/T12)</f>
        <v>-0.37369314606741577</v>
      </c>
    </row>
    <row r="13" spans="1:26" s="24" customFormat="1" hidden="1" outlineLevel="1" x14ac:dyDescent="0.25">
      <c r="A13" s="46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8000</v>
      </c>
      <c r="I13" s="2"/>
      <c r="J13" s="19"/>
      <c r="K13" s="2"/>
      <c r="L13" s="2">
        <f t="shared" si="0"/>
        <v>-8000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18000</v>
      </c>
      <c r="U13" s="2"/>
      <c r="V13" s="19"/>
      <c r="W13" s="2"/>
      <c r="X13" s="2">
        <f t="shared" si="2"/>
        <v>-18000</v>
      </c>
      <c r="Y13" s="2"/>
      <c r="Z13" s="19">
        <f t="shared" si="3"/>
        <v>-1</v>
      </c>
    </row>
    <row r="14" spans="1:26" s="24" customFormat="1" hidden="1" outlineLevel="1" x14ac:dyDescent="0.25">
      <c r="A14" s="46"/>
      <c r="B14" s="11" t="str">
        <f>CONCATENATE("          ", "4051", " - ", "TAXABLE SALES-FOOD")</f>
        <v xml:space="preserve">          4051 - TAXABLE SALES-FOOD</v>
      </c>
      <c r="C14" s="11"/>
      <c r="D14" s="2">
        <f>--10594.32</f>
        <v>10594.32</v>
      </c>
      <c r="E14" s="2"/>
      <c r="F14" s="19"/>
      <c r="G14" s="2"/>
      <c r="H14" s="2"/>
      <c r="I14" s="2"/>
      <c r="J14" s="19"/>
      <c r="K14" s="2"/>
      <c r="L14" s="2">
        <f t="shared" si="0"/>
        <v>10594.32</v>
      </c>
      <c r="M14" s="2"/>
      <c r="N14" s="19">
        <f t="shared" si="1"/>
        <v>0</v>
      </c>
      <c r="O14" s="11"/>
      <c r="P14" s="2">
        <f>--14489.25</f>
        <v>14489.25</v>
      </c>
      <c r="Q14" s="2"/>
      <c r="R14" s="19"/>
      <c r="S14" s="2"/>
      <c r="T14" s="2"/>
      <c r="U14" s="2"/>
      <c r="V14" s="19"/>
      <c r="W14" s="2"/>
      <c r="X14" s="2">
        <f t="shared" si="2"/>
        <v>14489.25</v>
      </c>
      <c r="Y14" s="2"/>
      <c r="Z14" s="19">
        <f t="shared" si="3"/>
        <v>0</v>
      </c>
    </row>
    <row r="15" spans="1:26" s="24" customFormat="1" hidden="1" outlineLevel="1" x14ac:dyDescent="0.25">
      <c r="A15" s="46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46000</v>
      </c>
      <c r="I15" s="2"/>
      <c r="J15" s="19"/>
      <c r="K15" s="2"/>
      <c r="L15" s="2">
        <f t="shared" si="0"/>
        <v>-46000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71000</v>
      </c>
      <c r="U15" s="2"/>
      <c r="V15" s="19"/>
      <c r="W15" s="2"/>
      <c r="X15" s="2">
        <f t="shared" si="2"/>
        <v>-71000</v>
      </c>
      <c r="Y15" s="2"/>
      <c r="Z15" s="19">
        <f t="shared" si="3"/>
        <v>-1</v>
      </c>
    </row>
    <row r="16" spans="1:26" s="24" customFormat="1" hidden="1" outlineLevel="1" x14ac:dyDescent="0.25">
      <c r="A16" s="46"/>
      <c r="B16" s="11" t="str">
        <f>CONCATENATE("          ", "4151", " - ", "NON-TAXABLE SALES-FOOD")</f>
        <v xml:space="preserve">          4151 - NON-TAXABLE SALES-FOOD</v>
      </c>
      <c r="C16" s="11"/>
      <c r="D16" s="2">
        <f>--29426.96</f>
        <v>29426.959999999999</v>
      </c>
      <c r="E16" s="2"/>
      <c r="F16" s="19"/>
      <c r="G16" s="2"/>
      <c r="H16" s="2"/>
      <c r="I16" s="2"/>
      <c r="J16" s="19"/>
      <c r="K16" s="2"/>
      <c r="L16" s="2">
        <f t="shared" si="0"/>
        <v>29426.959999999999</v>
      </c>
      <c r="M16" s="2"/>
      <c r="N16" s="19">
        <f t="shared" si="1"/>
        <v>0</v>
      </c>
      <c r="O16" s="11"/>
      <c r="P16" s="2">
        <f>--41252.06</f>
        <v>41252.06</v>
      </c>
      <c r="Q16" s="2"/>
      <c r="R16" s="19"/>
      <c r="S16" s="2"/>
      <c r="T16" s="2"/>
      <c r="U16" s="2"/>
      <c r="V16" s="19"/>
      <c r="W16" s="2"/>
      <c r="X16" s="2">
        <f t="shared" si="2"/>
        <v>41252.06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13715.14</v>
      </c>
      <c r="E18" s="4"/>
      <c r="F18" s="12">
        <f t="shared" ref="F18:F21" si="4">IF(D$12=0,0,D18/D$12)</f>
        <v>0.34269618562924525</v>
      </c>
      <c r="G18" s="4"/>
      <c r="H18" s="4">
        <f>SUM(OSRRefH16x_0)</f>
        <v>17280</v>
      </c>
      <c r="I18" s="4"/>
      <c r="J18" s="12">
        <f t="shared" ref="J18:J21" si="5">IF(H$12=0,0,H18/H$12)</f>
        <v>0.32</v>
      </c>
      <c r="K18" s="4"/>
      <c r="L18" s="4">
        <f t="shared" ref="L18:L21" si="6">+D18-H18</f>
        <v>-3564.8600000000006</v>
      </c>
      <c r="M18" s="4"/>
      <c r="N18" s="12">
        <f t="shared" ref="N18:N21" si="7">IF(H18=0,0,L18/H18)</f>
        <v>-0.20629976851851856</v>
      </c>
      <c r="O18" s="10"/>
      <c r="P18" s="4">
        <f>SUM(OSRRefP16x_0)</f>
        <v>18745.830000000002</v>
      </c>
      <c r="Q18" s="4"/>
      <c r="R18" s="12">
        <f t="shared" ref="R18:R21" si="8">IF(P$12=0,0,P18/P$12)</f>
        <v>0.33630049239962251</v>
      </c>
      <c r="S18" s="4"/>
      <c r="T18" s="4">
        <f>SUM(OSRRefT16x_0)</f>
        <v>28480</v>
      </c>
      <c r="U18" s="4"/>
      <c r="V18" s="12">
        <f t="shared" ref="V18:V21" si="9">IF(T$12=0,0,T18/T$12)</f>
        <v>0.32</v>
      </c>
      <c r="W18" s="4"/>
      <c r="X18" s="4">
        <f t="shared" ref="X18:X21" si="10">+P18-T18</f>
        <v>-9734.1699999999983</v>
      </c>
      <c r="Y18" s="4"/>
      <c r="Z18" s="12">
        <f t="shared" ref="Z18:Z21" si="11">IF(T18=0,0,X18/T18)</f>
        <v>-0.34178967696629209</v>
      </c>
    </row>
    <row r="19" spans="1:26" s="24" customFormat="1" hidden="1" outlineLevel="1" x14ac:dyDescent="0.25">
      <c r="A19" s="46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17280</v>
      </c>
      <c r="I19" s="2"/>
      <c r="J19" s="19">
        <f t="shared" si="5"/>
        <v>0.32</v>
      </c>
      <c r="K19" s="2"/>
      <c r="L19" s="2">
        <f t="shared" si="6"/>
        <v>-17280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28480</v>
      </c>
      <c r="U19" s="2"/>
      <c r="V19" s="19">
        <f t="shared" si="9"/>
        <v>0.32</v>
      </c>
      <c r="W19" s="2"/>
      <c r="X19" s="2">
        <f t="shared" si="10"/>
        <v>-28480</v>
      </c>
      <c r="Y19" s="2"/>
      <c r="Z19" s="19">
        <f t="shared" si="11"/>
        <v>-1</v>
      </c>
    </row>
    <row r="20" spans="1:26" s="24" customFormat="1" hidden="1" outlineLevel="1" x14ac:dyDescent="0.25">
      <c r="A20" s="46"/>
      <c r="B20" s="11" t="str">
        <f>CONCATENATE("          ", "5053", " - ", "PURCHASES @ COST-FOOD")</f>
        <v xml:space="preserve">          5053 - PURCHASES @ COST-FOOD</v>
      </c>
      <c r="C20" s="11"/>
      <c r="D20" s="2">
        <v>12440.14</v>
      </c>
      <c r="E20" s="2"/>
      <c r="F20" s="19">
        <f t="shared" si="4"/>
        <v>0.31083813411265204</v>
      </c>
      <c r="G20" s="2"/>
      <c r="H20" s="2"/>
      <c r="I20" s="2"/>
      <c r="J20" s="19">
        <f t="shared" si="5"/>
        <v>0</v>
      </c>
      <c r="K20" s="2"/>
      <c r="L20" s="2">
        <f t="shared" si="6"/>
        <v>12440.14</v>
      </c>
      <c r="M20" s="2"/>
      <c r="N20" s="19">
        <f t="shared" si="7"/>
        <v>0</v>
      </c>
      <c r="O20" s="11"/>
      <c r="P20" s="2">
        <v>22830.83</v>
      </c>
      <c r="Q20" s="2"/>
      <c r="R20" s="19">
        <f t="shared" si="8"/>
        <v>0.40958545825349285</v>
      </c>
      <c r="S20" s="2"/>
      <c r="T20" s="2"/>
      <c r="U20" s="2"/>
      <c r="V20" s="19">
        <f t="shared" si="9"/>
        <v>0</v>
      </c>
      <c r="W20" s="2"/>
      <c r="X20" s="2">
        <f t="shared" si="10"/>
        <v>22830.83</v>
      </c>
      <c r="Y20" s="2"/>
      <c r="Z20" s="19">
        <f t="shared" si="11"/>
        <v>0</v>
      </c>
    </row>
    <row r="21" spans="1:26" s="24" customFormat="1" hidden="1" outlineLevel="1" x14ac:dyDescent="0.25">
      <c r="A21" s="46"/>
      <c r="B21" s="11" t="str">
        <f>CONCATENATE("          ", "5059", " - ", "PURCHASES @ COST-FOOD")</f>
        <v xml:space="preserve">          5059 - PURCHASES @ COST-FOOD</v>
      </c>
      <c r="C21" s="11"/>
      <c r="D21" s="2">
        <v>1275</v>
      </c>
      <c r="E21" s="2"/>
      <c r="F21" s="19">
        <f t="shared" si="4"/>
        <v>3.1858051516593176E-2</v>
      </c>
      <c r="G21" s="2"/>
      <c r="H21" s="2"/>
      <c r="I21" s="2"/>
      <c r="J21" s="19">
        <f t="shared" si="5"/>
        <v>0</v>
      </c>
      <c r="K21" s="2"/>
      <c r="L21" s="2">
        <f t="shared" si="6"/>
        <v>1275</v>
      </c>
      <c r="M21" s="2"/>
      <c r="N21" s="19">
        <f t="shared" si="7"/>
        <v>0</v>
      </c>
      <c r="O21" s="11"/>
      <c r="P21" s="2">
        <v>-4085</v>
      </c>
      <c r="Q21" s="2"/>
      <c r="R21" s="19">
        <f t="shared" si="8"/>
        <v>-7.3284965853870315E-2</v>
      </c>
      <c r="S21" s="2"/>
      <c r="T21" s="2"/>
      <c r="U21" s="2"/>
      <c r="V21" s="19">
        <f t="shared" si="9"/>
        <v>0</v>
      </c>
      <c r="W21" s="2"/>
      <c r="X21" s="2">
        <f t="shared" si="10"/>
        <v>-4085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2">
        <f>D12-D18</f>
        <v>26306.14</v>
      </c>
      <c r="E23" s="14"/>
      <c r="F23" s="20">
        <f>IF(D$12=0,0,D23/D$12)</f>
        <v>0.6573038143707548</v>
      </c>
      <c r="G23" s="14"/>
      <c r="H23" s="22">
        <f>H12-H18</f>
        <v>36720</v>
      </c>
      <c r="I23" s="14"/>
      <c r="J23" s="20">
        <f>IF(H$12=0,0,H23/H$12)</f>
        <v>0.68</v>
      </c>
      <c r="K23" s="15"/>
      <c r="L23" s="22">
        <f>+D23-H23</f>
        <v>-10413.86</v>
      </c>
      <c r="M23" s="15"/>
      <c r="N23" s="20">
        <f>IF(H23=0,0,L23/H23)</f>
        <v>-0.28360185185185188</v>
      </c>
      <c r="O23" s="28"/>
      <c r="P23" s="22">
        <f>P12-P18</f>
        <v>36995.479999999996</v>
      </c>
      <c r="Q23" s="14"/>
      <c r="R23" s="20">
        <f>IF(P$12=0,0,P23/P$12)</f>
        <v>0.66369950760037744</v>
      </c>
      <c r="S23" s="14"/>
      <c r="T23" s="22">
        <f>T12-T18</f>
        <v>60520</v>
      </c>
      <c r="U23" s="14"/>
      <c r="V23" s="20">
        <f>IF(T$12=0,0,T23/T$12)</f>
        <v>0.68</v>
      </c>
      <c r="W23" s="15"/>
      <c r="X23" s="22">
        <f>+P23-T23</f>
        <v>-23524.520000000004</v>
      </c>
      <c r="Y23" s="15"/>
      <c r="Z23" s="20">
        <f>IF(T23=0,0,X23/T23)</f>
        <v>-0.38870654329147397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21">
        <f>SUM(OSRRefD22x_0)</f>
        <v>27255.25</v>
      </c>
      <c r="E25" s="21"/>
      <c r="F25" s="33">
        <f t="shared" ref="F25:F35" si="12">IF(D$12=0,0,D25/D$12)</f>
        <v>0.68101894791970674</v>
      </c>
      <c r="G25" s="21"/>
      <c r="H25" s="21">
        <f>SUM(OSRRefH22x_0)</f>
        <v>18918.596099999995</v>
      </c>
      <c r="I25" s="21"/>
      <c r="J25" s="33">
        <f t="shared" ref="J25:J35" si="13">IF(H$12=0,0,H25/H$12)</f>
        <v>0.35034437222222214</v>
      </c>
      <c r="K25" s="4"/>
      <c r="L25" s="21">
        <f t="shared" ref="L25:L35" si="14">+D25-H25</f>
        <v>8336.6539000000048</v>
      </c>
      <c r="M25" s="4"/>
      <c r="N25" s="33">
        <f t="shared" ref="N25:N35" si="15">IF(H25=0,0,L25/H25)</f>
        <v>0.44065922523712037</v>
      </c>
      <c r="O25" s="10"/>
      <c r="P25" s="21">
        <f>SUM(OSRRefP22x_0)</f>
        <v>59081.5</v>
      </c>
      <c r="Q25" s="21"/>
      <c r="R25" s="33">
        <f t="shared" ref="R25:R35" si="16">IF(P$12=0,0,P25/P$12)</f>
        <v>1.0599230624468639</v>
      </c>
      <c r="S25" s="21"/>
      <c r="T25" s="21">
        <f>SUM(OSRRefT22x_0)</f>
        <v>50997.336174999997</v>
      </c>
      <c r="U25" s="21"/>
      <c r="V25" s="33">
        <f t="shared" ref="V25:V35" si="17">IF(T$12=0,0,T25/T$12)</f>
        <v>0.57300377724719098</v>
      </c>
      <c r="W25" s="4"/>
      <c r="X25" s="21">
        <f t="shared" ref="X25:X35" si="18">+P25-T25</f>
        <v>8084.1638250000033</v>
      </c>
      <c r="Y25" s="4"/>
      <c r="Z25" s="33">
        <f t="shared" ref="Z25:Z35" si="19">IF(T25=0,0,X25/T25)</f>
        <v>0.15852129603904755</v>
      </c>
    </row>
    <row r="26" spans="1:26" s="26" customFormat="1" outlineLevel="1" collapsed="1" x14ac:dyDescent="0.25">
      <c r="A26" s="27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2224.2400000000002</v>
      </c>
      <c r="E26" s="1"/>
      <c r="F26" s="5">
        <f t="shared" si="12"/>
        <v>5.5576433337464475E-2</v>
      </c>
      <c r="G26" s="1"/>
      <c r="H26" s="1">
        <f>SUM(OSRRefH22_0x_0)</f>
        <v>2281.0576384615379</v>
      </c>
      <c r="I26" s="1"/>
      <c r="J26" s="5">
        <f t="shared" si="13"/>
        <v>4.2241808119658109E-2</v>
      </c>
      <c r="K26" s="1"/>
      <c r="L26" s="1">
        <f t="shared" si="14"/>
        <v>-56.817638461537626</v>
      </c>
      <c r="M26" s="1"/>
      <c r="N26" s="5">
        <f t="shared" si="15"/>
        <v>-2.4908462418274688E-2</v>
      </c>
      <c r="O26" s="13"/>
      <c r="P26" s="1">
        <f>SUM(OSRRefP22_0x_0)</f>
        <v>6003.0300000000007</v>
      </c>
      <c r="Q26" s="1"/>
      <c r="R26" s="5">
        <f t="shared" si="16"/>
        <v>0.10769445497423726</v>
      </c>
      <c r="S26" s="1"/>
      <c r="T26" s="1">
        <f>SUM(OSRRefT22_0x_0)</f>
        <v>6241.5861749999985</v>
      </c>
      <c r="U26" s="1"/>
      <c r="V26" s="5">
        <f t="shared" si="17"/>
        <v>7.0130181741573011E-2</v>
      </c>
      <c r="W26" s="1"/>
      <c r="X26" s="1">
        <f t="shared" si="18"/>
        <v>-238.55617499999789</v>
      </c>
      <c r="Y26" s="1"/>
      <c r="Z26" s="5">
        <f t="shared" si="19"/>
        <v>-3.8220440816071559E-2</v>
      </c>
    </row>
    <row r="27" spans="1:26" s="24" customFormat="1" hidden="1" outlineLevel="2" x14ac:dyDescent="0.25">
      <c r="A27" s="25"/>
      <c r="B27" s="11" t="str">
        <f>CONCATENATE("          ", "6111", " - ", "F.I.C.A.")</f>
        <v xml:space="preserve">          6111 - F.I.C.A.</v>
      </c>
      <c r="C27" s="11"/>
      <c r="D27" s="7">
        <v>673.62</v>
      </c>
      <c r="E27" s="2"/>
      <c r="F27" s="6">
        <f t="shared" si="12"/>
        <v>1.6831545617731366E-2</v>
      </c>
      <c r="G27" s="2"/>
      <c r="H27" s="7">
        <v>582.86425384615404</v>
      </c>
      <c r="I27" s="2"/>
      <c r="J27" s="6">
        <f t="shared" si="13"/>
        <v>1.0793782478632483E-2</v>
      </c>
      <c r="K27" s="2"/>
      <c r="L27" s="7">
        <f t="shared" si="14"/>
        <v>90.755746153845962</v>
      </c>
      <c r="M27" s="2"/>
      <c r="N27" s="6">
        <f t="shared" si="15"/>
        <v>0.15570648835466375</v>
      </c>
      <c r="O27" s="11"/>
      <c r="P27" s="7">
        <v>1720.96</v>
      </c>
      <c r="Q27" s="2"/>
      <c r="R27" s="6">
        <f t="shared" si="16"/>
        <v>3.0874050143421462E-2</v>
      </c>
      <c r="S27" s="2"/>
      <c r="T27" s="7">
        <v>1545.7146750000002</v>
      </c>
      <c r="U27" s="2"/>
      <c r="V27" s="6">
        <f t="shared" si="17"/>
        <v>1.7367580617977531E-2</v>
      </c>
      <c r="W27" s="2"/>
      <c r="X27" s="7">
        <f t="shared" si="18"/>
        <v>175.24532499999987</v>
      </c>
      <c r="Y27" s="2"/>
      <c r="Z27" s="6">
        <f t="shared" si="19"/>
        <v>0.11337495065187231</v>
      </c>
    </row>
    <row r="28" spans="1:26" s="24" customFormat="1" hidden="1" outlineLevel="2" x14ac:dyDescent="0.25">
      <c r="A28" s="25"/>
      <c r="B28" s="11" t="str">
        <f>CONCATENATE("          ", "6112", " - ", "COMPENSATION INSURANCE")</f>
        <v xml:space="preserve">          6112 - COMPENSATION INSURANCE</v>
      </c>
      <c r="C28" s="11"/>
      <c r="D28" s="7">
        <v>603.39</v>
      </c>
      <c r="E28" s="2"/>
      <c r="F28" s="6">
        <f t="shared" si="12"/>
        <v>1.5076729180076199E-2</v>
      </c>
      <c r="G28" s="2"/>
      <c r="H28" s="7">
        <v>458.46676923076899</v>
      </c>
      <c r="I28" s="2"/>
      <c r="J28" s="6">
        <f t="shared" si="13"/>
        <v>8.4901253561253508E-3</v>
      </c>
      <c r="K28" s="2"/>
      <c r="L28" s="7">
        <f t="shared" si="14"/>
        <v>144.923230769231</v>
      </c>
      <c r="M28" s="2"/>
      <c r="N28" s="6">
        <f t="shared" si="15"/>
        <v>0.31610411156382845</v>
      </c>
      <c r="O28" s="11"/>
      <c r="P28" s="7">
        <v>1244.82</v>
      </c>
      <c r="Q28" s="2"/>
      <c r="R28" s="6">
        <f t="shared" si="16"/>
        <v>2.2332090867616852E-2</v>
      </c>
      <c r="S28" s="2"/>
      <c r="T28" s="7">
        <v>1063.0229999999999</v>
      </c>
      <c r="U28" s="2"/>
      <c r="V28" s="6">
        <f t="shared" si="17"/>
        <v>1.1944078651685392E-2</v>
      </c>
      <c r="W28" s="2"/>
      <c r="X28" s="7">
        <f t="shared" si="18"/>
        <v>181.79700000000003</v>
      </c>
      <c r="Y28" s="2"/>
      <c r="Z28" s="6">
        <f t="shared" si="19"/>
        <v>0.17101887729616391</v>
      </c>
    </row>
    <row r="29" spans="1:26" s="24" customFormat="1" hidden="1" outlineLevel="2" x14ac:dyDescent="0.25">
      <c r="A29" s="25"/>
      <c r="B29" s="11" t="str">
        <f>CONCATENATE("          ", "6113", " - ", "GROUP INSURANCE")</f>
        <v xml:space="preserve">          6113 - GROUP INSURANCE</v>
      </c>
      <c r="C29" s="11"/>
      <c r="D29" s="7">
        <v>34.97</v>
      </c>
      <c r="E29" s="2"/>
      <c r="F29" s="6">
        <f t="shared" si="12"/>
        <v>8.7378514630216729E-4</v>
      </c>
      <c r="G29" s="2"/>
      <c r="H29" s="7">
        <v>0</v>
      </c>
      <c r="I29" s="2"/>
      <c r="J29" s="6">
        <f t="shared" si="13"/>
        <v>0</v>
      </c>
      <c r="K29" s="2"/>
      <c r="L29" s="7">
        <f t="shared" si="14"/>
        <v>34.97</v>
      </c>
      <c r="M29" s="2"/>
      <c r="N29" s="6">
        <f t="shared" si="15"/>
        <v>0</v>
      </c>
      <c r="O29" s="11"/>
      <c r="P29" s="7">
        <v>104.91</v>
      </c>
      <c r="Q29" s="2"/>
      <c r="R29" s="6">
        <f t="shared" si="16"/>
        <v>1.8820870912434602E-3</v>
      </c>
      <c r="S29" s="2"/>
      <c r="T29" s="7">
        <v>0</v>
      </c>
      <c r="U29" s="2"/>
      <c r="V29" s="6">
        <f t="shared" si="17"/>
        <v>0</v>
      </c>
      <c r="W29" s="2"/>
      <c r="X29" s="7">
        <f t="shared" si="18"/>
        <v>104.91</v>
      </c>
      <c r="Y29" s="2"/>
      <c r="Z29" s="6">
        <f t="shared" si="19"/>
        <v>0</v>
      </c>
    </row>
    <row r="30" spans="1:26" s="24" customFormat="1" hidden="1" outlineLevel="2" x14ac:dyDescent="0.25">
      <c r="A30" s="25"/>
      <c r="B30" s="11" t="str">
        <f>CONCATENATE("          ", "6114", " - ", "STATE UNEMPLOYMENT INSURANCE")</f>
        <v xml:space="preserve">          6114 - STATE UNEMPLOYMENT INSURANCE</v>
      </c>
      <c r="C30" s="11"/>
      <c r="D30" s="7">
        <v>40.43</v>
      </c>
      <c r="E30" s="2"/>
      <c r="F30" s="6">
        <f t="shared" si="12"/>
        <v>1.0102125669144016E-3</v>
      </c>
      <c r="G30" s="2"/>
      <c r="H30" s="7">
        <v>30.722000000000001</v>
      </c>
      <c r="I30" s="2"/>
      <c r="J30" s="6">
        <f t="shared" si="13"/>
        <v>5.6892592592592596E-4</v>
      </c>
      <c r="K30" s="2"/>
      <c r="L30" s="7">
        <f t="shared" si="14"/>
        <v>9.7079999999999984</v>
      </c>
      <c r="M30" s="2"/>
      <c r="N30" s="6">
        <f t="shared" si="15"/>
        <v>0.31599505240544229</v>
      </c>
      <c r="O30" s="11"/>
      <c r="P30" s="7">
        <v>83.41</v>
      </c>
      <c r="Q30" s="2"/>
      <c r="R30" s="6">
        <f t="shared" si="16"/>
        <v>1.4963767446441428E-3</v>
      </c>
      <c r="S30" s="2"/>
      <c r="T30" s="7">
        <v>71.233500000000006</v>
      </c>
      <c r="U30" s="2"/>
      <c r="V30" s="6">
        <f t="shared" si="17"/>
        <v>8.003764044943821E-4</v>
      </c>
      <c r="W30" s="2"/>
      <c r="X30" s="7">
        <f t="shared" si="18"/>
        <v>12.17649999999999</v>
      </c>
      <c r="Y30" s="2"/>
      <c r="Z30" s="6">
        <f t="shared" si="19"/>
        <v>0.17093783121705361</v>
      </c>
    </row>
    <row r="31" spans="1:26" s="24" customFormat="1" hidden="1" outlineLevel="2" x14ac:dyDescent="0.25">
      <c r="A31" s="25"/>
      <c r="B31" s="11" t="str">
        <f>CONCATENATE("          ", "6115", " - ", "P.E.R.S.")</f>
        <v xml:space="preserve">          6115 - P.E.R.S.</v>
      </c>
      <c r="C31" s="11"/>
      <c r="D31" s="7">
        <v>315.45</v>
      </c>
      <c r="E31" s="2"/>
      <c r="F31" s="6">
        <f t="shared" si="12"/>
        <v>7.8820567458112289E-3</v>
      </c>
      <c r="G31" s="2"/>
      <c r="H31" s="7">
        <v>388.38923076923101</v>
      </c>
      <c r="I31" s="2"/>
      <c r="J31" s="6">
        <f t="shared" si="13"/>
        <v>7.1923931623931667E-3</v>
      </c>
      <c r="K31" s="2"/>
      <c r="L31" s="7">
        <f t="shared" si="14"/>
        <v>-72.939230769231017</v>
      </c>
      <c r="M31" s="2"/>
      <c r="N31" s="6">
        <f t="shared" si="15"/>
        <v>-0.18779931313947598</v>
      </c>
      <c r="O31" s="11"/>
      <c r="P31" s="7">
        <v>946.35</v>
      </c>
      <c r="Q31" s="2"/>
      <c r="R31" s="6">
        <f t="shared" si="16"/>
        <v>1.6977534256012283E-2</v>
      </c>
      <c r="S31" s="2"/>
      <c r="T31" s="7">
        <v>1262.265000000001</v>
      </c>
      <c r="U31" s="2"/>
      <c r="V31" s="6">
        <f t="shared" si="17"/>
        <v>1.4182752808988775E-2</v>
      </c>
      <c r="W31" s="2"/>
      <c r="X31" s="7">
        <f t="shared" si="18"/>
        <v>-315.91500000000099</v>
      </c>
      <c r="Y31" s="2"/>
      <c r="Z31" s="6">
        <f t="shared" si="19"/>
        <v>-0.25027628905182409</v>
      </c>
    </row>
    <row r="32" spans="1:26" s="24" customFormat="1" hidden="1" outlineLevel="2" x14ac:dyDescent="0.25">
      <c r="A32" s="25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25">
      <c r="A33" s="25"/>
      <c r="B33" s="11" t="str">
        <f>CONCATENATE("          ", "6118", " - ", "VACATION")</f>
        <v xml:space="preserve">          6118 - VACATION</v>
      </c>
      <c r="C33" s="11"/>
      <c r="D33" s="7">
        <v>173.88</v>
      </c>
      <c r="E33" s="2"/>
      <c r="F33" s="6">
        <f t="shared" si="12"/>
        <v>4.3446886256511535E-3</v>
      </c>
      <c r="G33" s="2"/>
      <c r="H33" s="7">
        <v>225.80769230769201</v>
      </c>
      <c r="I33" s="2"/>
      <c r="J33" s="6">
        <f t="shared" si="13"/>
        <v>4.1816239316239262E-3</v>
      </c>
      <c r="K33" s="2"/>
      <c r="L33" s="7">
        <f t="shared" si="14"/>
        <v>-51.927692307692013</v>
      </c>
      <c r="M33" s="2"/>
      <c r="N33" s="6">
        <f t="shared" si="15"/>
        <v>-0.22996423096576293</v>
      </c>
      <c r="O33" s="11"/>
      <c r="P33" s="7">
        <v>591.59</v>
      </c>
      <c r="Q33" s="2"/>
      <c r="R33" s="6">
        <f t="shared" si="16"/>
        <v>1.0613134136962337E-2</v>
      </c>
      <c r="S33" s="2"/>
      <c r="T33" s="7">
        <v>733.87499999999898</v>
      </c>
      <c r="U33" s="2"/>
      <c r="V33" s="6">
        <f t="shared" si="17"/>
        <v>8.2457865168539205E-3</v>
      </c>
      <c r="W33" s="2"/>
      <c r="X33" s="7">
        <f t="shared" si="18"/>
        <v>-142.28499999999894</v>
      </c>
      <c r="Y33" s="2"/>
      <c r="Z33" s="6">
        <f t="shared" si="19"/>
        <v>-0.19388179185828533</v>
      </c>
    </row>
    <row r="34" spans="1:26" s="24" customFormat="1" hidden="1" outlineLevel="2" x14ac:dyDescent="0.25">
      <c r="A34" s="25"/>
      <c r="B34" s="11" t="str">
        <f>CONCATENATE("          ", "6119", " - ", "SICK LEAVE")</f>
        <v xml:space="preserve">          6119 - SICK LEAVE</v>
      </c>
      <c r="C34" s="11"/>
      <c r="D34" s="7">
        <v>208.3</v>
      </c>
      <c r="E34" s="2"/>
      <c r="F34" s="6">
        <f t="shared" si="12"/>
        <v>5.2047310830638108E-3</v>
      </c>
      <c r="G34" s="2"/>
      <c r="H34" s="7">
        <v>444.80769230769198</v>
      </c>
      <c r="I34" s="2"/>
      <c r="J34" s="6">
        <f t="shared" si="13"/>
        <v>8.2371794871794815E-3</v>
      </c>
      <c r="K34" s="2"/>
      <c r="L34" s="7">
        <f t="shared" si="14"/>
        <v>-236.50769230769197</v>
      </c>
      <c r="M34" s="2"/>
      <c r="N34" s="6">
        <f t="shared" si="15"/>
        <v>-0.53170773886727152</v>
      </c>
      <c r="O34" s="11"/>
      <c r="P34" s="7">
        <v>746.73</v>
      </c>
      <c r="Q34" s="2"/>
      <c r="R34" s="6">
        <f t="shared" si="16"/>
        <v>1.3396348237958527E-2</v>
      </c>
      <c r="S34" s="2"/>
      <c r="T34" s="7">
        <v>1115.474999999999</v>
      </c>
      <c r="U34" s="2"/>
      <c r="V34" s="6">
        <f t="shared" si="17"/>
        <v>1.2533426966292123E-2</v>
      </c>
      <c r="W34" s="2"/>
      <c r="X34" s="7">
        <f t="shared" si="18"/>
        <v>-368.74499999999898</v>
      </c>
      <c r="Y34" s="2"/>
      <c r="Z34" s="6">
        <f t="shared" si="19"/>
        <v>-0.33057217777180065</v>
      </c>
    </row>
    <row r="35" spans="1:26" s="24" customFormat="1" hidden="1" outlineLevel="2" x14ac:dyDescent="0.25">
      <c r="A35" s="25"/>
      <c r="B35" s="11" t="str">
        <f>CONCATENATE("          ", "6156", " - ", "EMPLOYEE MEALS")</f>
        <v xml:space="preserve">          6156 - EMPLOYEE MEALS</v>
      </c>
      <c r="C35" s="11"/>
      <c r="D35" s="7">
        <v>174.2</v>
      </c>
      <c r="E35" s="2"/>
      <c r="F35" s="6">
        <f t="shared" si="12"/>
        <v>4.3526843719141417E-3</v>
      </c>
      <c r="G35" s="2"/>
      <c r="H35" s="7">
        <v>150</v>
      </c>
      <c r="I35" s="2"/>
      <c r="J35" s="6">
        <f t="shared" si="13"/>
        <v>2.7777777777777779E-3</v>
      </c>
      <c r="K35" s="2"/>
      <c r="L35" s="7">
        <f t="shared" si="14"/>
        <v>24.199999999999989</v>
      </c>
      <c r="M35" s="2"/>
      <c r="N35" s="6">
        <f t="shared" si="15"/>
        <v>0.16133333333333325</v>
      </c>
      <c r="O35" s="11"/>
      <c r="P35" s="7">
        <v>564.26</v>
      </c>
      <c r="Q35" s="2"/>
      <c r="R35" s="6">
        <f t="shared" si="16"/>
        <v>1.0122833496378179E-2</v>
      </c>
      <c r="S35" s="2"/>
      <c r="T35" s="7">
        <v>450</v>
      </c>
      <c r="U35" s="2"/>
      <c r="V35" s="6">
        <f t="shared" si="17"/>
        <v>5.0561797752808986E-3</v>
      </c>
      <c r="W35" s="2"/>
      <c r="X35" s="7">
        <f t="shared" si="18"/>
        <v>114.25999999999999</v>
      </c>
      <c r="Y35" s="2"/>
      <c r="Z35" s="6">
        <f t="shared" si="19"/>
        <v>0.25391111111111109</v>
      </c>
    </row>
    <row r="36" spans="1:26" s="26" customFormat="1" outlineLevel="1" collapsed="1" x14ac:dyDescent="0.25">
      <c r="A36" s="27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16711.68</v>
      </c>
      <c r="E36" s="1"/>
      <c r="F36" s="5">
        <f t="shared" ref="F36:F46" si="20">IF(D$12=0,0,D36/D$12)</f>
        <v>0.41756985283829007</v>
      </c>
      <c r="G36" s="1"/>
      <c r="H36" s="1">
        <f>SUM(OSRRefH22_1x_0)</f>
        <v>11364.538461538459</v>
      </c>
      <c r="I36" s="1"/>
      <c r="J36" s="5">
        <f t="shared" ref="J36:J46" si="21">IF(H$12=0,0,H36/H$12)</f>
        <v>0.21045441595441591</v>
      </c>
      <c r="K36" s="1"/>
      <c r="L36" s="1">
        <f t="shared" ref="L36:L46" si="22">+D36-H36</f>
        <v>5347.1415384615411</v>
      </c>
      <c r="M36" s="1"/>
      <c r="N36" s="5">
        <f t="shared" ref="N36:N46" si="23">IF(H36=0,0,L36/H36)</f>
        <v>0.47051110404158719</v>
      </c>
      <c r="O36" s="13"/>
      <c r="P36" s="1">
        <f>SUM(OSRRefP22_1x_0)</f>
        <v>33977.120000000003</v>
      </c>
      <c r="Q36" s="1"/>
      <c r="R36" s="5">
        <f t="shared" ref="R36:R46" si="24">IF(P$12=0,0,P36/P$12)</f>
        <v>0.60955008054170245</v>
      </c>
      <c r="S36" s="1"/>
      <c r="T36" s="1">
        <f>SUM(OSRRefT22_1x_0)</f>
        <v>25929.75</v>
      </c>
      <c r="U36" s="1"/>
      <c r="V36" s="5">
        <f t="shared" ref="V36:V46" si="25">IF(T$12=0,0,T36/T$12)</f>
        <v>0.29134550561797751</v>
      </c>
      <c r="W36" s="1"/>
      <c r="X36" s="1">
        <f t="shared" ref="X36:X46" si="26">+P36-T36</f>
        <v>8047.3700000000026</v>
      </c>
      <c r="Y36" s="1"/>
      <c r="Z36" s="5">
        <f t="shared" ref="Z36:Z46" si="27">IF(T36=0,0,X36/T36)</f>
        <v>0.31035278010779133</v>
      </c>
    </row>
    <row r="37" spans="1:26" s="24" customFormat="1" hidden="1" outlineLevel="2" x14ac:dyDescent="0.25">
      <c r="A37" s="25"/>
      <c r="B37" s="11" t="str">
        <f>CONCATENATE("          ", "6001", " - ", "ADMINISTRATIVE SALARIES")</f>
        <v xml:space="preserve">          6001 - ADMINISTRATIVE SALARIES</v>
      </c>
      <c r="C37" s="11"/>
      <c r="D37" s="7"/>
      <c r="E37" s="2"/>
      <c r="F37" s="6">
        <f t="shared" si="20"/>
        <v>0</v>
      </c>
      <c r="G37" s="2"/>
      <c r="H37" s="7">
        <v>4064.5384615384596</v>
      </c>
      <c r="I37" s="2"/>
      <c r="J37" s="6">
        <f t="shared" si="21"/>
        <v>7.5269230769230727E-2</v>
      </c>
      <c r="K37" s="2"/>
      <c r="L37" s="7">
        <f t="shared" si="22"/>
        <v>-4064.5384615384596</v>
      </c>
      <c r="M37" s="2"/>
      <c r="N37" s="6">
        <f t="shared" si="23"/>
        <v>-1</v>
      </c>
      <c r="O37" s="11"/>
      <c r="P37" s="7"/>
      <c r="Q37" s="2"/>
      <c r="R37" s="6">
        <f t="shared" si="24"/>
        <v>0</v>
      </c>
      <c r="S37" s="2"/>
      <c r="T37" s="7">
        <v>13209.75</v>
      </c>
      <c r="U37" s="2"/>
      <c r="V37" s="6">
        <f t="shared" si="25"/>
        <v>0.14842415730337077</v>
      </c>
      <c r="W37" s="2"/>
      <c r="X37" s="7">
        <f t="shared" si="26"/>
        <v>-13209.75</v>
      </c>
      <c r="Y37" s="2"/>
      <c r="Z37" s="6">
        <f t="shared" si="27"/>
        <v>-1</v>
      </c>
    </row>
    <row r="38" spans="1:26" s="24" customFormat="1" hidden="1" outlineLevel="2" x14ac:dyDescent="0.25">
      <c r="A38" s="25"/>
      <c r="B38" s="11" t="str">
        <f>CONCATENATE("          ", "6002", " - ", "STAFF SALARIES")</f>
        <v xml:space="preserve">          6002 - STAFF SALARIES</v>
      </c>
      <c r="C38" s="11"/>
      <c r="D38" s="7">
        <v>4461.93</v>
      </c>
      <c r="E38" s="2"/>
      <c r="F38" s="6">
        <f t="shared" si="20"/>
        <v>0.11148893788504517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4461.93</v>
      </c>
      <c r="M38" s="2"/>
      <c r="N38" s="6">
        <f t="shared" si="23"/>
        <v>0</v>
      </c>
      <c r="O38" s="11"/>
      <c r="P38" s="7">
        <v>13526.87</v>
      </c>
      <c r="Q38" s="2"/>
      <c r="R38" s="6">
        <f t="shared" si="24"/>
        <v>0.24267226586529814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13526.87</v>
      </c>
      <c r="Y38" s="2"/>
      <c r="Z38" s="6">
        <f t="shared" si="27"/>
        <v>0</v>
      </c>
    </row>
    <row r="39" spans="1:26" s="24" customFormat="1" hidden="1" outlineLevel="2" x14ac:dyDescent="0.25">
      <c r="A39" s="25"/>
      <c r="B39" s="11" t="str">
        <f>CONCATENATE("          ", "6003", " - ", "STAFF HOURLY-9 MONTH")</f>
        <v xml:space="preserve">          6003 - STAFF HOURLY-9 MONTH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5"/>
      <c r="B40" s="11" t="str">
        <f>CONCATENATE("          ", "6004", " - ", "STAFF HOURLY")</f>
        <v xml:space="preserve">          6004 - STAFF HOURLY</v>
      </c>
      <c r="C40" s="11"/>
      <c r="D40" s="7"/>
      <c r="E40" s="2"/>
      <c r="F40" s="6">
        <f t="shared" si="20"/>
        <v>0</v>
      </c>
      <c r="G40" s="2"/>
      <c r="H40" s="7">
        <v>3100</v>
      </c>
      <c r="I40" s="2"/>
      <c r="J40" s="6">
        <f t="shared" si="21"/>
        <v>5.7407407407407407E-2</v>
      </c>
      <c r="K40" s="2"/>
      <c r="L40" s="7">
        <f t="shared" si="22"/>
        <v>-3100</v>
      </c>
      <c r="M40" s="2"/>
      <c r="N40" s="6">
        <f t="shared" si="23"/>
        <v>-1</v>
      </c>
      <c r="O40" s="11"/>
      <c r="P40" s="7"/>
      <c r="Q40" s="2"/>
      <c r="R40" s="6">
        <f t="shared" si="24"/>
        <v>0</v>
      </c>
      <c r="S40" s="2"/>
      <c r="T40" s="7">
        <v>5520</v>
      </c>
      <c r="U40" s="2"/>
      <c r="V40" s="6">
        <f t="shared" si="25"/>
        <v>6.2022471910112356E-2</v>
      </c>
      <c r="W40" s="2"/>
      <c r="X40" s="7">
        <f t="shared" si="26"/>
        <v>-5520</v>
      </c>
      <c r="Y40" s="2"/>
      <c r="Z40" s="6">
        <f t="shared" si="27"/>
        <v>-1</v>
      </c>
    </row>
    <row r="41" spans="1:26" s="24" customFormat="1" hidden="1" outlineLevel="2" x14ac:dyDescent="0.25">
      <c r="A41" s="25"/>
      <c r="B41" s="11" t="str">
        <f>CONCATENATE("          ", "6005", " - ", "TEMPORARY WAGES-HOURLY")</f>
        <v xml:space="preserve">          6005 - TEMPORARY WAGES-HOURLY</v>
      </c>
      <c r="C41" s="11"/>
      <c r="D41" s="7">
        <v>5245.75</v>
      </c>
      <c r="E41" s="2"/>
      <c r="F41" s="6">
        <f t="shared" si="20"/>
        <v>0.13107401862209306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5245.75</v>
      </c>
      <c r="M41" s="2"/>
      <c r="N41" s="6">
        <f t="shared" si="23"/>
        <v>0</v>
      </c>
      <c r="O41" s="11"/>
      <c r="P41" s="7">
        <v>8974.75</v>
      </c>
      <c r="Q41" s="2"/>
      <c r="R41" s="6">
        <f t="shared" si="24"/>
        <v>0.16100715968103368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8974.75</v>
      </c>
      <c r="Y41" s="2"/>
      <c r="Z41" s="6">
        <f t="shared" si="27"/>
        <v>0</v>
      </c>
    </row>
    <row r="42" spans="1:26" s="24" customFormat="1" hidden="1" outlineLevel="2" x14ac:dyDescent="0.25">
      <c r="A42" s="25"/>
      <c r="B42" s="11" t="str">
        <f>CONCATENATE("          ", "6006", " - ", "TEMPORARY PART TIME")</f>
        <v xml:space="preserve">          6006 - TEMPORARY PART TIME</v>
      </c>
      <c r="C42" s="11"/>
      <c r="D42" s="7"/>
      <c r="E42" s="2"/>
      <c r="F42" s="6">
        <f t="shared" si="20"/>
        <v>0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0</v>
      </c>
      <c r="M42" s="2"/>
      <c r="N42" s="6">
        <f t="shared" si="23"/>
        <v>0</v>
      </c>
      <c r="O42" s="11"/>
      <c r="P42" s="7">
        <v>110.5</v>
      </c>
      <c r="Q42" s="2"/>
      <c r="R42" s="6">
        <f t="shared" si="24"/>
        <v>1.982371781359283E-3</v>
      </c>
      <c r="S42" s="2"/>
      <c r="T42" s="7">
        <v>0</v>
      </c>
      <c r="U42" s="2"/>
      <c r="V42" s="6">
        <f t="shared" si="25"/>
        <v>0</v>
      </c>
      <c r="W42" s="2"/>
      <c r="X42" s="7">
        <f t="shared" si="26"/>
        <v>110.5</v>
      </c>
      <c r="Y42" s="2"/>
      <c r="Z42" s="6">
        <f t="shared" si="27"/>
        <v>0</v>
      </c>
    </row>
    <row r="43" spans="1:26" s="24" customFormat="1" hidden="1" outlineLevel="2" x14ac:dyDescent="0.25">
      <c r="A43" s="25"/>
      <c r="B43" s="11" t="str">
        <f>CONCATENATE("          ", "6007", " - ", "STUDENT HOURLY")</f>
        <v xml:space="preserve">          6007 - STUDENT HOURLY</v>
      </c>
      <c r="C43" s="11"/>
      <c r="D43" s="7">
        <v>6482</v>
      </c>
      <c r="E43" s="2"/>
      <c r="F43" s="6">
        <f t="shared" si="20"/>
        <v>0.16196383523965252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6482</v>
      </c>
      <c r="M43" s="2"/>
      <c r="N43" s="6">
        <f t="shared" si="23"/>
        <v>0</v>
      </c>
      <c r="O43" s="11"/>
      <c r="P43" s="7">
        <v>10711</v>
      </c>
      <c r="Q43" s="2"/>
      <c r="R43" s="6">
        <f t="shared" si="24"/>
        <v>0.19215551267094369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10711</v>
      </c>
      <c r="Y43" s="2"/>
      <c r="Z43" s="6">
        <f t="shared" si="27"/>
        <v>0</v>
      </c>
    </row>
    <row r="44" spans="1:26" s="24" customFormat="1" hidden="1" outlineLevel="2" x14ac:dyDescent="0.25">
      <c r="A44" s="25"/>
      <c r="B44" s="11" t="str">
        <f>CONCATENATE("          ", "6008", " - ", "STUDENT HOURLY-FICA EXEMPT")</f>
        <v xml:space="preserve">          6008 - STUDENT HOURLY-FICA EXEMPT</v>
      </c>
      <c r="C44" s="11"/>
      <c r="D44" s="7">
        <v>522</v>
      </c>
      <c r="E44" s="2"/>
      <c r="F44" s="6">
        <f t="shared" si="20"/>
        <v>1.3043061091499322E-2</v>
      </c>
      <c r="G44" s="2"/>
      <c r="H44" s="7">
        <v>4200</v>
      </c>
      <c r="I44" s="2"/>
      <c r="J44" s="6">
        <f t="shared" si="21"/>
        <v>7.7777777777777779E-2</v>
      </c>
      <c r="K44" s="2"/>
      <c r="L44" s="7">
        <f t="shared" si="22"/>
        <v>-3678</v>
      </c>
      <c r="M44" s="2"/>
      <c r="N44" s="6">
        <f t="shared" si="23"/>
        <v>-0.87571428571428567</v>
      </c>
      <c r="O44" s="11"/>
      <c r="P44" s="7">
        <v>654</v>
      </c>
      <c r="Q44" s="2"/>
      <c r="R44" s="6">
        <f t="shared" si="24"/>
        <v>1.173277054306761E-2</v>
      </c>
      <c r="S44" s="2"/>
      <c r="T44" s="7">
        <v>7200</v>
      </c>
      <c r="U44" s="2"/>
      <c r="V44" s="6">
        <f t="shared" si="25"/>
        <v>8.0898876404494377E-2</v>
      </c>
      <c r="W44" s="2"/>
      <c r="X44" s="7">
        <f t="shared" si="26"/>
        <v>-6546</v>
      </c>
      <c r="Y44" s="2"/>
      <c r="Z44" s="6">
        <f t="shared" si="27"/>
        <v>-0.90916666666666668</v>
      </c>
    </row>
    <row r="45" spans="1:26" s="24" customFormat="1" hidden="1" outlineLevel="2" x14ac:dyDescent="0.25">
      <c r="A45" s="25"/>
      <c r="B45" s="11" t="str">
        <f>CONCATENATE("          ", "6009", " - ", "TEMPORARY-SEASONAL")</f>
        <v xml:space="preserve">          6009 - TEMPORARY-SEASONAL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24" customFormat="1" hidden="1" outlineLevel="2" x14ac:dyDescent="0.25">
      <c r="A46" s="25"/>
      <c r="B46" s="11" t="str">
        <f>CONCATENATE("          ", "6010", " - ", "GRATUITY")</f>
        <v xml:space="preserve">          6010 - GRATUITY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6" customFormat="1" outlineLevel="1" collapsed="1" x14ac:dyDescent="0.25">
      <c r="A47" s="27"/>
      <c r="B47" s="13" t="str">
        <f>CONCATENATE("     ","Advertising/Promo                                 ")</f>
        <v xml:space="preserve">     Advertising/Promo                                 </v>
      </c>
      <c r="C47" s="13"/>
      <c r="D47" s="1">
        <f>SUM(OSRRefD22_2x_0)</f>
        <v>249</v>
      </c>
      <c r="E47" s="1"/>
      <c r="F47" s="5">
        <f t="shared" ref="F47:F61" si="28">IF(D$12=0,0,D47/D$12)</f>
        <v>6.2216900608876077E-3</v>
      </c>
      <c r="G47" s="1"/>
      <c r="H47" s="1">
        <f>SUM(OSRRefH22_2x_0)</f>
        <v>200</v>
      </c>
      <c r="I47" s="1"/>
      <c r="J47" s="5">
        <f t="shared" ref="J47:J61" si="29">IF(H$12=0,0,H47/H$12)</f>
        <v>3.7037037037037038E-3</v>
      </c>
      <c r="K47" s="1"/>
      <c r="L47" s="1">
        <f t="shared" ref="L47:L61" si="30">+D47-H47</f>
        <v>49</v>
      </c>
      <c r="M47" s="1"/>
      <c r="N47" s="5">
        <f t="shared" ref="N47:N61" si="31">IF(H47=0,0,L47/H47)</f>
        <v>0.245</v>
      </c>
      <c r="O47" s="13"/>
      <c r="P47" s="1">
        <f>SUM(OSRRefP22_2x_0)</f>
        <v>559.32000000000005</v>
      </c>
      <c r="Q47" s="1"/>
      <c r="R47" s="5">
        <f t="shared" ref="R47:R61" si="32">IF(P$12=0,0,P47/P$12)</f>
        <v>1.0034209816740943E-2</v>
      </c>
      <c r="S47" s="1"/>
      <c r="T47" s="1">
        <f>SUM(OSRRefT22_2x_0)</f>
        <v>400</v>
      </c>
      <c r="U47" s="1"/>
      <c r="V47" s="5">
        <f t="shared" ref="V47:V61" si="33">IF(T$12=0,0,T47/T$12)</f>
        <v>4.4943820224719105E-3</v>
      </c>
      <c r="W47" s="1"/>
      <c r="X47" s="1">
        <f t="shared" ref="X47:X61" si="34">+P47-T47</f>
        <v>159.32000000000005</v>
      </c>
      <c r="Y47" s="1"/>
      <c r="Z47" s="5">
        <f t="shared" ref="Z47:Z61" si="35">IF(T47=0,0,X47/T47)</f>
        <v>0.3983000000000001</v>
      </c>
    </row>
    <row r="48" spans="1:26" s="24" customFormat="1" hidden="1" outlineLevel="2" x14ac:dyDescent="0.25">
      <c r="A48" s="25"/>
      <c r="B48" s="11" t="str">
        <f>CONCATENATE("          ", "6362", " - ", "ADVERTISING EXPENSE")</f>
        <v xml:space="preserve">          6362 - ADVERTISING EXPENSE</v>
      </c>
      <c r="C48" s="11"/>
      <c r="D48" s="7">
        <v>249</v>
      </c>
      <c r="E48" s="2"/>
      <c r="F48" s="6">
        <f t="shared" si="28"/>
        <v>6.2216900608876077E-3</v>
      </c>
      <c r="G48" s="2"/>
      <c r="H48" s="7">
        <v>200</v>
      </c>
      <c r="I48" s="2"/>
      <c r="J48" s="6">
        <f t="shared" si="29"/>
        <v>3.7037037037037038E-3</v>
      </c>
      <c r="K48" s="2"/>
      <c r="L48" s="7">
        <f t="shared" si="30"/>
        <v>49</v>
      </c>
      <c r="M48" s="2"/>
      <c r="N48" s="6">
        <f t="shared" si="31"/>
        <v>0.245</v>
      </c>
      <c r="O48" s="11"/>
      <c r="P48" s="7">
        <v>559.32000000000005</v>
      </c>
      <c r="Q48" s="2"/>
      <c r="R48" s="6">
        <f t="shared" si="32"/>
        <v>1.0034209816740943E-2</v>
      </c>
      <c r="S48" s="2"/>
      <c r="T48" s="7">
        <v>400</v>
      </c>
      <c r="U48" s="2"/>
      <c r="V48" s="6">
        <f t="shared" si="33"/>
        <v>4.4943820224719105E-3</v>
      </c>
      <c r="W48" s="2"/>
      <c r="X48" s="7">
        <f t="shared" si="34"/>
        <v>159.32000000000005</v>
      </c>
      <c r="Y48" s="2"/>
      <c r="Z48" s="6">
        <f t="shared" si="35"/>
        <v>0.3983000000000001</v>
      </c>
    </row>
    <row r="49" spans="1:26" s="26" customFormat="1" outlineLevel="1" collapsed="1" x14ac:dyDescent="0.25">
      <c r="A49" s="27"/>
      <c r="B49" s="13" t="str">
        <f>CONCATENATE("     ","Bad Debts/Over/Short                              ")</f>
        <v xml:space="preserve">     Bad Debts/Over/Short                              </v>
      </c>
      <c r="C49" s="13"/>
      <c r="D49" s="1">
        <f>SUM(OSRRefD22_3x_0)</f>
        <v>-2.91</v>
      </c>
      <c r="E49" s="1"/>
      <c r="F49" s="5">
        <f t="shared" si="28"/>
        <v>-7.2711317579047955E-5</v>
      </c>
      <c r="G49" s="1"/>
      <c r="H49" s="1">
        <f>SUM(OSRRefH22_3x_0)</f>
        <v>25</v>
      </c>
      <c r="I49" s="1"/>
      <c r="J49" s="5">
        <f t="shared" si="29"/>
        <v>4.6296296296296298E-4</v>
      </c>
      <c r="K49" s="1"/>
      <c r="L49" s="1">
        <f t="shared" si="30"/>
        <v>-27.91</v>
      </c>
      <c r="M49" s="1"/>
      <c r="N49" s="5">
        <f t="shared" si="31"/>
        <v>-1.1164000000000001</v>
      </c>
      <c r="O49" s="13"/>
      <c r="P49" s="1">
        <f>SUM(OSRRefP22_3x_0)</f>
        <v>-20.43</v>
      </c>
      <c r="Q49" s="1"/>
      <c r="R49" s="5">
        <f t="shared" si="32"/>
        <v>-3.6651452934995609E-4</v>
      </c>
      <c r="S49" s="1"/>
      <c r="T49" s="1">
        <f>SUM(OSRRefT22_3x_0)</f>
        <v>50</v>
      </c>
      <c r="U49" s="1"/>
      <c r="V49" s="5">
        <f t="shared" si="33"/>
        <v>5.6179775280898881E-4</v>
      </c>
      <c r="W49" s="1"/>
      <c r="X49" s="1">
        <f t="shared" si="34"/>
        <v>-70.430000000000007</v>
      </c>
      <c r="Y49" s="1"/>
      <c r="Z49" s="5">
        <f t="shared" si="35"/>
        <v>-1.4086000000000001</v>
      </c>
    </row>
    <row r="50" spans="1:26" s="24" customFormat="1" hidden="1" outlineLevel="2" x14ac:dyDescent="0.25">
      <c r="A50" s="25"/>
      <c r="B50" s="11" t="str">
        <f>CONCATENATE("          ", "6272", " - ", "CASH (OVER/SHORT)")</f>
        <v xml:space="preserve">          6272 - CASH (OVER/SHORT)</v>
      </c>
      <c r="C50" s="11"/>
      <c r="D50" s="7">
        <v>-2.91</v>
      </c>
      <c r="E50" s="2"/>
      <c r="F50" s="6">
        <f t="shared" si="28"/>
        <v>-7.2711317579047955E-5</v>
      </c>
      <c r="G50" s="2"/>
      <c r="H50" s="7">
        <v>25</v>
      </c>
      <c r="I50" s="2"/>
      <c r="J50" s="6">
        <f t="shared" si="29"/>
        <v>4.6296296296296298E-4</v>
      </c>
      <c r="K50" s="2"/>
      <c r="L50" s="7">
        <f t="shared" si="30"/>
        <v>-27.91</v>
      </c>
      <c r="M50" s="2"/>
      <c r="N50" s="6">
        <f t="shared" si="31"/>
        <v>-1.1164000000000001</v>
      </c>
      <c r="O50" s="11"/>
      <c r="P50" s="7">
        <v>-20.43</v>
      </c>
      <c r="Q50" s="2"/>
      <c r="R50" s="6">
        <f t="shared" si="32"/>
        <v>-3.6651452934995609E-4</v>
      </c>
      <c r="S50" s="2"/>
      <c r="T50" s="7">
        <v>50</v>
      </c>
      <c r="U50" s="2"/>
      <c r="V50" s="6">
        <f t="shared" si="33"/>
        <v>5.6179775280898881E-4</v>
      </c>
      <c r="W50" s="2"/>
      <c r="X50" s="7">
        <f t="shared" si="34"/>
        <v>-70.430000000000007</v>
      </c>
      <c r="Y50" s="2"/>
      <c r="Z50" s="6">
        <f t="shared" si="35"/>
        <v>-1.4086000000000001</v>
      </c>
    </row>
    <row r="51" spans="1:26" s="26" customFormat="1" outlineLevel="1" collapsed="1" x14ac:dyDescent="0.25">
      <c r="A51" s="27"/>
      <c r="B51" s="13" t="str">
        <f>CONCATENATE("     ","Bank/card Fees                                    ")</f>
        <v xml:space="preserve">     Bank/card Fees                                    </v>
      </c>
      <c r="C51" s="13"/>
      <c r="D51" s="1">
        <f>SUM(OSRRefD22_4x_0)</f>
        <v>1400.07</v>
      </c>
      <c r="E51" s="1"/>
      <c r="F51" s="5">
        <f t="shared" si="28"/>
        <v>3.4983138970067926E-2</v>
      </c>
      <c r="G51" s="1"/>
      <c r="H51" s="1">
        <f>SUM(OSRRefH22_4x_0)</f>
        <v>1290</v>
      </c>
      <c r="I51" s="1"/>
      <c r="J51" s="5">
        <f t="shared" si="29"/>
        <v>2.388888888888889E-2</v>
      </c>
      <c r="K51" s="1"/>
      <c r="L51" s="1">
        <f t="shared" si="30"/>
        <v>110.06999999999994</v>
      </c>
      <c r="M51" s="1"/>
      <c r="N51" s="5">
        <f t="shared" si="31"/>
        <v>8.5325581395348793E-2</v>
      </c>
      <c r="O51" s="13"/>
      <c r="P51" s="1">
        <f>SUM(OSRRefP22_4x_0)</f>
        <v>1902.18</v>
      </c>
      <c r="Q51" s="1"/>
      <c r="R51" s="5">
        <f t="shared" si="32"/>
        <v>3.4125139864850683E-2</v>
      </c>
      <c r="S51" s="1"/>
      <c r="T51" s="1">
        <f>SUM(OSRRefT22_4x_0)</f>
        <v>2102</v>
      </c>
      <c r="U51" s="1"/>
      <c r="V51" s="5">
        <f t="shared" si="33"/>
        <v>2.3617977528089886E-2</v>
      </c>
      <c r="W51" s="1"/>
      <c r="X51" s="1">
        <f t="shared" si="34"/>
        <v>-199.81999999999994</v>
      </c>
      <c r="Y51" s="1"/>
      <c r="Z51" s="5">
        <f t="shared" si="35"/>
        <v>-9.5061845861084654E-2</v>
      </c>
    </row>
    <row r="52" spans="1:26" s="24" customFormat="1" hidden="1" outlineLevel="2" x14ac:dyDescent="0.25">
      <c r="A52" s="25"/>
      <c r="B52" s="11" t="str">
        <f>CONCATENATE("          ", "6381", " - ", "BANK/CREDIT CARD FEES")</f>
        <v xml:space="preserve">          6381 - BANK/CREDIT CARD FEES</v>
      </c>
      <c r="C52" s="11"/>
      <c r="D52" s="7">
        <v>1400.07</v>
      </c>
      <c r="E52" s="2"/>
      <c r="F52" s="6">
        <f t="shared" si="28"/>
        <v>3.4983138970067926E-2</v>
      </c>
      <c r="G52" s="2"/>
      <c r="H52" s="7">
        <v>1290</v>
      </c>
      <c r="I52" s="2"/>
      <c r="J52" s="6">
        <f t="shared" si="29"/>
        <v>2.388888888888889E-2</v>
      </c>
      <c r="K52" s="2"/>
      <c r="L52" s="7">
        <f t="shared" si="30"/>
        <v>110.06999999999994</v>
      </c>
      <c r="M52" s="2"/>
      <c r="N52" s="6">
        <f t="shared" si="31"/>
        <v>8.5325581395348793E-2</v>
      </c>
      <c r="O52" s="11"/>
      <c r="P52" s="7">
        <v>1902.18</v>
      </c>
      <c r="Q52" s="2"/>
      <c r="R52" s="6">
        <f t="shared" si="32"/>
        <v>3.4125139864850683E-2</v>
      </c>
      <c r="S52" s="2"/>
      <c r="T52" s="7">
        <v>2102</v>
      </c>
      <c r="U52" s="2"/>
      <c r="V52" s="6">
        <f t="shared" si="33"/>
        <v>2.3617977528089886E-2</v>
      </c>
      <c r="W52" s="2"/>
      <c r="X52" s="7">
        <f t="shared" si="34"/>
        <v>-199.81999999999994</v>
      </c>
      <c r="Y52" s="2"/>
      <c r="Z52" s="6">
        <f t="shared" si="35"/>
        <v>-9.5061845861084654E-2</v>
      </c>
    </row>
    <row r="53" spans="1:26" s="26" customFormat="1" outlineLevel="1" collapsed="1" x14ac:dyDescent="0.25">
      <c r="A53" s="27"/>
      <c r="B53" s="13" t="str">
        <f>CONCATENATE("     ","Depreciation                                      ")</f>
        <v xml:space="preserve">     Depreciation                                      </v>
      </c>
      <c r="C53" s="13"/>
      <c r="D53" s="1">
        <f>SUM(OSRRefD22_5x_0)</f>
        <v>2775.32</v>
      </c>
      <c r="E53" s="1"/>
      <c r="F53" s="5">
        <f t="shared" si="28"/>
        <v>6.9346107870612836E-2</v>
      </c>
      <c r="G53" s="1"/>
      <c r="H53" s="1">
        <f>SUM(OSRRefH22_5x_0)</f>
        <v>2656</v>
      </c>
      <c r="I53" s="1"/>
      <c r="J53" s="5">
        <f t="shared" si="29"/>
        <v>4.9185185185185186E-2</v>
      </c>
      <c r="K53" s="1"/>
      <c r="L53" s="1">
        <f t="shared" si="30"/>
        <v>119.32000000000016</v>
      </c>
      <c r="M53" s="1"/>
      <c r="N53" s="5">
        <f t="shared" si="31"/>
        <v>4.4924698795180781E-2</v>
      </c>
      <c r="O53" s="13"/>
      <c r="P53" s="1">
        <f>SUM(OSRRefP22_5x_0)</f>
        <v>8325.9599999999991</v>
      </c>
      <c r="Q53" s="1"/>
      <c r="R53" s="5">
        <f t="shared" si="32"/>
        <v>0.14936785662195595</v>
      </c>
      <c r="S53" s="1"/>
      <c r="T53" s="1">
        <f>SUM(OSRRefT22_5x_0)</f>
        <v>7968</v>
      </c>
      <c r="U53" s="1"/>
      <c r="V53" s="5">
        <f t="shared" si="33"/>
        <v>8.9528089887640452E-2</v>
      </c>
      <c r="W53" s="1"/>
      <c r="X53" s="1">
        <f t="shared" si="34"/>
        <v>357.95999999999913</v>
      </c>
      <c r="Y53" s="1"/>
      <c r="Z53" s="5">
        <f t="shared" si="35"/>
        <v>4.4924698795180615E-2</v>
      </c>
    </row>
    <row r="54" spans="1:26" s="24" customFormat="1" hidden="1" outlineLevel="2" x14ac:dyDescent="0.25">
      <c r="A54" s="25"/>
      <c r="B54" s="11" t="str">
        <f>CONCATENATE("          ", "6322", " - ", "EQUIPMENT DEPRECIATION EXPENSE")</f>
        <v xml:space="preserve">          6322 - EQUIPMENT DEPRECIATION EXPENSE</v>
      </c>
      <c r="C54" s="11"/>
      <c r="D54" s="7">
        <v>2775.32</v>
      </c>
      <c r="E54" s="2"/>
      <c r="F54" s="6">
        <f t="shared" si="28"/>
        <v>6.9346107870612836E-2</v>
      </c>
      <c r="G54" s="2"/>
      <c r="H54" s="7">
        <v>2656</v>
      </c>
      <c r="I54" s="2"/>
      <c r="J54" s="6">
        <f t="shared" si="29"/>
        <v>4.9185185185185186E-2</v>
      </c>
      <c r="K54" s="2"/>
      <c r="L54" s="7">
        <f t="shared" si="30"/>
        <v>119.32000000000016</v>
      </c>
      <c r="M54" s="2"/>
      <c r="N54" s="6">
        <f t="shared" si="31"/>
        <v>4.4924698795180781E-2</v>
      </c>
      <c r="O54" s="11"/>
      <c r="P54" s="7">
        <v>8325.9599999999991</v>
      </c>
      <c r="Q54" s="2"/>
      <c r="R54" s="6">
        <f t="shared" si="32"/>
        <v>0.14936785662195595</v>
      </c>
      <c r="S54" s="2"/>
      <c r="T54" s="7">
        <v>7968</v>
      </c>
      <c r="U54" s="2"/>
      <c r="V54" s="6">
        <f t="shared" si="33"/>
        <v>8.9528089887640452E-2</v>
      </c>
      <c r="W54" s="2"/>
      <c r="X54" s="7">
        <f t="shared" si="34"/>
        <v>357.95999999999913</v>
      </c>
      <c r="Y54" s="2"/>
      <c r="Z54" s="6">
        <f t="shared" si="35"/>
        <v>4.4924698795180615E-2</v>
      </c>
    </row>
    <row r="55" spans="1:26" s="26" customFormat="1" outlineLevel="1" collapsed="1" x14ac:dyDescent="0.25">
      <c r="A55" s="27"/>
      <c r="B55" s="13" t="str">
        <f>CONCATENATE("     ","Equipment Rental                                  ")</f>
        <v xml:space="preserve">     Equipment Rental                                  </v>
      </c>
      <c r="C55" s="13"/>
      <c r="D55" s="1">
        <f>SUM(OSRRefD22_6x_0)</f>
        <v>113.04</v>
      </c>
      <c r="E55" s="1"/>
      <c r="F55" s="5">
        <f t="shared" si="28"/>
        <v>2.8244973674005432E-3</v>
      </c>
      <c r="G55" s="1"/>
      <c r="H55" s="1">
        <f>SUM(OSRRefH22_6x_0)</f>
        <v>0</v>
      </c>
      <c r="I55" s="1"/>
      <c r="J55" s="5">
        <f t="shared" si="29"/>
        <v>0</v>
      </c>
      <c r="K55" s="1"/>
      <c r="L55" s="1">
        <f t="shared" si="30"/>
        <v>113.04</v>
      </c>
      <c r="M55" s="1"/>
      <c r="N55" s="5">
        <f t="shared" si="31"/>
        <v>0</v>
      </c>
      <c r="O55" s="13"/>
      <c r="P55" s="1">
        <f>SUM(OSRRefP22_6x_0)</f>
        <v>208.7</v>
      </c>
      <c r="Q55" s="1"/>
      <c r="R55" s="5">
        <f t="shared" si="32"/>
        <v>3.7440813644315138E-3</v>
      </c>
      <c r="S55" s="1"/>
      <c r="T55" s="1">
        <f>SUM(OSRRefT22_6x_0)</f>
        <v>0</v>
      </c>
      <c r="U55" s="1"/>
      <c r="V55" s="5">
        <f t="shared" si="33"/>
        <v>0</v>
      </c>
      <c r="W55" s="1"/>
      <c r="X55" s="1">
        <f t="shared" si="34"/>
        <v>208.7</v>
      </c>
      <c r="Y55" s="1"/>
      <c r="Z55" s="5">
        <f t="shared" si="35"/>
        <v>0</v>
      </c>
    </row>
    <row r="56" spans="1:26" s="24" customFormat="1" hidden="1" outlineLevel="2" x14ac:dyDescent="0.25">
      <c r="A56" s="25"/>
      <c r="B56" s="11" t="str">
        <f>CONCATENATE("          ", "6351", " - ", "EQUIPMENT RENTAL")</f>
        <v xml:space="preserve">          6351 - EQUIPMENT RENTAL</v>
      </c>
      <c r="C56" s="11"/>
      <c r="D56" s="7">
        <v>113.04</v>
      </c>
      <c r="E56" s="2"/>
      <c r="F56" s="6">
        <f t="shared" si="28"/>
        <v>2.8244973674005432E-3</v>
      </c>
      <c r="G56" s="2"/>
      <c r="H56" s="7"/>
      <c r="I56" s="2"/>
      <c r="J56" s="6">
        <f t="shared" si="29"/>
        <v>0</v>
      </c>
      <c r="K56" s="2"/>
      <c r="L56" s="7">
        <f t="shared" si="30"/>
        <v>113.04</v>
      </c>
      <c r="M56" s="2"/>
      <c r="N56" s="6">
        <f t="shared" si="31"/>
        <v>0</v>
      </c>
      <c r="O56" s="11"/>
      <c r="P56" s="7">
        <v>208.7</v>
      </c>
      <c r="Q56" s="2"/>
      <c r="R56" s="6">
        <f t="shared" si="32"/>
        <v>3.7440813644315138E-3</v>
      </c>
      <c r="S56" s="2"/>
      <c r="T56" s="7"/>
      <c r="U56" s="2"/>
      <c r="V56" s="6">
        <f t="shared" si="33"/>
        <v>0</v>
      </c>
      <c r="W56" s="2"/>
      <c r="X56" s="7">
        <f t="shared" si="34"/>
        <v>208.7</v>
      </c>
      <c r="Y56" s="2"/>
      <c r="Z56" s="6">
        <f t="shared" si="35"/>
        <v>0</v>
      </c>
    </row>
    <row r="57" spans="1:26" s="26" customFormat="1" outlineLevel="1" collapsed="1" x14ac:dyDescent="0.25">
      <c r="A57" s="27"/>
      <c r="B57" s="13" t="str">
        <f>CONCATENATE("     ","General                                           ")</f>
        <v xml:space="preserve">     General                                           </v>
      </c>
      <c r="C57" s="13"/>
      <c r="D57" s="1">
        <f>SUM(OSRRefD22_7x_0)</f>
        <v>0</v>
      </c>
      <c r="E57" s="1"/>
      <c r="F57" s="5">
        <f t="shared" si="28"/>
        <v>0</v>
      </c>
      <c r="G57" s="1"/>
      <c r="H57" s="1">
        <f>SUM(OSRRefH22_7x_0)</f>
        <v>0</v>
      </c>
      <c r="I57" s="1"/>
      <c r="J57" s="5">
        <f t="shared" si="29"/>
        <v>0</v>
      </c>
      <c r="K57" s="1"/>
      <c r="L57" s="1">
        <f t="shared" si="30"/>
        <v>0</v>
      </c>
      <c r="M57" s="1"/>
      <c r="N57" s="5">
        <f t="shared" si="31"/>
        <v>0</v>
      </c>
      <c r="O57" s="13"/>
      <c r="P57" s="1">
        <f>SUM(OSRRefP22_7x_0)</f>
        <v>749.55</v>
      </c>
      <c r="Q57" s="1"/>
      <c r="R57" s="5">
        <f t="shared" si="32"/>
        <v>1.344693908341946E-2</v>
      </c>
      <c r="S57" s="1"/>
      <c r="T57" s="1">
        <f>SUM(OSRRefT22_7x_0)</f>
        <v>0</v>
      </c>
      <c r="U57" s="1"/>
      <c r="V57" s="5">
        <f t="shared" si="33"/>
        <v>0</v>
      </c>
      <c r="W57" s="1"/>
      <c r="X57" s="1">
        <f t="shared" si="34"/>
        <v>749.55</v>
      </c>
      <c r="Y57" s="1"/>
      <c r="Z57" s="5">
        <f t="shared" si="35"/>
        <v>0</v>
      </c>
    </row>
    <row r="58" spans="1:26" s="24" customFormat="1" hidden="1" outlineLevel="2" x14ac:dyDescent="0.25">
      <c r="A58" s="25"/>
      <c r="B58" s="11" t="str">
        <f>CONCATENATE("          ", "6279", " - ", "GENERAL EXPENSE")</f>
        <v xml:space="preserve">          6279 - GENERAL EXPENSE</v>
      </c>
      <c r="C58" s="11"/>
      <c r="D58" s="7"/>
      <c r="E58" s="2"/>
      <c r="F58" s="6">
        <f t="shared" si="28"/>
        <v>0</v>
      </c>
      <c r="G58" s="2"/>
      <c r="H58" s="7"/>
      <c r="I58" s="2"/>
      <c r="J58" s="6">
        <f t="shared" si="29"/>
        <v>0</v>
      </c>
      <c r="K58" s="2"/>
      <c r="L58" s="7">
        <f t="shared" si="30"/>
        <v>0</v>
      </c>
      <c r="M58" s="2"/>
      <c r="N58" s="6">
        <f t="shared" si="31"/>
        <v>0</v>
      </c>
      <c r="O58" s="11"/>
      <c r="P58" s="7">
        <v>749.55</v>
      </c>
      <c r="Q58" s="2"/>
      <c r="R58" s="6">
        <f t="shared" si="32"/>
        <v>1.344693908341946E-2</v>
      </c>
      <c r="S58" s="2"/>
      <c r="T58" s="7"/>
      <c r="U58" s="2"/>
      <c r="V58" s="6">
        <f t="shared" si="33"/>
        <v>0</v>
      </c>
      <c r="W58" s="2"/>
      <c r="X58" s="7">
        <f t="shared" si="34"/>
        <v>749.55</v>
      </c>
      <c r="Y58" s="2"/>
      <c r="Z58" s="6">
        <f t="shared" si="35"/>
        <v>0</v>
      </c>
    </row>
    <row r="59" spans="1:26" s="26" customFormat="1" outlineLevel="1" collapsed="1" x14ac:dyDescent="0.25">
      <c r="A59" s="27"/>
      <c r="B59" s="13" t="str">
        <f>CONCATENATE("     ","Repair and Maintenance                            ")</f>
        <v xml:space="preserve">     Repair and Maintenance                            </v>
      </c>
      <c r="C59" s="13"/>
      <c r="D59" s="1">
        <f>SUM(OSRRefD22_8x_0)</f>
        <v>3279.49</v>
      </c>
      <c r="E59" s="1"/>
      <c r="F59" s="5">
        <f t="shared" si="28"/>
        <v>8.194365597502129E-2</v>
      </c>
      <c r="G59" s="1"/>
      <c r="H59" s="1">
        <f>SUM(OSRRefH22_8x_0)</f>
        <v>50</v>
      </c>
      <c r="I59" s="1"/>
      <c r="J59" s="5">
        <f t="shared" si="29"/>
        <v>9.2592592592592596E-4</v>
      </c>
      <c r="K59" s="1"/>
      <c r="L59" s="1">
        <f t="shared" si="30"/>
        <v>3229.49</v>
      </c>
      <c r="M59" s="1"/>
      <c r="N59" s="5">
        <f t="shared" si="31"/>
        <v>64.589799999999997</v>
      </c>
      <c r="O59" s="13"/>
      <c r="P59" s="1">
        <f>SUM(OSRRefP22_8x_0)</f>
        <v>4295.7700000000004</v>
      </c>
      <c r="Q59" s="1"/>
      <c r="R59" s="5">
        <f t="shared" si="32"/>
        <v>7.7066183051672107E-2</v>
      </c>
      <c r="S59" s="1"/>
      <c r="T59" s="1">
        <f>SUM(OSRRefT22_8x_0)</f>
        <v>550</v>
      </c>
      <c r="U59" s="1"/>
      <c r="V59" s="5">
        <f t="shared" si="33"/>
        <v>6.1797752808988764E-3</v>
      </c>
      <c r="W59" s="1"/>
      <c r="X59" s="1">
        <f t="shared" si="34"/>
        <v>3745.7700000000004</v>
      </c>
      <c r="Y59" s="1"/>
      <c r="Z59" s="5">
        <f t="shared" si="35"/>
        <v>6.8104909090909098</v>
      </c>
    </row>
    <row r="60" spans="1:26" s="24" customFormat="1" hidden="1" outlineLevel="2" x14ac:dyDescent="0.25">
      <c r="A60" s="25"/>
      <c r="B60" s="11" t="str">
        <f>CONCATENATE("          ", "6371", " - ", "COMPUTER SOFTWARE MAINTENANCE")</f>
        <v xml:space="preserve">          6371 - COMPUTER SOFTWARE MAINTENANCE</v>
      </c>
      <c r="C60" s="11"/>
      <c r="D60" s="7">
        <v>2186.54</v>
      </c>
      <c r="E60" s="2"/>
      <c r="F60" s="6">
        <f t="shared" si="28"/>
        <v>5.4634434480856184E-2</v>
      </c>
      <c r="G60" s="2"/>
      <c r="H60" s="7">
        <v>50</v>
      </c>
      <c r="I60" s="2"/>
      <c r="J60" s="6">
        <f t="shared" si="29"/>
        <v>9.2592592592592596E-4</v>
      </c>
      <c r="K60" s="2"/>
      <c r="L60" s="7">
        <f t="shared" si="30"/>
        <v>2136.54</v>
      </c>
      <c r="M60" s="2"/>
      <c r="N60" s="6">
        <f t="shared" si="31"/>
        <v>42.730800000000002</v>
      </c>
      <c r="O60" s="11"/>
      <c r="P60" s="7">
        <v>2186.54</v>
      </c>
      <c r="Q60" s="2"/>
      <c r="R60" s="6">
        <f t="shared" si="32"/>
        <v>3.9226562848989378E-2</v>
      </c>
      <c r="S60" s="2"/>
      <c r="T60" s="7">
        <v>150</v>
      </c>
      <c r="U60" s="2"/>
      <c r="V60" s="6">
        <f t="shared" si="33"/>
        <v>1.6853932584269663E-3</v>
      </c>
      <c r="W60" s="2"/>
      <c r="X60" s="7">
        <f t="shared" si="34"/>
        <v>2036.54</v>
      </c>
      <c r="Y60" s="2"/>
      <c r="Z60" s="6">
        <f t="shared" si="35"/>
        <v>13.576933333333333</v>
      </c>
    </row>
    <row r="61" spans="1:26" s="24" customFormat="1" hidden="1" outlineLevel="2" x14ac:dyDescent="0.25">
      <c r="A61" s="25"/>
      <c r="B61" s="11" t="str">
        <f>CONCATENATE("          ", "6375", " - ", "OUTSIDE REPAIRS &amp; MAINTENANCE")</f>
        <v xml:space="preserve">          6375 - OUTSIDE REPAIRS &amp; MAINTENANCE</v>
      </c>
      <c r="C61" s="11"/>
      <c r="D61" s="7">
        <v>1092.95</v>
      </c>
      <c r="E61" s="2"/>
      <c r="F61" s="6">
        <f t="shared" si="28"/>
        <v>2.7309221494165106E-2</v>
      </c>
      <c r="G61" s="2"/>
      <c r="H61" s="7"/>
      <c r="I61" s="2"/>
      <c r="J61" s="6">
        <f t="shared" si="29"/>
        <v>0</v>
      </c>
      <c r="K61" s="2"/>
      <c r="L61" s="7">
        <f t="shared" si="30"/>
        <v>1092.95</v>
      </c>
      <c r="M61" s="2"/>
      <c r="N61" s="6">
        <f t="shared" si="31"/>
        <v>0</v>
      </c>
      <c r="O61" s="11"/>
      <c r="P61" s="7">
        <v>2109.23</v>
      </c>
      <c r="Q61" s="2"/>
      <c r="R61" s="6">
        <f t="shared" si="32"/>
        <v>3.7839620202682715E-2</v>
      </c>
      <c r="S61" s="2"/>
      <c r="T61" s="7">
        <v>400</v>
      </c>
      <c r="U61" s="2"/>
      <c r="V61" s="6">
        <f t="shared" si="33"/>
        <v>4.4943820224719105E-3</v>
      </c>
      <c r="W61" s="2"/>
      <c r="X61" s="7">
        <f t="shared" si="34"/>
        <v>1709.23</v>
      </c>
      <c r="Y61" s="2"/>
      <c r="Z61" s="6">
        <f t="shared" si="35"/>
        <v>4.2730750000000004</v>
      </c>
    </row>
    <row r="62" spans="1:26" s="26" customFormat="1" outlineLevel="1" collapsed="1" x14ac:dyDescent="0.25">
      <c r="A62" s="27"/>
      <c r="B62" s="13" t="str">
        <f>CONCATENATE("     ","Services                                          ")</f>
        <v xml:space="preserve">     Services                                          </v>
      </c>
      <c r="C62" s="13"/>
      <c r="D62" s="1">
        <f>SUM(OSRRefD22_9x_0)</f>
        <v>0</v>
      </c>
      <c r="E62" s="1"/>
      <c r="F62" s="5">
        <f t="shared" ref="F62:F65" si="36">IF(D$12=0,0,D62/D$12)</f>
        <v>0</v>
      </c>
      <c r="G62" s="1"/>
      <c r="H62" s="1">
        <f>SUM(OSRRefH22_9x_0)</f>
        <v>546</v>
      </c>
      <c r="I62" s="1"/>
      <c r="J62" s="5">
        <f t="shared" ref="J62:J65" si="37">IF(H$12=0,0,H62/H$12)</f>
        <v>1.0111111111111111E-2</v>
      </c>
      <c r="K62" s="1"/>
      <c r="L62" s="1">
        <f t="shared" ref="L62:L65" si="38">+D62-H62</f>
        <v>-546</v>
      </c>
      <c r="M62" s="1"/>
      <c r="N62" s="5">
        <f t="shared" ref="N62:N65" si="39">IF(H62=0,0,L62/H62)</f>
        <v>-1</v>
      </c>
      <c r="O62" s="13"/>
      <c r="P62" s="1">
        <f>SUM(OSRRefP22_9x_0)</f>
        <v>40.92</v>
      </c>
      <c r="Q62" s="1"/>
      <c r="R62" s="5">
        <f t="shared" ref="R62:R65" si="40">IF(P$12=0,0,P62/P$12)</f>
        <v>7.3410545966716607E-4</v>
      </c>
      <c r="S62" s="1"/>
      <c r="T62" s="1">
        <f>SUM(OSRRefT22_9x_0)</f>
        <v>1638</v>
      </c>
      <c r="U62" s="1"/>
      <c r="V62" s="5">
        <f t="shared" ref="V62:V65" si="41">IF(T$12=0,0,T62/T$12)</f>
        <v>1.8404494382022473E-2</v>
      </c>
      <c r="W62" s="1"/>
      <c r="X62" s="1">
        <f t="shared" ref="X62:X65" si="42">+P62-T62</f>
        <v>-1597.08</v>
      </c>
      <c r="Y62" s="1"/>
      <c r="Z62" s="5">
        <f t="shared" ref="Z62:Z65" si="43">IF(T62=0,0,X62/T62)</f>
        <v>-0.97501831501831493</v>
      </c>
    </row>
    <row r="63" spans="1:26" s="24" customFormat="1" hidden="1" outlineLevel="2" x14ac:dyDescent="0.25">
      <c r="A63" s="25"/>
      <c r="B63" s="11" t="str">
        <f>CONCATENATE("          ", "6282", " - ", "JANITORIAL/EXTERMINATOR EXPENS")</f>
        <v xml:space="preserve">          6282 - JANITORIAL/EXTERMINATOR EXPENS</v>
      </c>
      <c r="C63" s="11"/>
      <c r="D63" s="7"/>
      <c r="E63" s="2"/>
      <c r="F63" s="6">
        <f t="shared" si="36"/>
        <v>0</v>
      </c>
      <c r="G63" s="2"/>
      <c r="H63" s="7">
        <v>50</v>
      </c>
      <c r="I63" s="2"/>
      <c r="J63" s="6">
        <f t="shared" si="37"/>
        <v>9.2592592592592596E-4</v>
      </c>
      <c r="K63" s="2"/>
      <c r="L63" s="7">
        <f t="shared" si="38"/>
        <v>-50</v>
      </c>
      <c r="M63" s="2"/>
      <c r="N63" s="6">
        <f t="shared" si="39"/>
        <v>-1</v>
      </c>
      <c r="O63" s="11"/>
      <c r="P63" s="7"/>
      <c r="Q63" s="2"/>
      <c r="R63" s="6">
        <f t="shared" si="40"/>
        <v>0</v>
      </c>
      <c r="S63" s="2"/>
      <c r="T63" s="7">
        <v>150</v>
      </c>
      <c r="U63" s="2"/>
      <c r="V63" s="6">
        <f t="shared" si="41"/>
        <v>1.6853932584269663E-3</v>
      </c>
      <c r="W63" s="2"/>
      <c r="X63" s="7">
        <f t="shared" si="42"/>
        <v>-150</v>
      </c>
      <c r="Y63" s="2"/>
      <c r="Z63" s="6">
        <f t="shared" si="43"/>
        <v>-1</v>
      </c>
    </row>
    <row r="64" spans="1:26" s="24" customFormat="1" hidden="1" outlineLevel="2" x14ac:dyDescent="0.25">
      <c r="A64" s="25"/>
      <c r="B64" s="11" t="str">
        <f>CONCATENATE("          ", "6285", " - ", "JANITORIAL SERVICES")</f>
        <v xml:space="preserve">          6285 - JANITORIAL SERVICES</v>
      </c>
      <c r="C64" s="11"/>
      <c r="D64" s="7"/>
      <c r="E64" s="2"/>
      <c r="F64" s="6">
        <f t="shared" si="36"/>
        <v>0</v>
      </c>
      <c r="G64" s="2"/>
      <c r="H64" s="7">
        <v>396</v>
      </c>
      <c r="I64" s="2"/>
      <c r="J64" s="6">
        <f t="shared" si="37"/>
        <v>7.3333333333333332E-3</v>
      </c>
      <c r="K64" s="2"/>
      <c r="L64" s="7">
        <f t="shared" si="38"/>
        <v>-396</v>
      </c>
      <c r="M64" s="2"/>
      <c r="N64" s="6">
        <f t="shared" si="39"/>
        <v>-1</v>
      </c>
      <c r="O64" s="11"/>
      <c r="P64" s="7"/>
      <c r="Q64" s="2"/>
      <c r="R64" s="6">
        <f t="shared" si="40"/>
        <v>0</v>
      </c>
      <c r="S64" s="2"/>
      <c r="T64" s="7">
        <v>1188</v>
      </c>
      <c r="U64" s="2"/>
      <c r="V64" s="6">
        <f t="shared" si="41"/>
        <v>1.3348314606741574E-2</v>
      </c>
      <c r="W64" s="2"/>
      <c r="X64" s="7">
        <f t="shared" si="42"/>
        <v>-1188</v>
      </c>
      <c r="Y64" s="2"/>
      <c r="Z64" s="6">
        <f t="shared" si="43"/>
        <v>-1</v>
      </c>
    </row>
    <row r="65" spans="1:26" s="24" customFormat="1" hidden="1" outlineLevel="2" x14ac:dyDescent="0.25">
      <c r="A65" s="25"/>
      <c r="B65" s="11" t="str">
        <f>CONCATENATE("          ", "6286", " - ", "LAUNDRY EXPENSE")</f>
        <v xml:space="preserve">          6286 - LAUNDRY EXPENSE</v>
      </c>
      <c r="C65" s="11"/>
      <c r="D65" s="7"/>
      <c r="E65" s="2"/>
      <c r="F65" s="6">
        <f t="shared" si="36"/>
        <v>0</v>
      </c>
      <c r="G65" s="2"/>
      <c r="H65" s="7">
        <v>100</v>
      </c>
      <c r="I65" s="2"/>
      <c r="J65" s="6">
        <f t="shared" si="37"/>
        <v>1.8518518518518519E-3</v>
      </c>
      <c r="K65" s="2"/>
      <c r="L65" s="7">
        <f t="shared" si="38"/>
        <v>-100</v>
      </c>
      <c r="M65" s="2"/>
      <c r="N65" s="6">
        <f t="shared" si="39"/>
        <v>-1</v>
      </c>
      <c r="O65" s="11"/>
      <c r="P65" s="7">
        <v>40.92</v>
      </c>
      <c r="Q65" s="2"/>
      <c r="R65" s="6">
        <f t="shared" si="40"/>
        <v>7.3410545966716607E-4</v>
      </c>
      <c r="S65" s="2"/>
      <c r="T65" s="7">
        <v>300</v>
      </c>
      <c r="U65" s="2"/>
      <c r="V65" s="6">
        <f t="shared" si="41"/>
        <v>3.3707865168539327E-3</v>
      </c>
      <c r="W65" s="2"/>
      <c r="X65" s="7">
        <f t="shared" si="42"/>
        <v>-259.08</v>
      </c>
      <c r="Y65" s="2"/>
      <c r="Z65" s="6">
        <f t="shared" si="43"/>
        <v>-0.86359999999999992</v>
      </c>
    </row>
    <row r="66" spans="1:26" s="26" customFormat="1" outlineLevel="1" collapsed="1" x14ac:dyDescent="0.25">
      <c r="A66" s="27"/>
      <c r="B66" s="13" t="str">
        <f>CONCATENATE("     ","Supplies                                          ")</f>
        <v xml:space="preserve">     Supplies                                          </v>
      </c>
      <c r="C66" s="13"/>
      <c r="D66" s="1">
        <f>SUM(OSRRefD22_10x_0)</f>
        <v>360.32</v>
      </c>
      <c r="E66" s="1"/>
      <c r="F66" s="5">
        <f t="shared" ref="F66:F72" si="44">IF(D$12=0,0,D66/D$12)</f>
        <v>9.0032102921245895E-3</v>
      </c>
      <c r="G66" s="1"/>
      <c r="H66" s="1">
        <f>SUM(OSRRefH22_10x_0)</f>
        <v>411</v>
      </c>
      <c r="I66" s="1"/>
      <c r="J66" s="5">
        <f t="shared" ref="J66:J72" si="45">IF(H$12=0,0,H66/H$12)</f>
        <v>7.611111111111111E-3</v>
      </c>
      <c r="K66" s="1"/>
      <c r="L66" s="1">
        <f t="shared" ref="L66:L72" si="46">+D66-H66</f>
        <v>-50.680000000000007</v>
      </c>
      <c r="M66" s="1"/>
      <c r="N66" s="5">
        <f t="shared" ref="N66:N72" si="47">IF(H66=0,0,L66/H66)</f>
        <v>-0.12330900243309004</v>
      </c>
      <c r="O66" s="13"/>
      <c r="P66" s="1">
        <f>SUM(OSRRefP22_10x_0)</f>
        <v>2623.4300000000003</v>
      </c>
      <c r="Q66" s="1"/>
      <c r="R66" s="5">
        <f t="shared" ref="R66:R72" si="48">IF(P$12=0,0,P66/P$12)</f>
        <v>4.7064376492048726E-2</v>
      </c>
      <c r="S66" s="1"/>
      <c r="T66" s="1">
        <f>SUM(OSRRefT22_10x_0)</f>
        <v>1833</v>
      </c>
      <c r="U66" s="1"/>
      <c r="V66" s="5">
        <f t="shared" ref="V66:V72" si="49">IF(T$12=0,0,T66/T$12)</f>
        <v>2.0595505617977527E-2</v>
      </c>
      <c r="W66" s="1"/>
      <c r="X66" s="1">
        <f t="shared" ref="X66:X72" si="50">+P66-T66</f>
        <v>790.43000000000029</v>
      </c>
      <c r="Y66" s="1"/>
      <c r="Z66" s="5">
        <f t="shared" ref="Z66:Z72" si="51">IF(T66=0,0,X66/T66)</f>
        <v>0.43122204037097672</v>
      </c>
    </row>
    <row r="67" spans="1:26" s="24" customFormat="1" hidden="1" outlineLevel="2" x14ac:dyDescent="0.25">
      <c r="A67" s="25"/>
      <c r="B67" s="11" t="str">
        <f>CONCATENATE("          ", "6237", " - ", "JANITORIAL SUPPLIES")</f>
        <v xml:space="preserve">          6237 - JANITORIAL SUPPLIES</v>
      </c>
      <c r="C67" s="11"/>
      <c r="D67" s="7"/>
      <c r="E67" s="2"/>
      <c r="F67" s="6">
        <f t="shared" si="44"/>
        <v>0</v>
      </c>
      <c r="G67" s="2"/>
      <c r="H67" s="7">
        <v>11</v>
      </c>
      <c r="I67" s="2"/>
      <c r="J67" s="6">
        <f t="shared" si="45"/>
        <v>2.0370370370370369E-4</v>
      </c>
      <c r="K67" s="2"/>
      <c r="L67" s="7">
        <f t="shared" si="46"/>
        <v>-11</v>
      </c>
      <c r="M67" s="2"/>
      <c r="N67" s="6">
        <f t="shared" si="47"/>
        <v>-1</v>
      </c>
      <c r="O67" s="11"/>
      <c r="P67" s="7"/>
      <c r="Q67" s="2"/>
      <c r="R67" s="6">
        <f t="shared" si="48"/>
        <v>0</v>
      </c>
      <c r="S67" s="2"/>
      <c r="T67" s="7">
        <v>33</v>
      </c>
      <c r="U67" s="2"/>
      <c r="V67" s="6">
        <f t="shared" si="49"/>
        <v>3.707865168539326E-4</v>
      </c>
      <c r="W67" s="2"/>
      <c r="X67" s="7">
        <f t="shared" si="50"/>
        <v>-33</v>
      </c>
      <c r="Y67" s="2"/>
      <c r="Z67" s="6">
        <f t="shared" si="51"/>
        <v>-1</v>
      </c>
    </row>
    <row r="68" spans="1:26" s="24" customFormat="1" hidden="1" outlineLevel="2" x14ac:dyDescent="0.25">
      <c r="A68" s="25"/>
      <c r="B68" s="11" t="str">
        <f>CONCATENATE("          ", "6239", " - ", "KITCHEN SUPPLIES")</f>
        <v xml:space="preserve">          6239 - KITCHEN SUPPLIES</v>
      </c>
      <c r="C68" s="11"/>
      <c r="D68" s="7"/>
      <c r="E68" s="2"/>
      <c r="F68" s="6">
        <f t="shared" si="44"/>
        <v>0</v>
      </c>
      <c r="G68" s="2"/>
      <c r="H68" s="7"/>
      <c r="I68" s="2"/>
      <c r="J68" s="6">
        <f t="shared" si="45"/>
        <v>0</v>
      </c>
      <c r="K68" s="2"/>
      <c r="L68" s="7">
        <f t="shared" si="46"/>
        <v>0</v>
      </c>
      <c r="M68" s="2"/>
      <c r="N68" s="6">
        <f t="shared" si="47"/>
        <v>0</v>
      </c>
      <c r="O68" s="11"/>
      <c r="P68" s="7">
        <v>869.07</v>
      </c>
      <c r="Q68" s="2"/>
      <c r="R68" s="6">
        <f t="shared" si="48"/>
        <v>1.5591129810189249E-2</v>
      </c>
      <c r="S68" s="2"/>
      <c r="T68" s="7">
        <v>300</v>
      </c>
      <c r="U68" s="2"/>
      <c r="V68" s="6">
        <f t="shared" si="49"/>
        <v>3.3707865168539327E-3</v>
      </c>
      <c r="W68" s="2"/>
      <c r="X68" s="7">
        <f t="shared" si="50"/>
        <v>569.07000000000005</v>
      </c>
      <c r="Y68" s="2"/>
      <c r="Z68" s="6">
        <f t="shared" si="51"/>
        <v>1.8969000000000003</v>
      </c>
    </row>
    <row r="69" spans="1:26" s="24" customFormat="1" hidden="1" outlineLevel="2" x14ac:dyDescent="0.25">
      <c r="A69" s="25"/>
      <c r="B69" s="11" t="str">
        <f>CONCATENATE("          ", "6241", " - ", "OFFICE EXPENSE")</f>
        <v xml:space="preserve">          6241 - OFFICE EXPENSE</v>
      </c>
      <c r="C69" s="11"/>
      <c r="D69" s="7">
        <v>130.63999999999999</v>
      </c>
      <c r="E69" s="2"/>
      <c r="F69" s="6">
        <f t="shared" si="44"/>
        <v>3.2642634118648876E-3</v>
      </c>
      <c r="G69" s="2"/>
      <c r="H69" s="7"/>
      <c r="I69" s="2"/>
      <c r="J69" s="6">
        <f t="shared" si="45"/>
        <v>0</v>
      </c>
      <c r="K69" s="2"/>
      <c r="L69" s="7">
        <f t="shared" si="46"/>
        <v>130.63999999999999</v>
      </c>
      <c r="M69" s="2"/>
      <c r="N69" s="6">
        <f t="shared" si="47"/>
        <v>0</v>
      </c>
      <c r="O69" s="11"/>
      <c r="P69" s="7">
        <v>465.89</v>
      </c>
      <c r="Q69" s="2"/>
      <c r="R69" s="6">
        <f t="shared" si="48"/>
        <v>8.3580741105653954E-3</v>
      </c>
      <c r="S69" s="2"/>
      <c r="T69" s="7"/>
      <c r="U69" s="2"/>
      <c r="V69" s="6">
        <f t="shared" si="49"/>
        <v>0</v>
      </c>
      <c r="W69" s="2"/>
      <c r="X69" s="7">
        <f t="shared" si="50"/>
        <v>465.89</v>
      </c>
      <c r="Y69" s="2"/>
      <c r="Z69" s="6">
        <f t="shared" si="51"/>
        <v>0</v>
      </c>
    </row>
    <row r="70" spans="1:26" s="24" customFormat="1" hidden="1" outlineLevel="2" x14ac:dyDescent="0.25">
      <c r="A70" s="25"/>
      <c r="B70" s="11" t="str">
        <f>CONCATENATE("          ", "6243", " - ", "PAPER SUPPLIES")</f>
        <v xml:space="preserve">          6243 - PAPER SUPPLIES</v>
      </c>
      <c r="C70" s="11"/>
      <c r="D70" s="7">
        <v>229.68</v>
      </c>
      <c r="E70" s="2"/>
      <c r="F70" s="6">
        <f t="shared" si="44"/>
        <v>5.7389468802597019E-3</v>
      </c>
      <c r="G70" s="2"/>
      <c r="H70" s="7">
        <v>400</v>
      </c>
      <c r="I70" s="2"/>
      <c r="J70" s="6">
        <f t="shared" si="45"/>
        <v>7.4074074074074077E-3</v>
      </c>
      <c r="K70" s="2"/>
      <c r="L70" s="7">
        <f t="shared" si="46"/>
        <v>-170.32</v>
      </c>
      <c r="M70" s="2"/>
      <c r="N70" s="6">
        <f t="shared" si="47"/>
        <v>-0.42579999999999996</v>
      </c>
      <c r="O70" s="11"/>
      <c r="P70" s="7">
        <v>548.79999999999995</v>
      </c>
      <c r="Q70" s="2"/>
      <c r="R70" s="6">
        <f t="shared" si="48"/>
        <v>9.8454808471490889E-3</v>
      </c>
      <c r="S70" s="2"/>
      <c r="T70" s="7">
        <v>900</v>
      </c>
      <c r="U70" s="2"/>
      <c r="V70" s="6">
        <f t="shared" si="49"/>
        <v>1.0112359550561797E-2</v>
      </c>
      <c r="W70" s="2"/>
      <c r="X70" s="7">
        <f t="shared" si="50"/>
        <v>-351.20000000000005</v>
      </c>
      <c r="Y70" s="2"/>
      <c r="Z70" s="6">
        <f t="shared" si="51"/>
        <v>-0.39022222222222225</v>
      </c>
    </row>
    <row r="71" spans="1:26" s="24" customFormat="1" hidden="1" outlineLevel="2" x14ac:dyDescent="0.25">
      <c r="A71" s="25"/>
      <c r="B71" s="11" t="str">
        <f>CONCATENATE("          ", "6247", " - ", "STORE SUPPLIES")</f>
        <v xml:space="preserve">          6247 - STORE SUPPLIES</v>
      </c>
      <c r="C71" s="11"/>
      <c r="D71" s="7"/>
      <c r="E71" s="2"/>
      <c r="F71" s="6">
        <f t="shared" si="44"/>
        <v>0</v>
      </c>
      <c r="G71" s="2"/>
      <c r="H71" s="7"/>
      <c r="I71" s="2"/>
      <c r="J71" s="6">
        <f t="shared" si="45"/>
        <v>0</v>
      </c>
      <c r="K71" s="2"/>
      <c r="L71" s="7">
        <f t="shared" si="46"/>
        <v>0</v>
      </c>
      <c r="M71" s="2"/>
      <c r="N71" s="6">
        <f t="shared" si="47"/>
        <v>0</v>
      </c>
      <c r="O71" s="11"/>
      <c r="P71" s="7">
        <v>102.64</v>
      </c>
      <c r="Q71" s="2"/>
      <c r="R71" s="6">
        <f t="shared" si="48"/>
        <v>1.8413632546490208E-3</v>
      </c>
      <c r="S71" s="2"/>
      <c r="T71" s="7"/>
      <c r="U71" s="2"/>
      <c r="V71" s="6">
        <f t="shared" si="49"/>
        <v>0</v>
      </c>
      <c r="W71" s="2"/>
      <c r="X71" s="7">
        <f t="shared" si="50"/>
        <v>102.64</v>
      </c>
      <c r="Y71" s="2"/>
      <c r="Z71" s="6">
        <f t="shared" si="51"/>
        <v>0</v>
      </c>
    </row>
    <row r="72" spans="1:26" s="24" customFormat="1" hidden="1" outlineLevel="2" x14ac:dyDescent="0.25">
      <c r="A72" s="25"/>
      <c r="B72" s="11" t="str">
        <f>CONCATENATE("          ", "6248", " - ", "UNIFORMS")</f>
        <v xml:space="preserve">          6248 - UNIFORMS</v>
      </c>
      <c r="C72" s="11"/>
      <c r="D72" s="7"/>
      <c r="E72" s="2"/>
      <c r="F72" s="6">
        <f t="shared" si="44"/>
        <v>0</v>
      </c>
      <c r="G72" s="2"/>
      <c r="H72" s="7"/>
      <c r="I72" s="2"/>
      <c r="J72" s="6">
        <f t="shared" si="45"/>
        <v>0</v>
      </c>
      <c r="K72" s="2"/>
      <c r="L72" s="7">
        <f t="shared" si="46"/>
        <v>0</v>
      </c>
      <c r="M72" s="2"/>
      <c r="N72" s="6">
        <f t="shared" si="47"/>
        <v>0</v>
      </c>
      <c r="O72" s="11"/>
      <c r="P72" s="7">
        <v>637.03</v>
      </c>
      <c r="Q72" s="2"/>
      <c r="R72" s="6">
        <f t="shared" si="48"/>
        <v>1.1428328469495963E-2</v>
      </c>
      <c r="S72" s="2"/>
      <c r="T72" s="7">
        <v>600</v>
      </c>
      <c r="U72" s="2"/>
      <c r="V72" s="6">
        <f t="shared" si="49"/>
        <v>6.7415730337078653E-3</v>
      </c>
      <c r="W72" s="2"/>
      <c r="X72" s="7">
        <f t="shared" si="50"/>
        <v>37.029999999999973</v>
      </c>
      <c r="Y72" s="2"/>
      <c r="Z72" s="6">
        <f t="shared" si="51"/>
        <v>6.1716666666666621E-2</v>
      </c>
    </row>
    <row r="73" spans="1:26" s="26" customFormat="1" outlineLevel="1" collapsed="1" x14ac:dyDescent="0.25">
      <c r="A73" s="27"/>
      <c r="B73" s="13" t="str">
        <f>CONCATENATE("     ","Telephone/Data Lines                              ")</f>
        <v xml:space="preserve">     Telephone/Data Lines                              </v>
      </c>
      <c r="C73" s="13"/>
      <c r="D73" s="1">
        <f>SUM(OSRRefD22_11x_0)</f>
        <v>145</v>
      </c>
      <c r="E73" s="1"/>
      <c r="F73" s="5">
        <f t="shared" ref="F73:F75" si="52">IF(D$12=0,0,D73/D$12)</f>
        <v>3.6230725254164787E-3</v>
      </c>
      <c r="G73" s="1"/>
      <c r="H73" s="1">
        <f>SUM(OSRRefH22_11x_0)</f>
        <v>95</v>
      </c>
      <c r="I73" s="1"/>
      <c r="J73" s="5">
        <f t="shared" ref="J73:J75" si="53">IF(H$12=0,0,H73/H$12)</f>
        <v>1.7592592592592592E-3</v>
      </c>
      <c r="K73" s="1"/>
      <c r="L73" s="1">
        <f t="shared" ref="L73:L75" si="54">+D73-H73</f>
        <v>50</v>
      </c>
      <c r="M73" s="1"/>
      <c r="N73" s="5">
        <f t="shared" ref="N73:N75" si="55">IF(H73=0,0,L73/H73)</f>
        <v>0.52631578947368418</v>
      </c>
      <c r="O73" s="13"/>
      <c r="P73" s="1">
        <f>SUM(OSRRefP22_11x_0)</f>
        <v>263</v>
      </c>
      <c r="Q73" s="1"/>
      <c r="R73" s="5">
        <f t="shared" ref="R73:R75" si="56">IF(P$12=0,0,P73/P$12)</f>
        <v>4.7182242397963018E-3</v>
      </c>
      <c r="S73" s="1"/>
      <c r="T73" s="1">
        <f>SUM(OSRRefT22_11x_0)</f>
        <v>285</v>
      </c>
      <c r="U73" s="1"/>
      <c r="V73" s="5">
        <f t="shared" ref="V73:V75" si="57">IF(T$12=0,0,T73/T$12)</f>
        <v>3.202247191011236E-3</v>
      </c>
      <c r="W73" s="1"/>
      <c r="X73" s="1">
        <f t="shared" ref="X73:X75" si="58">+P73-T73</f>
        <v>-22</v>
      </c>
      <c r="Y73" s="1"/>
      <c r="Z73" s="5">
        <f t="shared" ref="Z73:Z75" si="59">IF(T73=0,0,X73/T73)</f>
        <v>-7.7192982456140355E-2</v>
      </c>
    </row>
    <row r="74" spans="1:26" s="24" customFormat="1" hidden="1" outlineLevel="2" x14ac:dyDescent="0.25">
      <c r="A74" s="25"/>
      <c r="B74" s="11" t="str">
        <f>CONCATENATE("          ", "6303", " - ", "DATA PHONE LINES")</f>
        <v xml:space="preserve">          6303 - DATA PHONE LINES</v>
      </c>
      <c r="C74" s="11"/>
      <c r="D74" s="7"/>
      <c r="E74" s="2"/>
      <c r="F74" s="6">
        <f t="shared" si="52"/>
        <v>0</v>
      </c>
      <c r="G74" s="2"/>
      <c r="H74" s="7">
        <v>50</v>
      </c>
      <c r="I74" s="2"/>
      <c r="J74" s="6">
        <f t="shared" si="53"/>
        <v>9.2592592592592596E-4</v>
      </c>
      <c r="K74" s="2"/>
      <c r="L74" s="7">
        <f t="shared" si="54"/>
        <v>-50</v>
      </c>
      <c r="M74" s="2"/>
      <c r="N74" s="6">
        <f t="shared" si="55"/>
        <v>-1</v>
      </c>
      <c r="O74" s="11"/>
      <c r="P74" s="7"/>
      <c r="Q74" s="2"/>
      <c r="R74" s="6">
        <f t="shared" si="56"/>
        <v>0</v>
      </c>
      <c r="S74" s="2"/>
      <c r="T74" s="7">
        <v>150</v>
      </c>
      <c r="U74" s="2"/>
      <c r="V74" s="6">
        <f t="shared" si="57"/>
        <v>1.6853932584269663E-3</v>
      </c>
      <c r="W74" s="2"/>
      <c r="X74" s="7">
        <f t="shared" si="58"/>
        <v>-150</v>
      </c>
      <c r="Y74" s="2"/>
      <c r="Z74" s="6">
        <f t="shared" si="59"/>
        <v>-1</v>
      </c>
    </row>
    <row r="75" spans="1:26" s="24" customFormat="1" hidden="1" outlineLevel="2" x14ac:dyDescent="0.25">
      <c r="A75" s="25"/>
      <c r="B75" s="11" t="str">
        <f>CONCATENATE("          ", "6309", " - ", "TELEPHONE")</f>
        <v xml:space="preserve">          6309 - TELEPHONE</v>
      </c>
      <c r="C75" s="11"/>
      <c r="D75" s="7">
        <v>145</v>
      </c>
      <c r="E75" s="2"/>
      <c r="F75" s="6">
        <f t="shared" si="52"/>
        <v>3.6230725254164787E-3</v>
      </c>
      <c r="G75" s="2"/>
      <c r="H75" s="7">
        <v>45</v>
      </c>
      <c r="I75" s="2"/>
      <c r="J75" s="6">
        <f t="shared" si="53"/>
        <v>8.3333333333333339E-4</v>
      </c>
      <c r="K75" s="2"/>
      <c r="L75" s="7">
        <f t="shared" si="54"/>
        <v>100</v>
      </c>
      <c r="M75" s="2"/>
      <c r="N75" s="6">
        <f t="shared" si="55"/>
        <v>2.2222222222222223</v>
      </c>
      <c r="O75" s="11"/>
      <c r="P75" s="7">
        <v>263</v>
      </c>
      <c r="Q75" s="2"/>
      <c r="R75" s="6">
        <f t="shared" si="56"/>
        <v>4.7182242397963018E-3</v>
      </c>
      <c r="S75" s="2"/>
      <c r="T75" s="7">
        <v>135</v>
      </c>
      <c r="U75" s="2"/>
      <c r="V75" s="6">
        <f t="shared" si="57"/>
        <v>1.5168539325842697E-3</v>
      </c>
      <c r="W75" s="2"/>
      <c r="X75" s="7">
        <f t="shared" si="58"/>
        <v>128</v>
      </c>
      <c r="Y75" s="2"/>
      <c r="Z75" s="6">
        <f t="shared" si="59"/>
        <v>0.94814814814814818</v>
      </c>
    </row>
    <row r="76" spans="1:26" s="26" customFormat="1" outlineLevel="1" collapsed="1" x14ac:dyDescent="0.25">
      <c r="A76" s="27"/>
      <c r="B76" s="13" t="str">
        <f>CONCATENATE("     ","Training                                          ")</f>
        <v xml:space="preserve">     Training                                          </v>
      </c>
      <c r="C76" s="13"/>
      <c r="D76" s="1">
        <f>SUM(OSRRefD22_12x_0)</f>
        <v>0</v>
      </c>
      <c r="E76" s="1"/>
      <c r="F76" s="5">
        <f t="shared" ref="F76:F79" si="60">IF(D$12=0,0,D76/D$12)</f>
        <v>0</v>
      </c>
      <c r="G76" s="1"/>
      <c r="H76" s="1">
        <f>SUM(OSRRefH22_12x_0)</f>
        <v>0</v>
      </c>
      <c r="I76" s="1"/>
      <c r="J76" s="5">
        <f t="shared" ref="J76:J79" si="61">IF(H$12=0,0,H76/H$12)</f>
        <v>0</v>
      </c>
      <c r="K76" s="1"/>
      <c r="L76" s="1">
        <f t="shared" ref="L76:L79" si="62">+D76-H76</f>
        <v>0</v>
      </c>
      <c r="M76" s="1"/>
      <c r="N76" s="5">
        <f t="shared" ref="N76:N79" si="63">IF(H76=0,0,L76/H76)</f>
        <v>0</v>
      </c>
      <c r="O76" s="13"/>
      <c r="P76" s="1">
        <f>SUM(OSRRefP22_12x_0)</f>
        <v>152.94999999999999</v>
      </c>
      <c r="Q76" s="1"/>
      <c r="R76" s="5">
        <f t="shared" ref="R76:R79" si="64">IF(P$12=0,0,P76/P$12)</f>
        <v>2.7439254656914233E-3</v>
      </c>
      <c r="S76" s="1"/>
      <c r="T76" s="1">
        <f>SUM(OSRRefT22_12x_0)</f>
        <v>2000</v>
      </c>
      <c r="U76" s="1"/>
      <c r="V76" s="5">
        <f t="shared" ref="V76:V79" si="65">IF(T$12=0,0,T76/T$12)</f>
        <v>2.247191011235955E-2</v>
      </c>
      <c r="W76" s="1"/>
      <c r="X76" s="1">
        <f t="shared" ref="X76:X79" si="66">+P76-T76</f>
        <v>-1847.05</v>
      </c>
      <c r="Y76" s="1"/>
      <c r="Z76" s="5">
        <f t="shared" ref="Z76:Z79" si="67">IF(T76=0,0,X76/T76)</f>
        <v>-0.92352499999999993</v>
      </c>
    </row>
    <row r="77" spans="1:26" s="24" customFormat="1" hidden="1" outlineLevel="2" x14ac:dyDescent="0.25">
      <c r="A77" s="25"/>
      <c r="B77" s="11" t="str">
        <f>CONCATENATE("          ", "6376", " - ", "TRAINING")</f>
        <v xml:space="preserve">          6376 - TRAINING</v>
      </c>
      <c r="C77" s="11"/>
      <c r="D77" s="7"/>
      <c r="E77" s="2"/>
      <c r="F77" s="6">
        <f t="shared" si="60"/>
        <v>0</v>
      </c>
      <c r="G77" s="2"/>
      <c r="H77" s="7"/>
      <c r="I77" s="2"/>
      <c r="J77" s="6">
        <f t="shared" si="61"/>
        <v>0</v>
      </c>
      <c r="K77" s="2"/>
      <c r="L77" s="7">
        <f t="shared" si="62"/>
        <v>0</v>
      </c>
      <c r="M77" s="2"/>
      <c r="N77" s="6">
        <f t="shared" si="63"/>
        <v>0</v>
      </c>
      <c r="O77" s="11"/>
      <c r="P77" s="7">
        <v>152.94999999999999</v>
      </c>
      <c r="Q77" s="2"/>
      <c r="R77" s="6">
        <f t="shared" si="64"/>
        <v>2.7439254656914233E-3</v>
      </c>
      <c r="S77" s="2"/>
      <c r="T77" s="7">
        <v>2000</v>
      </c>
      <c r="U77" s="2"/>
      <c r="V77" s="6">
        <f t="shared" si="65"/>
        <v>2.247191011235955E-2</v>
      </c>
      <c r="W77" s="2"/>
      <c r="X77" s="7">
        <f t="shared" si="66"/>
        <v>-1847.05</v>
      </c>
      <c r="Y77" s="2"/>
      <c r="Z77" s="6">
        <f t="shared" si="67"/>
        <v>-0.92352499999999993</v>
      </c>
    </row>
    <row r="78" spans="1:26" s="26" customFormat="1" outlineLevel="1" collapsed="1" x14ac:dyDescent="0.25">
      <c r="A78" s="27"/>
      <c r="B78" s="13" t="str">
        <f>CONCATENATE("     ","Travel                                            ")</f>
        <v xml:space="preserve">     Travel                                            </v>
      </c>
      <c r="C78" s="13"/>
      <c r="D78" s="1">
        <f>SUM(OSRRefD22_13x_0)</f>
        <v>0</v>
      </c>
      <c r="E78" s="1"/>
      <c r="F78" s="5">
        <f t="shared" si="60"/>
        <v>0</v>
      </c>
      <c r="G78" s="1"/>
      <c r="H78" s="1">
        <f>SUM(OSRRefH22_13x_0)</f>
        <v>0</v>
      </c>
      <c r="I78" s="1"/>
      <c r="J78" s="5">
        <f t="shared" si="61"/>
        <v>0</v>
      </c>
      <c r="K78" s="1"/>
      <c r="L78" s="1">
        <f t="shared" si="62"/>
        <v>0</v>
      </c>
      <c r="M78" s="1"/>
      <c r="N78" s="5">
        <f t="shared" si="63"/>
        <v>0</v>
      </c>
      <c r="O78" s="13"/>
      <c r="P78" s="1">
        <f>SUM(OSRRefP22_13x_0)</f>
        <v>0</v>
      </c>
      <c r="Q78" s="1"/>
      <c r="R78" s="5">
        <f t="shared" si="64"/>
        <v>0</v>
      </c>
      <c r="S78" s="1"/>
      <c r="T78" s="1">
        <f>SUM(OSRRefT22_13x_0)</f>
        <v>2000</v>
      </c>
      <c r="U78" s="1"/>
      <c r="V78" s="5">
        <f t="shared" si="65"/>
        <v>2.247191011235955E-2</v>
      </c>
      <c r="W78" s="1"/>
      <c r="X78" s="1">
        <f t="shared" si="66"/>
        <v>-2000</v>
      </c>
      <c r="Y78" s="1"/>
      <c r="Z78" s="5">
        <f t="shared" si="67"/>
        <v>-1</v>
      </c>
    </row>
    <row r="79" spans="1:26" s="24" customFormat="1" hidden="1" outlineLevel="2" x14ac:dyDescent="0.25">
      <c r="A79" s="25"/>
      <c r="B79" s="11" t="str">
        <f>CONCATENATE("          ", "6292", " - ", "TRAVEL/CONFERENCE")</f>
        <v xml:space="preserve">          6292 - TRAVEL/CONFERENCE</v>
      </c>
      <c r="C79" s="11"/>
      <c r="D79" s="7"/>
      <c r="E79" s="2"/>
      <c r="F79" s="6">
        <f t="shared" si="60"/>
        <v>0</v>
      </c>
      <c r="G79" s="2"/>
      <c r="H79" s="7"/>
      <c r="I79" s="2"/>
      <c r="J79" s="6">
        <f t="shared" si="61"/>
        <v>0</v>
      </c>
      <c r="K79" s="2"/>
      <c r="L79" s="7">
        <f t="shared" si="62"/>
        <v>0</v>
      </c>
      <c r="M79" s="2"/>
      <c r="N79" s="6">
        <f t="shared" si="63"/>
        <v>0</v>
      </c>
      <c r="O79" s="11"/>
      <c r="P79" s="7"/>
      <c r="Q79" s="2"/>
      <c r="R79" s="6">
        <f t="shared" si="64"/>
        <v>0</v>
      </c>
      <c r="S79" s="2"/>
      <c r="T79" s="7">
        <v>2000</v>
      </c>
      <c r="U79" s="2"/>
      <c r="V79" s="6">
        <f t="shared" si="65"/>
        <v>2.247191011235955E-2</v>
      </c>
      <c r="W79" s="2"/>
      <c r="X79" s="7">
        <f t="shared" si="66"/>
        <v>-2000</v>
      </c>
      <c r="Y79" s="2"/>
      <c r="Z79" s="6">
        <f t="shared" si="67"/>
        <v>-1</v>
      </c>
    </row>
    <row r="80" spans="1:26" s="63" customFormat="1" x14ac:dyDescent="0.25">
      <c r="A80" s="36"/>
      <c r="B80" s="36"/>
      <c r="C80" s="36"/>
      <c r="D80" s="1"/>
      <c r="E80" s="1"/>
      <c r="F80" s="5"/>
      <c r="G80" s="1"/>
      <c r="H80" s="1"/>
      <c r="I80" s="1"/>
      <c r="J80" s="5"/>
      <c r="K80" s="1"/>
      <c r="L80" s="1"/>
      <c r="M80" s="1"/>
      <c r="N80" s="5"/>
      <c r="O80" s="36"/>
      <c r="P80" s="1"/>
      <c r="Q80" s="1"/>
      <c r="R80" s="5"/>
      <c r="S80" s="1"/>
      <c r="T80" s="1"/>
      <c r="U80" s="1"/>
      <c r="V80" s="5"/>
      <c r="W80" s="1"/>
      <c r="X80" s="1"/>
      <c r="Y80" s="1"/>
      <c r="Z80" s="5"/>
    </row>
    <row r="81" spans="1:26" s="23" customFormat="1" x14ac:dyDescent="0.25">
      <c r="A81" s="10"/>
      <c r="B81" s="28" t="s">
        <v>0</v>
      </c>
      <c r="C81" s="10"/>
      <c r="D81" s="4">
        <f>SUM(0)</f>
        <v>0</v>
      </c>
      <c r="E81" s="4"/>
      <c r="F81" s="12">
        <f>IF(D$12=0,0,D81/D$12)</f>
        <v>0</v>
      </c>
      <c r="G81" s="4"/>
      <c r="H81" s="4">
        <f>SUM(0)</f>
        <v>0</v>
      </c>
      <c r="I81" s="4"/>
      <c r="J81" s="12">
        <f>IF(H$12=0,0,H81/H$12)</f>
        <v>0</v>
      </c>
      <c r="K81" s="4"/>
      <c r="L81" s="4">
        <f>+D81-H81</f>
        <v>0</v>
      </c>
      <c r="M81" s="4"/>
      <c r="N81" s="12">
        <f>IF(H81=0,0,L81/H81)</f>
        <v>0</v>
      </c>
      <c r="O81" s="10"/>
      <c r="P81" s="4">
        <f>SUM(0)</f>
        <v>0</v>
      </c>
      <c r="Q81" s="4"/>
      <c r="R81" s="12">
        <f>IF(P$12=0,0,P81/P$12)</f>
        <v>0</v>
      </c>
      <c r="S81" s="4"/>
      <c r="T81" s="4">
        <f>SUM(0)</f>
        <v>0</v>
      </c>
      <c r="U81" s="4"/>
      <c r="V81" s="12">
        <f>IF(T$12=0,0,T81/T$12)</f>
        <v>0</v>
      </c>
      <c r="W81" s="4"/>
      <c r="X81" s="4">
        <f>+P81-T81</f>
        <v>0</v>
      </c>
      <c r="Y81" s="4"/>
      <c r="Z81" s="12">
        <f>IF(T81=0,0,X81/T81)</f>
        <v>0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25">
      <c r="A83" s="10"/>
      <c r="B83" s="29" t="s">
        <v>3</v>
      </c>
      <c r="C83" s="29"/>
      <c r="D83" s="22">
        <f>+D23-D25+D81</f>
        <v>-949.11000000000058</v>
      </c>
      <c r="E83" s="14"/>
      <c r="F83" s="20">
        <f>IF(D$12=0,0,D83/D$12)</f>
        <v>-2.3715133548951974E-2</v>
      </c>
      <c r="G83" s="14"/>
      <c r="H83" s="22">
        <f>+H23-H25+H81</f>
        <v>17801.403900000005</v>
      </c>
      <c r="I83" s="14"/>
      <c r="J83" s="20">
        <f>IF(H$12=0,0,H83/H$12)</f>
        <v>0.32965562777777785</v>
      </c>
      <c r="K83" s="15"/>
      <c r="L83" s="22">
        <f>+D83-H83</f>
        <v>-18750.513900000005</v>
      </c>
      <c r="M83" s="15"/>
      <c r="N83" s="20">
        <f>IF(H83=0,0,L83/H83)</f>
        <v>-1.0533165813961449</v>
      </c>
      <c r="O83" s="28"/>
      <c r="P83" s="22">
        <f>+P23-P25+P81</f>
        <v>-22086.020000000004</v>
      </c>
      <c r="Q83" s="14"/>
      <c r="R83" s="20">
        <f>IF(P$12=0,0,P83/P$12)</f>
        <v>-0.39622355484648647</v>
      </c>
      <c r="S83" s="14"/>
      <c r="T83" s="22">
        <f>+T23-T25+T81</f>
        <v>9522.6638250000033</v>
      </c>
      <c r="U83" s="14"/>
      <c r="V83" s="20">
        <f>IF(T$12=0,0,T83/T$12)</f>
        <v>0.10699622275280903</v>
      </c>
      <c r="W83" s="15"/>
      <c r="X83" s="22">
        <f>+P83-T83</f>
        <v>-31608.683825000007</v>
      </c>
      <c r="Y83" s="15"/>
      <c r="Z83" s="20">
        <f>IF(T83=0,0,X83/T83)</f>
        <v>-3.3193111093575749</v>
      </c>
    </row>
    <row r="84" spans="1:26" x14ac:dyDescent="0.25">
      <c r="A84" s="9"/>
      <c r="B84" s="10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52"/>
      <c r="B85" s="10" t="s">
        <v>14</v>
      </c>
      <c r="C85" s="10"/>
      <c r="D85" s="4">
        <v>4027.36</v>
      </c>
      <c r="E85" s="4"/>
      <c r="F85" s="12">
        <f>IF(D$12=0,0,D85/D$12)</f>
        <v>0.10063046459283662</v>
      </c>
      <c r="G85" s="4"/>
      <c r="H85" s="4">
        <v>5573</v>
      </c>
      <c r="I85" s="4"/>
      <c r="J85" s="12">
        <f>IF(H$12=0,0,H85/H$12)</f>
        <v>0.1032037037037037</v>
      </c>
      <c r="K85" s="4"/>
      <c r="L85" s="4">
        <f>+D85-H85</f>
        <v>-1545.6399999999999</v>
      </c>
      <c r="M85" s="4"/>
      <c r="N85" s="12">
        <f>IF(H85=0,0,L85/H85)</f>
        <v>-0.27734433877624259</v>
      </c>
      <c r="O85" s="10"/>
      <c r="P85" s="4">
        <v>5987.36</v>
      </c>
      <c r="Q85" s="4"/>
      <c r="R85" s="12">
        <f>IF(P$12=0,0,P85/P$12)</f>
        <v>0.10741333492162276</v>
      </c>
      <c r="S85" s="4"/>
      <c r="T85" s="4">
        <v>11257</v>
      </c>
      <c r="U85" s="4"/>
      <c r="V85" s="12">
        <f>IF(T$12=0,0,T85/T$12)</f>
        <v>0.12648314606741573</v>
      </c>
      <c r="W85" s="4"/>
      <c r="X85" s="4">
        <f>+P85-T85</f>
        <v>-5269.64</v>
      </c>
      <c r="Y85" s="4"/>
      <c r="Z85" s="12">
        <f>IF(T85=0,0,X85/T85)</f>
        <v>-0.46812116905036871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9" t="s">
        <v>4</v>
      </c>
      <c r="C87" s="29"/>
      <c r="D87" s="35">
        <f>+D83-D85</f>
        <v>-4976.4700000000012</v>
      </c>
      <c r="E87" s="14"/>
      <c r="F87" s="32">
        <f>IF(D$12=0,0,D87/D$12)</f>
        <v>-0.1243455981417886</v>
      </c>
      <c r="G87" s="14"/>
      <c r="H87" s="35">
        <f>+H83-H85</f>
        <v>12228.403900000005</v>
      </c>
      <c r="I87" s="14"/>
      <c r="J87" s="32">
        <f>IF(H$12=0,0,H87/H$12)</f>
        <v>0.22645192407407416</v>
      </c>
      <c r="K87" s="15"/>
      <c r="L87" s="35">
        <f>D87-H87</f>
        <v>-17204.873900000006</v>
      </c>
      <c r="M87" s="15"/>
      <c r="N87" s="32">
        <f>IF(H87=0,0,L87/H87)</f>
        <v>-1.4069598976854207</v>
      </c>
      <c r="O87" s="28"/>
      <c r="P87" s="35">
        <f>+P83-P85</f>
        <v>-28073.380000000005</v>
      </c>
      <c r="Q87" s="14"/>
      <c r="R87" s="32">
        <f>IF(P$12=0,0,P87/P$12)</f>
        <v>-0.50363688976810927</v>
      </c>
      <c r="S87" s="14"/>
      <c r="T87" s="35">
        <f>+T83-T85</f>
        <v>-1734.3361749999967</v>
      </c>
      <c r="U87" s="14"/>
      <c r="V87" s="32">
        <f>IF(T$12=0,0,T87/T$12)</f>
        <v>-1.9486923314606705E-2</v>
      </c>
      <c r="W87" s="15"/>
      <c r="X87" s="35">
        <f>P87-T87</f>
        <v>-26339.043825000008</v>
      </c>
      <c r="Y87" s="15"/>
      <c r="Z87" s="32">
        <f>IF(T87=0,0,X87/T87)</f>
        <v>15.186815684681234</v>
      </c>
    </row>
    <row r="88" spans="1:26" ht="15.75" thickTop="1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9" t="s">
        <v>5</v>
      </c>
      <c r="C90" s="29"/>
      <c r="D90" s="30">
        <f>SUM(D87:D89)</f>
        <v>-4976.4700000000012</v>
      </c>
      <c r="E90" s="14"/>
      <c r="F90" s="31">
        <f>IF(D$12=0,0,D90/D$12)</f>
        <v>-0.1243455981417886</v>
      </c>
      <c r="G90" s="14"/>
      <c r="H90" s="30">
        <f>SUM(H87:H89)</f>
        <v>12228.403900000005</v>
      </c>
      <c r="I90" s="14"/>
      <c r="J90" s="31">
        <f>IF(H$12=0,0,H90/H$12)</f>
        <v>0.22645192407407416</v>
      </c>
      <c r="K90" s="15"/>
      <c r="L90" s="30">
        <f>+D90-H90</f>
        <v>-17204.873900000006</v>
      </c>
      <c r="M90" s="15"/>
      <c r="N90" s="31">
        <f>IF(H90=0,0,L90/H90)</f>
        <v>-1.4069598976854207</v>
      </c>
      <c r="O90" s="28"/>
      <c r="P90" s="30">
        <f>SUM(P87:P89)</f>
        <v>-28073.380000000005</v>
      </c>
      <c r="Q90" s="14"/>
      <c r="R90" s="31">
        <f>IF(P$12=0,0,P90/P$12)</f>
        <v>-0.50363688976810927</v>
      </c>
      <c r="S90" s="14"/>
      <c r="T90" s="30">
        <f>SUM(T87:T89)</f>
        <v>-1734.3361749999967</v>
      </c>
      <c r="U90" s="14"/>
      <c r="V90" s="31">
        <f>IF(T$12=0,0,T90/T$12)</f>
        <v>-1.9486923314606705E-2</v>
      </c>
      <c r="W90" s="15"/>
      <c r="X90" s="30">
        <f>+P90-T90</f>
        <v>-26339.043825000008</v>
      </c>
      <c r="Y90" s="15"/>
      <c r="Z90" s="31">
        <f>IF(T90=0,0,X90/T90)</f>
        <v>15.186815684681234</v>
      </c>
    </row>
    <row r="91" spans="1:26" ht="15.75" thickTop="1" x14ac:dyDescent="0.25">
      <c r="A91" s="9"/>
      <c r="C91" s="9"/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  <row r="92" spans="1:26" x14ac:dyDescent="0.25">
      <c r="A92" s="9"/>
      <c r="B92" s="53">
        <v>43756.45257346065</v>
      </c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  <row r="93" spans="1:26" x14ac:dyDescent="0.25">
      <c r="A93" s="9"/>
      <c r="B93" s="55" t="s">
        <v>314</v>
      </c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25">
      <c r="A94" s="9"/>
      <c r="B94" s="56"/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</sheetData>
  <pageMargins left="0.25" right="0.25" top="0.75" bottom="0.75" header="0.3" footer="0.3"/>
  <pageSetup scale="55" fitToWidth="2" orientation="landscape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str">
        <f>CONCATENATE("Period ",RIGHT(202003,2),", ",2020)</f>
        <v>Period 03, 2020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43736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tr">
        <f>CONCATENATE("Department ","411", " - ", "University Dining")</f>
        <v>Department 411 - University Dining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99769.579999999987</v>
      </c>
      <c r="E18" s="21"/>
      <c r="F18" s="33">
        <f t="shared" ref="F18:F29" si="0">IF(D$12=0,0,D18/D$12)</f>
        <v>0</v>
      </c>
      <c r="G18" s="21"/>
      <c r="H18" s="21">
        <f>SUM(OSRRefH22x_0)</f>
        <v>93308.60679145722</v>
      </c>
      <c r="I18" s="21"/>
      <c r="J18" s="33">
        <f t="shared" ref="J18:J29" si="1">IF(H$12=0,0,H18/H$12)</f>
        <v>0</v>
      </c>
      <c r="K18" s="4"/>
      <c r="L18" s="21">
        <f t="shared" ref="L18:L29" si="2">+D18-H18</f>
        <v>6460.9732085427677</v>
      </c>
      <c r="M18" s="4"/>
      <c r="N18" s="33">
        <f t="shared" ref="N18:N29" si="3">IF(H18=0,0,L18/H18)</f>
        <v>6.9243057320348883E-2</v>
      </c>
      <c r="O18" s="10"/>
      <c r="P18" s="21">
        <f>SUM(OSRRefP22x_0)</f>
        <v>271490.52</v>
      </c>
      <c r="Q18" s="21"/>
      <c r="R18" s="33">
        <f t="shared" ref="R18:R29" si="4">IF(P$12=0,0,P18/P$12)</f>
        <v>0</v>
      </c>
      <c r="S18" s="21"/>
      <c r="T18" s="21">
        <f>SUM(OSRRefT22x_0)</f>
        <v>303795.30643646</v>
      </c>
      <c r="U18" s="21"/>
      <c r="V18" s="33">
        <f t="shared" ref="V18:V29" si="5">IF(T$12=0,0,T18/T$12)</f>
        <v>0</v>
      </c>
      <c r="W18" s="4"/>
      <c r="X18" s="21">
        <f t="shared" ref="X18:X29" si="6">+P18-T18</f>
        <v>-32304.786436459981</v>
      </c>
      <c r="Y18" s="4"/>
      <c r="Z18" s="33">
        <f t="shared" ref="Z18:Z29" si="7">IF(T18=0,0,X18/T18)</f>
        <v>-0.10633734541654828</v>
      </c>
    </row>
    <row r="19" spans="1:26" s="26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9852.99</v>
      </c>
      <c r="E19" s="1"/>
      <c r="F19" s="5">
        <f t="shared" si="0"/>
        <v>0</v>
      </c>
      <c r="G19" s="1"/>
      <c r="H19" s="1">
        <f>SUM(OSRRefH22_0x_0)</f>
        <v>8778.6921145341457</v>
      </c>
      <c r="I19" s="1"/>
      <c r="J19" s="5">
        <f t="shared" si="1"/>
        <v>0</v>
      </c>
      <c r="K19" s="1"/>
      <c r="L19" s="1">
        <f t="shared" si="2"/>
        <v>1074.2978854658541</v>
      </c>
      <c r="M19" s="1"/>
      <c r="N19" s="5">
        <f t="shared" si="3"/>
        <v>0.12237561944873644</v>
      </c>
      <c r="O19" s="13"/>
      <c r="P19" s="1">
        <f>SUM(OSRRefP22_0x_0)</f>
        <v>32031.999999999996</v>
      </c>
      <c r="Q19" s="1"/>
      <c r="R19" s="5">
        <f t="shared" si="4"/>
        <v>0</v>
      </c>
      <c r="S19" s="1"/>
      <c r="T19" s="1">
        <f>SUM(OSRRefT22_0x_0)</f>
        <v>27964.26693645999</v>
      </c>
      <c r="U19" s="1"/>
      <c r="V19" s="5">
        <f t="shared" si="5"/>
        <v>0</v>
      </c>
      <c r="W19" s="1"/>
      <c r="X19" s="1">
        <f t="shared" si="6"/>
        <v>4067.7330635400067</v>
      </c>
      <c r="Y19" s="1"/>
      <c r="Z19" s="5">
        <f t="shared" si="7"/>
        <v>0.14546181642389025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7">
        <v>2041.68</v>
      </c>
      <c r="E20" s="2"/>
      <c r="F20" s="6">
        <f t="shared" si="0"/>
        <v>0</v>
      </c>
      <c r="G20" s="2"/>
      <c r="H20" s="7">
        <v>1421.5060187556901</v>
      </c>
      <c r="I20" s="2"/>
      <c r="J20" s="6">
        <f t="shared" si="1"/>
        <v>0</v>
      </c>
      <c r="K20" s="2"/>
      <c r="L20" s="7">
        <f t="shared" si="2"/>
        <v>620.17398124430997</v>
      </c>
      <c r="M20" s="2"/>
      <c r="N20" s="6">
        <f t="shared" si="3"/>
        <v>0.43627953245472495</v>
      </c>
      <c r="O20" s="11"/>
      <c r="P20" s="7">
        <v>6063.2</v>
      </c>
      <c r="Q20" s="2"/>
      <c r="R20" s="6">
        <f t="shared" si="4"/>
        <v>0</v>
      </c>
      <c r="S20" s="2"/>
      <c r="T20" s="7">
        <v>4802.8255056600001</v>
      </c>
      <c r="U20" s="2"/>
      <c r="V20" s="6">
        <f t="shared" si="5"/>
        <v>0</v>
      </c>
      <c r="W20" s="2"/>
      <c r="X20" s="7">
        <f t="shared" si="6"/>
        <v>1260.3744943399997</v>
      </c>
      <c r="Y20" s="2"/>
      <c r="Z20" s="6">
        <f t="shared" si="7"/>
        <v>0.26242354481849955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7">
        <v>921.43</v>
      </c>
      <c r="E21" s="2"/>
      <c r="F21" s="6">
        <f t="shared" si="0"/>
        <v>0</v>
      </c>
      <c r="G21" s="2"/>
      <c r="H21" s="7">
        <v>1111.79436361846</v>
      </c>
      <c r="I21" s="2"/>
      <c r="J21" s="6">
        <f t="shared" si="1"/>
        <v>0</v>
      </c>
      <c r="K21" s="2"/>
      <c r="L21" s="7">
        <f t="shared" si="2"/>
        <v>-190.36436361846006</v>
      </c>
      <c r="M21" s="2"/>
      <c r="N21" s="6">
        <f t="shared" si="3"/>
        <v>-0.17122263778968783</v>
      </c>
      <c r="O21" s="11"/>
      <c r="P21" s="7">
        <v>2391.2600000000002</v>
      </c>
      <c r="Q21" s="2"/>
      <c r="R21" s="6">
        <f t="shared" si="4"/>
        <v>0</v>
      </c>
      <c r="S21" s="2"/>
      <c r="T21" s="7">
        <v>3477.9319736000002</v>
      </c>
      <c r="U21" s="2"/>
      <c r="V21" s="6">
        <f t="shared" si="5"/>
        <v>0</v>
      </c>
      <c r="W21" s="2"/>
      <c r="X21" s="7">
        <f t="shared" si="6"/>
        <v>-1086.6719736</v>
      </c>
      <c r="Y21" s="2"/>
      <c r="Z21" s="6">
        <f t="shared" si="7"/>
        <v>-0.31244773671498471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7">
        <v>3654.84</v>
      </c>
      <c r="E22" s="2"/>
      <c r="F22" s="6">
        <f t="shared" si="0"/>
        <v>0</v>
      </c>
      <c r="G22" s="2"/>
      <c r="H22" s="7">
        <v>2600.76923076923</v>
      </c>
      <c r="I22" s="2"/>
      <c r="J22" s="6">
        <f t="shared" si="1"/>
        <v>0</v>
      </c>
      <c r="K22" s="2"/>
      <c r="L22" s="7">
        <f t="shared" si="2"/>
        <v>1054.0707692307701</v>
      </c>
      <c r="M22" s="2"/>
      <c r="N22" s="6">
        <f t="shared" si="3"/>
        <v>0.40529192546583898</v>
      </c>
      <c r="O22" s="11"/>
      <c r="P22" s="7">
        <v>10964.6</v>
      </c>
      <c r="Q22" s="2"/>
      <c r="R22" s="6">
        <f t="shared" si="4"/>
        <v>0</v>
      </c>
      <c r="S22" s="2"/>
      <c r="T22" s="7">
        <v>8121</v>
      </c>
      <c r="U22" s="2"/>
      <c r="V22" s="6">
        <f t="shared" si="5"/>
        <v>0</v>
      </c>
      <c r="W22" s="2"/>
      <c r="X22" s="7">
        <f t="shared" si="6"/>
        <v>2843.6000000000004</v>
      </c>
      <c r="Y22" s="2"/>
      <c r="Z22" s="6">
        <f t="shared" si="7"/>
        <v>0.35015392193079675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7">
        <v>73.400000000000006</v>
      </c>
      <c r="E23" s="2"/>
      <c r="F23" s="6">
        <f t="shared" si="0"/>
        <v>0</v>
      </c>
      <c r="G23" s="2"/>
      <c r="H23" s="7">
        <v>74.501684159999996</v>
      </c>
      <c r="I23" s="2"/>
      <c r="J23" s="6">
        <f t="shared" si="1"/>
        <v>0</v>
      </c>
      <c r="K23" s="2"/>
      <c r="L23" s="7">
        <f t="shared" si="2"/>
        <v>-1.1016841599999907</v>
      </c>
      <c r="M23" s="2"/>
      <c r="N23" s="6">
        <f t="shared" si="3"/>
        <v>-1.4787372559713028E-2</v>
      </c>
      <c r="O23" s="11"/>
      <c r="P23" s="7">
        <v>196.17</v>
      </c>
      <c r="Q23" s="2"/>
      <c r="R23" s="6">
        <f t="shared" si="4"/>
        <v>0</v>
      </c>
      <c r="S23" s="2"/>
      <c r="T23" s="7">
        <v>233.05729719999999</v>
      </c>
      <c r="U23" s="2"/>
      <c r="V23" s="6">
        <f t="shared" si="5"/>
        <v>0</v>
      </c>
      <c r="W23" s="2"/>
      <c r="X23" s="7">
        <f t="shared" si="6"/>
        <v>-36.887297200000006</v>
      </c>
      <c r="Y23" s="2"/>
      <c r="Z23" s="6">
        <f t="shared" si="7"/>
        <v>-0.15827565857483053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7">
        <v>1169.0899999999999</v>
      </c>
      <c r="E24" s="2"/>
      <c r="F24" s="6">
        <f t="shared" si="0"/>
        <v>0</v>
      </c>
      <c r="G24" s="2"/>
      <c r="H24" s="7">
        <v>1096.68853846154</v>
      </c>
      <c r="I24" s="2"/>
      <c r="J24" s="6">
        <f t="shared" si="1"/>
        <v>0</v>
      </c>
      <c r="K24" s="2"/>
      <c r="L24" s="7">
        <f t="shared" si="2"/>
        <v>72.401461538459898</v>
      </c>
      <c r="M24" s="2"/>
      <c r="N24" s="6">
        <f t="shared" si="3"/>
        <v>6.6018253131400764E-2</v>
      </c>
      <c r="O24" s="11"/>
      <c r="P24" s="7">
        <v>3507.27</v>
      </c>
      <c r="Q24" s="2"/>
      <c r="R24" s="6">
        <f t="shared" si="4"/>
        <v>0</v>
      </c>
      <c r="S24" s="2"/>
      <c r="T24" s="7">
        <v>3564.2377500000002</v>
      </c>
      <c r="U24" s="2"/>
      <c r="V24" s="6">
        <f t="shared" si="5"/>
        <v>0</v>
      </c>
      <c r="W24" s="2"/>
      <c r="X24" s="7">
        <f t="shared" si="6"/>
        <v>-56.967750000000251</v>
      </c>
      <c r="Y24" s="2"/>
      <c r="Z24" s="6">
        <f t="shared" si="7"/>
        <v>-1.5983150955628661E-2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5"/>
      <c r="B26" s="11" t="str">
        <f>CONCATENATE("          ", "6117", " - ", "RETIREMENT STAFF HOURLY")</f>
        <v xml:space="preserve">          6117 - RETIREMENT STAFF HOURLY</v>
      </c>
      <c r="C26" s="11"/>
      <c r="D26" s="7">
        <v>84</v>
      </c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84</v>
      </c>
      <c r="M26" s="2"/>
      <c r="N26" s="6">
        <f t="shared" si="3"/>
        <v>0</v>
      </c>
      <c r="O26" s="11"/>
      <c r="P26" s="7">
        <v>196</v>
      </c>
      <c r="Q26" s="2"/>
      <c r="R26" s="6">
        <f t="shared" si="4"/>
        <v>0</v>
      </c>
      <c r="S26" s="2"/>
      <c r="T26" s="7"/>
      <c r="U26" s="2"/>
      <c r="V26" s="6">
        <f t="shared" si="5"/>
        <v>0</v>
      </c>
      <c r="W26" s="2"/>
      <c r="X26" s="7">
        <f t="shared" si="6"/>
        <v>196</v>
      </c>
      <c r="Y26" s="2"/>
      <c r="Z26" s="6">
        <f t="shared" si="7"/>
        <v>0</v>
      </c>
    </row>
    <row r="27" spans="1:26" s="24" customFormat="1" hidden="1" outlineLevel="2" x14ac:dyDescent="0.25">
      <c r="A27" s="25"/>
      <c r="B27" s="11" t="str">
        <f>CONCATENATE("          ", "6118", " - ", "VACATION")</f>
        <v xml:space="preserve">          6118 - VACATION</v>
      </c>
      <c r="C27" s="11"/>
      <c r="D27" s="7">
        <v>721.4</v>
      </c>
      <c r="E27" s="2"/>
      <c r="F27" s="6">
        <f t="shared" si="0"/>
        <v>0</v>
      </c>
      <c r="G27" s="2"/>
      <c r="H27" s="7">
        <v>1066.3193846153799</v>
      </c>
      <c r="I27" s="2"/>
      <c r="J27" s="6">
        <f t="shared" si="1"/>
        <v>0</v>
      </c>
      <c r="K27" s="2"/>
      <c r="L27" s="7">
        <f t="shared" si="2"/>
        <v>-344.91938461537995</v>
      </c>
      <c r="M27" s="2"/>
      <c r="N27" s="6">
        <f t="shared" si="3"/>
        <v>-0.32346723654451048</v>
      </c>
      <c r="O27" s="11"/>
      <c r="P27" s="7">
        <v>4212.84</v>
      </c>
      <c r="Q27" s="2"/>
      <c r="R27" s="6">
        <f t="shared" si="4"/>
        <v>0</v>
      </c>
      <c r="S27" s="2"/>
      <c r="T27" s="7">
        <v>3465.53799999999</v>
      </c>
      <c r="U27" s="2"/>
      <c r="V27" s="6">
        <f t="shared" si="5"/>
        <v>0</v>
      </c>
      <c r="W27" s="2"/>
      <c r="X27" s="7">
        <f t="shared" si="6"/>
        <v>747.30200000001014</v>
      </c>
      <c r="Y27" s="2"/>
      <c r="Z27" s="6">
        <f t="shared" si="7"/>
        <v>0.21563809140168491</v>
      </c>
    </row>
    <row r="28" spans="1:26" s="24" customFormat="1" hidden="1" outlineLevel="2" x14ac:dyDescent="0.25">
      <c r="A28" s="25"/>
      <c r="B28" s="11" t="str">
        <f>CONCATENATE("          ", "6119", " - ", "SICK LEAVE")</f>
        <v xml:space="preserve">          6119 - SICK LEAVE</v>
      </c>
      <c r="C28" s="11"/>
      <c r="D28" s="7">
        <v>716.34</v>
      </c>
      <c r="E28" s="2"/>
      <c r="F28" s="6">
        <f t="shared" si="0"/>
        <v>0</v>
      </c>
      <c r="G28" s="2"/>
      <c r="H28" s="7">
        <v>732.11289415384601</v>
      </c>
      <c r="I28" s="2"/>
      <c r="J28" s="6">
        <f t="shared" si="1"/>
        <v>0</v>
      </c>
      <c r="K28" s="2"/>
      <c r="L28" s="7">
        <f t="shared" si="2"/>
        <v>-15.772894153845982</v>
      </c>
      <c r="M28" s="2"/>
      <c r="N28" s="6">
        <f t="shared" si="3"/>
        <v>-2.1544346889390355E-2</v>
      </c>
      <c r="O28" s="11"/>
      <c r="P28" s="7">
        <v>3395.21</v>
      </c>
      <c r="Q28" s="2"/>
      <c r="R28" s="6">
        <f t="shared" si="4"/>
        <v>0</v>
      </c>
      <c r="S28" s="2"/>
      <c r="T28" s="7">
        <v>2274.6764099999996</v>
      </c>
      <c r="U28" s="2"/>
      <c r="V28" s="6">
        <f t="shared" si="5"/>
        <v>0</v>
      </c>
      <c r="W28" s="2"/>
      <c r="X28" s="7">
        <f t="shared" si="6"/>
        <v>1120.5335900000005</v>
      </c>
      <c r="Y28" s="2"/>
      <c r="Z28" s="6">
        <f t="shared" si="7"/>
        <v>0.49261230523773736</v>
      </c>
    </row>
    <row r="29" spans="1:26" s="24" customFormat="1" hidden="1" outlineLevel="2" x14ac:dyDescent="0.25">
      <c r="A29" s="25"/>
      <c r="B29" s="11" t="str">
        <f>CONCATENATE("          ", "6156", " - ", "EMPLOYEE MEALS")</f>
        <v xml:space="preserve">          6156 - EMPLOYEE MEALS</v>
      </c>
      <c r="C29" s="11"/>
      <c r="D29" s="7">
        <v>470.81</v>
      </c>
      <c r="E29" s="2"/>
      <c r="F29" s="6">
        <f t="shared" si="0"/>
        <v>0</v>
      </c>
      <c r="G29" s="2"/>
      <c r="H29" s="7">
        <v>675</v>
      </c>
      <c r="I29" s="2"/>
      <c r="J29" s="6">
        <f t="shared" si="1"/>
        <v>0</v>
      </c>
      <c r="K29" s="2"/>
      <c r="L29" s="7">
        <f t="shared" si="2"/>
        <v>-204.19</v>
      </c>
      <c r="M29" s="2"/>
      <c r="N29" s="6">
        <f t="shared" si="3"/>
        <v>-0.30250370370370372</v>
      </c>
      <c r="O29" s="11"/>
      <c r="P29" s="7">
        <v>1105.45</v>
      </c>
      <c r="Q29" s="2"/>
      <c r="R29" s="6">
        <f t="shared" si="4"/>
        <v>0</v>
      </c>
      <c r="S29" s="2"/>
      <c r="T29" s="7">
        <v>2025</v>
      </c>
      <c r="U29" s="2"/>
      <c r="V29" s="6">
        <f t="shared" si="5"/>
        <v>0</v>
      </c>
      <c r="W29" s="2"/>
      <c r="X29" s="7">
        <f t="shared" si="6"/>
        <v>-919.55</v>
      </c>
      <c r="Y29" s="2"/>
      <c r="Z29" s="6">
        <f t="shared" si="7"/>
        <v>-0.45409876543209876</v>
      </c>
    </row>
    <row r="30" spans="1:26" s="26" customFormat="1" outlineLevel="1" collapsed="1" x14ac:dyDescent="0.25">
      <c r="A30" s="27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27413.7</v>
      </c>
      <c r="E30" s="1"/>
      <c r="F30" s="5">
        <f t="shared" ref="F30:F40" si="8">IF(D$12=0,0,D30/D$12)</f>
        <v>0</v>
      </c>
      <c r="G30" s="1"/>
      <c r="H30" s="1">
        <f>SUM(OSRRefH22_1x_0)</f>
        <v>27263.914676923079</v>
      </c>
      <c r="I30" s="1"/>
      <c r="J30" s="5">
        <f t="shared" ref="J30:J40" si="9">IF(H$12=0,0,H30/H$12)</f>
        <v>0</v>
      </c>
      <c r="K30" s="1"/>
      <c r="L30" s="1">
        <f t="shared" ref="L30:L40" si="10">+D30-H30</f>
        <v>149.78532307692149</v>
      </c>
      <c r="M30" s="1"/>
      <c r="N30" s="5">
        <f t="shared" ref="N30:N40" si="11">IF(H30=0,0,L30/H30)</f>
        <v>5.4939037497686955E-3</v>
      </c>
      <c r="O30" s="13"/>
      <c r="P30" s="1">
        <f>SUM(OSRRefP22_1x_0)</f>
        <v>82512.840000000011</v>
      </c>
      <c r="Q30" s="1"/>
      <c r="R30" s="5">
        <f t="shared" ref="R30:R40" si="12">IF(P$12=0,0,P30/P$12)</f>
        <v>0</v>
      </c>
      <c r="S30" s="1"/>
      <c r="T30" s="1">
        <f>SUM(OSRRefT22_1x_0)</f>
        <v>85118.039500000014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-2605.1995000000024</v>
      </c>
      <c r="Y30" s="1"/>
      <c r="Z30" s="5">
        <f t="shared" ref="Z30:Z40" si="15">IF(T30=0,0,X30/T30)</f>
        <v>-3.0606902077438027E-2</v>
      </c>
    </row>
    <row r="31" spans="1:26" s="24" customFormat="1" hidden="1" outlineLevel="2" x14ac:dyDescent="0.25">
      <c r="A31" s="25"/>
      <c r="B31" s="11" t="str">
        <f>CONCATENATE("          ", "6001", " - ", "ADMINISTRATIVE SALARIES")</f>
        <v xml:space="preserve">          6001 - ADMINISTRATIVE SALARIES</v>
      </c>
      <c r="C31" s="11"/>
      <c r="D31" s="7">
        <v>7932.49</v>
      </c>
      <c r="E31" s="2"/>
      <c r="F31" s="6">
        <f t="shared" si="8"/>
        <v>0</v>
      </c>
      <c r="G31" s="2"/>
      <c r="H31" s="7">
        <v>7915.1538461538503</v>
      </c>
      <c r="I31" s="2"/>
      <c r="J31" s="6">
        <f t="shared" si="9"/>
        <v>0</v>
      </c>
      <c r="K31" s="2"/>
      <c r="L31" s="7">
        <f t="shared" si="10"/>
        <v>17.3361538461495</v>
      </c>
      <c r="M31" s="2"/>
      <c r="N31" s="6">
        <f t="shared" si="11"/>
        <v>2.1902485009275626E-3</v>
      </c>
      <c r="O31" s="11"/>
      <c r="P31" s="7">
        <v>25119.08</v>
      </c>
      <c r="Q31" s="2"/>
      <c r="R31" s="6">
        <f t="shared" si="12"/>
        <v>0</v>
      </c>
      <c r="S31" s="2"/>
      <c r="T31" s="7">
        <v>25724.250000000011</v>
      </c>
      <c r="U31" s="2"/>
      <c r="V31" s="6">
        <f t="shared" si="13"/>
        <v>0</v>
      </c>
      <c r="W31" s="2"/>
      <c r="X31" s="7">
        <f t="shared" si="14"/>
        <v>-605.17000000000917</v>
      </c>
      <c r="Y31" s="2"/>
      <c r="Z31" s="6">
        <f t="shared" si="15"/>
        <v>-2.3525272845661541E-2</v>
      </c>
    </row>
    <row r="32" spans="1:26" s="24" customFormat="1" hidden="1" outlineLevel="2" x14ac:dyDescent="0.25">
      <c r="A32" s="25"/>
      <c r="B32" s="11" t="str">
        <f>CONCATENATE("          ", "6002", " - ", "STAFF SALARIES")</f>
        <v xml:space="preserve">          6002 - STAFF SALARIES</v>
      </c>
      <c r="C32" s="11"/>
      <c r="D32" s="7">
        <v>4409.24</v>
      </c>
      <c r="E32" s="2"/>
      <c r="F32" s="6">
        <f t="shared" si="8"/>
        <v>0</v>
      </c>
      <c r="G32" s="2"/>
      <c r="H32" s="7">
        <v>3561.8192307692298</v>
      </c>
      <c r="I32" s="2"/>
      <c r="J32" s="6">
        <f t="shared" si="9"/>
        <v>0</v>
      </c>
      <c r="K32" s="2"/>
      <c r="L32" s="7">
        <f t="shared" si="10"/>
        <v>847.42076923077002</v>
      </c>
      <c r="M32" s="2"/>
      <c r="N32" s="6">
        <f t="shared" si="11"/>
        <v>0.2379179611110574</v>
      </c>
      <c r="O32" s="11"/>
      <c r="P32" s="7">
        <v>12985.72</v>
      </c>
      <c r="Q32" s="2"/>
      <c r="R32" s="6">
        <f t="shared" si="12"/>
        <v>0</v>
      </c>
      <c r="S32" s="2"/>
      <c r="T32" s="7">
        <v>11575.9125</v>
      </c>
      <c r="U32" s="2"/>
      <c r="V32" s="6">
        <f t="shared" si="13"/>
        <v>0</v>
      </c>
      <c r="W32" s="2"/>
      <c r="X32" s="7">
        <f t="shared" si="14"/>
        <v>1409.807499999999</v>
      </c>
      <c r="Y32" s="2"/>
      <c r="Z32" s="6">
        <f t="shared" si="15"/>
        <v>0.12178802319039635</v>
      </c>
    </row>
    <row r="33" spans="1:26" s="24" customFormat="1" hidden="1" outlineLevel="2" x14ac:dyDescent="0.25">
      <c r="A33" s="25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5"/>
      <c r="B34" s="11" t="str">
        <f>CONCATENATE("          ", "6004", " - ", "STAFF HOURLY")</f>
        <v xml:space="preserve">          6004 - STAFF HOURLY</v>
      </c>
      <c r="C34" s="11"/>
      <c r="D34" s="7">
        <v>2307.1999999999998</v>
      </c>
      <c r="E34" s="2"/>
      <c r="F34" s="6">
        <f t="shared" si="8"/>
        <v>0</v>
      </c>
      <c r="G34" s="2"/>
      <c r="H34" s="7">
        <v>5706.9416000000001</v>
      </c>
      <c r="I34" s="2"/>
      <c r="J34" s="6">
        <f t="shared" si="9"/>
        <v>0</v>
      </c>
      <c r="K34" s="2"/>
      <c r="L34" s="7">
        <f t="shared" si="10"/>
        <v>-3399.7416000000003</v>
      </c>
      <c r="M34" s="2"/>
      <c r="N34" s="6">
        <f t="shared" si="11"/>
        <v>-0.59572041178763779</v>
      </c>
      <c r="O34" s="11"/>
      <c r="P34" s="7">
        <v>6229.44</v>
      </c>
      <c r="Q34" s="2"/>
      <c r="R34" s="6">
        <f t="shared" si="12"/>
        <v>0</v>
      </c>
      <c r="S34" s="2"/>
      <c r="T34" s="7">
        <v>17577.877</v>
      </c>
      <c r="U34" s="2"/>
      <c r="V34" s="6">
        <f t="shared" si="13"/>
        <v>0</v>
      </c>
      <c r="W34" s="2"/>
      <c r="X34" s="7">
        <f t="shared" si="14"/>
        <v>-11348.437000000002</v>
      </c>
      <c r="Y34" s="2"/>
      <c r="Z34" s="6">
        <f t="shared" si="15"/>
        <v>-0.64560908009539497</v>
      </c>
    </row>
    <row r="35" spans="1:26" s="24" customFormat="1" hidden="1" outlineLevel="2" x14ac:dyDescent="0.25">
      <c r="A35" s="25"/>
      <c r="B35" s="11" t="str">
        <f>CONCATENATE("          ", "6005", " - ", "TEMPORARY WAGES-HOURLY")</f>
        <v xml:space="preserve">          6005 - TEMPORARY WAGES-HOURLY</v>
      </c>
      <c r="C35" s="11"/>
      <c r="D35" s="7">
        <v>11280.27</v>
      </c>
      <c r="E35" s="2"/>
      <c r="F35" s="6">
        <f t="shared" si="8"/>
        <v>0</v>
      </c>
      <c r="G35" s="2"/>
      <c r="H35" s="7">
        <v>8400</v>
      </c>
      <c r="I35" s="2"/>
      <c r="J35" s="6">
        <f t="shared" si="9"/>
        <v>0</v>
      </c>
      <c r="K35" s="2"/>
      <c r="L35" s="7">
        <f t="shared" si="10"/>
        <v>2880.2700000000004</v>
      </c>
      <c r="M35" s="2"/>
      <c r="N35" s="6">
        <f t="shared" si="11"/>
        <v>0.34288928571428579</v>
      </c>
      <c r="O35" s="11"/>
      <c r="P35" s="7">
        <v>27336.28</v>
      </c>
      <c r="Q35" s="2"/>
      <c r="R35" s="6">
        <f t="shared" si="12"/>
        <v>0</v>
      </c>
      <c r="S35" s="2"/>
      <c r="T35" s="7">
        <v>25200</v>
      </c>
      <c r="U35" s="2"/>
      <c r="V35" s="6">
        <f t="shared" si="13"/>
        <v>0</v>
      </c>
      <c r="W35" s="2"/>
      <c r="X35" s="7">
        <f t="shared" si="14"/>
        <v>2136.2799999999988</v>
      </c>
      <c r="Y35" s="2"/>
      <c r="Z35" s="6">
        <f t="shared" si="15"/>
        <v>8.4773015873015833E-2</v>
      </c>
    </row>
    <row r="36" spans="1:26" s="24" customFormat="1" hidden="1" outlineLevel="2" x14ac:dyDescent="0.25">
      <c r="A36" s="25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>
        <v>1236.8800000000001</v>
      </c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1236.8800000000001</v>
      </c>
      <c r="Y36" s="2"/>
      <c r="Z36" s="6">
        <f t="shared" si="15"/>
        <v>0</v>
      </c>
    </row>
    <row r="37" spans="1:26" s="24" customFormat="1" hidden="1" outlineLevel="2" x14ac:dyDescent="0.25">
      <c r="A37" s="25"/>
      <c r="B37" s="11" t="str">
        <f>CONCATENATE("          ", "6007", " - ", "STUDENT HOURLY")</f>
        <v xml:space="preserve">          6007 - STUDENT HOURLY</v>
      </c>
      <c r="C37" s="11"/>
      <c r="D37" s="7">
        <v>1484.5</v>
      </c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1484.5</v>
      </c>
      <c r="M37" s="2"/>
      <c r="N37" s="6">
        <f t="shared" si="11"/>
        <v>0</v>
      </c>
      <c r="O37" s="11"/>
      <c r="P37" s="7">
        <v>9605.44</v>
      </c>
      <c r="Q37" s="2"/>
      <c r="R37" s="6">
        <f t="shared" si="12"/>
        <v>0</v>
      </c>
      <c r="S37" s="2"/>
      <c r="T37" s="7">
        <v>3360</v>
      </c>
      <c r="U37" s="2"/>
      <c r="V37" s="6">
        <f t="shared" si="13"/>
        <v>0</v>
      </c>
      <c r="W37" s="2"/>
      <c r="X37" s="7">
        <f t="shared" si="14"/>
        <v>6245.4400000000005</v>
      </c>
      <c r="Y37" s="2"/>
      <c r="Z37" s="6">
        <f t="shared" si="15"/>
        <v>1.8587619047619048</v>
      </c>
    </row>
    <row r="38" spans="1:26" s="24" customFormat="1" hidden="1" outlineLevel="2" x14ac:dyDescent="0.25">
      <c r="A38" s="25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8"/>
        <v>0</v>
      </c>
      <c r="G38" s="2"/>
      <c r="H38" s="7">
        <v>1680</v>
      </c>
      <c r="I38" s="2"/>
      <c r="J38" s="6">
        <f t="shared" si="9"/>
        <v>0</v>
      </c>
      <c r="K38" s="2"/>
      <c r="L38" s="7">
        <f t="shared" si="10"/>
        <v>-1680</v>
      </c>
      <c r="M38" s="2"/>
      <c r="N38" s="6">
        <f t="shared" si="11"/>
        <v>-1</v>
      </c>
      <c r="O38" s="11"/>
      <c r="P38" s="7"/>
      <c r="Q38" s="2"/>
      <c r="R38" s="6">
        <f t="shared" si="12"/>
        <v>0</v>
      </c>
      <c r="S38" s="2"/>
      <c r="T38" s="7">
        <v>1680</v>
      </c>
      <c r="U38" s="2"/>
      <c r="V38" s="6">
        <f t="shared" si="13"/>
        <v>0</v>
      </c>
      <c r="W38" s="2"/>
      <c r="X38" s="7">
        <f t="shared" si="14"/>
        <v>-1680</v>
      </c>
      <c r="Y38" s="2"/>
      <c r="Z38" s="6">
        <f t="shared" si="15"/>
        <v>-1</v>
      </c>
    </row>
    <row r="39" spans="1:26" s="24" customFormat="1" hidden="1" outlineLevel="2" x14ac:dyDescent="0.25">
      <c r="A39" s="25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4" customFormat="1" hidden="1" outlineLevel="2" x14ac:dyDescent="0.25">
      <c r="A40" s="25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8"/>
        <v>0</v>
      </c>
      <c r="G40" s="2"/>
      <c r="H40" s="7">
        <v>0</v>
      </c>
      <c r="I40" s="2"/>
      <c r="J40" s="6">
        <f t="shared" si="9"/>
        <v>0</v>
      </c>
      <c r="K40" s="2"/>
      <c r="L40" s="7">
        <f t="shared" si="10"/>
        <v>0</v>
      </c>
      <c r="M40" s="2"/>
      <c r="N40" s="6">
        <f t="shared" si="11"/>
        <v>0</v>
      </c>
      <c r="O40" s="11"/>
      <c r="P40" s="7"/>
      <c r="Q40" s="2"/>
      <c r="R40" s="6">
        <f t="shared" si="12"/>
        <v>0</v>
      </c>
      <c r="S40" s="2"/>
      <c r="T40" s="7">
        <v>0</v>
      </c>
      <c r="U40" s="2"/>
      <c r="V40" s="6">
        <f t="shared" si="13"/>
        <v>0</v>
      </c>
      <c r="W40" s="2"/>
      <c r="X40" s="7">
        <f t="shared" si="14"/>
        <v>0</v>
      </c>
      <c r="Y40" s="2"/>
      <c r="Z40" s="6">
        <f t="shared" si="15"/>
        <v>0</v>
      </c>
    </row>
    <row r="41" spans="1:26" s="26" customFormat="1" outlineLevel="1" collapsed="1" x14ac:dyDescent="0.25">
      <c r="A41" s="27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240.39</v>
      </c>
      <c r="E41" s="1"/>
      <c r="F41" s="5">
        <f t="shared" ref="F41:F46" si="16">IF(D$12=0,0,D41/D$12)</f>
        <v>0</v>
      </c>
      <c r="G41" s="1"/>
      <c r="H41" s="1">
        <f>SUM(OSRRefH22_2x_0)</f>
        <v>200</v>
      </c>
      <c r="I41" s="1"/>
      <c r="J41" s="5">
        <f t="shared" ref="J41:J46" si="17">IF(H$12=0,0,H41/H$12)</f>
        <v>0</v>
      </c>
      <c r="K41" s="1"/>
      <c r="L41" s="1">
        <f t="shared" ref="L41:L46" si="18">+D41-H41</f>
        <v>40.389999999999986</v>
      </c>
      <c r="M41" s="1"/>
      <c r="N41" s="5">
        <f t="shared" ref="N41:N46" si="19">IF(H41=0,0,L41/H41)</f>
        <v>0.20194999999999994</v>
      </c>
      <c r="O41" s="13"/>
      <c r="P41" s="1">
        <f>SUM(OSRRefP22_2x_0)</f>
        <v>305.81</v>
      </c>
      <c r="Q41" s="1"/>
      <c r="R41" s="5">
        <f t="shared" ref="R41:R46" si="20">IF(P$12=0,0,P41/P$12)</f>
        <v>0</v>
      </c>
      <c r="S41" s="1"/>
      <c r="T41" s="1">
        <f>SUM(OSRRefT22_2x_0)</f>
        <v>800</v>
      </c>
      <c r="U41" s="1"/>
      <c r="V41" s="5">
        <f t="shared" ref="V41:V46" si="21">IF(T$12=0,0,T41/T$12)</f>
        <v>0</v>
      </c>
      <c r="W41" s="1"/>
      <c r="X41" s="1">
        <f t="shared" ref="X41:X46" si="22">+P41-T41</f>
        <v>-494.19</v>
      </c>
      <c r="Y41" s="1"/>
      <c r="Z41" s="5">
        <f t="shared" ref="Z41:Z46" si="23">IF(T41=0,0,X41/T41)</f>
        <v>-0.61773750000000005</v>
      </c>
    </row>
    <row r="42" spans="1:26" s="24" customFormat="1" hidden="1" outlineLevel="2" x14ac:dyDescent="0.25">
      <c r="A42" s="25"/>
      <c r="B42" s="11" t="str">
        <f>CONCATENATE("          ", "6362", " - ", "ADVERTISING EXPENSE")</f>
        <v xml:space="preserve">          6362 - ADVERTISING EXPENSE</v>
      </c>
      <c r="C42" s="11"/>
      <c r="D42" s="7">
        <v>240.39</v>
      </c>
      <c r="E42" s="2"/>
      <c r="F42" s="6">
        <f t="shared" si="16"/>
        <v>0</v>
      </c>
      <c r="G42" s="2"/>
      <c r="H42" s="7">
        <v>200</v>
      </c>
      <c r="I42" s="2"/>
      <c r="J42" s="6">
        <f t="shared" si="17"/>
        <v>0</v>
      </c>
      <c r="K42" s="2"/>
      <c r="L42" s="7">
        <f t="shared" si="18"/>
        <v>40.389999999999986</v>
      </c>
      <c r="M42" s="2"/>
      <c r="N42" s="6">
        <f t="shared" si="19"/>
        <v>0.20194999999999994</v>
      </c>
      <c r="O42" s="11"/>
      <c r="P42" s="7">
        <v>305.81</v>
      </c>
      <c r="Q42" s="2"/>
      <c r="R42" s="6">
        <f t="shared" si="20"/>
        <v>0</v>
      </c>
      <c r="S42" s="2"/>
      <c r="T42" s="7">
        <v>800</v>
      </c>
      <c r="U42" s="2"/>
      <c r="V42" s="6">
        <f t="shared" si="21"/>
        <v>0</v>
      </c>
      <c r="W42" s="2"/>
      <c r="X42" s="7">
        <f t="shared" si="22"/>
        <v>-494.19</v>
      </c>
      <c r="Y42" s="2"/>
      <c r="Z42" s="6">
        <f t="shared" si="23"/>
        <v>-0.61773750000000005</v>
      </c>
    </row>
    <row r="43" spans="1:26" s="26" customFormat="1" outlineLevel="1" collapsed="1" x14ac:dyDescent="0.25">
      <c r="A43" s="27"/>
      <c r="B43" s="13" t="str">
        <f>CONCATENATE("     ","Depreciation                                      ")</f>
        <v xml:space="preserve">     Depreciation                                      </v>
      </c>
      <c r="C43" s="13"/>
      <c r="D43" s="1">
        <f>SUM(OSRRefD22_3x_0)</f>
        <v>6821.6399999999994</v>
      </c>
      <c r="E43" s="1"/>
      <c r="F43" s="5">
        <f t="shared" si="16"/>
        <v>0</v>
      </c>
      <c r="G43" s="1"/>
      <c r="H43" s="1">
        <f>SUM(OSRRefH22_3x_0)</f>
        <v>6131</v>
      </c>
      <c r="I43" s="1"/>
      <c r="J43" s="5">
        <f t="shared" si="17"/>
        <v>0</v>
      </c>
      <c r="K43" s="1"/>
      <c r="L43" s="1">
        <f t="shared" si="18"/>
        <v>690.63999999999942</v>
      </c>
      <c r="M43" s="1"/>
      <c r="N43" s="5">
        <f t="shared" si="19"/>
        <v>0.1126472027401728</v>
      </c>
      <c r="O43" s="13"/>
      <c r="P43" s="1">
        <f>SUM(OSRRefP22_3x_0)</f>
        <v>20464.919999999998</v>
      </c>
      <c r="Q43" s="1"/>
      <c r="R43" s="5">
        <f t="shared" si="20"/>
        <v>0</v>
      </c>
      <c r="S43" s="1"/>
      <c r="T43" s="1">
        <f>SUM(OSRRefT22_3x_0)</f>
        <v>18393</v>
      </c>
      <c r="U43" s="1"/>
      <c r="V43" s="5">
        <f t="shared" si="21"/>
        <v>0</v>
      </c>
      <c r="W43" s="1"/>
      <c r="X43" s="1">
        <f t="shared" si="22"/>
        <v>2071.9199999999983</v>
      </c>
      <c r="Y43" s="1"/>
      <c r="Z43" s="5">
        <f t="shared" si="23"/>
        <v>0.1126472027401728</v>
      </c>
    </row>
    <row r="44" spans="1:26" s="24" customFormat="1" hidden="1" outlineLevel="2" x14ac:dyDescent="0.25">
      <c r="A44" s="25"/>
      <c r="B44" s="11" t="str">
        <f>CONCATENATE("          ", "6321", " - ", "BUILDING DEPRECIATION")</f>
        <v xml:space="preserve">          6321 - BUILDING DEPRECIATION</v>
      </c>
      <c r="C44" s="11"/>
      <c r="D44" s="7">
        <v>2266.9499999999998</v>
      </c>
      <c r="E44" s="2"/>
      <c r="F44" s="6">
        <f t="shared" si="16"/>
        <v>0</v>
      </c>
      <c r="G44" s="2"/>
      <c r="H44" s="7">
        <v>805</v>
      </c>
      <c r="I44" s="2"/>
      <c r="J44" s="6">
        <f t="shared" si="17"/>
        <v>0</v>
      </c>
      <c r="K44" s="2"/>
      <c r="L44" s="7">
        <f t="shared" si="18"/>
        <v>1461.9499999999998</v>
      </c>
      <c r="M44" s="2"/>
      <c r="N44" s="6">
        <f t="shared" si="19"/>
        <v>1.816086956521739</v>
      </c>
      <c r="O44" s="11"/>
      <c r="P44" s="7">
        <v>6800.85</v>
      </c>
      <c r="Q44" s="2"/>
      <c r="R44" s="6">
        <f t="shared" si="20"/>
        <v>0</v>
      </c>
      <c r="S44" s="2"/>
      <c r="T44" s="7">
        <v>2415</v>
      </c>
      <c r="U44" s="2"/>
      <c r="V44" s="6">
        <f t="shared" si="21"/>
        <v>0</v>
      </c>
      <c r="W44" s="2"/>
      <c r="X44" s="7">
        <f t="shared" si="22"/>
        <v>4385.8500000000004</v>
      </c>
      <c r="Y44" s="2"/>
      <c r="Z44" s="6">
        <f t="shared" si="23"/>
        <v>1.8160869565217392</v>
      </c>
    </row>
    <row r="45" spans="1:26" s="24" customFormat="1" hidden="1" outlineLevel="2" x14ac:dyDescent="0.25">
      <c r="A45" s="25"/>
      <c r="B45" s="11" t="str">
        <f>CONCATENATE("          ", "6322", " - ", "EQUIPMENT DEPRECIATION EXPENSE")</f>
        <v xml:space="preserve">          6322 - EQUIPMENT DEPRECIATION EXPENSE</v>
      </c>
      <c r="C45" s="11"/>
      <c r="D45" s="7">
        <v>4130.4399999999996</v>
      </c>
      <c r="E45" s="2"/>
      <c r="F45" s="6">
        <f t="shared" si="16"/>
        <v>0</v>
      </c>
      <c r="G45" s="2"/>
      <c r="H45" s="7">
        <v>4902</v>
      </c>
      <c r="I45" s="2"/>
      <c r="J45" s="6">
        <f t="shared" si="17"/>
        <v>0</v>
      </c>
      <c r="K45" s="2"/>
      <c r="L45" s="7">
        <f t="shared" si="18"/>
        <v>-771.5600000000004</v>
      </c>
      <c r="M45" s="2"/>
      <c r="N45" s="6">
        <f t="shared" si="19"/>
        <v>-0.15739698082415349</v>
      </c>
      <c r="O45" s="11"/>
      <c r="P45" s="7">
        <v>12391.32</v>
      </c>
      <c r="Q45" s="2"/>
      <c r="R45" s="6">
        <f t="shared" si="20"/>
        <v>0</v>
      </c>
      <c r="S45" s="2"/>
      <c r="T45" s="7">
        <v>14706</v>
      </c>
      <c r="U45" s="2"/>
      <c r="V45" s="6">
        <f t="shared" si="21"/>
        <v>0</v>
      </c>
      <c r="W45" s="2"/>
      <c r="X45" s="7">
        <f t="shared" si="22"/>
        <v>-2314.6800000000003</v>
      </c>
      <c r="Y45" s="2"/>
      <c r="Z45" s="6">
        <f t="shared" si="23"/>
        <v>-0.15739698082415343</v>
      </c>
    </row>
    <row r="46" spans="1:26" s="24" customFormat="1" hidden="1" outlineLevel="2" x14ac:dyDescent="0.25">
      <c r="A46" s="25"/>
      <c r="B46" s="11" t="str">
        <f>CONCATENATE("          ", "6326", " - ", "VEHICLES DEPRECIATION EXPENSE")</f>
        <v xml:space="preserve">          6326 - VEHICLES DEPRECIATION EXPENSE</v>
      </c>
      <c r="C46" s="11"/>
      <c r="D46" s="7">
        <v>424.25</v>
      </c>
      <c r="E46" s="2"/>
      <c r="F46" s="6">
        <f t="shared" si="16"/>
        <v>0</v>
      </c>
      <c r="G46" s="2"/>
      <c r="H46" s="7">
        <v>424</v>
      </c>
      <c r="I46" s="2"/>
      <c r="J46" s="6">
        <f t="shared" si="17"/>
        <v>0</v>
      </c>
      <c r="K46" s="2"/>
      <c r="L46" s="7">
        <f t="shared" si="18"/>
        <v>0.25</v>
      </c>
      <c r="M46" s="2"/>
      <c r="N46" s="6">
        <f t="shared" si="19"/>
        <v>5.8962264150943394E-4</v>
      </c>
      <c r="O46" s="11"/>
      <c r="P46" s="7">
        <v>1272.75</v>
      </c>
      <c r="Q46" s="2"/>
      <c r="R46" s="6">
        <f t="shared" si="20"/>
        <v>0</v>
      </c>
      <c r="S46" s="2"/>
      <c r="T46" s="7">
        <v>1272</v>
      </c>
      <c r="U46" s="2"/>
      <c r="V46" s="6">
        <f t="shared" si="21"/>
        <v>0</v>
      </c>
      <c r="W46" s="2"/>
      <c r="X46" s="7">
        <f t="shared" si="22"/>
        <v>0.75</v>
      </c>
      <c r="Y46" s="2"/>
      <c r="Z46" s="6">
        <f t="shared" si="23"/>
        <v>5.8962264150943394E-4</v>
      </c>
    </row>
    <row r="47" spans="1:26" s="26" customFormat="1" outlineLevel="1" collapsed="1" x14ac:dyDescent="0.25">
      <c r="A47" s="27"/>
      <c r="B47" s="13" t="str">
        <f>CONCATENATE("     ","Donations                                         ")</f>
        <v xml:space="preserve">     Donations                                         </v>
      </c>
      <c r="C47" s="13"/>
      <c r="D47" s="1">
        <f>SUM(OSRRefD22_4x_0)</f>
        <v>0</v>
      </c>
      <c r="E47" s="1"/>
      <c r="F47" s="5">
        <f t="shared" ref="F47:F62" si="24">IF(D$12=0,0,D47/D$12)</f>
        <v>0</v>
      </c>
      <c r="G47" s="1"/>
      <c r="H47" s="1">
        <f>SUM(OSRRefH22_4x_0)</f>
        <v>500</v>
      </c>
      <c r="I47" s="1"/>
      <c r="J47" s="5">
        <f t="shared" ref="J47:J62" si="25">IF(H$12=0,0,H47/H$12)</f>
        <v>0</v>
      </c>
      <c r="K47" s="1"/>
      <c r="L47" s="1">
        <f t="shared" ref="L47:L62" si="26">+D47-H47</f>
        <v>-500</v>
      </c>
      <c r="M47" s="1"/>
      <c r="N47" s="5">
        <f t="shared" ref="N47:N62" si="27">IF(H47=0,0,L47/H47)</f>
        <v>-1</v>
      </c>
      <c r="O47" s="13"/>
      <c r="P47" s="1">
        <f>SUM(OSRRefP22_4x_0)</f>
        <v>0</v>
      </c>
      <c r="Q47" s="1"/>
      <c r="R47" s="5">
        <f t="shared" ref="R47:R62" si="28">IF(P$12=0,0,P47/P$12)</f>
        <v>0</v>
      </c>
      <c r="S47" s="1"/>
      <c r="T47" s="1">
        <f>SUM(OSRRefT22_4x_0)</f>
        <v>800</v>
      </c>
      <c r="U47" s="1"/>
      <c r="V47" s="5">
        <f t="shared" ref="V47:V62" si="29">IF(T$12=0,0,T47/T$12)</f>
        <v>0</v>
      </c>
      <c r="W47" s="1"/>
      <c r="X47" s="1">
        <f t="shared" ref="X47:X62" si="30">+P47-T47</f>
        <v>-800</v>
      </c>
      <c r="Y47" s="1"/>
      <c r="Z47" s="5">
        <f t="shared" ref="Z47:Z62" si="31">IF(T47=0,0,X47/T47)</f>
        <v>-1</v>
      </c>
    </row>
    <row r="48" spans="1:26" s="24" customFormat="1" hidden="1" outlineLevel="2" x14ac:dyDescent="0.25">
      <c r="A48" s="25"/>
      <c r="B48" s="11" t="str">
        <f>CONCATENATE("          ", "6399", " - ", "DONATION-ON CAMPUS")</f>
        <v xml:space="preserve">          6399 - DONATION-ON CAMPUS</v>
      </c>
      <c r="C48" s="11"/>
      <c r="D48" s="7"/>
      <c r="E48" s="2"/>
      <c r="F48" s="6">
        <f t="shared" si="24"/>
        <v>0</v>
      </c>
      <c r="G48" s="2"/>
      <c r="H48" s="7">
        <v>500</v>
      </c>
      <c r="I48" s="2"/>
      <c r="J48" s="6">
        <f t="shared" si="25"/>
        <v>0</v>
      </c>
      <c r="K48" s="2"/>
      <c r="L48" s="7">
        <f t="shared" si="26"/>
        <v>-500</v>
      </c>
      <c r="M48" s="2"/>
      <c r="N48" s="6">
        <f t="shared" si="27"/>
        <v>-1</v>
      </c>
      <c r="O48" s="11"/>
      <c r="P48" s="7"/>
      <c r="Q48" s="2"/>
      <c r="R48" s="6">
        <f t="shared" si="28"/>
        <v>0</v>
      </c>
      <c r="S48" s="2"/>
      <c r="T48" s="7">
        <v>800</v>
      </c>
      <c r="U48" s="2"/>
      <c r="V48" s="6">
        <f t="shared" si="29"/>
        <v>0</v>
      </c>
      <c r="W48" s="2"/>
      <c r="X48" s="7">
        <f t="shared" si="30"/>
        <v>-800</v>
      </c>
      <c r="Y48" s="2"/>
      <c r="Z48" s="6">
        <f t="shared" si="31"/>
        <v>-1</v>
      </c>
    </row>
    <row r="49" spans="1:26" s="26" customFormat="1" outlineLevel="1" collapsed="1" x14ac:dyDescent="0.25">
      <c r="A49" s="27"/>
      <c r="B49" s="13" t="str">
        <f>CONCATENATE("     ","Employees' Appreciation                           ")</f>
        <v xml:space="preserve">     Employees' Appreciation                           </v>
      </c>
      <c r="C49" s="13"/>
      <c r="D49" s="1">
        <f>SUM(OSRRefD22_5x_0)</f>
        <v>19.84</v>
      </c>
      <c r="E49" s="1"/>
      <c r="F49" s="5">
        <f t="shared" si="24"/>
        <v>0</v>
      </c>
      <c r="G49" s="1"/>
      <c r="H49" s="1">
        <f>SUM(OSRRefH22_5x_0)</f>
        <v>50</v>
      </c>
      <c r="I49" s="1"/>
      <c r="J49" s="5">
        <f t="shared" si="25"/>
        <v>0</v>
      </c>
      <c r="K49" s="1"/>
      <c r="L49" s="1">
        <f t="shared" si="26"/>
        <v>-30.16</v>
      </c>
      <c r="M49" s="1"/>
      <c r="N49" s="5">
        <f t="shared" si="27"/>
        <v>-0.60319999999999996</v>
      </c>
      <c r="O49" s="13"/>
      <c r="P49" s="1">
        <f>SUM(OSRRefP22_5x_0)</f>
        <v>192.72</v>
      </c>
      <c r="Q49" s="1"/>
      <c r="R49" s="5">
        <f t="shared" si="28"/>
        <v>0</v>
      </c>
      <c r="S49" s="1"/>
      <c r="T49" s="1">
        <f>SUM(OSRRefT22_5x_0)</f>
        <v>300</v>
      </c>
      <c r="U49" s="1"/>
      <c r="V49" s="5">
        <f t="shared" si="29"/>
        <v>0</v>
      </c>
      <c r="W49" s="1"/>
      <c r="X49" s="1">
        <f t="shared" si="30"/>
        <v>-107.28</v>
      </c>
      <c r="Y49" s="1"/>
      <c r="Z49" s="5">
        <f t="shared" si="31"/>
        <v>-0.35760000000000003</v>
      </c>
    </row>
    <row r="50" spans="1:26" s="24" customFormat="1" hidden="1" outlineLevel="2" x14ac:dyDescent="0.25">
      <c r="A50" s="25"/>
      <c r="B50" s="11" t="str">
        <f>CONCATENATE("          ", "6277", " - ", "EMPLOYEE APPRECIATION")</f>
        <v xml:space="preserve">          6277 - EMPLOYEE APPRECIATION</v>
      </c>
      <c r="C50" s="11"/>
      <c r="D50" s="7">
        <v>19.84</v>
      </c>
      <c r="E50" s="2"/>
      <c r="F50" s="6">
        <f t="shared" si="24"/>
        <v>0</v>
      </c>
      <c r="G50" s="2"/>
      <c r="H50" s="7">
        <v>50</v>
      </c>
      <c r="I50" s="2"/>
      <c r="J50" s="6">
        <f t="shared" si="25"/>
        <v>0</v>
      </c>
      <c r="K50" s="2"/>
      <c r="L50" s="7">
        <f t="shared" si="26"/>
        <v>-30.16</v>
      </c>
      <c r="M50" s="2"/>
      <c r="N50" s="6">
        <f t="shared" si="27"/>
        <v>-0.60319999999999996</v>
      </c>
      <c r="O50" s="11"/>
      <c r="P50" s="7">
        <v>192.72</v>
      </c>
      <c r="Q50" s="2"/>
      <c r="R50" s="6">
        <f t="shared" si="28"/>
        <v>0</v>
      </c>
      <c r="S50" s="2"/>
      <c r="T50" s="7">
        <v>300</v>
      </c>
      <c r="U50" s="2"/>
      <c r="V50" s="6">
        <f t="shared" si="29"/>
        <v>0</v>
      </c>
      <c r="W50" s="2"/>
      <c r="X50" s="7">
        <f t="shared" si="30"/>
        <v>-107.28</v>
      </c>
      <c r="Y50" s="2"/>
      <c r="Z50" s="6">
        <f t="shared" si="31"/>
        <v>-0.35760000000000003</v>
      </c>
    </row>
    <row r="51" spans="1:26" s="26" customFormat="1" outlineLevel="1" collapsed="1" x14ac:dyDescent="0.25">
      <c r="A51" s="27"/>
      <c r="B51" s="13" t="str">
        <f>CONCATENATE("     ","Equipment Rental                                  ")</f>
        <v xml:space="preserve">     Equipment Rental                                  </v>
      </c>
      <c r="C51" s="13"/>
      <c r="D51" s="1">
        <f>SUM(OSRRefD22_6x_0)</f>
        <v>972.8</v>
      </c>
      <c r="E51" s="1"/>
      <c r="F51" s="5">
        <f t="shared" si="24"/>
        <v>0</v>
      </c>
      <c r="G51" s="1"/>
      <c r="H51" s="1">
        <f>SUM(OSRRefH22_6x_0)</f>
        <v>1500</v>
      </c>
      <c r="I51" s="1"/>
      <c r="J51" s="5">
        <f t="shared" si="25"/>
        <v>0</v>
      </c>
      <c r="K51" s="1"/>
      <c r="L51" s="1">
        <f t="shared" si="26"/>
        <v>-527.20000000000005</v>
      </c>
      <c r="M51" s="1"/>
      <c r="N51" s="5">
        <f t="shared" si="27"/>
        <v>-0.3514666666666667</v>
      </c>
      <c r="O51" s="13"/>
      <c r="P51" s="1">
        <f>SUM(OSRRefP22_6x_0)</f>
        <v>2851.44</v>
      </c>
      <c r="Q51" s="1"/>
      <c r="R51" s="5">
        <f t="shared" si="28"/>
        <v>0</v>
      </c>
      <c r="S51" s="1"/>
      <c r="T51" s="1">
        <f>SUM(OSRRefT22_6x_0)</f>
        <v>3500</v>
      </c>
      <c r="U51" s="1"/>
      <c r="V51" s="5">
        <f t="shared" si="29"/>
        <v>0</v>
      </c>
      <c r="W51" s="1"/>
      <c r="X51" s="1">
        <f t="shared" si="30"/>
        <v>-648.55999999999995</v>
      </c>
      <c r="Y51" s="1"/>
      <c r="Z51" s="5">
        <f t="shared" si="31"/>
        <v>-0.18530285714285713</v>
      </c>
    </row>
    <row r="52" spans="1:26" s="24" customFormat="1" hidden="1" outlineLevel="2" x14ac:dyDescent="0.25">
      <c r="A52" s="25"/>
      <c r="B52" s="11" t="str">
        <f>CONCATENATE("          ", "6351", " - ", "EQUIPMENT RENTAL")</f>
        <v xml:space="preserve">          6351 - EQUIPMENT RENTAL</v>
      </c>
      <c r="C52" s="11"/>
      <c r="D52" s="7">
        <v>972.8</v>
      </c>
      <c r="E52" s="2"/>
      <c r="F52" s="6">
        <f t="shared" si="24"/>
        <v>0</v>
      </c>
      <c r="G52" s="2"/>
      <c r="H52" s="7">
        <v>1500</v>
      </c>
      <c r="I52" s="2"/>
      <c r="J52" s="6">
        <f t="shared" si="25"/>
        <v>0</v>
      </c>
      <c r="K52" s="2"/>
      <c r="L52" s="7">
        <f t="shared" si="26"/>
        <v>-527.20000000000005</v>
      </c>
      <c r="M52" s="2"/>
      <c r="N52" s="6">
        <f t="shared" si="27"/>
        <v>-0.3514666666666667</v>
      </c>
      <c r="O52" s="11"/>
      <c r="P52" s="7">
        <v>2851.44</v>
      </c>
      <c r="Q52" s="2"/>
      <c r="R52" s="6">
        <f t="shared" si="28"/>
        <v>0</v>
      </c>
      <c r="S52" s="2"/>
      <c r="T52" s="7">
        <v>3500</v>
      </c>
      <c r="U52" s="2"/>
      <c r="V52" s="6">
        <f t="shared" si="29"/>
        <v>0</v>
      </c>
      <c r="W52" s="2"/>
      <c r="X52" s="7">
        <f t="shared" si="30"/>
        <v>-648.55999999999995</v>
      </c>
      <c r="Y52" s="2"/>
      <c r="Z52" s="6">
        <f t="shared" si="31"/>
        <v>-0.18530285714285713</v>
      </c>
    </row>
    <row r="53" spans="1:26" s="26" customFormat="1" outlineLevel="1" collapsed="1" x14ac:dyDescent="0.25">
      <c r="A53" s="27"/>
      <c r="B53" s="13" t="str">
        <f>CONCATENATE("     ","General                                           ")</f>
        <v xml:space="preserve">     General                                           </v>
      </c>
      <c r="C53" s="13"/>
      <c r="D53" s="1">
        <f>SUM(OSRRefD22_7x_0)</f>
        <v>0</v>
      </c>
      <c r="E53" s="1"/>
      <c r="F53" s="5">
        <f t="shared" si="24"/>
        <v>0</v>
      </c>
      <c r="G53" s="1"/>
      <c r="H53" s="1">
        <f>SUM(OSRRefH22_7x_0)</f>
        <v>0</v>
      </c>
      <c r="I53" s="1"/>
      <c r="J53" s="5">
        <f t="shared" si="25"/>
        <v>0</v>
      </c>
      <c r="K53" s="1"/>
      <c r="L53" s="1">
        <f t="shared" si="26"/>
        <v>0</v>
      </c>
      <c r="M53" s="1"/>
      <c r="N53" s="5">
        <f t="shared" si="27"/>
        <v>0</v>
      </c>
      <c r="O53" s="13"/>
      <c r="P53" s="1">
        <f>SUM(OSRRefP22_7x_0)</f>
        <v>0</v>
      </c>
      <c r="Q53" s="1"/>
      <c r="R53" s="5">
        <f t="shared" si="28"/>
        <v>0</v>
      </c>
      <c r="S53" s="1"/>
      <c r="T53" s="1">
        <f>SUM(OSRRefT22_7x_0)</f>
        <v>2000</v>
      </c>
      <c r="U53" s="1"/>
      <c r="V53" s="5">
        <f t="shared" si="29"/>
        <v>0</v>
      </c>
      <c r="W53" s="1"/>
      <c r="X53" s="1">
        <f t="shared" si="30"/>
        <v>-2000</v>
      </c>
      <c r="Y53" s="1"/>
      <c r="Z53" s="5">
        <f t="shared" si="31"/>
        <v>-1</v>
      </c>
    </row>
    <row r="54" spans="1:26" s="24" customFormat="1" hidden="1" outlineLevel="2" x14ac:dyDescent="0.25">
      <c r="A54" s="25"/>
      <c r="B54" s="11" t="str">
        <f>CONCATENATE("          ", "6279", " - ", "GENERAL EXPENSE")</f>
        <v xml:space="preserve">          6279 - GENERAL EXPENSE</v>
      </c>
      <c r="C54" s="11"/>
      <c r="D54" s="7"/>
      <c r="E54" s="2"/>
      <c r="F54" s="6">
        <f t="shared" si="24"/>
        <v>0</v>
      </c>
      <c r="G54" s="2"/>
      <c r="H54" s="7"/>
      <c r="I54" s="2"/>
      <c r="J54" s="6">
        <f t="shared" si="25"/>
        <v>0</v>
      </c>
      <c r="K54" s="2"/>
      <c r="L54" s="7">
        <f t="shared" si="26"/>
        <v>0</v>
      </c>
      <c r="M54" s="2"/>
      <c r="N54" s="6">
        <f t="shared" si="27"/>
        <v>0</v>
      </c>
      <c r="O54" s="11"/>
      <c r="P54" s="7"/>
      <c r="Q54" s="2"/>
      <c r="R54" s="6">
        <f t="shared" si="28"/>
        <v>0</v>
      </c>
      <c r="S54" s="2"/>
      <c r="T54" s="7">
        <v>2000</v>
      </c>
      <c r="U54" s="2"/>
      <c r="V54" s="6">
        <f t="shared" si="29"/>
        <v>0</v>
      </c>
      <c r="W54" s="2"/>
      <c r="X54" s="7">
        <f t="shared" si="30"/>
        <v>-2000</v>
      </c>
      <c r="Y54" s="2"/>
      <c r="Z54" s="6">
        <f t="shared" si="31"/>
        <v>-1</v>
      </c>
    </row>
    <row r="55" spans="1:26" s="26" customFormat="1" outlineLevel="1" collapsed="1" x14ac:dyDescent="0.25">
      <c r="A55" s="27"/>
      <c r="B55" s="13" t="str">
        <f>CONCATENATE("     ","Insurance                                         ")</f>
        <v xml:space="preserve">     Insurance                                         </v>
      </c>
      <c r="C55" s="13"/>
      <c r="D55" s="1">
        <f>SUM(OSRRefD22_8x_0)</f>
        <v>3598.85</v>
      </c>
      <c r="E55" s="1"/>
      <c r="F55" s="5">
        <f t="shared" si="24"/>
        <v>0</v>
      </c>
      <c r="G55" s="1"/>
      <c r="H55" s="1">
        <f>SUM(OSRRefH22_8x_0)</f>
        <v>3400</v>
      </c>
      <c r="I55" s="1"/>
      <c r="J55" s="5">
        <f t="shared" si="25"/>
        <v>0</v>
      </c>
      <c r="K55" s="1"/>
      <c r="L55" s="1">
        <f t="shared" si="26"/>
        <v>198.84999999999991</v>
      </c>
      <c r="M55" s="1"/>
      <c r="N55" s="5">
        <f t="shared" si="27"/>
        <v>5.8485294117647031E-2</v>
      </c>
      <c r="O55" s="13"/>
      <c r="P55" s="1">
        <f>SUM(OSRRefP22_8x_0)</f>
        <v>10796.55</v>
      </c>
      <c r="Q55" s="1"/>
      <c r="R55" s="5">
        <f t="shared" si="28"/>
        <v>0</v>
      </c>
      <c r="S55" s="1"/>
      <c r="T55" s="1">
        <f>SUM(OSRRefT22_8x_0)</f>
        <v>10200</v>
      </c>
      <c r="U55" s="1"/>
      <c r="V55" s="5">
        <f t="shared" si="29"/>
        <v>0</v>
      </c>
      <c r="W55" s="1"/>
      <c r="X55" s="1">
        <f t="shared" si="30"/>
        <v>596.54999999999927</v>
      </c>
      <c r="Y55" s="1"/>
      <c r="Z55" s="5">
        <f t="shared" si="31"/>
        <v>5.848529411764699E-2</v>
      </c>
    </row>
    <row r="56" spans="1:26" s="24" customFormat="1" hidden="1" outlineLevel="2" x14ac:dyDescent="0.25">
      <c r="A56" s="25"/>
      <c r="B56" s="11" t="str">
        <f>CONCATENATE("          ", "6314", " - ", "LIABILITY INSURANCE")</f>
        <v xml:space="preserve">          6314 - LIABILITY INSURANCE</v>
      </c>
      <c r="C56" s="11"/>
      <c r="D56" s="7">
        <v>3598.85</v>
      </c>
      <c r="E56" s="2"/>
      <c r="F56" s="6">
        <f t="shared" si="24"/>
        <v>0</v>
      </c>
      <c r="G56" s="2"/>
      <c r="H56" s="7">
        <v>3400</v>
      </c>
      <c r="I56" s="2"/>
      <c r="J56" s="6">
        <f t="shared" si="25"/>
        <v>0</v>
      </c>
      <c r="K56" s="2"/>
      <c r="L56" s="7">
        <f t="shared" si="26"/>
        <v>198.84999999999991</v>
      </c>
      <c r="M56" s="2"/>
      <c r="N56" s="6">
        <f t="shared" si="27"/>
        <v>5.8485294117647031E-2</v>
      </c>
      <c r="O56" s="11"/>
      <c r="P56" s="7">
        <v>10796.55</v>
      </c>
      <c r="Q56" s="2"/>
      <c r="R56" s="6">
        <f t="shared" si="28"/>
        <v>0</v>
      </c>
      <c r="S56" s="2"/>
      <c r="T56" s="7">
        <v>10200</v>
      </c>
      <c r="U56" s="2"/>
      <c r="V56" s="6">
        <f t="shared" si="29"/>
        <v>0</v>
      </c>
      <c r="W56" s="2"/>
      <c r="X56" s="7">
        <f t="shared" si="30"/>
        <v>596.54999999999927</v>
      </c>
      <c r="Y56" s="2"/>
      <c r="Z56" s="6">
        <f t="shared" si="31"/>
        <v>5.848529411764699E-2</v>
      </c>
    </row>
    <row r="57" spans="1:26" s="26" customFormat="1" outlineLevel="1" collapsed="1" x14ac:dyDescent="0.25">
      <c r="A57" s="27"/>
      <c r="B57" s="13" t="str">
        <f>CONCATENATE("     ","Professional Services                             ")</f>
        <v xml:space="preserve">     Professional Services                             </v>
      </c>
      <c r="C57" s="13"/>
      <c r="D57" s="1">
        <f>SUM(OSRRefD22_9x_0)</f>
        <v>0</v>
      </c>
      <c r="E57" s="1"/>
      <c r="F57" s="5">
        <f t="shared" si="24"/>
        <v>0</v>
      </c>
      <c r="G57" s="1"/>
      <c r="H57" s="1">
        <f>SUM(OSRRefH22_9x_0)</f>
        <v>0</v>
      </c>
      <c r="I57" s="1"/>
      <c r="J57" s="5">
        <f t="shared" si="25"/>
        <v>0</v>
      </c>
      <c r="K57" s="1"/>
      <c r="L57" s="1">
        <f t="shared" si="26"/>
        <v>0</v>
      </c>
      <c r="M57" s="1"/>
      <c r="N57" s="5">
        <f t="shared" si="27"/>
        <v>0</v>
      </c>
      <c r="O57" s="13"/>
      <c r="P57" s="1">
        <f>SUM(OSRRefP22_9x_0)</f>
        <v>125</v>
      </c>
      <c r="Q57" s="1"/>
      <c r="R57" s="5">
        <f t="shared" si="28"/>
        <v>0</v>
      </c>
      <c r="S57" s="1"/>
      <c r="T57" s="1">
        <f>SUM(OSRRefT22_9x_0)</f>
        <v>0</v>
      </c>
      <c r="U57" s="1"/>
      <c r="V57" s="5">
        <f t="shared" si="29"/>
        <v>0</v>
      </c>
      <c r="W57" s="1"/>
      <c r="X57" s="1">
        <f t="shared" si="30"/>
        <v>125</v>
      </c>
      <c r="Y57" s="1"/>
      <c r="Z57" s="5">
        <f t="shared" si="31"/>
        <v>0</v>
      </c>
    </row>
    <row r="58" spans="1:26" s="24" customFormat="1" hidden="1" outlineLevel="2" x14ac:dyDescent="0.25">
      <c r="A58" s="25"/>
      <c r="B58" s="11" t="str">
        <f>CONCATENATE("          ", "6336", " - ", "PROFESSIONAL SERVICES")</f>
        <v xml:space="preserve">          6336 - PROFESSIONAL SERVICES</v>
      </c>
      <c r="C58" s="11"/>
      <c r="D58" s="7"/>
      <c r="E58" s="2"/>
      <c r="F58" s="6">
        <f t="shared" si="24"/>
        <v>0</v>
      </c>
      <c r="G58" s="2"/>
      <c r="H58" s="7"/>
      <c r="I58" s="2"/>
      <c r="J58" s="6">
        <f t="shared" si="25"/>
        <v>0</v>
      </c>
      <c r="K58" s="2"/>
      <c r="L58" s="7">
        <f t="shared" si="26"/>
        <v>0</v>
      </c>
      <c r="M58" s="2"/>
      <c r="N58" s="6">
        <f t="shared" si="27"/>
        <v>0</v>
      </c>
      <c r="O58" s="11"/>
      <c r="P58" s="7">
        <v>125</v>
      </c>
      <c r="Q58" s="2"/>
      <c r="R58" s="6">
        <f t="shared" si="28"/>
        <v>0</v>
      </c>
      <c r="S58" s="2"/>
      <c r="T58" s="7"/>
      <c r="U58" s="2"/>
      <c r="V58" s="6">
        <f t="shared" si="29"/>
        <v>0</v>
      </c>
      <c r="W58" s="2"/>
      <c r="X58" s="7">
        <f t="shared" si="30"/>
        <v>125</v>
      </c>
      <c r="Y58" s="2"/>
      <c r="Z58" s="6">
        <f t="shared" si="31"/>
        <v>0</v>
      </c>
    </row>
    <row r="59" spans="1:26" s="26" customFormat="1" outlineLevel="1" collapsed="1" x14ac:dyDescent="0.25">
      <c r="A59" s="27"/>
      <c r="B59" s="13" t="str">
        <f>CONCATENATE("     ","Repair and Maintenance                            ")</f>
        <v xml:space="preserve">     Repair and Maintenance                            </v>
      </c>
      <c r="C59" s="13"/>
      <c r="D59" s="1">
        <f>SUM(OSRRefD22_10x_0)</f>
        <v>9594.94</v>
      </c>
      <c r="E59" s="1"/>
      <c r="F59" s="5">
        <f t="shared" si="24"/>
        <v>0</v>
      </c>
      <c r="G59" s="1"/>
      <c r="H59" s="1">
        <f>SUM(OSRRefH22_10x_0)</f>
        <v>11200</v>
      </c>
      <c r="I59" s="1"/>
      <c r="J59" s="5">
        <f t="shared" si="25"/>
        <v>0</v>
      </c>
      <c r="K59" s="1"/>
      <c r="L59" s="1">
        <f t="shared" si="26"/>
        <v>-1605.0599999999995</v>
      </c>
      <c r="M59" s="1"/>
      <c r="N59" s="5">
        <f t="shared" si="27"/>
        <v>-0.14330892857142852</v>
      </c>
      <c r="O59" s="13"/>
      <c r="P59" s="1">
        <f>SUM(OSRRefP22_10x_0)</f>
        <v>36052.47</v>
      </c>
      <c r="Q59" s="1"/>
      <c r="R59" s="5">
        <f t="shared" si="28"/>
        <v>0</v>
      </c>
      <c r="S59" s="1"/>
      <c r="T59" s="1">
        <f>SUM(OSRRefT22_10x_0)</f>
        <v>44100</v>
      </c>
      <c r="U59" s="1"/>
      <c r="V59" s="5">
        <f t="shared" si="29"/>
        <v>0</v>
      </c>
      <c r="W59" s="1"/>
      <c r="X59" s="1">
        <f t="shared" si="30"/>
        <v>-8047.5299999999988</v>
      </c>
      <c r="Y59" s="1"/>
      <c r="Z59" s="5">
        <f t="shared" si="31"/>
        <v>-0.18248367346938774</v>
      </c>
    </row>
    <row r="60" spans="1:26" s="24" customFormat="1" hidden="1" outlineLevel="2" x14ac:dyDescent="0.25">
      <c r="A60" s="25"/>
      <c r="B60" s="11" t="str">
        <f>CONCATENATE("          ", "6371", " - ", "COMPUTER SOFTWARE MAINTENANCE")</f>
        <v xml:space="preserve">          6371 - COMPUTER SOFTWARE MAINTENANCE</v>
      </c>
      <c r="C60" s="11"/>
      <c r="D60" s="7"/>
      <c r="E60" s="2"/>
      <c r="F60" s="6">
        <f t="shared" si="24"/>
        <v>0</v>
      </c>
      <c r="G60" s="2"/>
      <c r="H60" s="7"/>
      <c r="I60" s="2"/>
      <c r="J60" s="6">
        <f t="shared" si="25"/>
        <v>0</v>
      </c>
      <c r="K60" s="2"/>
      <c r="L60" s="7">
        <f t="shared" si="26"/>
        <v>0</v>
      </c>
      <c r="M60" s="2"/>
      <c r="N60" s="6">
        <f t="shared" si="27"/>
        <v>0</v>
      </c>
      <c r="O60" s="11"/>
      <c r="P60" s="7"/>
      <c r="Q60" s="2"/>
      <c r="R60" s="6">
        <f t="shared" si="28"/>
        <v>0</v>
      </c>
      <c r="S60" s="2"/>
      <c r="T60" s="7">
        <v>500</v>
      </c>
      <c r="U60" s="2"/>
      <c r="V60" s="6">
        <f t="shared" si="29"/>
        <v>0</v>
      </c>
      <c r="W60" s="2"/>
      <c r="X60" s="7">
        <f t="shared" si="30"/>
        <v>-500</v>
      </c>
      <c r="Y60" s="2"/>
      <c r="Z60" s="6">
        <f t="shared" si="31"/>
        <v>-1</v>
      </c>
    </row>
    <row r="61" spans="1:26" s="24" customFormat="1" hidden="1" outlineLevel="2" x14ac:dyDescent="0.25">
      <c r="A61" s="25"/>
      <c r="B61" s="11" t="str">
        <f>CONCATENATE("          ", "6373", " - ", "MAINTENANCE CONTRACTS")</f>
        <v xml:space="preserve">          6373 - MAINTENANCE CONTRACTS</v>
      </c>
      <c r="C61" s="11"/>
      <c r="D61" s="7">
        <v>5024.67</v>
      </c>
      <c r="E61" s="2"/>
      <c r="F61" s="6">
        <f t="shared" si="24"/>
        <v>0</v>
      </c>
      <c r="G61" s="2"/>
      <c r="H61" s="7">
        <v>1200</v>
      </c>
      <c r="I61" s="2"/>
      <c r="J61" s="6">
        <f t="shared" si="25"/>
        <v>0</v>
      </c>
      <c r="K61" s="2"/>
      <c r="L61" s="7">
        <f t="shared" si="26"/>
        <v>3824.67</v>
      </c>
      <c r="M61" s="2"/>
      <c r="N61" s="6">
        <f t="shared" si="27"/>
        <v>3.1872250000000002</v>
      </c>
      <c r="O61" s="11"/>
      <c r="P61" s="7">
        <v>19097.419999999998</v>
      </c>
      <c r="Q61" s="2"/>
      <c r="R61" s="6">
        <f t="shared" si="28"/>
        <v>0</v>
      </c>
      <c r="S61" s="2"/>
      <c r="T61" s="7">
        <v>3600</v>
      </c>
      <c r="U61" s="2"/>
      <c r="V61" s="6">
        <f t="shared" si="29"/>
        <v>0</v>
      </c>
      <c r="W61" s="2"/>
      <c r="X61" s="7">
        <f t="shared" si="30"/>
        <v>15497.419999999998</v>
      </c>
      <c r="Y61" s="2"/>
      <c r="Z61" s="6">
        <f t="shared" si="31"/>
        <v>4.304838888888888</v>
      </c>
    </row>
    <row r="62" spans="1:26" s="24" customFormat="1" hidden="1" outlineLevel="2" x14ac:dyDescent="0.25">
      <c r="A62" s="25"/>
      <c r="B62" s="11" t="str">
        <f>CONCATENATE("          ", "6375", " - ", "OUTSIDE REPAIRS &amp; MAINTENANCE")</f>
        <v xml:space="preserve">          6375 - OUTSIDE REPAIRS &amp; MAINTENANCE</v>
      </c>
      <c r="C62" s="11"/>
      <c r="D62" s="7">
        <v>4570.2700000000004</v>
      </c>
      <c r="E62" s="2"/>
      <c r="F62" s="6">
        <f t="shared" si="24"/>
        <v>0</v>
      </c>
      <c r="G62" s="2"/>
      <c r="H62" s="7">
        <v>10000</v>
      </c>
      <c r="I62" s="2"/>
      <c r="J62" s="6">
        <f t="shared" si="25"/>
        <v>0</v>
      </c>
      <c r="K62" s="2"/>
      <c r="L62" s="7">
        <f t="shared" si="26"/>
        <v>-5429.73</v>
      </c>
      <c r="M62" s="2"/>
      <c r="N62" s="6">
        <f t="shared" si="27"/>
        <v>-0.54297299999999993</v>
      </c>
      <c r="O62" s="11"/>
      <c r="P62" s="7">
        <v>16955.05</v>
      </c>
      <c r="Q62" s="2"/>
      <c r="R62" s="6">
        <f t="shared" si="28"/>
        <v>0</v>
      </c>
      <c r="S62" s="2"/>
      <c r="T62" s="7">
        <v>40000</v>
      </c>
      <c r="U62" s="2"/>
      <c r="V62" s="6">
        <f t="shared" si="29"/>
        <v>0</v>
      </c>
      <c r="W62" s="2"/>
      <c r="X62" s="7">
        <f t="shared" si="30"/>
        <v>-23044.95</v>
      </c>
      <c r="Y62" s="2"/>
      <c r="Z62" s="6">
        <f t="shared" si="31"/>
        <v>-0.57612375000000005</v>
      </c>
    </row>
    <row r="63" spans="1:26" s="26" customFormat="1" outlineLevel="1" collapsed="1" x14ac:dyDescent="0.25">
      <c r="A63" s="27"/>
      <c r="B63" s="13" t="str">
        <f>CONCATENATE("     ","Services                                          ")</f>
        <v xml:space="preserve">     Services                                          </v>
      </c>
      <c r="C63" s="13"/>
      <c r="D63" s="1">
        <f>SUM(OSRRefD22_11x_0)</f>
        <v>11295.3</v>
      </c>
      <c r="E63" s="1"/>
      <c r="F63" s="5">
        <f t="shared" ref="F63:F68" si="32">IF(D$12=0,0,D63/D$12)</f>
        <v>0</v>
      </c>
      <c r="G63" s="1"/>
      <c r="H63" s="1">
        <f>SUM(OSRRefH22_11x_0)</f>
        <v>13685</v>
      </c>
      <c r="I63" s="1"/>
      <c r="J63" s="5">
        <f t="shared" ref="J63:J68" si="33">IF(H$12=0,0,H63/H$12)</f>
        <v>0</v>
      </c>
      <c r="K63" s="1"/>
      <c r="L63" s="1">
        <f t="shared" ref="L63:L68" si="34">+D63-H63</f>
        <v>-2389.7000000000007</v>
      </c>
      <c r="M63" s="1"/>
      <c r="N63" s="5">
        <f t="shared" ref="N63:N68" si="35">IF(H63=0,0,L63/H63)</f>
        <v>-0.17462184873949585</v>
      </c>
      <c r="O63" s="13"/>
      <c r="P63" s="1">
        <f>SUM(OSRRefP22_11x_0)</f>
        <v>35887.340000000004</v>
      </c>
      <c r="Q63" s="1"/>
      <c r="R63" s="5">
        <f t="shared" ref="R63:R68" si="36">IF(P$12=0,0,P63/P$12)</f>
        <v>0</v>
      </c>
      <c r="S63" s="1"/>
      <c r="T63" s="1">
        <f>SUM(OSRRefT22_11x_0)</f>
        <v>41020</v>
      </c>
      <c r="U63" s="1"/>
      <c r="V63" s="5">
        <f t="shared" ref="V63:V68" si="37">IF(T$12=0,0,T63/T$12)</f>
        <v>0</v>
      </c>
      <c r="W63" s="1"/>
      <c r="X63" s="1">
        <f t="shared" ref="X63:X68" si="38">+P63-T63</f>
        <v>-5132.6599999999962</v>
      </c>
      <c r="Y63" s="1"/>
      <c r="Z63" s="5">
        <f t="shared" ref="Z63:Z68" si="39">IF(T63=0,0,X63/T63)</f>
        <v>-0.12512579229644066</v>
      </c>
    </row>
    <row r="64" spans="1:26" s="24" customFormat="1" hidden="1" outlineLevel="2" x14ac:dyDescent="0.25">
      <c r="A64" s="25"/>
      <c r="B64" s="11" t="str">
        <f>CONCATENATE("          ", "6282", " - ", "JANITORIAL/EXTERMINATOR EXPENS")</f>
        <v xml:space="preserve">          6282 - JANITORIAL/EXTERMINATOR EXPENS</v>
      </c>
      <c r="C64" s="11"/>
      <c r="D64" s="7">
        <v>626.26</v>
      </c>
      <c r="E64" s="2"/>
      <c r="F64" s="6">
        <f t="shared" si="32"/>
        <v>0</v>
      </c>
      <c r="G64" s="2"/>
      <c r="H64" s="7">
        <v>650</v>
      </c>
      <c r="I64" s="2"/>
      <c r="J64" s="6">
        <f t="shared" si="33"/>
        <v>0</v>
      </c>
      <c r="K64" s="2"/>
      <c r="L64" s="7">
        <f t="shared" si="34"/>
        <v>-23.740000000000009</v>
      </c>
      <c r="M64" s="2"/>
      <c r="N64" s="6">
        <f t="shared" si="35"/>
        <v>-3.6523076923076936E-2</v>
      </c>
      <c r="O64" s="11"/>
      <c r="P64" s="7">
        <v>1878.78</v>
      </c>
      <c r="Q64" s="2"/>
      <c r="R64" s="6">
        <f t="shared" si="36"/>
        <v>0</v>
      </c>
      <c r="S64" s="2"/>
      <c r="T64" s="7">
        <v>1950</v>
      </c>
      <c r="U64" s="2"/>
      <c r="V64" s="6">
        <f t="shared" si="37"/>
        <v>0</v>
      </c>
      <c r="W64" s="2"/>
      <c r="X64" s="7">
        <f t="shared" si="38"/>
        <v>-71.220000000000027</v>
      </c>
      <c r="Y64" s="2"/>
      <c r="Z64" s="6">
        <f t="shared" si="39"/>
        <v>-3.6523076923076936E-2</v>
      </c>
    </row>
    <row r="65" spans="1:26" s="24" customFormat="1" hidden="1" outlineLevel="2" x14ac:dyDescent="0.25">
      <c r="A65" s="25"/>
      <c r="B65" s="11" t="str">
        <f>CONCATENATE("          ", "6283", " - ", "PLANT SERVICE")</f>
        <v xml:space="preserve">          6283 - PLANT SERVICE</v>
      </c>
      <c r="C65" s="11"/>
      <c r="D65" s="7">
        <v>35.53</v>
      </c>
      <c r="E65" s="2"/>
      <c r="F65" s="6">
        <f t="shared" si="32"/>
        <v>0</v>
      </c>
      <c r="G65" s="2"/>
      <c r="H65" s="7">
        <v>35</v>
      </c>
      <c r="I65" s="2"/>
      <c r="J65" s="6">
        <f t="shared" si="33"/>
        <v>0</v>
      </c>
      <c r="K65" s="2"/>
      <c r="L65" s="7">
        <f t="shared" si="34"/>
        <v>0.53000000000000114</v>
      </c>
      <c r="M65" s="2"/>
      <c r="N65" s="6">
        <f t="shared" si="35"/>
        <v>1.5142857142857175E-2</v>
      </c>
      <c r="O65" s="11"/>
      <c r="P65" s="7">
        <v>106.59</v>
      </c>
      <c r="Q65" s="2"/>
      <c r="R65" s="6">
        <f t="shared" si="36"/>
        <v>0</v>
      </c>
      <c r="S65" s="2"/>
      <c r="T65" s="7">
        <v>70</v>
      </c>
      <c r="U65" s="2"/>
      <c r="V65" s="6">
        <f t="shared" si="37"/>
        <v>0</v>
      </c>
      <c r="W65" s="2"/>
      <c r="X65" s="7">
        <f t="shared" si="38"/>
        <v>36.590000000000003</v>
      </c>
      <c r="Y65" s="2"/>
      <c r="Z65" s="6">
        <f t="shared" si="39"/>
        <v>0.5227142857142858</v>
      </c>
    </row>
    <row r="66" spans="1:26" s="24" customFormat="1" hidden="1" outlineLevel="2" x14ac:dyDescent="0.25">
      <c r="A66" s="25"/>
      <c r="B66" s="11" t="str">
        <f>CONCATENATE("          ", "6284", " - ", "TRASH REMOVAL EXPENSE")</f>
        <v xml:space="preserve">          6284 - TRASH REMOVAL EXPENSE</v>
      </c>
      <c r="C66" s="11"/>
      <c r="D66" s="7"/>
      <c r="E66" s="2"/>
      <c r="F66" s="6">
        <f t="shared" si="32"/>
        <v>0</v>
      </c>
      <c r="G66" s="2"/>
      <c r="H66" s="7">
        <v>3000</v>
      </c>
      <c r="I66" s="2"/>
      <c r="J66" s="6">
        <f t="shared" si="33"/>
        <v>0</v>
      </c>
      <c r="K66" s="2"/>
      <c r="L66" s="7">
        <f t="shared" si="34"/>
        <v>-3000</v>
      </c>
      <c r="M66" s="2"/>
      <c r="N66" s="6">
        <f t="shared" si="35"/>
        <v>-1</v>
      </c>
      <c r="O66" s="11"/>
      <c r="P66" s="7">
        <v>3482</v>
      </c>
      <c r="Q66" s="2"/>
      <c r="R66" s="6">
        <f t="shared" si="36"/>
        <v>0</v>
      </c>
      <c r="S66" s="2"/>
      <c r="T66" s="7">
        <v>9000</v>
      </c>
      <c r="U66" s="2"/>
      <c r="V66" s="6">
        <f t="shared" si="37"/>
        <v>0</v>
      </c>
      <c r="W66" s="2"/>
      <c r="X66" s="7">
        <f t="shared" si="38"/>
        <v>-5518</v>
      </c>
      <c r="Y66" s="2"/>
      <c r="Z66" s="6">
        <f t="shared" si="39"/>
        <v>-0.61311111111111116</v>
      </c>
    </row>
    <row r="67" spans="1:26" s="24" customFormat="1" hidden="1" outlineLevel="2" x14ac:dyDescent="0.25">
      <c r="A67" s="25"/>
      <c r="B67" s="11" t="str">
        <f>CONCATENATE("          ", "6285", " - ", "JANITORIAL SERVICES")</f>
        <v xml:space="preserve">          6285 - JANITORIAL SERVICES</v>
      </c>
      <c r="C67" s="11"/>
      <c r="D67" s="7">
        <v>10633.51</v>
      </c>
      <c r="E67" s="2"/>
      <c r="F67" s="6">
        <f t="shared" si="32"/>
        <v>0</v>
      </c>
      <c r="G67" s="2"/>
      <c r="H67" s="7">
        <v>9500</v>
      </c>
      <c r="I67" s="2"/>
      <c r="J67" s="6">
        <f t="shared" si="33"/>
        <v>0</v>
      </c>
      <c r="K67" s="2"/>
      <c r="L67" s="7">
        <f t="shared" si="34"/>
        <v>1133.5100000000002</v>
      </c>
      <c r="M67" s="2"/>
      <c r="N67" s="6">
        <f t="shared" si="35"/>
        <v>0.11931684210526318</v>
      </c>
      <c r="O67" s="11"/>
      <c r="P67" s="7">
        <v>30340.53</v>
      </c>
      <c r="Q67" s="2"/>
      <c r="R67" s="6">
        <f t="shared" si="36"/>
        <v>0</v>
      </c>
      <c r="S67" s="2"/>
      <c r="T67" s="7">
        <v>28500</v>
      </c>
      <c r="U67" s="2"/>
      <c r="V67" s="6">
        <f t="shared" si="37"/>
        <v>0</v>
      </c>
      <c r="W67" s="2"/>
      <c r="X67" s="7">
        <f t="shared" si="38"/>
        <v>1840.5299999999988</v>
      </c>
      <c r="Y67" s="2"/>
      <c r="Z67" s="6">
        <f t="shared" si="39"/>
        <v>6.4579999999999957E-2</v>
      </c>
    </row>
    <row r="68" spans="1:26" s="24" customFormat="1" hidden="1" outlineLevel="2" x14ac:dyDescent="0.25">
      <c r="A68" s="25"/>
      <c r="B68" s="11" t="str">
        <f>CONCATENATE("          ", "6286", " - ", "LAUNDRY EXPENSE")</f>
        <v xml:space="preserve">          6286 - LAUNDRY EXPENSE</v>
      </c>
      <c r="C68" s="11"/>
      <c r="D68" s="7"/>
      <c r="E68" s="2"/>
      <c r="F68" s="6">
        <f t="shared" si="32"/>
        <v>0</v>
      </c>
      <c r="G68" s="2"/>
      <c r="H68" s="7">
        <v>500</v>
      </c>
      <c r="I68" s="2"/>
      <c r="J68" s="6">
        <f t="shared" si="33"/>
        <v>0</v>
      </c>
      <c r="K68" s="2"/>
      <c r="L68" s="7">
        <f t="shared" si="34"/>
        <v>-500</v>
      </c>
      <c r="M68" s="2"/>
      <c r="N68" s="6">
        <f t="shared" si="35"/>
        <v>-1</v>
      </c>
      <c r="O68" s="11"/>
      <c r="P68" s="7">
        <v>79.44</v>
      </c>
      <c r="Q68" s="2"/>
      <c r="R68" s="6">
        <f t="shared" si="36"/>
        <v>0</v>
      </c>
      <c r="S68" s="2"/>
      <c r="T68" s="7">
        <v>1500</v>
      </c>
      <c r="U68" s="2"/>
      <c r="V68" s="6">
        <f t="shared" si="37"/>
        <v>0</v>
      </c>
      <c r="W68" s="2"/>
      <c r="X68" s="7">
        <f t="shared" si="38"/>
        <v>-1420.56</v>
      </c>
      <c r="Y68" s="2"/>
      <c r="Z68" s="6">
        <f t="shared" si="39"/>
        <v>-0.94703999999999999</v>
      </c>
    </row>
    <row r="69" spans="1:26" s="26" customFormat="1" outlineLevel="1" collapsed="1" x14ac:dyDescent="0.25">
      <c r="A69" s="27"/>
      <c r="B69" s="13" t="str">
        <f>CONCATENATE("     ","Supplies                                          ")</f>
        <v xml:space="preserve">     Supplies                                          </v>
      </c>
      <c r="C69" s="13"/>
      <c r="D69" s="1">
        <f>SUM(OSRRefD22_12x_0)</f>
        <v>14323.31</v>
      </c>
      <c r="E69" s="1"/>
      <c r="F69" s="5">
        <f t="shared" ref="F69:F76" si="40">IF(D$12=0,0,D69/D$12)</f>
        <v>0</v>
      </c>
      <c r="G69" s="1"/>
      <c r="H69" s="1">
        <f>SUM(OSRRefH22_12x_0)</f>
        <v>5100</v>
      </c>
      <c r="I69" s="1"/>
      <c r="J69" s="5">
        <f t="shared" ref="J69:J76" si="41">IF(H$12=0,0,H69/H$12)</f>
        <v>0</v>
      </c>
      <c r="K69" s="1"/>
      <c r="L69" s="1">
        <f t="shared" ref="L69:L76" si="42">+D69-H69</f>
        <v>9223.31</v>
      </c>
      <c r="M69" s="1"/>
      <c r="N69" s="5">
        <f t="shared" ref="N69:N76" si="43">IF(H69=0,0,L69/H69)</f>
        <v>1.808492156862745</v>
      </c>
      <c r="O69" s="13"/>
      <c r="P69" s="1">
        <f>SUM(OSRRefP22_12x_0)</f>
        <v>21715.7</v>
      </c>
      <c r="Q69" s="1"/>
      <c r="R69" s="5">
        <f t="shared" ref="R69:R76" si="44">IF(P$12=0,0,P69/P$12)</f>
        <v>0</v>
      </c>
      <c r="S69" s="1"/>
      <c r="T69" s="1">
        <f>SUM(OSRRefT22_12x_0)</f>
        <v>17100</v>
      </c>
      <c r="U69" s="1"/>
      <c r="V69" s="5">
        <f t="shared" ref="V69:V76" si="45">IF(T$12=0,0,T69/T$12)</f>
        <v>0</v>
      </c>
      <c r="W69" s="1"/>
      <c r="X69" s="1">
        <f t="shared" ref="X69:X76" si="46">+P69-T69</f>
        <v>4615.7000000000007</v>
      </c>
      <c r="Y69" s="1"/>
      <c r="Z69" s="5">
        <f t="shared" ref="Z69:Z76" si="47">IF(T69=0,0,X69/T69)</f>
        <v>0.26992397660818718</v>
      </c>
    </row>
    <row r="70" spans="1:26" s="24" customFormat="1" hidden="1" outlineLevel="2" x14ac:dyDescent="0.25">
      <c r="A70" s="25"/>
      <c r="B70" s="11" t="str">
        <f>CONCATENATE("          ", "6234", " - ", "EXPENDABLE SUPPLIES &amp; EQUIPMEN")</f>
        <v xml:space="preserve">          6234 - EXPENDABLE SUPPLIES &amp; EQUIPMEN</v>
      </c>
      <c r="C70" s="11"/>
      <c r="D70" s="7">
        <v>7670.09</v>
      </c>
      <c r="E70" s="2"/>
      <c r="F70" s="6">
        <f t="shared" si="40"/>
        <v>0</v>
      </c>
      <c r="G70" s="2"/>
      <c r="H70" s="7"/>
      <c r="I70" s="2"/>
      <c r="J70" s="6">
        <f t="shared" si="41"/>
        <v>0</v>
      </c>
      <c r="K70" s="2"/>
      <c r="L70" s="7">
        <f t="shared" si="42"/>
        <v>7670.09</v>
      </c>
      <c r="M70" s="2"/>
      <c r="N70" s="6">
        <f t="shared" si="43"/>
        <v>0</v>
      </c>
      <c r="O70" s="11"/>
      <c r="P70" s="7">
        <v>7670.09</v>
      </c>
      <c r="Q70" s="2"/>
      <c r="R70" s="6">
        <f t="shared" si="44"/>
        <v>0</v>
      </c>
      <c r="S70" s="2"/>
      <c r="T70" s="7"/>
      <c r="U70" s="2"/>
      <c r="V70" s="6">
        <f t="shared" si="45"/>
        <v>0</v>
      </c>
      <c r="W70" s="2"/>
      <c r="X70" s="7">
        <f t="shared" si="46"/>
        <v>7670.09</v>
      </c>
      <c r="Y70" s="2"/>
      <c r="Z70" s="6">
        <f t="shared" si="47"/>
        <v>0</v>
      </c>
    </row>
    <row r="71" spans="1:26" s="24" customFormat="1" hidden="1" outlineLevel="2" x14ac:dyDescent="0.25">
      <c r="A71" s="25"/>
      <c r="B71" s="11" t="str">
        <f>CONCATENATE("          ", "6237", " - ", "JANITORIAL SUPPLIES")</f>
        <v xml:space="preserve">          6237 - JANITORIAL SUPPLIES</v>
      </c>
      <c r="C71" s="11"/>
      <c r="D71" s="7">
        <v>3257.81</v>
      </c>
      <c r="E71" s="2"/>
      <c r="F71" s="6">
        <f t="shared" si="40"/>
        <v>0</v>
      </c>
      <c r="G71" s="2"/>
      <c r="H71" s="7">
        <v>3000</v>
      </c>
      <c r="I71" s="2"/>
      <c r="J71" s="6">
        <f t="shared" si="41"/>
        <v>0</v>
      </c>
      <c r="K71" s="2"/>
      <c r="L71" s="7">
        <f t="shared" si="42"/>
        <v>257.80999999999995</v>
      </c>
      <c r="M71" s="2"/>
      <c r="N71" s="6">
        <f t="shared" si="43"/>
        <v>8.5936666666666647E-2</v>
      </c>
      <c r="O71" s="11"/>
      <c r="P71" s="7">
        <v>8915.19</v>
      </c>
      <c r="Q71" s="2"/>
      <c r="R71" s="6">
        <f t="shared" si="44"/>
        <v>0</v>
      </c>
      <c r="S71" s="2"/>
      <c r="T71" s="7">
        <v>10000</v>
      </c>
      <c r="U71" s="2"/>
      <c r="V71" s="6">
        <f t="shared" si="45"/>
        <v>0</v>
      </c>
      <c r="W71" s="2"/>
      <c r="X71" s="7">
        <f t="shared" si="46"/>
        <v>-1084.8099999999995</v>
      </c>
      <c r="Y71" s="2"/>
      <c r="Z71" s="6">
        <f t="shared" si="47"/>
        <v>-0.10848099999999995</v>
      </c>
    </row>
    <row r="72" spans="1:26" s="24" customFormat="1" hidden="1" outlineLevel="2" x14ac:dyDescent="0.25">
      <c r="A72" s="25"/>
      <c r="B72" s="11" t="str">
        <f>CONCATENATE("          ", "6239", " - ", "KITCHEN SUPPLIES")</f>
        <v xml:space="preserve">          6239 - KITCHEN SUPPLIES</v>
      </c>
      <c r="C72" s="11"/>
      <c r="D72" s="7">
        <v>2841.98</v>
      </c>
      <c r="E72" s="2"/>
      <c r="F72" s="6">
        <f t="shared" si="40"/>
        <v>0</v>
      </c>
      <c r="G72" s="2"/>
      <c r="H72" s="7">
        <v>1500</v>
      </c>
      <c r="I72" s="2"/>
      <c r="J72" s="6">
        <f t="shared" si="41"/>
        <v>0</v>
      </c>
      <c r="K72" s="2"/>
      <c r="L72" s="7">
        <f t="shared" si="42"/>
        <v>1341.98</v>
      </c>
      <c r="M72" s="2"/>
      <c r="N72" s="6">
        <f t="shared" si="43"/>
        <v>0.8946533333333333</v>
      </c>
      <c r="O72" s="11"/>
      <c r="P72" s="7">
        <v>5807.45</v>
      </c>
      <c r="Q72" s="2"/>
      <c r="R72" s="6">
        <f t="shared" si="44"/>
        <v>0</v>
      </c>
      <c r="S72" s="2"/>
      <c r="T72" s="7">
        <v>3000</v>
      </c>
      <c r="U72" s="2"/>
      <c r="V72" s="6">
        <f t="shared" si="45"/>
        <v>0</v>
      </c>
      <c r="W72" s="2"/>
      <c r="X72" s="7">
        <f t="shared" si="46"/>
        <v>2807.45</v>
      </c>
      <c r="Y72" s="2"/>
      <c r="Z72" s="6">
        <f t="shared" si="47"/>
        <v>0.93581666666666663</v>
      </c>
    </row>
    <row r="73" spans="1:26" s="24" customFormat="1" hidden="1" outlineLevel="2" x14ac:dyDescent="0.25">
      <c r="A73" s="25"/>
      <c r="B73" s="11" t="str">
        <f>CONCATENATE("          ", "6241", " - ", "OFFICE EXPENSE")</f>
        <v xml:space="preserve">          6241 - OFFICE EXPENSE</v>
      </c>
      <c r="C73" s="11"/>
      <c r="D73" s="7">
        <v>553.42999999999995</v>
      </c>
      <c r="E73" s="2"/>
      <c r="F73" s="6">
        <f t="shared" si="40"/>
        <v>0</v>
      </c>
      <c r="G73" s="2"/>
      <c r="H73" s="7">
        <v>200</v>
      </c>
      <c r="I73" s="2"/>
      <c r="J73" s="6">
        <f t="shared" si="41"/>
        <v>0</v>
      </c>
      <c r="K73" s="2"/>
      <c r="L73" s="7">
        <f t="shared" si="42"/>
        <v>353.42999999999995</v>
      </c>
      <c r="M73" s="2"/>
      <c r="N73" s="6">
        <f t="shared" si="43"/>
        <v>1.7671499999999998</v>
      </c>
      <c r="O73" s="11"/>
      <c r="P73" s="7">
        <v>-909.84</v>
      </c>
      <c r="Q73" s="2"/>
      <c r="R73" s="6">
        <f t="shared" si="44"/>
        <v>0</v>
      </c>
      <c r="S73" s="2"/>
      <c r="T73" s="7">
        <v>900</v>
      </c>
      <c r="U73" s="2"/>
      <c r="V73" s="6">
        <f t="shared" si="45"/>
        <v>0</v>
      </c>
      <c r="W73" s="2"/>
      <c r="X73" s="7">
        <f t="shared" si="46"/>
        <v>-1809.8400000000001</v>
      </c>
      <c r="Y73" s="2"/>
      <c r="Z73" s="6">
        <f t="shared" si="47"/>
        <v>-2.0109333333333335</v>
      </c>
    </row>
    <row r="74" spans="1:26" s="24" customFormat="1" hidden="1" outlineLevel="2" x14ac:dyDescent="0.25">
      <c r="A74" s="25"/>
      <c r="B74" s="11" t="str">
        <f>CONCATENATE("          ", "6243", " - ", "PAPER SUPPLIES")</f>
        <v xml:space="preserve">          6243 - PAPER SUPPLIES</v>
      </c>
      <c r="C74" s="11"/>
      <c r="D74" s="7"/>
      <c r="E74" s="2"/>
      <c r="F74" s="6">
        <f t="shared" si="40"/>
        <v>0</v>
      </c>
      <c r="G74" s="2"/>
      <c r="H74" s="7">
        <v>400</v>
      </c>
      <c r="I74" s="2"/>
      <c r="J74" s="6">
        <f t="shared" si="41"/>
        <v>0</v>
      </c>
      <c r="K74" s="2"/>
      <c r="L74" s="7">
        <f t="shared" si="42"/>
        <v>-400</v>
      </c>
      <c r="M74" s="2"/>
      <c r="N74" s="6">
        <f t="shared" si="43"/>
        <v>-1</v>
      </c>
      <c r="O74" s="11"/>
      <c r="P74" s="7"/>
      <c r="Q74" s="2"/>
      <c r="R74" s="6">
        <f t="shared" si="44"/>
        <v>0</v>
      </c>
      <c r="S74" s="2"/>
      <c r="T74" s="7">
        <v>1200</v>
      </c>
      <c r="U74" s="2"/>
      <c r="V74" s="6">
        <f t="shared" si="45"/>
        <v>0</v>
      </c>
      <c r="W74" s="2"/>
      <c r="X74" s="7">
        <f t="shared" si="46"/>
        <v>-1200</v>
      </c>
      <c r="Y74" s="2"/>
      <c r="Z74" s="6">
        <f t="shared" si="47"/>
        <v>-1</v>
      </c>
    </row>
    <row r="75" spans="1:26" s="24" customFormat="1" hidden="1" outlineLevel="2" x14ac:dyDescent="0.25">
      <c r="A75" s="25"/>
      <c r="B75" s="11" t="str">
        <f>CONCATENATE("          ", "6245", " - ", "PRINTING")</f>
        <v xml:space="preserve">          6245 - PRINTING</v>
      </c>
      <c r="C75" s="11"/>
      <c r="D75" s="7"/>
      <c r="E75" s="2"/>
      <c r="F75" s="6">
        <f t="shared" si="40"/>
        <v>0</v>
      </c>
      <c r="G75" s="2"/>
      <c r="H75" s="7"/>
      <c r="I75" s="2"/>
      <c r="J75" s="6">
        <f t="shared" si="41"/>
        <v>0</v>
      </c>
      <c r="K75" s="2"/>
      <c r="L75" s="7">
        <f t="shared" si="42"/>
        <v>0</v>
      </c>
      <c r="M75" s="2"/>
      <c r="N75" s="6">
        <f t="shared" si="43"/>
        <v>0</v>
      </c>
      <c r="O75" s="11"/>
      <c r="P75" s="7"/>
      <c r="Q75" s="2"/>
      <c r="R75" s="6">
        <f t="shared" si="44"/>
        <v>0</v>
      </c>
      <c r="S75" s="2"/>
      <c r="T75" s="7">
        <v>500</v>
      </c>
      <c r="U75" s="2"/>
      <c r="V75" s="6">
        <f t="shared" si="45"/>
        <v>0</v>
      </c>
      <c r="W75" s="2"/>
      <c r="X75" s="7">
        <f t="shared" si="46"/>
        <v>-500</v>
      </c>
      <c r="Y75" s="2"/>
      <c r="Z75" s="6">
        <f t="shared" si="47"/>
        <v>-1</v>
      </c>
    </row>
    <row r="76" spans="1:26" s="24" customFormat="1" hidden="1" outlineLevel="2" x14ac:dyDescent="0.25">
      <c r="A76" s="25"/>
      <c r="B76" s="11" t="str">
        <f>CONCATENATE("          ", "6248", " - ", "UNIFORMS")</f>
        <v xml:space="preserve">          6248 - UNIFORMS</v>
      </c>
      <c r="C76" s="11"/>
      <c r="D76" s="7"/>
      <c r="E76" s="2"/>
      <c r="F76" s="6">
        <f t="shared" si="40"/>
        <v>0</v>
      </c>
      <c r="G76" s="2"/>
      <c r="H76" s="7"/>
      <c r="I76" s="2"/>
      <c r="J76" s="6">
        <f t="shared" si="41"/>
        <v>0</v>
      </c>
      <c r="K76" s="2"/>
      <c r="L76" s="7">
        <f t="shared" si="42"/>
        <v>0</v>
      </c>
      <c r="M76" s="2"/>
      <c r="N76" s="6">
        <f t="shared" si="43"/>
        <v>0</v>
      </c>
      <c r="O76" s="11"/>
      <c r="P76" s="7">
        <v>232.81</v>
      </c>
      <c r="Q76" s="2"/>
      <c r="R76" s="6">
        <f t="shared" si="44"/>
        <v>0</v>
      </c>
      <c r="S76" s="2"/>
      <c r="T76" s="7">
        <v>1500</v>
      </c>
      <c r="U76" s="2"/>
      <c r="V76" s="6">
        <f t="shared" si="45"/>
        <v>0</v>
      </c>
      <c r="W76" s="2"/>
      <c r="X76" s="7">
        <f t="shared" si="46"/>
        <v>-1267.19</v>
      </c>
      <c r="Y76" s="2"/>
      <c r="Z76" s="6">
        <f t="shared" si="47"/>
        <v>-0.8447933333333334</v>
      </c>
    </row>
    <row r="77" spans="1:26" s="26" customFormat="1" outlineLevel="1" collapsed="1" x14ac:dyDescent="0.25">
      <c r="A77" s="27"/>
      <c r="B77" s="13" t="str">
        <f>CONCATENATE("     ","Telephone/Data Lines                              ")</f>
        <v xml:space="preserve">     Telephone/Data Lines                              </v>
      </c>
      <c r="C77" s="13"/>
      <c r="D77" s="1">
        <f>SUM(OSRRefD22_13x_0)</f>
        <v>550</v>
      </c>
      <c r="E77" s="1"/>
      <c r="F77" s="5">
        <f t="shared" ref="F77:F84" si="48">IF(D$12=0,0,D77/D$12)</f>
        <v>0</v>
      </c>
      <c r="G77" s="1"/>
      <c r="H77" s="1">
        <f>SUM(OSRRefH22_13x_0)</f>
        <v>500</v>
      </c>
      <c r="I77" s="1"/>
      <c r="J77" s="5">
        <f t="shared" ref="J77:J84" si="49">IF(H$12=0,0,H77/H$12)</f>
        <v>0</v>
      </c>
      <c r="K77" s="1"/>
      <c r="L77" s="1">
        <f t="shared" ref="L77:L84" si="50">+D77-H77</f>
        <v>50</v>
      </c>
      <c r="M77" s="1"/>
      <c r="N77" s="5">
        <f t="shared" ref="N77:N84" si="51">IF(H77=0,0,L77/H77)</f>
        <v>0.1</v>
      </c>
      <c r="O77" s="13"/>
      <c r="P77" s="1">
        <f>SUM(OSRRefP22_13x_0)</f>
        <v>1022.55</v>
      </c>
      <c r="Q77" s="1"/>
      <c r="R77" s="5">
        <f t="shared" ref="R77:R84" si="52">IF(P$12=0,0,P77/P$12)</f>
        <v>0</v>
      </c>
      <c r="S77" s="1"/>
      <c r="T77" s="1">
        <f>SUM(OSRRefT22_13x_0)</f>
        <v>1500</v>
      </c>
      <c r="U77" s="1"/>
      <c r="V77" s="5">
        <f t="shared" ref="V77:V84" si="53">IF(T$12=0,0,T77/T$12)</f>
        <v>0</v>
      </c>
      <c r="W77" s="1"/>
      <c r="X77" s="1">
        <f t="shared" ref="X77:X84" si="54">+P77-T77</f>
        <v>-477.45000000000005</v>
      </c>
      <c r="Y77" s="1"/>
      <c r="Z77" s="5">
        <f t="shared" ref="Z77:Z84" si="55">IF(T77=0,0,X77/T77)</f>
        <v>-0.31830000000000003</v>
      </c>
    </row>
    <row r="78" spans="1:26" s="24" customFormat="1" hidden="1" outlineLevel="2" x14ac:dyDescent="0.25">
      <c r="A78" s="25"/>
      <c r="B78" s="11" t="str">
        <f>CONCATENATE("          ", "6309", " - ", "TELEPHONE")</f>
        <v xml:space="preserve">          6309 - TELEPHONE</v>
      </c>
      <c r="C78" s="11"/>
      <c r="D78" s="7">
        <v>550</v>
      </c>
      <c r="E78" s="2"/>
      <c r="F78" s="6">
        <f t="shared" si="48"/>
        <v>0</v>
      </c>
      <c r="G78" s="2"/>
      <c r="H78" s="7">
        <v>500</v>
      </c>
      <c r="I78" s="2"/>
      <c r="J78" s="6">
        <f t="shared" si="49"/>
        <v>0</v>
      </c>
      <c r="K78" s="2"/>
      <c r="L78" s="7">
        <f t="shared" si="50"/>
        <v>50</v>
      </c>
      <c r="M78" s="2"/>
      <c r="N78" s="6">
        <f t="shared" si="51"/>
        <v>0.1</v>
      </c>
      <c r="O78" s="11"/>
      <c r="P78" s="7">
        <v>1022.55</v>
      </c>
      <c r="Q78" s="2"/>
      <c r="R78" s="6">
        <f t="shared" si="52"/>
        <v>0</v>
      </c>
      <c r="S78" s="2"/>
      <c r="T78" s="7">
        <v>1500</v>
      </c>
      <c r="U78" s="2"/>
      <c r="V78" s="6">
        <f t="shared" si="53"/>
        <v>0</v>
      </c>
      <c r="W78" s="2"/>
      <c r="X78" s="7">
        <f t="shared" si="54"/>
        <v>-477.45000000000005</v>
      </c>
      <c r="Y78" s="2"/>
      <c r="Z78" s="6">
        <f t="shared" si="55"/>
        <v>-0.31830000000000003</v>
      </c>
    </row>
    <row r="79" spans="1:26" s="26" customFormat="1" outlineLevel="1" collapsed="1" x14ac:dyDescent="0.25">
      <c r="A79" s="27"/>
      <c r="B79" s="13" t="str">
        <f>CONCATENATE("     ","Training                                          ")</f>
        <v xml:space="preserve">     Training                                          </v>
      </c>
      <c r="C79" s="13"/>
      <c r="D79" s="1">
        <f>SUM(OSRRefD22_14x_0)</f>
        <v>0</v>
      </c>
      <c r="E79" s="1"/>
      <c r="F79" s="5">
        <f t="shared" si="48"/>
        <v>0</v>
      </c>
      <c r="G79" s="1"/>
      <c r="H79" s="1">
        <f>SUM(OSRRefH22_14x_0)</f>
        <v>0</v>
      </c>
      <c r="I79" s="1"/>
      <c r="J79" s="5">
        <f t="shared" si="49"/>
        <v>0</v>
      </c>
      <c r="K79" s="1"/>
      <c r="L79" s="1">
        <f t="shared" si="50"/>
        <v>0</v>
      </c>
      <c r="M79" s="1"/>
      <c r="N79" s="5">
        <f t="shared" si="51"/>
        <v>0</v>
      </c>
      <c r="O79" s="13"/>
      <c r="P79" s="1">
        <f>SUM(OSRRefP22_14x_0)</f>
        <v>240</v>
      </c>
      <c r="Q79" s="1"/>
      <c r="R79" s="5">
        <f t="shared" si="52"/>
        <v>0</v>
      </c>
      <c r="S79" s="1"/>
      <c r="T79" s="1">
        <f>SUM(OSRRefT22_14x_0)</f>
        <v>1000</v>
      </c>
      <c r="U79" s="1"/>
      <c r="V79" s="5">
        <f t="shared" si="53"/>
        <v>0</v>
      </c>
      <c r="W79" s="1"/>
      <c r="X79" s="1">
        <f t="shared" si="54"/>
        <v>-760</v>
      </c>
      <c r="Y79" s="1"/>
      <c r="Z79" s="5">
        <f t="shared" si="55"/>
        <v>-0.76</v>
      </c>
    </row>
    <row r="80" spans="1:26" s="24" customFormat="1" hidden="1" outlineLevel="2" x14ac:dyDescent="0.25">
      <c r="A80" s="25"/>
      <c r="B80" s="11" t="str">
        <f>CONCATENATE("          ", "6376", " - ", "TRAINING")</f>
        <v xml:space="preserve">          6376 - TRAINING</v>
      </c>
      <c r="C80" s="11"/>
      <c r="D80" s="7"/>
      <c r="E80" s="2"/>
      <c r="F80" s="6">
        <f t="shared" si="48"/>
        <v>0</v>
      </c>
      <c r="G80" s="2"/>
      <c r="H80" s="7"/>
      <c r="I80" s="2"/>
      <c r="J80" s="6">
        <f t="shared" si="49"/>
        <v>0</v>
      </c>
      <c r="K80" s="2"/>
      <c r="L80" s="7">
        <f t="shared" si="50"/>
        <v>0</v>
      </c>
      <c r="M80" s="2"/>
      <c r="N80" s="6">
        <f t="shared" si="51"/>
        <v>0</v>
      </c>
      <c r="O80" s="11"/>
      <c r="P80" s="7">
        <v>240</v>
      </c>
      <c r="Q80" s="2"/>
      <c r="R80" s="6">
        <f t="shared" si="52"/>
        <v>0</v>
      </c>
      <c r="S80" s="2"/>
      <c r="T80" s="7">
        <v>1000</v>
      </c>
      <c r="U80" s="2"/>
      <c r="V80" s="6">
        <f t="shared" si="53"/>
        <v>0</v>
      </c>
      <c r="W80" s="2"/>
      <c r="X80" s="7">
        <f t="shared" si="54"/>
        <v>-760</v>
      </c>
      <c r="Y80" s="2"/>
      <c r="Z80" s="6">
        <f t="shared" si="55"/>
        <v>-0.76</v>
      </c>
    </row>
    <row r="81" spans="1:26" s="26" customFormat="1" outlineLevel="1" collapsed="1" x14ac:dyDescent="0.25">
      <c r="A81" s="27"/>
      <c r="B81" s="13" t="str">
        <f>CONCATENATE("     ","Travel                                            ")</f>
        <v xml:space="preserve">     Travel                                            </v>
      </c>
      <c r="C81" s="13"/>
      <c r="D81" s="1">
        <f>SUM(OSRRefD22_15x_0)</f>
        <v>249.82</v>
      </c>
      <c r="E81" s="1"/>
      <c r="F81" s="5">
        <f t="shared" si="48"/>
        <v>0</v>
      </c>
      <c r="G81" s="1"/>
      <c r="H81" s="1">
        <f>SUM(OSRRefH22_15x_0)</f>
        <v>0</v>
      </c>
      <c r="I81" s="1"/>
      <c r="J81" s="5">
        <f t="shared" si="49"/>
        <v>0</v>
      </c>
      <c r="K81" s="1"/>
      <c r="L81" s="1">
        <f t="shared" si="50"/>
        <v>249.82</v>
      </c>
      <c r="M81" s="1"/>
      <c r="N81" s="5">
        <f t="shared" si="51"/>
        <v>0</v>
      </c>
      <c r="O81" s="13"/>
      <c r="P81" s="1">
        <f>SUM(OSRRefP22_15x_0)</f>
        <v>1101.18</v>
      </c>
      <c r="Q81" s="1"/>
      <c r="R81" s="5">
        <f t="shared" si="52"/>
        <v>0</v>
      </c>
      <c r="S81" s="1"/>
      <c r="T81" s="1">
        <f>SUM(OSRRefT22_15x_0)</f>
        <v>0</v>
      </c>
      <c r="U81" s="1"/>
      <c r="V81" s="5">
        <f t="shared" si="53"/>
        <v>0</v>
      </c>
      <c r="W81" s="1"/>
      <c r="X81" s="1">
        <f t="shared" si="54"/>
        <v>1101.18</v>
      </c>
      <c r="Y81" s="1"/>
      <c r="Z81" s="5">
        <f t="shared" si="55"/>
        <v>0</v>
      </c>
    </row>
    <row r="82" spans="1:26" s="24" customFormat="1" hidden="1" outlineLevel="2" x14ac:dyDescent="0.25">
      <c r="A82" s="25"/>
      <c r="B82" s="11" t="str">
        <f>CONCATENATE("          ", "6292", " - ", "TRAVEL/CONFERENCE")</f>
        <v xml:space="preserve">          6292 - TRAVEL/CONFERENCE</v>
      </c>
      <c r="C82" s="11"/>
      <c r="D82" s="7"/>
      <c r="E82" s="2"/>
      <c r="F82" s="6">
        <f t="shared" si="48"/>
        <v>0</v>
      </c>
      <c r="G82" s="2"/>
      <c r="H82" s="7"/>
      <c r="I82" s="2"/>
      <c r="J82" s="6">
        <f t="shared" si="49"/>
        <v>0</v>
      </c>
      <c r="K82" s="2"/>
      <c r="L82" s="7">
        <f t="shared" si="50"/>
        <v>0</v>
      </c>
      <c r="M82" s="2"/>
      <c r="N82" s="6">
        <f t="shared" si="51"/>
        <v>0</v>
      </c>
      <c r="O82" s="11"/>
      <c r="P82" s="7">
        <v>545.69000000000005</v>
      </c>
      <c r="Q82" s="2"/>
      <c r="R82" s="6">
        <f t="shared" si="52"/>
        <v>0</v>
      </c>
      <c r="S82" s="2"/>
      <c r="T82" s="7"/>
      <c r="U82" s="2"/>
      <c r="V82" s="6">
        <f t="shared" si="53"/>
        <v>0</v>
      </c>
      <c r="W82" s="2"/>
      <c r="X82" s="7">
        <f t="shared" si="54"/>
        <v>545.69000000000005</v>
      </c>
      <c r="Y82" s="2"/>
      <c r="Z82" s="6">
        <f t="shared" si="55"/>
        <v>0</v>
      </c>
    </row>
    <row r="83" spans="1:26" s="24" customFormat="1" hidden="1" outlineLevel="2" x14ac:dyDescent="0.25">
      <c r="A83" s="25"/>
      <c r="B83" s="11" t="str">
        <f>CONCATENATE("          ", "6294", " - ", "TRAVEL OPERATIONAL")</f>
        <v xml:space="preserve">          6294 - TRAVEL OPERATIONAL</v>
      </c>
      <c r="C83" s="11"/>
      <c r="D83" s="7"/>
      <c r="E83" s="2"/>
      <c r="F83" s="6">
        <f t="shared" si="48"/>
        <v>0</v>
      </c>
      <c r="G83" s="2"/>
      <c r="H83" s="7"/>
      <c r="I83" s="2"/>
      <c r="J83" s="6">
        <f t="shared" si="49"/>
        <v>0</v>
      </c>
      <c r="K83" s="2"/>
      <c r="L83" s="7">
        <f t="shared" si="50"/>
        <v>0</v>
      </c>
      <c r="M83" s="2"/>
      <c r="N83" s="6">
        <f t="shared" si="51"/>
        <v>0</v>
      </c>
      <c r="O83" s="11"/>
      <c r="P83" s="7">
        <v>45.49</v>
      </c>
      <c r="Q83" s="2"/>
      <c r="R83" s="6">
        <f t="shared" si="52"/>
        <v>0</v>
      </c>
      <c r="S83" s="2"/>
      <c r="T83" s="7"/>
      <c r="U83" s="2"/>
      <c r="V83" s="6">
        <f t="shared" si="53"/>
        <v>0</v>
      </c>
      <c r="W83" s="2"/>
      <c r="X83" s="7">
        <f t="shared" si="54"/>
        <v>45.49</v>
      </c>
      <c r="Y83" s="2"/>
      <c r="Z83" s="6">
        <f t="shared" si="55"/>
        <v>0</v>
      </c>
    </row>
    <row r="84" spans="1:26" s="24" customFormat="1" hidden="1" outlineLevel="2" x14ac:dyDescent="0.25">
      <c r="A84" s="25"/>
      <c r="B84" s="11" t="str">
        <f>CONCATENATE("          ", "6298", " - ", "VEHICLE MILEAGE")</f>
        <v xml:space="preserve">          6298 - VEHICLE MILEAGE</v>
      </c>
      <c r="C84" s="11"/>
      <c r="D84" s="7">
        <v>249.82</v>
      </c>
      <c r="E84" s="2"/>
      <c r="F84" s="6">
        <f t="shared" si="48"/>
        <v>0</v>
      </c>
      <c r="G84" s="2"/>
      <c r="H84" s="7"/>
      <c r="I84" s="2"/>
      <c r="J84" s="6">
        <f t="shared" si="49"/>
        <v>0</v>
      </c>
      <c r="K84" s="2"/>
      <c r="L84" s="7">
        <f t="shared" si="50"/>
        <v>249.82</v>
      </c>
      <c r="M84" s="2"/>
      <c r="N84" s="6">
        <f t="shared" si="51"/>
        <v>0</v>
      </c>
      <c r="O84" s="11"/>
      <c r="P84" s="7">
        <v>510</v>
      </c>
      <c r="Q84" s="2"/>
      <c r="R84" s="6">
        <f t="shared" si="52"/>
        <v>0</v>
      </c>
      <c r="S84" s="2"/>
      <c r="T84" s="7"/>
      <c r="U84" s="2"/>
      <c r="V84" s="6">
        <f t="shared" si="53"/>
        <v>0</v>
      </c>
      <c r="W84" s="2"/>
      <c r="X84" s="7">
        <f t="shared" si="54"/>
        <v>510</v>
      </c>
      <c r="Y84" s="2"/>
      <c r="Z84" s="6">
        <f t="shared" si="55"/>
        <v>0</v>
      </c>
    </row>
    <row r="85" spans="1:26" s="26" customFormat="1" outlineLevel="1" collapsed="1" x14ac:dyDescent="0.25">
      <c r="A85" s="27"/>
      <c r="B85" s="13" t="str">
        <f>CONCATENATE("     ","Utilities                                         ")</f>
        <v xml:space="preserve">     Utilities                                         </v>
      </c>
      <c r="C85" s="13"/>
      <c r="D85" s="1">
        <f>SUM(OSRRefD22_16x_0)</f>
        <v>14836</v>
      </c>
      <c r="E85" s="1"/>
      <c r="F85" s="5">
        <f t="shared" ref="F85:F86" si="56">IF(D$12=0,0,D85/D$12)</f>
        <v>0</v>
      </c>
      <c r="G85" s="1"/>
      <c r="H85" s="1">
        <f>SUM(OSRRefH22_16x_0)</f>
        <v>15000</v>
      </c>
      <c r="I85" s="1"/>
      <c r="J85" s="5">
        <f t="shared" ref="J85:J86" si="57">IF(H$12=0,0,H85/H$12)</f>
        <v>0</v>
      </c>
      <c r="K85" s="1"/>
      <c r="L85" s="1">
        <f t="shared" ref="L85:L86" si="58">+D85-H85</f>
        <v>-164</v>
      </c>
      <c r="M85" s="1"/>
      <c r="N85" s="5">
        <f t="shared" ref="N85:N86" si="59">IF(H85=0,0,L85/H85)</f>
        <v>-1.0933333333333333E-2</v>
      </c>
      <c r="O85" s="13"/>
      <c r="P85" s="1">
        <f>SUM(OSRRefP22_16x_0)</f>
        <v>26190</v>
      </c>
      <c r="Q85" s="1"/>
      <c r="R85" s="5">
        <f t="shared" ref="R85:R86" si="60">IF(P$12=0,0,P85/P$12)</f>
        <v>0</v>
      </c>
      <c r="S85" s="1"/>
      <c r="T85" s="1">
        <f>SUM(OSRRefT22_16x_0)</f>
        <v>50000</v>
      </c>
      <c r="U85" s="1"/>
      <c r="V85" s="5">
        <f t="shared" ref="V85:V86" si="61">IF(T$12=0,0,T85/T$12)</f>
        <v>0</v>
      </c>
      <c r="W85" s="1"/>
      <c r="X85" s="1">
        <f t="shared" ref="X85:X86" si="62">+P85-T85</f>
        <v>-23810</v>
      </c>
      <c r="Y85" s="1"/>
      <c r="Z85" s="5">
        <f t="shared" ref="Z85:Z86" si="63">IF(T85=0,0,X85/T85)</f>
        <v>-0.47620000000000001</v>
      </c>
    </row>
    <row r="86" spans="1:26" s="24" customFormat="1" hidden="1" outlineLevel="2" x14ac:dyDescent="0.25">
      <c r="A86" s="25"/>
      <c r="B86" s="11" t="str">
        <f>CONCATENATE("          ", "6274", " - ", "UTILITIES")</f>
        <v xml:space="preserve">          6274 - UTILITIES</v>
      </c>
      <c r="C86" s="11"/>
      <c r="D86" s="7">
        <v>14836</v>
      </c>
      <c r="E86" s="2"/>
      <c r="F86" s="6">
        <f t="shared" si="56"/>
        <v>0</v>
      </c>
      <c r="G86" s="2"/>
      <c r="H86" s="7">
        <v>15000</v>
      </c>
      <c r="I86" s="2"/>
      <c r="J86" s="6">
        <f t="shared" si="57"/>
        <v>0</v>
      </c>
      <c r="K86" s="2"/>
      <c r="L86" s="7">
        <f t="shared" si="58"/>
        <v>-164</v>
      </c>
      <c r="M86" s="2"/>
      <c r="N86" s="6">
        <f t="shared" si="59"/>
        <v>-1.0933333333333333E-2</v>
      </c>
      <c r="O86" s="11"/>
      <c r="P86" s="7">
        <v>26190</v>
      </c>
      <c r="Q86" s="2"/>
      <c r="R86" s="6">
        <f t="shared" si="60"/>
        <v>0</v>
      </c>
      <c r="S86" s="2"/>
      <c r="T86" s="7">
        <v>50000</v>
      </c>
      <c r="U86" s="2"/>
      <c r="V86" s="6">
        <f t="shared" si="61"/>
        <v>0</v>
      </c>
      <c r="W86" s="2"/>
      <c r="X86" s="7">
        <f t="shared" si="62"/>
        <v>-23810</v>
      </c>
      <c r="Y86" s="2"/>
      <c r="Z86" s="6">
        <f t="shared" si="63"/>
        <v>-0.47620000000000001</v>
      </c>
    </row>
    <row r="87" spans="1:26" s="63" customFormat="1" x14ac:dyDescent="0.25">
      <c r="A87" s="36"/>
      <c r="B87" s="36"/>
      <c r="C87" s="36"/>
      <c r="D87" s="1"/>
      <c r="E87" s="1"/>
      <c r="F87" s="5"/>
      <c r="G87" s="1"/>
      <c r="H87" s="1"/>
      <c r="I87" s="1"/>
      <c r="J87" s="5"/>
      <c r="K87" s="1"/>
      <c r="L87" s="1"/>
      <c r="M87" s="1"/>
      <c r="N87" s="5"/>
      <c r="O87" s="36"/>
      <c r="P87" s="1"/>
      <c r="Q87" s="1"/>
      <c r="R87" s="5"/>
      <c r="S87" s="1"/>
      <c r="T87" s="1"/>
      <c r="U87" s="1"/>
      <c r="V87" s="5"/>
      <c r="W87" s="1"/>
      <c r="X87" s="1"/>
      <c r="Y87" s="1"/>
      <c r="Z87" s="5"/>
    </row>
    <row r="88" spans="1:26" s="23" customFormat="1" collapsed="1" x14ac:dyDescent="0.25">
      <c r="A88" s="10"/>
      <c r="B88" s="28" t="s">
        <v>0</v>
      </c>
      <c r="C88" s="10"/>
      <c r="D88" s="4">
        <f>SUM(OSRRefD25x_0)</f>
        <v>7639.18</v>
      </c>
      <c r="E88" s="4"/>
      <c r="F88" s="12">
        <f t="shared" ref="F88:F90" si="64">IF(D$12=0,0,D88/D$12)</f>
        <v>0</v>
      </c>
      <c r="G88" s="4"/>
      <c r="H88" s="4">
        <f>SUM(OSRRefH25x_0)</f>
        <v>2601</v>
      </c>
      <c r="I88" s="4"/>
      <c r="J88" s="12">
        <f t="shared" ref="J88:J90" si="65">IF(H$12=0,0,H88/H$12)</f>
        <v>0</v>
      </c>
      <c r="K88" s="4"/>
      <c r="L88" s="4">
        <f t="shared" ref="L88:L90" si="66">+D88-H88</f>
        <v>5038.18</v>
      </c>
      <c r="M88" s="4"/>
      <c r="N88" s="12">
        <f t="shared" ref="N88:N90" si="67">IF(H88=0,0,L88/H88)</f>
        <v>1.9370165321030375</v>
      </c>
      <c r="O88" s="10"/>
      <c r="P88" s="4">
        <f>SUM(OSRRefP25x_0)</f>
        <v>10454.32</v>
      </c>
      <c r="Q88" s="4"/>
      <c r="R88" s="12">
        <f t="shared" ref="R88:R90" si="68">IF(P$12=0,0,P88/P$12)</f>
        <v>0</v>
      </c>
      <c r="S88" s="4"/>
      <c r="T88" s="4">
        <f>SUM(OSRRefT25x_0)</f>
        <v>5786</v>
      </c>
      <c r="U88" s="4"/>
      <c r="V88" s="12">
        <f t="shared" ref="V88:V90" si="69">IF(T$12=0,0,T88/T$12)</f>
        <v>0</v>
      </c>
      <c r="W88" s="4"/>
      <c r="X88" s="4">
        <f t="shared" ref="X88:X90" si="70">+P88-T88</f>
        <v>4668.32</v>
      </c>
      <c r="Y88" s="4"/>
      <c r="Z88" s="12">
        <f t="shared" ref="Z88:Z90" si="71">IF(T88=0,0,X88/T88)</f>
        <v>0.80683027998617352</v>
      </c>
    </row>
    <row r="89" spans="1:26" s="24" customFormat="1" hidden="1" outlineLevel="1" x14ac:dyDescent="0.25">
      <c r="A89" s="46"/>
      <c r="B89" s="11" t="str">
        <f>CONCATENATE("          ", "9150", " - ", "MISC. INCOME")</f>
        <v xml:space="preserve">          9150 - MISC. INCOME</v>
      </c>
      <c r="C89" s="11"/>
      <c r="D89" s="2">
        <f>--7639.18</f>
        <v>7639.18</v>
      </c>
      <c r="E89" s="2"/>
      <c r="F89" s="19">
        <f t="shared" si="64"/>
        <v>0</v>
      </c>
      <c r="G89" s="2"/>
      <c r="H89" s="2">
        <v>2601</v>
      </c>
      <c r="I89" s="2"/>
      <c r="J89" s="19">
        <f t="shared" si="65"/>
        <v>0</v>
      </c>
      <c r="K89" s="2"/>
      <c r="L89" s="2">
        <f t="shared" si="66"/>
        <v>5038.18</v>
      </c>
      <c r="M89" s="2"/>
      <c r="N89" s="19">
        <f t="shared" si="67"/>
        <v>1.9370165321030375</v>
      </c>
      <c r="O89" s="11"/>
      <c r="P89" s="2">
        <f>--9443.39</f>
        <v>9443.39</v>
      </c>
      <c r="Q89" s="2"/>
      <c r="R89" s="19">
        <f t="shared" si="68"/>
        <v>0</v>
      </c>
      <c r="S89" s="2"/>
      <c r="T89" s="2">
        <v>5786</v>
      </c>
      <c r="U89" s="2"/>
      <c r="V89" s="19">
        <f t="shared" si="69"/>
        <v>0</v>
      </c>
      <c r="W89" s="2"/>
      <c r="X89" s="2">
        <f t="shared" si="70"/>
        <v>3657.3899999999994</v>
      </c>
      <c r="Y89" s="2"/>
      <c r="Z89" s="19">
        <f t="shared" si="71"/>
        <v>0.63211026615969568</v>
      </c>
    </row>
    <row r="90" spans="1:26" s="24" customFormat="1" hidden="1" outlineLevel="1" x14ac:dyDescent="0.25">
      <c r="A90" s="46"/>
      <c r="B90" s="11" t="str">
        <f>CONCATENATE("          ", "9160", " - ", "MISC. INCOME")</f>
        <v xml:space="preserve">          9160 - MISC. INCOME</v>
      </c>
      <c r="C90" s="11"/>
      <c r="D90" s="2">
        <f>0</f>
        <v>0</v>
      </c>
      <c r="E90" s="2"/>
      <c r="F90" s="19">
        <f t="shared" si="64"/>
        <v>0</v>
      </c>
      <c r="G90" s="2"/>
      <c r="H90" s="2"/>
      <c r="I90" s="2"/>
      <c r="J90" s="19">
        <f t="shared" si="65"/>
        <v>0</v>
      </c>
      <c r="K90" s="2"/>
      <c r="L90" s="2">
        <f t="shared" si="66"/>
        <v>0</v>
      </c>
      <c r="M90" s="2"/>
      <c r="N90" s="19">
        <f t="shared" si="67"/>
        <v>0</v>
      </c>
      <c r="O90" s="11"/>
      <c r="P90" s="2">
        <f>--1010.93</f>
        <v>1010.93</v>
      </c>
      <c r="Q90" s="2"/>
      <c r="R90" s="19">
        <f t="shared" si="68"/>
        <v>0</v>
      </c>
      <c r="S90" s="2"/>
      <c r="T90" s="2"/>
      <c r="U90" s="2"/>
      <c r="V90" s="19">
        <f t="shared" si="69"/>
        <v>0</v>
      </c>
      <c r="W90" s="2"/>
      <c r="X90" s="2">
        <f t="shared" si="70"/>
        <v>1010.93</v>
      </c>
      <c r="Y90" s="2"/>
      <c r="Z90" s="19">
        <f t="shared" si="71"/>
        <v>0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10"/>
      <c r="B92" s="29" t="s">
        <v>3</v>
      </c>
      <c r="C92" s="29"/>
      <c r="D92" s="22">
        <f>+D16-D18+D88</f>
        <v>-92130.4</v>
      </c>
      <c r="E92" s="14"/>
      <c r="F92" s="20">
        <f>IF(D$12=0,0,D92/D$12)</f>
        <v>0</v>
      </c>
      <c r="G92" s="14"/>
      <c r="H92" s="22">
        <f>+H16-H18+H88</f>
        <v>-90707.60679145722</v>
      </c>
      <c r="I92" s="14"/>
      <c r="J92" s="20">
        <f>IF(H$12=0,0,H92/H$12)</f>
        <v>0</v>
      </c>
      <c r="K92" s="15"/>
      <c r="L92" s="22">
        <f>+D92-H92</f>
        <v>-1422.7932085427747</v>
      </c>
      <c r="M92" s="15"/>
      <c r="N92" s="20">
        <f>IF(H92=0,0,L92/H92)</f>
        <v>1.5685489440966843E-2</v>
      </c>
      <c r="O92" s="28"/>
      <c r="P92" s="22">
        <f>+P16-P18+P88</f>
        <v>-261036.2</v>
      </c>
      <c r="Q92" s="14"/>
      <c r="R92" s="20">
        <f>IF(P$12=0,0,P92/P$12)</f>
        <v>0</v>
      </c>
      <c r="S92" s="14"/>
      <c r="T92" s="22">
        <f>+T16-T18+T88</f>
        <v>-298009.30643646</v>
      </c>
      <c r="U92" s="14"/>
      <c r="V92" s="20">
        <f>IF(T$12=0,0,T92/T$12)</f>
        <v>0</v>
      </c>
      <c r="W92" s="15"/>
      <c r="X92" s="22">
        <f>+P92-T92</f>
        <v>36973.106436459988</v>
      </c>
      <c r="Y92" s="15"/>
      <c r="Z92" s="20">
        <f>IF(T92=0,0,X92/T92)</f>
        <v>-0.1240669524001701</v>
      </c>
    </row>
    <row r="93" spans="1:26" x14ac:dyDescent="0.25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52"/>
      <c r="B94" s="10" t="s">
        <v>14</v>
      </c>
      <c r="C94" s="10"/>
      <c r="D94" s="4"/>
      <c r="E94" s="4"/>
      <c r="F94" s="12">
        <f>IF(D$12=0,0,D94/D$12)</f>
        <v>0</v>
      </c>
      <c r="G94" s="4"/>
      <c r="H94" s="4"/>
      <c r="I94" s="4"/>
      <c r="J94" s="12">
        <f>IF(H$12=0,0,H94/H$12)</f>
        <v>0</v>
      </c>
      <c r="K94" s="4"/>
      <c r="L94" s="4">
        <f>+D94-H94</f>
        <v>0</v>
      </c>
      <c r="M94" s="4"/>
      <c r="N94" s="12">
        <f>IF(H94=0,0,L94/H94)</f>
        <v>0</v>
      </c>
      <c r="O94" s="10"/>
      <c r="P94" s="4"/>
      <c r="Q94" s="4"/>
      <c r="R94" s="12">
        <f>IF(P$12=0,0,P94/P$12)</f>
        <v>0</v>
      </c>
      <c r="S94" s="4"/>
      <c r="T94" s="4"/>
      <c r="U94" s="4"/>
      <c r="V94" s="12">
        <f>IF(T$12=0,0,T94/T$12)</f>
        <v>0</v>
      </c>
      <c r="W94" s="4"/>
      <c r="X94" s="4">
        <f>+P94-T94</f>
        <v>0</v>
      </c>
      <c r="Y94" s="4"/>
      <c r="Z94" s="12">
        <f>IF(T94=0,0,X94/T94)</f>
        <v>0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9" t="s">
        <v>4</v>
      </c>
      <c r="C96" s="29"/>
      <c r="D96" s="35">
        <f>+D92-D94</f>
        <v>-92130.4</v>
      </c>
      <c r="E96" s="14"/>
      <c r="F96" s="32">
        <f>IF(D$12=0,0,D96/D$12)</f>
        <v>0</v>
      </c>
      <c r="G96" s="14"/>
      <c r="H96" s="35">
        <f>+H92-H94</f>
        <v>-90707.60679145722</v>
      </c>
      <c r="I96" s="14"/>
      <c r="J96" s="32">
        <f>IF(H$12=0,0,H96/H$12)</f>
        <v>0</v>
      </c>
      <c r="K96" s="15"/>
      <c r="L96" s="35">
        <f>D96-H96</f>
        <v>-1422.7932085427747</v>
      </c>
      <c r="M96" s="15"/>
      <c r="N96" s="32">
        <f>IF(H96=0,0,L96/H96)</f>
        <v>1.5685489440966843E-2</v>
      </c>
      <c r="O96" s="28"/>
      <c r="P96" s="35">
        <f>+P92-P94</f>
        <v>-261036.2</v>
      </c>
      <c r="Q96" s="14"/>
      <c r="R96" s="32">
        <f>IF(P$12=0,0,P96/P$12)</f>
        <v>0</v>
      </c>
      <c r="S96" s="14"/>
      <c r="T96" s="35">
        <f>+T92-T94</f>
        <v>-298009.30643646</v>
      </c>
      <c r="U96" s="14"/>
      <c r="V96" s="32">
        <f>IF(T$12=0,0,T96/T$12)</f>
        <v>0</v>
      </c>
      <c r="W96" s="15"/>
      <c r="X96" s="35">
        <f>P96-T96</f>
        <v>36973.106436459988</v>
      </c>
      <c r="Y96" s="15"/>
      <c r="Z96" s="32">
        <f>IF(T96=0,0,X96/T96)</f>
        <v>-0.1240669524001701</v>
      </c>
    </row>
    <row r="97" spans="1:26" ht="15.75" thickTop="1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9" t="s">
        <v>5</v>
      </c>
      <c r="C99" s="29"/>
      <c r="D99" s="30">
        <f>SUM(D96:D98)</f>
        <v>-92130.4</v>
      </c>
      <c r="E99" s="14"/>
      <c r="F99" s="31">
        <f>IF(D$12=0,0,D99/D$12)</f>
        <v>0</v>
      </c>
      <c r="G99" s="14"/>
      <c r="H99" s="30">
        <f>SUM(H96:H98)</f>
        <v>-90707.60679145722</v>
      </c>
      <c r="I99" s="14"/>
      <c r="J99" s="31">
        <f>IF(H$12=0,0,H99/H$12)</f>
        <v>0</v>
      </c>
      <c r="K99" s="15"/>
      <c r="L99" s="30">
        <f>+D99-H99</f>
        <v>-1422.7932085427747</v>
      </c>
      <c r="M99" s="15"/>
      <c r="N99" s="31">
        <f>IF(H99=0,0,L99/H99)</f>
        <v>1.5685489440966843E-2</v>
      </c>
      <c r="O99" s="28"/>
      <c r="P99" s="30">
        <f>SUM(P96:P98)</f>
        <v>-261036.2</v>
      </c>
      <c r="Q99" s="14"/>
      <c r="R99" s="31">
        <f>IF(P$12=0,0,P99/P$12)</f>
        <v>0</v>
      </c>
      <c r="S99" s="14"/>
      <c r="T99" s="30">
        <f>SUM(T96:T98)</f>
        <v>-298009.30643646</v>
      </c>
      <c r="U99" s="14"/>
      <c r="V99" s="31">
        <f>IF(T$12=0,0,T99/T$12)</f>
        <v>0</v>
      </c>
      <c r="W99" s="15"/>
      <c r="X99" s="30">
        <f>+P99-T99</f>
        <v>36973.106436459988</v>
      </c>
      <c r="Y99" s="15"/>
      <c r="Z99" s="31">
        <f>IF(T99=0,0,X99/T99)</f>
        <v>-0.1240669524001701</v>
      </c>
    </row>
    <row r="100" spans="1:26" ht="15.75" thickTop="1" x14ac:dyDescent="0.25">
      <c r="A100" s="9"/>
      <c r="C100" s="9"/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6" x14ac:dyDescent="0.25">
      <c r="A101" s="9"/>
      <c r="B101" s="53">
        <v>43756.452616087961</v>
      </c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  <row r="102" spans="1:26" x14ac:dyDescent="0.25">
      <c r="A102" s="9"/>
      <c r="B102" s="55" t="s">
        <v>314</v>
      </c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  <row r="103" spans="1:26" x14ac:dyDescent="0.25">
      <c r="A103" s="9"/>
      <c r="B103" s="56"/>
      <c r="D103" s="18"/>
      <c r="E103" s="18"/>
      <c r="G103" s="18"/>
      <c r="H103" s="18"/>
      <c r="I103" s="18"/>
      <c r="J103" s="43"/>
      <c r="K103" s="18"/>
      <c r="L103" s="18"/>
      <c r="M103" s="18"/>
      <c r="P103" s="18"/>
      <c r="Q103" s="18"/>
      <c r="R103" s="43"/>
      <c r="S103" s="18"/>
      <c r="T103" s="18"/>
      <c r="U103" s="18"/>
      <c r="V103" s="43"/>
      <c r="W103" s="18"/>
      <c r="X103" s="18"/>
    </row>
    <row r="104" spans="1:26" x14ac:dyDescent="0.25">
      <c r="D104" s="18"/>
      <c r="E104" s="18"/>
      <c r="G104" s="18"/>
      <c r="H104" s="18"/>
      <c r="I104" s="18"/>
      <c r="J104" s="43"/>
      <c r="K104" s="18"/>
      <c r="L104" s="18"/>
      <c r="M104" s="18"/>
      <c r="P104" s="18"/>
      <c r="Q104" s="18"/>
      <c r="R104" s="43"/>
      <c r="S104" s="18"/>
      <c r="T104" s="18"/>
      <c r="U104" s="18"/>
      <c r="V104" s="43"/>
      <c r="W104" s="18"/>
      <c r="X104" s="18"/>
    </row>
  </sheetData>
  <pageMargins left="0.25" right="0.25" top="0.75" bottom="0.75" header="0.3" footer="0.3"/>
  <pageSetup scale="55" fitToWidth="2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">
        <v>300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5"/>
      <c r="L31" s="35" t="e">
        <f ca="1">D31-H31</f>
        <v>#NAME?</v>
      </c>
      <c r="M31" s="15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5"/>
      <c r="X31" s="35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8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str">
        <f>CONCATENATE("Period ",RIGHT(202003,2),", ",2020)</f>
        <v>Period 03, 2020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43736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tr">
        <f>CONCATENATE("Department ","412", " - ", "Chartroom")</f>
        <v>Department 412 - Chartroom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82791.37</v>
      </c>
      <c r="E12" s="4"/>
      <c r="F12" s="12"/>
      <c r="G12" s="4"/>
      <c r="H12" s="4">
        <f>SUM(OSRRefH13x_0)</f>
        <v>73000</v>
      </c>
      <c r="I12" s="4"/>
      <c r="J12" s="12"/>
      <c r="K12" s="4"/>
      <c r="L12" s="4">
        <f t="shared" ref="L12:L16" si="0">+D12-H12</f>
        <v>9791.3699999999953</v>
      </c>
      <c r="M12" s="4"/>
      <c r="N12" s="12">
        <f t="shared" ref="N12:N16" si="1">IF(H12=0,0,L12/H12)</f>
        <v>0.13412835616438351</v>
      </c>
      <c r="O12" s="10"/>
      <c r="P12" s="4">
        <f>SUM(OSRRefP13x_0)</f>
        <v>195474.26</v>
      </c>
      <c r="Q12" s="4"/>
      <c r="R12" s="12"/>
      <c r="S12" s="4"/>
      <c r="T12" s="4">
        <f>SUM(OSRRefT13x_0)</f>
        <v>269000</v>
      </c>
      <c r="U12" s="4"/>
      <c r="V12" s="12"/>
      <c r="W12" s="4"/>
      <c r="X12" s="4">
        <f t="shared" ref="X12:X16" si="2">+P12-T12</f>
        <v>-73525.739999999991</v>
      </c>
      <c r="Y12" s="4"/>
      <c r="Z12" s="12">
        <f t="shared" ref="Z12:Z16" si="3">IF(T12=0,0,X12/T12)</f>
        <v>-0.27332988847583639</v>
      </c>
    </row>
    <row r="13" spans="1:26" s="24" customFormat="1" hidden="1" outlineLevel="1" x14ac:dyDescent="0.25">
      <c r="A13" s="46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67000</v>
      </c>
      <c r="I13" s="2"/>
      <c r="J13" s="19"/>
      <c r="K13" s="2"/>
      <c r="L13" s="2">
        <f t="shared" si="0"/>
        <v>-67000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256000</v>
      </c>
      <c r="U13" s="2"/>
      <c r="V13" s="19"/>
      <c r="W13" s="2"/>
      <c r="X13" s="2">
        <f t="shared" si="2"/>
        <v>-256000</v>
      </c>
      <c r="Y13" s="2"/>
      <c r="Z13" s="19">
        <f t="shared" si="3"/>
        <v>-1</v>
      </c>
    </row>
    <row r="14" spans="1:26" s="24" customFormat="1" hidden="1" outlineLevel="1" x14ac:dyDescent="0.25">
      <c r="A14" s="46"/>
      <c r="B14" s="11" t="str">
        <f>CONCATENATE("          ", "4052", " - ", "TAXABLE SALES-FOOD")</f>
        <v xml:space="preserve">          4052 - TAXABLE SALES-FOOD</v>
      </c>
      <c r="C14" s="11"/>
      <c r="D14" s="2">
        <f>--74659.83</f>
        <v>74659.83</v>
      </c>
      <c r="E14" s="2"/>
      <c r="F14" s="19"/>
      <c r="G14" s="2"/>
      <c r="H14" s="2"/>
      <c r="I14" s="2"/>
      <c r="J14" s="19"/>
      <c r="K14" s="2"/>
      <c r="L14" s="2">
        <f t="shared" si="0"/>
        <v>74659.83</v>
      </c>
      <c r="M14" s="2"/>
      <c r="N14" s="19">
        <f t="shared" si="1"/>
        <v>0</v>
      </c>
      <c r="O14" s="11"/>
      <c r="P14" s="2">
        <f>--179685.2</f>
        <v>179685.2</v>
      </c>
      <c r="Q14" s="2"/>
      <c r="R14" s="19"/>
      <c r="S14" s="2"/>
      <c r="T14" s="2"/>
      <c r="U14" s="2"/>
      <c r="V14" s="19"/>
      <c r="W14" s="2"/>
      <c r="X14" s="2">
        <f t="shared" si="2"/>
        <v>179685.2</v>
      </c>
      <c r="Y14" s="2"/>
      <c r="Z14" s="19">
        <f t="shared" si="3"/>
        <v>0</v>
      </c>
    </row>
    <row r="15" spans="1:26" s="24" customFormat="1" hidden="1" outlineLevel="1" x14ac:dyDescent="0.25">
      <c r="A15" s="46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6000</v>
      </c>
      <c r="I15" s="2"/>
      <c r="J15" s="19"/>
      <c r="K15" s="2"/>
      <c r="L15" s="2">
        <f t="shared" si="0"/>
        <v>-6000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13000</v>
      </c>
      <c r="U15" s="2"/>
      <c r="V15" s="19"/>
      <c r="W15" s="2"/>
      <c r="X15" s="2">
        <f t="shared" si="2"/>
        <v>-13000</v>
      </c>
      <c r="Y15" s="2"/>
      <c r="Z15" s="19">
        <f t="shared" si="3"/>
        <v>-1</v>
      </c>
    </row>
    <row r="16" spans="1:26" s="24" customFormat="1" hidden="1" outlineLevel="1" x14ac:dyDescent="0.25">
      <c r="A16" s="46"/>
      <c r="B16" s="11" t="str">
        <f>CONCATENATE("          ", "4152", " - ", "NON-TAXABLE SALES-FOOD")</f>
        <v xml:space="preserve">          4152 - NON-TAXABLE SALES-FOOD</v>
      </c>
      <c r="C16" s="11"/>
      <c r="D16" s="2">
        <f>--8131.54</f>
        <v>8131.54</v>
      </c>
      <c r="E16" s="2"/>
      <c r="F16" s="19"/>
      <c r="G16" s="2"/>
      <c r="H16" s="2"/>
      <c r="I16" s="2"/>
      <c r="J16" s="19"/>
      <c r="K16" s="2"/>
      <c r="L16" s="2">
        <f t="shared" si="0"/>
        <v>8131.54</v>
      </c>
      <c r="M16" s="2"/>
      <c r="N16" s="19">
        <f t="shared" si="1"/>
        <v>0</v>
      </c>
      <c r="O16" s="11"/>
      <c r="P16" s="2">
        <f>--15789.06</f>
        <v>15789.06</v>
      </c>
      <c r="Q16" s="2"/>
      <c r="R16" s="19"/>
      <c r="S16" s="2"/>
      <c r="T16" s="2"/>
      <c r="U16" s="2"/>
      <c r="V16" s="19"/>
      <c r="W16" s="2"/>
      <c r="X16" s="2">
        <f t="shared" si="2"/>
        <v>15789.06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20941.09</v>
      </c>
      <c r="E18" s="4"/>
      <c r="F18" s="12">
        <f t="shared" ref="F18:F20" si="4">IF(D$12=0,0,D18/D$12)</f>
        <v>0.25293807796633877</v>
      </c>
      <c r="G18" s="4"/>
      <c r="H18" s="4">
        <f>SUM(OSRRefH16x_0)</f>
        <v>22630</v>
      </c>
      <c r="I18" s="4"/>
      <c r="J18" s="12">
        <f t="shared" ref="J18:J20" si="5">IF(H$12=0,0,H18/H$12)</f>
        <v>0.31</v>
      </c>
      <c r="K18" s="4"/>
      <c r="L18" s="4">
        <f t="shared" ref="L18:L20" si="6">+D18-H18</f>
        <v>-1688.9099999999999</v>
      </c>
      <c r="M18" s="4"/>
      <c r="N18" s="12">
        <f t="shared" ref="N18:N20" si="7">IF(H18=0,0,L18/H18)</f>
        <v>-7.4631462660185582E-2</v>
      </c>
      <c r="O18" s="10"/>
      <c r="P18" s="4">
        <f>SUM(OSRRefP16x_0)</f>
        <v>59945.45</v>
      </c>
      <c r="Q18" s="4"/>
      <c r="R18" s="12">
        <f t="shared" ref="R18:R20" si="8">IF(P$12=0,0,P18/P$12)</f>
        <v>0.3066667191885008</v>
      </c>
      <c r="S18" s="4"/>
      <c r="T18" s="4">
        <f>SUM(OSRRefT16x_0)</f>
        <v>83390</v>
      </c>
      <c r="U18" s="4"/>
      <c r="V18" s="12">
        <f t="shared" ref="V18:V20" si="9">IF(T$12=0,0,T18/T$12)</f>
        <v>0.31</v>
      </c>
      <c r="W18" s="4"/>
      <c r="X18" s="4">
        <f t="shared" ref="X18:X20" si="10">+P18-T18</f>
        <v>-23444.550000000003</v>
      </c>
      <c r="Y18" s="4"/>
      <c r="Z18" s="12">
        <f t="shared" ref="Z18:Z20" si="11">IF(T18=0,0,X18/T18)</f>
        <v>-0.28114342247271856</v>
      </c>
    </row>
    <row r="19" spans="1:26" s="24" customFormat="1" hidden="1" outlineLevel="1" x14ac:dyDescent="0.25">
      <c r="A19" s="46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22630</v>
      </c>
      <c r="I19" s="2"/>
      <c r="J19" s="19">
        <f t="shared" si="5"/>
        <v>0.31</v>
      </c>
      <c r="K19" s="2"/>
      <c r="L19" s="2">
        <f t="shared" si="6"/>
        <v>-22630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83390</v>
      </c>
      <c r="U19" s="2"/>
      <c r="V19" s="19">
        <f t="shared" si="9"/>
        <v>0.31</v>
      </c>
      <c r="W19" s="2"/>
      <c r="X19" s="2">
        <f t="shared" si="10"/>
        <v>-83390</v>
      </c>
      <c r="Y19" s="2"/>
      <c r="Z19" s="19">
        <f t="shared" si="11"/>
        <v>-1</v>
      </c>
    </row>
    <row r="20" spans="1:26" s="24" customFormat="1" hidden="1" outlineLevel="1" x14ac:dyDescent="0.25">
      <c r="A20" s="46"/>
      <c r="B20" s="11" t="str">
        <f>CONCATENATE("          ", "5053", " - ", "PURCHASES @ COST-FOOD")</f>
        <v xml:space="preserve">          5053 - PURCHASES @ COST-FOOD</v>
      </c>
      <c r="C20" s="11"/>
      <c r="D20" s="2">
        <v>20941.09</v>
      </c>
      <c r="E20" s="2"/>
      <c r="F20" s="19">
        <f t="shared" si="4"/>
        <v>0.25293807796633877</v>
      </c>
      <c r="G20" s="2"/>
      <c r="H20" s="2"/>
      <c r="I20" s="2"/>
      <c r="J20" s="19">
        <f t="shared" si="5"/>
        <v>0</v>
      </c>
      <c r="K20" s="2"/>
      <c r="L20" s="2">
        <f t="shared" si="6"/>
        <v>20941.09</v>
      </c>
      <c r="M20" s="2"/>
      <c r="N20" s="19">
        <f t="shared" si="7"/>
        <v>0</v>
      </c>
      <c r="O20" s="11"/>
      <c r="P20" s="2">
        <v>59945.45</v>
      </c>
      <c r="Q20" s="2"/>
      <c r="R20" s="19">
        <f t="shared" si="8"/>
        <v>0.3066667191885008</v>
      </c>
      <c r="S20" s="2"/>
      <c r="T20" s="2"/>
      <c r="U20" s="2"/>
      <c r="V20" s="19">
        <f t="shared" si="9"/>
        <v>0</v>
      </c>
      <c r="W20" s="2"/>
      <c r="X20" s="2">
        <f t="shared" si="10"/>
        <v>59945.45</v>
      </c>
      <c r="Y20" s="2"/>
      <c r="Z20" s="19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6</v>
      </c>
      <c r="C22" s="29"/>
      <c r="D22" s="22">
        <f>D12-D18</f>
        <v>61850.28</v>
      </c>
      <c r="E22" s="14"/>
      <c r="F22" s="20">
        <f>IF(D$12=0,0,D22/D$12)</f>
        <v>0.74706192203366129</v>
      </c>
      <c r="G22" s="14"/>
      <c r="H22" s="22">
        <f>H12-H18</f>
        <v>50370</v>
      </c>
      <c r="I22" s="14"/>
      <c r="J22" s="20">
        <f>IF(H$12=0,0,H22/H$12)</f>
        <v>0.69</v>
      </c>
      <c r="K22" s="15"/>
      <c r="L22" s="22">
        <f>+D22-H22</f>
        <v>11480.279999999999</v>
      </c>
      <c r="M22" s="15"/>
      <c r="N22" s="20">
        <f>IF(H22=0,0,L22/H22)</f>
        <v>0.22791899940440735</v>
      </c>
      <c r="O22" s="28"/>
      <c r="P22" s="22">
        <f>P12-P18</f>
        <v>135528.81</v>
      </c>
      <c r="Q22" s="14"/>
      <c r="R22" s="20">
        <f>IF(P$12=0,0,P22/P$12)</f>
        <v>0.69333328081149914</v>
      </c>
      <c r="S22" s="14"/>
      <c r="T22" s="22">
        <f>T12-T18</f>
        <v>185610</v>
      </c>
      <c r="U22" s="14"/>
      <c r="V22" s="20">
        <f>IF(T$12=0,0,T22/T$12)</f>
        <v>0.69</v>
      </c>
      <c r="W22" s="15"/>
      <c r="X22" s="22">
        <f>+P22-T22</f>
        <v>-50081.19</v>
      </c>
      <c r="Y22" s="15"/>
      <c r="Z22" s="20">
        <f>IF(T22=0,0,X22/T22)</f>
        <v>-0.26981946015839664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9</v>
      </c>
      <c r="C24" s="10"/>
      <c r="D24" s="21">
        <f>SUM(OSRRefD22x_0)</f>
        <v>60268.08</v>
      </c>
      <c r="E24" s="21"/>
      <c r="F24" s="33">
        <f t="shared" ref="F24:F34" si="12">IF(D$12=0,0,D24/D$12)</f>
        <v>0.72795123453084554</v>
      </c>
      <c r="G24" s="21"/>
      <c r="H24" s="21">
        <f>SUM(OSRRefH22x_0)</f>
        <v>61588.664948123107</v>
      </c>
      <c r="I24" s="21"/>
      <c r="J24" s="33">
        <f t="shared" ref="J24:J34" si="13">IF(H$12=0,0,H24/H$12)</f>
        <v>0.84368034175511109</v>
      </c>
      <c r="K24" s="4"/>
      <c r="L24" s="21">
        <f t="shared" ref="L24:L34" si="14">+D24-H24</f>
        <v>-1320.5849481231053</v>
      </c>
      <c r="M24" s="4"/>
      <c r="N24" s="33">
        <f t="shared" ref="N24:N34" si="15">IF(H24=0,0,L24/H24)</f>
        <v>-2.1442012896942163E-2</v>
      </c>
      <c r="O24" s="10"/>
      <c r="P24" s="21">
        <f>SUM(OSRRefP22x_0)</f>
        <v>167410.21</v>
      </c>
      <c r="Q24" s="21"/>
      <c r="R24" s="33">
        <f t="shared" ref="R24:R34" si="16">IF(P$12=0,0,P24/P$12)</f>
        <v>0.85643096947905051</v>
      </c>
      <c r="S24" s="21"/>
      <c r="T24" s="21">
        <f>SUM(OSRRefT22x_0)</f>
        <v>200057.02233191542</v>
      </c>
      <c r="U24" s="21"/>
      <c r="V24" s="33">
        <f t="shared" ref="V24:V34" si="17">IF(T$12=0,0,T24/T$12)</f>
        <v>0.74370640272087518</v>
      </c>
      <c r="W24" s="4"/>
      <c r="X24" s="21">
        <f t="shared" ref="X24:X34" si="18">+P24-T24</f>
        <v>-32646.812331915426</v>
      </c>
      <c r="Y24" s="4"/>
      <c r="Z24" s="33">
        <f t="shared" ref="Z24:Z34" si="19">IF(T24=0,0,X24/T24)</f>
        <v>-0.16318753499065364</v>
      </c>
    </row>
    <row r="25" spans="1:26" s="26" customFormat="1" outlineLevel="1" collapsed="1" x14ac:dyDescent="0.25">
      <c r="A25" s="27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18630.240000000002</v>
      </c>
      <c r="E25" s="1"/>
      <c r="F25" s="5">
        <f t="shared" si="12"/>
        <v>0.22502635238431254</v>
      </c>
      <c r="G25" s="1"/>
      <c r="H25" s="1">
        <f>SUM(OSRRefH22_0x_0)</f>
        <v>13758.509871200009</v>
      </c>
      <c r="I25" s="1"/>
      <c r="J25" s="5">
        <f t="shared" si="13"/>
        <v>0.18847273796164396</v>
      </c>
      <c r="K25" s="1"/>
      <c r="L25" s="1">
        <f t="shared" si="14"/>
        <v>4871.7301287999926</v>
      </c>
      <c r="M25" s="1"/>
      <c r="N25" s="5">
        <f t="shared" si="15"/>
        <v>0.3540885004558334</v>
      </c>
      <c r="O25" s="13"/>
      <c r="P25" s="1">
        <f>SUM(OSRRefP22_0x_0)</f>
        <v>45103.430000000008</v>
      </c>
      <c r="Q25" s="1"/>
      <c r="R25" s="5">
        <f t="shared" si="16"/>
        <v>0.23073846142197957</v>
      </c>
      <c r="S25" s="1"/>
      <c r="T25" s="1">
        <f>SUM(OSRRefT22_0x_0)</f>
        <v>43932.664831915405</v>
      </c>
      <c r="U25" s="1"/>
      <c r="V25" s="5">
        <f t="shared" si="17"/>
        <v>0.16331845662422084</v>
      </c>
      <c r="W25" s="1"/>
      <c r="X25" s="1">
        <f t="shared" si="18"/>
        <v>1170.7651680846029</v>
      </c>
      <c r="Y25" s="1"/>
      <c r="Z25" s="5">
        <f t="shared" si="19"/>
        <v>2.6649081556147414E-2</v>
      </c>
    </row>
    <row r="26" spans="1:26" s="24" customFormat="1" hidden="1" outlineLevel="2" x14ac:dyDescent="0.25">
      <c r="A26" s="25"/>
      <c r="B26" s="11" t="str">
        <f>CONCATENATE("          ", "6111", " - ", "F.I.C.A.")</f>
        <v xml:space="preserve">          6111 - F.I.C.A.</v>
      </c>
      <c r="C26" s="11"/>
      <c r="D26" s="7">
        <v>2048.87</v>
      </c>
      <c r="E26" s="2"/>
      <c r="F26" s="6">
        <f t="shared" si="12"/>
        <v>2.4747386110412231E-2</v>
      </c>
      <c r="G26" s="2"/>
      <c r="H26" s="7">
        <v>3154.6367721230799</v>
      </c>
      <c r="I26" s="2"/>
      <c r="J26" s="6">
        <f t="shared" si="13"/>
        <v>4.3214202357850409E-2</v>
      </c>
      <c r="K26" s="2"/>
      <c r="L26" s="7">
        <f t="shared" si="14"/>
        <v>-1105.76677212308</v>
      </c>
      <c r="M26" s="2"/>
      <c r="N26" s="6">
        <f t="shared" si="15"/>
        <v>-0.35052110654847141</v>
      </c>
      <c r="O26" s="11"/>
      <c r="P26" s="7">
        <v>7022.4</v>
      </c>
      <c r="Q26" s="2"/>
      <c r="R26" s="6">
        <f t="shared" si="16"/>
        <v>3.5924934566832475E-2</v>
      </c>
      <c r="S26" s="2"/>
      <c r="T26" s="7">
        <v>10423.20309330001</v>
      </c>
      <c r="U26" s="2"/>
      <c r="V26" s="6">
        <f t="shared" si="17"/>
        <v>3.8747966889591111E-2</v>
      </c>
      <c r="W26" s="2"/>
      <c r="X26" s="7">
        <f t="shared" si="18"/>
        <v>-3400.80309330001</v>
      </c>
      <c r="Y26" s="2"/>
      <c r="Z26" s="6">
        <f t="shared" si="19"/>
        <v>-0.32627236204253102</v>
      </c>
    </row>
    <row r="27" spans="1:26" s="24" customFormat="1" hidden="1" outlineLevel="2" x14ac:dyDescent="0.25">
      <c r="A27" s="25"/>
      <c r="B27" s="11" t="str">
        <f>CONCATENATE("          ", "6112", " - ", "COMPENSATION INSURANCE")</f>
        <v xml:space="preserve">          6112 - COMPENSATION INSURANCE</v>
      </c>
      <c r="C27" s="11"/>
      <c r="D27" s="7">
        <v>1322.36</v>
      </c>
      <c r="E27" s="2"/>
      <c r="F27" s="6">
        <f t="shared" si="12"/>
        <v>1.5972196135901603E-2</v>
      </c>
      <c r="G27" s="2"/>
      <c r="H27" s="7">
        <v>1728.1875766153801</v>
      </c>
      <c r="I27" s="2"/>
      <c r="J27" s="6">
        <f t="shared" si="13"/>
        <v>2.3673802419388768E-2</v>
      </c>
      <c r="K27" s="2"/>
      <c r="L27" s="7">
        <f t="shared" si="14"/>
        <v>-405.82757661538017</v>
      </c>
      <c r="M27" s="2"/>
      <c r="N27" s="6">
        <f t="shared" si="15"/>
        <v>-0.23482843072520238</v>
      </c>
      <c r="O27" s="11"/>
      <c r="P27" s="7">
        <v>3432.27</v>
      </c>
      <c r="Q27" s="2"/>
      <c r="R27" s="6">
        <f t="shared" si="16"/>
        <v>1.7558680104480251E-2</v>
      </c>
      <c r="S27" s="2"/>
      <c r="T27" s="7">
        <v>5422.59526799999</v>
      </c>
      <c r="U27" s="2"/>
      <c r="V27" s="6">
        <f t="shared" si="17"/>
        <v>2.0158346721189553E-2</v>
      </c>
      <c r="W27" s="2"/>
      <c r="X27" s="7">
        <f t="shared" si="18"/>
        <v>-1990.32526799999</v>
      </c>
      <c r="Y27" s="2"/>
      <c r="Z27" s="6">
        <f t="shared" si="19"/>
        <v>-0.36704293232898416</v>
      </c>
    </row>
    <row r="28" spans="1:26" s="24" customFormat="1" hidden="1" outlineLevel="2" x14ac:dyDescent="0.25">
      <c r="A28" s="25"/>
      <c r="B28" s="11" t="str">
        <f>CONCATENATE("          ", "6113", " - ", "GROUP INSURANCE")</f>
        <v xml:space="preserve">          6113 - GROUP INSURANCE</v>
      </c>
      <c r="C28" s="11"/>
      <c r="D28" s="7">
        <v>5334.36</v>
      </c>
      <c r="E28" s="2"/>
      <c r="F28" s="6">
        <f t="shared" si="12"/>
        <v>6.4431353171230291E-2</v>
      </c>
      <c r="G28" s="2"/>
      <c r="H28" s="7">
        <v>5182.9230769230799</v>
      </c>
      <c r="I28" s="2"/>
      <c r="J28" s="6">
        <f t="shared" si="13"/>
        <v>7.0998946259220277E-2</v>
      </c>
      <c r="K28" s="2"/>
      <c r="L28" s="7">
        <f t="shared" si="14"/>
        <v>151.43692307691981</v>
      </c>
      <c r="M28" s="2"/>
      <c r="N28" s="6">
        <f t="shared" si="15"/>
        <v>2.9218439253168044E-2</v>
      </c>
      <c r="O28" s="11"/>
      <c r="P28" s="7">
        <v>16003.08</v>
      </c>
      <c r="Q28" s="2"/>
      <c r="R28" s="6">
        <f t="shared" si="16"/>
        <v>8.1867965633940748E-2</v>
      </c>
      <c r="S28" s="2"/>
      <c r="T28" s="7">
        <v>16233.11538461539</v>
      </c>
      <c r="U28" s="2"/>
      <c r="V28" s="6">
        <f t="shared" si="17"/>
        <v>6.0346153846153869E-2</v>
      </c>
      <c r="W28" s="2"/>
      <c r="X28" s="7">
        <f t="shared" si="18"/>
        <v>-230.03538461539029</v>
      </c>
      <c r="Y28" s="2"/>
      <c r="Z28" s="6">
        <f t="shared" si="19"/>
        <v>-1.4170747830290278E-2</v>
      </c>
    </row>
    <row r="29" spans="1:26" s="24" customFormat="1" hidden="1" outlineLevel="2" x14ac:dyDescent="0.25">
      <c r="A29" s="25"/>
      <c r="B29" s="11" t="str">
        <f>CONCATENATE("          ", "6114", " - ", "STATE UNEMPLOYMENT INSURANCE")</f>
        <v xml:space="preserve">          6114 - STATE UNEMPLOYMENT INSURANCE</v>
      </c>
      <c r="C29" s="11"/>
      <c r="D29" s="7">
        <v>92.7</v>
      </c>
      <c r="E29" s="2"/>
      <c r="F29" s="6">
        <f t="shared" si="12"/>
        <v>1.1196819185381279E-3</v>
      </c>
      <c r="G29" s="2"/>
      <c r="H29" s="7">
        <v>115.80638399999999</v>
      </c>
      <c r="I29" s="2"/>
      <c r="J29" s="6">
        <f t="shared" si="13"/>
        <v>1.5863888219178081E-3</v>
      </c>
      <c r="K29" s="2"/>
      <c r="L29" s="7">
        <f t="shared" si="14"/>
        <v>-23.106383999999991</v>
      </c>
      <c r="M29" s="2"/>
      <c r="N29" s="6">
        <f t="shared" si="15"/>
        <v>-0.19952599504358925</v>
      </c>
      <c r="O29" s="11"/>
      <c r="P29" s="7">
        <v>243.53</v>
      </c>
      <c r="Q29" s="2"/>
      <c r="R29" s="6">
        <f t="shared" si="16"/>
        <v>1.2458417798844716E-3</v>
      </c>
      <c r="S29" s="2"/>
      <c r="T29" s="7">
        <v>363.36978599999998</v>
      </c>
      <c r="U29" s="2"/>
      <c r="V29" s="6">
        <f t="shared" si="17"/>
        <v>1.3508170483271375E-3</v>
      </c>
      <c r="W29" s="2"/>
      <c r="X29" s="7">
        <f t="shared" si="18"/>
        <v>-119.83978599999998</v>
      </c>
      <c r="Y29" s="2"/>
      <c r="Z29" s="6">
        <f t="shared" si="19"/>
        <v>-0.32980118495597754</v>
      </c>
    </row>
    <row r="30" spans="1:26" s="24" customFormat="1" hidden="1" outlineLevel="2" x14ac:dyDescent="0.25">
      <c r="A30" s="25"/>
      <c r="B30" s="11" t="str">
        <f>CONCATENATE("          ", "6115", " - ", "P.E.R.S.")</f>
        <v xml:space="preserve">          6115 - P.E.R.S.</v>
      </c>
      <c r="C30" s="11"/>
      <c r="D30" s="7">
        <v>1285.6300000000001</v>
      </c>
      <c r="E30" s="2"/>
      <c r="F30" s="6">
        <f t="shared" si="12"/>
        <v>1.5528550862245669E-2</v>
      </c>
      <c r="G30" s="2"/>
      <c r="H30" s="7">
        <v>1244.75341538462</v>
      </c>
      <c r="I30" s="2"/>
      <c r="J30" s="6">
        <f t="shared" si="13"/>
        <v>1.7051416649104385E-2</v>
      </c>
      <c r="K30" s="2"/>
      <c r="L30" s="7">
        <f t="shared" si="14"/>
        <v>40.876584615380125</v>
      </c>
      <c r="M30" s="2"/>
      <c r="N30" s="6">
        <f t="shared" si="15"/>
        <v>3.2839102194991407E-2</v>
      </c>
      <c r="O30" s="11"/>
      <c r="P30" s="7">
        <v>3617.21</v>
      </c>
      <c r="Q30" s="2"/>
      <c r="R30" s="6">
        <f t="shared" si="16"/>
        <v>1.850478932622638E-2</v>
      </c>
      <c r="S30" s="2"/>
      <c r="T30" s="7">
        <v>4045.4486000000097</v>
      </c>
      <c r="U30" s="2"/>
      <c r="V30" s="6">
        <f t="shared" si="17"/>
        <v>1.5038842379182193E-2</v>
      </c>
      <c r="W30" s="2"/>
      <c r="X30" s="7">
        <f t="shared" si="18"/>
        <v>-428.23860000000968</v>
      </c>
      <c r="Y30" s="2"/>
      <c r="Z30" s="6">
        <f t="shared" si="19"/>
        <v>-0.1058568881582153</v>
      </c>
    </row>
    <row r="31" spans="1:26" s="24" customFormat="1" hidden="1" outlineLevel="2" x14ac:dyDescent="0.25">
      <c r="A31" s="25"/>
      <c r="B31" s="11" t="str">
        <f>CONCATENATE("          ", "6116", " - ", "EDUCATIONAL BENEFITS")</f>
        <v xml:space="preserve">          6116 - EDUCATIONAL BENEFITS</v>
      </c>
      <c r="C31" s="11"/>
      <c r="D31" s="7"/>
      <c r="E31" s="2"/>
      <c r="F31" s="6">
        <f t="shared" si="12"/>
        <v>0</v>
      </c>
      <c r="G31" s="2"/>
      <c r="H31" s="7">
        <v>0</v>
      </c>
      <c r="I31" s="2"/>
      <c r="J31" s="6">
        <f t="shared" si="13"/>
        <v>0</v>
      </c>
      <c r="K31" s="2"/>
      <c r="L31" s="7">
        <f t="shared" si="14"/>
        <v>0</v>
      </c>
      <c r="M31" s="2"/>
      <c r="N31" s="6">
        <f t="shared" si="15"/>
        <v>0</v>
      </c>
      <c r="O31" s="11"/>
      <c r="P31" s="7"/>
      <c r="Q31" s="2"/>
      <c r="R31" s="6">
        <f t="shared" si="16"/>
        <v>0</v>
      </c>
      <c r="S31" s="2"/>
      <c r="T31" s="7">
        <v>0</v>
      </c>
      <c r="U31" s="2"/>
      <c r="V31" s="6">
        <f t="shared" si="17"/>
        <v>0</v>
      </c>
      <c r="W31" s="2"/>
      <c r="X31" s="7">
        <f t="shared" si="18"/>
        <v>0</v>
      </c>
      <c r="Y31" s="2"/>
      <c r="Z31" s="6">
        <f t="shared" si="19"/>
        <v>0</v>
      </c>
    </row>
    <row r="32" spans="1:26" s="24" customFormat="1" hidden="1" outlineLevel="2" x14ac:dyDescent="0.25">
      <c r="A32" s="25"/>
      <c r="B32" s="11" t="str">
        <f>CONCATENATE("          ", "6118", " - ", "VACATION")</f>
        <v xml:space="preserve">          6118 - VACATION</v>
      </c>
      <c r="C32" s="11"/>
      <c r="D32" s="7">
        <v>3064.38</v>
      </c>
      <c r="E32" s="2"/>
      <c r="F32" s="6">
        <f t="shared" si="12"/>
        <v>3.7013278074755865E-2</v>
      </c>
      <c r="G32" s="2"/>
      <c r="H32" s="7">
        <v>995.97513846153913</v>
      </c>
      <c r="I32" s="2"/>
      <c r="J32" s="6">
        <f t="shared" si="13"/>
        <v>1.3643495047418344E-2</v>
      </c>
      <c r="K32" s="2"/>
      <c r="L32" s="7">
        <f t="shared" si="14"/>
        <v>2068.4048615384609</v>
      </c>
      <c r="M32" s="2"/>
      <c r="N32" s="6">
        <f t="shared" si="15"/>
        <v>2.0767635472643224</v>
      </c>
      <c r="O32" s="11"/>
      <c r="P32" s="7">
        <v>5451.87</v>
      </c>
      <c r="Q32" s="2"/>
      <c r="R32" s="6">
        <f t="shared" si="16"/>
        <v>2.7890475196069291E-2</v>
      </c>
      <c r="S32" s="2"/>
      <c r="T32" s="7">
        <v>3252.2043999999992</v>
      </c>
      <c r="U32" s="2"/>
      <c r="V32" s="6">
        <f t="shared" si="17"/>
        <v>1.2089979182156131E-2</v>
      </c>
      <c r="W32" s="2"/>
      <c r="X32" s="7">
        <f t="shared" si="18"/>
        <v>2199.6656000000007</v>
      </c>
      <c r="Y32" s="2"/>
      <c r="Z32" s="6">
        <f t="shared" si="19"/>
        <v>0.67636142426964352</v>
      </c>
    </row>
    <row r="33" spans="1:26" s="24" customFormat="1" hidden="1" outlineLevel="2" x14ac:dyDescent="0.25">
      <c r="A33" s="25"/>
      <c r="B33" s="11" t="str">
        <f>CONCATENATE("          ", "6119", " - ", "SICK LEAVE")</f>
        <v xml:space="preserve">          6119 - SICK LEAVE</v>
      </c>
      <c r="C33" s="11"/>
      <c r="D33" s="7">
        <v>4961.6899999999996</v>
      </c>
      <c r="E33" s="2"/>
      <c r="F33" s="6">
        <f t="shared" si="12"/>
        <v>5.9930038601849443E-2</v>
      </c>
      <c r="G33" s="2"/>
      <c r="H33" s="7">
        <v>1336.2275076923102</v>
      </c>
      <c r="I33" s="2"/>
      <c r="J33" s="6">
        <f t="shared" si="13"/>
        <v>1.8304486406743974E-2</v>
      </c>
      <c r="K33" s="2"/>
      <c r="L33" s="7">
        <f t="shared" si="14"/>
        <v>3625.4624923076894</v>
      </c>
      <c r="M33" s="2"/>
      <c r="N33" s="6">
        <f t="shared" si="15"/>
        <v>2.7132074975532654</v>
      </c>
      <c r="O33" s="11"/>
      <c r="P33" s="7">
        <v>7828.41</v>
      </c>
      <c r="Q33" s="2"/>
      <c r="R33" s="6">
        <f t="shared" si="16"/>
        <v>4.0048290757054149E-2</v>
      </c>
      <c r="S33" s="2"/>
      <c r="T33" s="7">
        <v>4192.7283000000007</v>
      </c>
      <c r="U33" s="2"/>
      <c r="V33" s="6">
        <f t="shared" si="17"/>
        <v>1.558635055762082E-2</v>
      </c>
      <c r="W33" s="2"/>
      <c r="X33" s="7">
        <f t="shared" si="18"/>
        <v>3635.6816999999992</v>
      </c>
      <c r="Y33" s="2"/>
      <c r="Z33" s="6">
        <f t="shared" si="19"/>
        <v>0.86713982873633821</v>
      </c>
    </row>
    <row r="34" spans="1:26" s="24" customFormat="1" hidden="1" outlineLevel="2" x14ac:dyDescent="0.25">
      <c r="A34" s="25"/>
      <c r="B34" s="11" t="str">
        <f>CONCATENATE("          ", "6156", " - ", "EMPLOYEE MEALS")</f>
        <v xml:space="preserve">          6156 - EMPLOYEE MEALS</v>
      </c>
      <c r="C34" s="11"/>
      <c r="D34" s="7">
        <v>520.25</v>
      </c>
      <c r="E34" s="2"/>
      <c r="F34" s="6">
        <f t="shared" si="12"/>
        <v>6.2838675093792994E-3</v>
      </c>
      <c r="G34" s="2"/>
      <c r="H34" s="7"/>
      <c r="I34" s="2"/>
      <c r="J34" s="6">
        <f t="shared" si="13"/>
        <v>0</v>
      </c>
      <c r="K34" s="2"/>
      <c r="L34" s="7">
        <f t="shared" si="14"/>
        <v>520.25</v>
      </c>
      <c r="M34" s="2"/>
      <c r="N34" s="6">
        <f t="shared" si="15"/>
        <v>0</v>
      </c>
      <c r="O34" s="11"/>
      <c r="P34" s="7">
        <v>1504.66</v>
      </c>
      <c r="Q34" s="2"/>
      <c r="R34" s="6">
        <f t="shared" si="16"/>
        <v>7.6974840574917641E-3</v>
      </c>
      <c r="S34" s="2"/>
      <c r="T34" s="7"/>
      <c r="U34" s="2"/>
      <c r="V34" s="6">
        <f t="shared" si="17"/>
        <v>0</v>
      </c>
      <c r="W34" s="2"/>
      <c r="X34" s="7">
        <f t="shared" si="18"/>
        <v>1504.66</v>
      </c>
      <c r="Y34" s="2"/>
      <c r="Z34" s="6">
        <f t="shared" si="19"/>
        <v>0</v>
      </c>
    </row>
    <row r="35" spans="1:26" s="26" customFormat="1" outlineLevel="1" collapsed="1" x14ac:dyDescent="0.25">
      <c r="A35" s="27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31414.429999999997</v>
      </c>
      <c r="E35" s="1"/>
      <c r="F35" s="5">
        <f t="shared" ref="F35:F45" si="20">IF(D$12=0,0,D35/D$12)</f>
        <v>0.37944087650681463</v>
      </c>
      <c r="G35" s="1"/>
      <c r="H35" s="1">
        <f>SUM(OSRRefH22_1x_0)</f>
        <v>39760.155076923096</v>
      </c>
      <c r="I35" s="1"/>
      <c r="J35" s="5">
        <f t="shared" ref="J35:J45" si="21">IF(H$12=0,0,H35/H$12)</f>
        <v>0.54465965858798759</v>
      </c>
      <c r="K35" s="1"/>
      <c r="L35" s="1">
        <f t="shared" ref="L35:L45" si="22">+D35-H35</f>
        <v>-8345.7250769230996</v>
      </c>
      <c r="M35" s="1"/>
      <c r="N35" s="5">
        <f t="shared" ref="N35:N45" si="23">IF(H35=0,0,L35/H35)</f>
        <v>-0.20990172349118882</v>
      </c>
      <c r="O35" s="13"/>
      <c r="P35" s="1">
        <f>SUM(OSRRefP22_1x_0)</f>
        <v>100870.26999999999</v>
      </c>
      <c r="Q35" s="1"/>
      <c r="R35" s="5">
        <f t="shared" ref="R35:R45" si="24">IF(P$12=0,0,P35/P$12)</f>
        <v>0.5160284018980299</v>
      </c>
      <c r="S35" s="1"/>
      <c r="T35" s="1">
        <f>SUM(OSRRefT22_1x_0)</f>
        <v>126751.0275</v>
      </c>
      <c r="U35" s="1"/>
      <c r="V35" s="5">
        <f t="shared" ref="V35:V45" si="25">IF(T$12=0,0,T35/T$12)</f>
        <v>0.47119341078066912</v>
      </c>
      <c r="W35" s="1"/>
      <c r="X35" s="1">
        <f t="shared" ref="X35:X45" si="26">+P35-T35</f>
        <v>-25880.757500000007</v>
      </c>
      <c r="Y35" s="1"/>
      <c r="Z35" s="5">
        <f t="shared" ref="Z35:Z45" si="27">IF(T35=0,0,X35/T35)</f>
        <v>-0.20418578066359272</v>
      </c>
    </row>
    <row r="36" spans="1:26" s="24" customFormat="1" hidden="1" outlineLevel="2" x14ac:dyDescent="0.25">
      <c r="A36" s="25"/>
      <c r="B36" s="11" t="str">
        <f>CONCATENATE("          ", "6001", " - ", "ADMINISTRATIVE SALARIES")</f>
        <v xml:space="preserve">          6001 - ADMINISTRATIVE SALARIES</v>
      </c>
      <c r="C36" s="11"/>
      <c r="D36" s="7"/>
      <c r="E36" s="2"/>
      <c r="F36" s="6">
        <f t="shared" si="20"/>
        <v>0</v>
      </c>
      <c r="G36" s="2"/>
      <c r="H36" s="7">
        <v>0</v>
      </c>
      <c r="I36" s="2"/>
      <c r="J36" s="6">
        <f t="shared" si="21"/>
        <v>0</v>
      </c>
      <c r="K36" s="2"/>
      <c r="L36" s="7">
        <f t="shared" si="22"/>
        <v>0</v>
      </c>
      <c r="M36" s="2"/>
      <c r="N36" s="6">
        <f t="shared" si="23"/>
        <v>0</v>
      </c>
      <c r="O36" s="11"/>
      <c r="P36" s="7"/>
      <c r="Q36" s="2"/>
      <c r="R36" s="6">
        <f t="shared" si="24"/>
        <v>0</v>
      </c>
      <c r="S36" s="2"/>
      <c r="T36" s="7">
        <v>0</v>
      </c>
      <c r="U36" s="2"/>
      <c r="V36" s="6">
        <f t="shared" si="25"/>
        <v>0</v>
      </c>
      <c r="W36" s="2"/>
      <c r="X36" s="7">
        <f t="shared" si="26"/>
        <v>0</v>
      </c>
      <c r="Y36" s="2"/>
      <c r="Z36" s="6">
        <f t="shared" si="27"/>
        <v>0</v>
      </c>
    </row>
    <row r="37" spans="1:26" s="24" customFormat="1" hidden="1" outlineLevel="2" x14ac:dyDescent="0.25">
      <c r="A37" s="25"/>
      <c r="B37" s="11" t="str">
        <f>CONCATENATE("          ", "6002", " - ", "STAFF SALARIES")</f>
        <v xml:space="preserve">          6002 - STAFF SALARIES</v>
      </c>
      <c r="C37" s="11"/>
      <c r="D37" s="7">
        <v>10012.799999999999</v>
      </c>
      <c r="E37" s="2"/>
      <c r="F37" s="6">
        <f t="shared" si="20"/>
        <v>0.12094014146643545</v>
      </c>
      <c r="G37" s="2"/>
      <c r="H37" s="7">
        <v>13165.9670769231</v>
      </c>
      <c r="I37" s="2"/>
      <c r="J37" s="6">
        <f t="shared" si="21"/>
        <v>0.18035571338250822</v>
      </c>
      <c r="K37" s="2"/>
      <c r="L37" s="7">
        <f t="shared" si="22"/>
        <v>-3153.1670769231005</v>
      </c>
      <c r="M37" s="2"/>
      <c r="N37" s="6">
        <f t="shared" si="23"/>
        <v>-0.2394937689347465</v>
      </c>
      <c r="O37" s="11"/>
      <c r="P37" s="7">
        <v>40283.72</v>
      </c>
      <c r="Q37" s="2"/>
      <c r="R37" s="6">
        <f t="shared" si="24"/>
        <v>0.20608196700680692</v>
      </c>
      <c r="S37" s="2"/>
      <c r="T37" s="7">
        <v>42789.393000000004</v>
      </c>
      <c r="U37" s="2"/>
      <c r="V37" s="6">
        <f t="shared" si="25"/>
        <v>0.15906837546468403</v>
      </c>
      <c r="W37" s="2"/>
      <c r="X37" s="7">
        <f t="shared" si="26"/>
        <v>-2505.6730000000025</v>
      </c>
      <c r="Y37" s="2"/>
      <c r="Z37" s="6">
        <f t="shared" si="27"/>
        <v>-5.8558274009636042E-2</v>
      </c>
    </row>
    <row r="38" spans="1:26" s="24" customFormat="1" hidden="1" outlineLevel="2" x14ac:dyDescent="0.25">
      <c r="A38" s="25"/>
      <c r="B38" s="11" t="str">
        <f>CONCATENATE("          ", "6003", " - ", "STAFF HOURLY-9 MONTH")</f>
        <v xml:space="preserve">          6003 - STAFF HOURLY-9 MONTH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5"/>
      <c r="B39" s="11" t="str">
        <f>CONCATENATE("          ", "6004", " - ", "STAFF HOURLY")</f>
        <v xml:space="preserve">          6004 - STAFF HOURLY</v>
      </c>
      <c r="C39" s="11"/>
      <c r="D39" s="7">
        <v>4787.55</v>
      </c>
      <c r="E39" s="2"/>
      <c r="F39" s="6">
        <f t="shared" si="20"/>
        <v>5.7826679278287101E-2</v>
      </c>
      <c r="G39" s="2"/>
      <c r="H39" s="7">
        <v>26594.187999999998</v>
      </c>
      <c r="I39" s="2"/>
      <c r="J39" s="6">
        <f t="shared" si="21"/>
        <v>0.36430394520547943</v>
      </c>
      <c r="K39" s="2"/>
      <c r="L39" s="7">
        <f t="shared" si="22"/>
        <v>-21806.637999999999</v>
      </c>
      <c r="M39" s="2"/>
      <c r="N39" s="6">
        <f t="shared" si="23"/>
        <v>-0.81997758307191027</v>
      </c>
      <c r="O39" s="11"/>
      <c r="P39" s="7">
        <v>15490.06</v>
      </c>
      <c r="Q39" s="2"/>
      <c r="R39" s="6">
        <f t="shared" si="24"/>
        <v>7.9243476864933521E-2</v>
      </c>
      <c r="S39" s="2"/>
      <c r="T39" s="7">
        <v>83961.6345</v>
      </c>
      <c r="U39" s="2"/>
      <c r="V39" s="6">
        <f t="shared" si="25"/>
        <v>0.31212503531598512</v>
      </c>
      <c r="W39" s="2"/>
      <c r="X39" s="7">
        <f t="shared" si="26"/>
        <v>-68471.574500000002</v>
      </c>
      <c r="Y39" s="2"/>
      <c r="Z39" s="6">
        <f t="shared" si="27"/>
        <v>-0.81551026141588512</v>
      </c>
    </row>
    <row r="40" spans="1:26" s="24" customFormat="1" hidden="1" outlineLevel="2" x14ac:dyDescent="0.25">
      <c r="A40" s="25"/>
      <c r="B40" s="11" t="str">
        <f>CONCATENATE("          ", "6005", " - ", "TEMPORARY WAGES-HOURLY")</f>
        <v xml:space="preserve">          6005 - TEMPORARY WAGES-HOURLY</v>
      </c>
      <c r="C40" s="11"/>
      <c r="D40" s="7">
        <v>6112.94</v>
      </c>
      <c r="E40" s="2"/>
      <c r="F40" s="6">
        <f t="shared" si="20"/>
        <v>7.3835473431590762E-2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6112.94</v>
      </c>
      <c r="M40" s="2"/>
      <c r="N40" s="6">
        <f t="shared" si="23"/>
        <v>0</v>
      </c>
      <c r="O40" s="11"/>
      <c r="P40" s="7">
        <v>19791.769999999997</v>
      </c>
      <c r="Q40" s="2"/>
      <c r="R40" s="6">
        <f t="shared" si="24"/>
        <v>0.10125000601102159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19791.769999999997</v>
      </c>
      <c r="Y40" s="2"/>
      <c r="Z40" s="6">
        <f t="shared" si="27"/>
        <v>0</v>
      </c>
    </row>
    <row r="41" spans="1:26" s="24" customFormat="1" hidden="1" outlineLevel="2" x14ac:dyDescent="0.25">
      <c r="A41" s="25"/>
      <c r="B41" s="11" t="str">
        <f>CONCATENATE("          ", "6006", " - ", "TEMPORARY PART TIME")</f>
        <v xml:space="preserve">          6006 - TEMPORARY PART TIME</v>
      </c>
      <c r="C41" s="11"/>
      <c r="D41" s="7">
        <v>969.75</v>
      </c>
      <c r="E41" s="2"/>
      <c r="F41" s="6">
        <f t="shared" si="20"/>
        <v>1.1713177351697406E-2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969.75</v>
      </c>
      <c r="M41" s="2"/>
      <c r="N41" s="6">
        <f t="shared" si="23"/>
        <v>0</v>
      </c>
      <c r="O41" s="11"/>
      <c r="P41" s="7">
        <v>1299.6300000000001</v>
      </c>
      <c r="Q41" s="2"/>
      <c r="R41" s="6">
        <f t="shared" si="24"/>
        <v>6.6485991557149269E-3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1299.6300000000001</v>
      </c>
      <c r="Y41" s="2"/>
      <c r="Z41" s="6">
        <f t="shared" si="27"/>
        <v>0</v>
      </c>
    </row>
    <row r="42" spans="1:26" s="24" customFormat="1" hidden="1" outlineLevel="2" x14ac:dyDescent="0.25">
      <c r="A42" s="25"/>
      <c r="B42" s="11" t="str">
        <f>CONCATENATE("          ", "6007", " - ", "STUDENT HOURLY")</f>
        <v xml:space="preserve">          6007 - STUDENT HOURLY</v>
      </c>
      <c r="C42" s="11"/>
      <c r="D42" s="7">
        <v>8681.08</v>
      </c>
      <c r="E42" s="2"/>
      <c r="F42" s="6">
        <f t="shared" si="20"/>
        <v>0.10485489006885622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8681.08</v>
      </c>
      <c r="M42" s="2"/>
      <c r="N42" s="6">
        <f t="shared" si="23"/>
        <v>0</v>
      </c>
      <c r="O42" s="11"/>
      <c r="P42" s="7">
        <v>20868.62</v>
      </c>
      <c r="Q42" s="2"/>
      <c r="R42" s="6">
        <f t="shared" si="24"/>
        <v>0.10675891547050746</v>
      </c>
      <c r="S42" s="2"/>
      <c r="T42" s="7">
        <v>0</v>
      </c>
      <c r="U42" s="2"/>
      <c r="V42" s="6">
        <f t="shared" si="25"/>
        <v>0</v>
      </c>
      <c r="W42" s="2"/>
      <c r="X42" s="7">
        <f t="shared" si="26"/>
        <v>20868.62</v>
      </c>
      <c r="Y42" s="2"/>
      <c r="Z42" s="6">
        <f t="shared" si="27"/>
        <v>0</v>
      </c>
    </row>
    <row r="43" spans="1:26" s="24" customFormat="1" hidden="1" outlineLevel="2" x14ac:dyDescent="0.25">
      <c r="A43" s="25"/>
      <c r="B43" s="11" t="str">
        <f>CONCATENATE("          ", "6008", " - ", "STUDENT HOURLY-FICA EXEMPT")</f>
        <v xml:space="preserve">          6008 - STUDENT HOURLY-FICA EXEMPT</v>
      </c>
      <c r="C43" s="11"/>
      <c r="D43" s="7">
        <v>850.31</v>
      </c>
      <c r="E43" s="2"/>
      <c r="F43" s="6">
        <f t="shared" si="20"/>
        <v>1.027051490994774E-2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850.31</v>
      </c>
      <c r="M43" s="2"/>
      <c r="N43" s="6">
        <f t="shared" si="23"/>
        <v>0</v>
      </c>
      <c r="O43" s="11"/>
      <c r="P43" s="7">
        <v>3136.47</v>
      </c>
      <c r="Q43" s="2"/>
      <c r="R43" s="6">
        <f t="shared" si="24"/>
        <v>1.6045437389045493E-2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3136.47</v>
      </c>
      <c r="Y43" s="2"/>
      <c r="Z43" s="6">
        <f t="shared" si="27"/>
        <v>0</v>
      </c>
    </row>
    <row r="44" spans="1:26" s="24" customFormat="1" hidden="1" outlineLevel="2" x14ac:dyDescent="0.25">
      <c r="A44" s="25"/>
      <c r="B44" s="11" t="str">
        <f>CONCATENATE("          ", "6009", " - ", "TEMPORARY-SEASONAL")</f>
        <v xml:space="preserve">          6009 - TEMPORARY-SEASONAL</v>
      </c>
      <c r="C44" s="11"/>
      <c r="D44" s="7"/>
      <c r="E44" s="2"/>
      <c r="F44" s="6">
        <f t="shared" si="20"/>
        <v>0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0</v>
      </c>
      <c r="M44" s="2"/>
      <c r="N44" s="6">
        <f t="shared" si="23"/>
        <v>0</v>
      </c>
      <c r="O44" s="11"/>
      <c r="P44" s="7"/>
      <c r="Q44" s="2"/>
      <c r="R44" s="6">
        <f t="shared" si="24"/>
        <v>0</v>
      </c>
      <c r="S44" s="2"/>
      <c r="T44" s="7">
        <v>0</v>
      </c>
      <c r="U44" s="2"/>
      <c r="V44" s="6">
        <f t="shared" si="25"/>
        <v>0</v>
      </c>
      <c r="W44" s="2"/>
      <c r="X44" s="7">
        <f t="shared" si="26"/>
        <v>0</v>
      </c>
      <c r="Y44" s="2"/>
      <c r="Z44" s="6">
        <f t="shared" si="27"/>
        <v>0</v>
      </c>
    </row>
    <row r="45" spans="1:26" s="24" customFormat="1" hidden="1" outlineLevel="2" x14ac:dyDescent="0.25">
      <c r="A45" s="25"/>
      <c r="B45" s="11" t="str">
        <f>CONCATENATE("          ", "6010", " - ", "GRATUITY")</f>
        <v xml:space="preserve">          6010 - GRATUITY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26" customFormat="1" outlineLevel="1" collapsed="1" x14ac:dyDescent="0.25">
      <c r="A46" s="27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0</v>
      </c>
      <c r="E46" s="1"/>
      <c r="F46" s="5">
        <f t="shared" ref="F46:F54" si="28">IF(D$12=0,0,D46/D$12)</f>
        <v>0</v>
      </c>
      <c r="G46" s="1"/>
      <c r="H46" s="1">
        <f>SUM(OSRRefH22_2x_0)</f>
        <v>200</v>
      </c>
      <c r="I46" s="1"/>
      <c r="J46" s="5">
        <f t="shared" ref="J46:J54" si="29">IF(H$12=0,0,H46/H$12)</f>
        <v>2.7397260273972603E-3</v>
      </c>
      <c r="K46" s="1"/>
      <c r="L46" s="1">
        <f t="shared" ref="L46:L54" si="30">+D46-H46</f>
        <v>-200</v>
      </c>
      <c r="M46" s="1"/>
      <c r="N46" s="5">
        <f t="shared" ref="N46:N54" si="31">IF(H46=0,0,L46/H46)</f>
        <v>-1</v>
      </c>
      <c r="O46" s="13"/>
      <c r="P46" s="1">
        <f>SUM(OSRRefP22_2x_0)</f>
        <v>12.52</v>
      </c>
      <c r="Q46" s="1"/>
      <c r="R46" s="5">
        <f t="shared" ref="R46:R54" si="32">IF(P$12=0,0,P46/P$12)</f>
        <v>6.4049353607989104E-5</v>
      </c>
      <c r="S46" s="1"/>
      <c r="T46" s="1">
        <f>SUM(OSRRefT22_2x_0)</f>
        <v>900</v>
      </c>
      <c r="U46" s="1"/>
      <c r="V46" s="5">
        <f t="shared" ref="V46:V54" si="33">IF(T$12=0,0,T46/T$12)</f>
        <v>3.3457249070631971E-3</v>
      </c>
      <c r="W46" s="1"/>
      <c r="X46" s="1">
        <f t="shared" ref="X46:X54" si="34">+P46-T46</f>
        <v>-887.48</v>
      </c>
      <c r="Y46" s="1"/>
      <c r="Z46" s="5">
        <f t="shared" ref="Z46:Z54" si="35">IF(T46=0,0,X46/T46)</f>
        <v>-0.9860888888888889</v>
      </c>
    </row>
    <row r="47" spans="1:26" s="24" customFormat="1" hidden="1" outlineLevel="2" x14ac:dyDescent="0.25">
      <c r="A47" s="25"/>
      <c r="B47" s="11" t="str">
        <f>CONCATENATE("          ", "6362", " - ", "ADVERTISING EXPENSE")</f>
        <v xml:space="preserve">          6362 - ADVERTISING EXPENSE</v>
      </c>
      <c r="C47" s="11"/>
      <c r="D47" s="7"/>
      <c r="E47" s="2"/>
      <c r="F47" s="6">
        <f t="shared" si="28"/>
        <v>0</v>
      </c>
      <c r="G47" s="2"/>
      <c r="H47" s="7">
        <v>200</v>
      </c>
      <c r="I47" s="2"/>
      <c r="J47" s="6">
        <f t="shared" si="29"/>
        <v>2.7397260273972603E-3</v>
      </c>
      <c r="K47" s="2"/>
      <c r="L47" s="7">
        <f t="shared" si="30"/>
        <v>-200</v>
      </c>
      <c r="M47" s="2"/>
      <c r="N47" s="6">
        <f t="shared" si="31"/>
        <v>-1</v>
      </c>
      <c r="O47" s="11"/>
      <c r="P47" s="7">
        <v>12.52</v>
      </c>
      <c r="Q47" s="2"/>
      <c r="R47" s="6">
        <f t="shared" si="32"/>
        <v>6.4049353607989104E-5</v>
      </c>
      <c r="S47" s="2"/>
      <c r="T47" s="7">
        <v>900</v>
      </c>
      <c r="U47" s="2"/>
      <c r="V47" s="6">
        <f t="shared" si="33"/>
        <v>3.3457249070631971E-3</v>
      </c>
      <c r="W47" s="2"/>
      <c r="X47" s="7">
        <f t="shared" si="34"/>
        <v>-887.48</v>
      </c>
      <c r="Y47" s="2"/>
      <c r="Z47" s="6">
        <f t="shared" si="35"/>
        <v>-0.9860888888888889</v>
      </c>
    </row>
    <row r="48" spans="1:26" s="26" customFormat="1" outlineLevel="1" collapsed="1" x14ac:dyDescent="0.25">
      <c r="A48" s="27"/>
      <c r="B48" s="13" t="str">
        <f>CONCATENATE("     ","Bad Debts/Over/Short                              ")</f>
        <v xml:space="preserve">     Bad Debts/Over/Short                              </v>
      </c>
      <c r="C48" s="13"/>
      <c r="D48" s="1">
        <f>SUM(OSRRefD22_3x_0)</f>
        <v>-1.86</v>
      </c>
      <c r="E48" s="1"/>
      <c r="F48" s="5">
        <f t="shared" si="28"/>
        <v>-2.2466109692350788E-5</v>
      </c>
      <c r="G48" s="1"/>
      <c r="H48" s="1">
        <f>SUM(OSRRefH22_3x_0)</f>
        <v>-1</v>
      </c>
      <c r="I48" s="1"/>
      <c r="J48" s="5">
        <f t="shared" si="29"/>
        <v>-1.3698630136986302E-5</v>
      </c>
      <c r="K48" s="1"/>
      <c r="L48" s="1">
        <f t="shared" si="30"/>
        <v>-0.8600000000000001</v>
      </c>
      <c r="M48" s="1"/>
      <c r="N48" s="5">
        <f t="shared" si="31"/>
        <v>0.8600000000000001</v>
      </c>
      <c r="O48" s="13"/>
      <c r="P48" s="1">
        <f>SUM(OSRRefP22_3x_0)</f>
        <v>-1.1299999999999999</v>
      </c>
      <c r="Q48" s="1"/>
      <c r="R48" s="5">
        <f t="shared" si="32"/>
        <v>-5.7808122665357568E-6</v>
      </c>
      <c r="S48" s="1"/>
      <c r="T48" s="1">
        <f>SUM(OSRRefT22_3x_0)</f>
        <v>-3</v>
      </c>
      <c r="U48" s="1"/>
      <c r="V48" s="5">
        <f t="shared" si="33"/>
        <v>-1.1152416356877323E-5</v>
      </c>
      <c r="W48" s="1"/>
      <c r="X48" s="1">
        <f t="shared" si="34"/>
        <v>1.87</v>
      </c>
      <c r="Y48" s="1"/>
      <c r="Z48" s="5">
        <f t="shared" si="35"/>
        <v>-0.62333333333333341</v>
      </c>
    </row>
    <row r="49" spans="1:26" s="24" customFormat="1" hidden="1" outlineLevel="2" x14ac:dyDescent="0.25">
      <c r="A49" s="25"/>
      <c r="B49" s="11" t="str">
        <f>CONCATENATE("          ", "6272", " - ", "CASH (OVER/SHORT)")</f>
        <v xml:space="preserve">          6272 - CASH (OVER/SHORT)</v>
      </c>
      <c r="C49" s="11"/>
      <c r="D49" s="7">
        <v>-1.86</v>
      </c>
      <c r="E49" s="2"/>
      <c r="F49" s="6">
        <f t="shared" si="28"/>
        <v>-2.2466109692350788E-5</v>
      </c>
      <c r="G49" s="2"/>
      <c r="H49" s="7">
        <v>-1</v>
      </c>
      <c r="I49" s="2"/>
      <c r="J49" s="6">
        <f t="shared" si="29"/>
        <v>-1.3698630136986302E-5</v>
      </c>
      <c r="K49" s="2"/>
      <c r="L49" s="7">
        <f t="shared" si="30"/>
        <v>-0.8600000000000001</v>
      </c>
      <c r="M49" s="2"/>
      <c r="N49" s="6">
        <f t="shared" si="31"/>
        <v>0.8600000000000001</v>
      </c>
      <c r="O49" s="11"/>
      <c r="P49" s="7">
        <v>-1.1299999999999999</v>
      </c>
      <c r="Q49" s="2"/>
      <c r="R49" s="6">
        <f t="shared" si="32"/>
        <v>-5.7808122665357568E-6</v>
      </c>
      <c r="S49" s="2"/>
      <c r="T49" s="7">
        <v>-3</v>
      </c>
      <c r="U49" s="2"/>
      <c r="V49" s="6">
        <f t="shared" si="33"/>
        <v>-1.1152416356877323E-5</v>
      </c>
      <c r="W49" s="2"/>
      <c r="X49" s="7">
        <f t="shared" si="34"/>
        <v>1.87</v>
      </c>
      <c r="Y49" s="2"/>
      <c r="Z49" s="6">
        <f t="shared" si="35"/>
        <v>-0.62333333333333341</v>
      </c>
    </row>
    <row r="50" spans="1:26" s="26" customFormat="1" outlineLevel="1" collapsed="1" x14ac:dyDescent="0.25">
      <c r="A50" s="27"/>
      <c r="B50" s="13" t="str">
        <f>CONCATENATE("     ","Bank/card Fees                                    ")</f>
        <v xml:space="preserve">     Bank/card Fees                                    </v>
      </c>
      <c r="C50" s="13"/>
      <c r="D50" s="1">
        <f>SUM(OSRRefD22_4x_0)</f>
        <v>1409.22</v>
      </c>
      <c r="E50" s="1"/>
      <c r="F50" s="5">
        <f t="shared" si="28"/>
        <v>1.7021339301427192E-2</v>
      </c>
      <c r="G50" s="1"/>
      <c r="H50" s="1">
        <f>SUM(OSRRefH22_4x_0)</f>
        <v>1200</v>
      </c>
      <c r="I50" s="1"/>
      <c r="J50" s="5">
        <f t="shared" si="29"/>
        <v>1.643835616438356E-2</v>
      </c>
      <c r="K50" s="1"/>
      <c r="L50" s="1">
        <f t="shared" si="30"/>
        <v>209.22000000000003</v>
      </c>
      <c r="M50" s="1"/>
      <c r="N50" s="5">
        <f t="shared" si="31"/>
        <v>0.17435000000000003</v>
      </c>
      <c r="O50" s="13"/>
      <c r="P50" s="1">
        <f>SUM(OSRRefP22_4x_0)</f>
        <v>2384.92</v>
      </c>
      <c r="Q50" s="1"/>
      <c r="R50" s="5">
        <f t="shared" si="32"/>
        <v>1.2200685655492441E-2</v>
      </c>
      <c r="S50" s="1"/>
      <c r="T50" s="1">
        <f>SUM(OSRRefT22_4x_0)</f>
        <v>2850</v>
      </c>
      <c r="U50" s="1"/>
      <c r="V50" s="5">
        <f t="shared" si="33"/>
        <v>1.0594795539033457E-2</v>
      </c>
      <c r="W50" s="1"/>
      <c r="X50" s="1">
        <f t="shared" si="34"/>
        <v>-465.07999999999993</v>
      </c>
      <c r="Y50" s="1"/>
      <c r="Z50" s="5">
        <f t="shared" si="35"/>
        <v>-0.16318596491228068</v>
      </c>
    </row>
    <row r="51" spans="1:26" s="24" customFormat="1" hidden="1" outlineLevel="2" x14ac:dyDescent="0.25">
      <c r="A51" s="25"/>
      <c r="B51" s="11" t="str">
        <f>CONCATENATE("          ", "6381", " - ", "BANK/CREDIT CARD FEES")</f>
        <v xml:space="preserve">          6381 - BANK/CREDIT CARD FEES</v>
      </c>
      <c r="C51" s="11"/>
      <c r="D51" s="7">
        <v>1409.22</v>
      </c>
      <c r="E51" s="2"/>
      <c r="F51" s="6">
        <f t="shared" si="28"/>
        <v>1.7021339301427192E-2</v>
      </c>
      <c r="G51" s="2"/>
      <c r="H51" s="7">
        <v>1200</v>
      </c>
      <c r="I51" s="2"/>
      <c r="J51" s="6">
        <f t="shared" si="29"/>
        <v>1.643835616438356E-2</v>
      </c>
      <c r="K51" s="2"/>
      <c r="L51" s="7">
        <f t="shared" si="30"/>
        <v>209.22000000000003</v>
      </c>
      <c r="M51" s="2"/>
      <c r="N51" s="6">
        <f t="shared" si="31"/>
        <v>0.17435000000000003</v>
      </c>
      <c r="O51" s="11"/>
      <c r="P51" s="7">
        <v>2384.92</v>
      </c>
      <c r="Q51" s="2"/>
      <c r="R51" s="6">
        <f t="shared" si="32"/>
        <v>1.2200685655492441E-2</v>
      </c>
      <c r="S51" s="2"/>
      <c r="T51" s="7">
        <v>2850</v>
      </c>
      <c r="U51" s="2"/>
      <c r="V51" s="6">
        <f t="shared" si="33"/>
        <v>1.0594795539033457E-2</v>
      </c>
      <c r="W51" s="2"/>
      <c r="X51" s="7">
        <f t="shared" si="34"/>
        <v>-465.07999999999993</v>
      </c>
      <c r="Y51" s="2"/>
      <c r="Z51" s="6">
        <f t="shared" si="35"/>
        <v>-0.16318596491228068</v>
      </c>
    </row>
    <row r="52" spans="1:26" s="26" customFormat="1" outlineLevel="1" collapsed="1" x14ac:dyDescent="0.25">
      <c r="A52" s="27"/>
      <c r="B52" s="13" t="str">
        <f>CONCATENATE("     ","Depreciation                                      ")</f>
        <v xml:space="preserve">     Depreciation                                      </v>
      </c>
      <c r="C52" s="13"/>
      <c r="D52" s="1">
        <f>SUM(OSRRefD22_5x_0)</f>
        <v>297.99</v>
      </c>
      <c r="E52" s="1"/>
      <c r="F52" s="5">
        <f t="shared" si="28"/>
        <v>3.5992881866793607E-3</v>
      </c>
      <c r="G52" s="1"/>
      <c r="H52" s="1">
        <f>SUM(OSRRefH22_5x_0)</f>
        <v>631</v>
      </c>
      <c r="I52" s="1"/>
      <c r="J52" s="5">
        <f t="shared" si="29"/>
        <v>8.643835616438356E-3</v>
      </c>
      <c r="K52" s="1"/>
      <c r="L52" s="1">
        <f t="shared" si="30"/>
        <v>-333.01</v>
      </c>
      <c r="M52" s="1"/>
      <c r="N52" s="5">
        <f t="shared" si="31"/>
        <v>-0.52774960380348657</v>
      </c>
      <c r="O52" s="13"/>
      <c r="P52" s="1">
        <f>SUM(OSRRefP22_5x_0)</f>
        <v>893.97</v>
      </c>
      <c r="Q52" s="1"/>
      <c r="R52" s="5">
        <f t="shared" si="32"/>
        <v>4.5733387096592668E-3</v>
      </c>
      <c r="S52" s="1"/>
      <c r="T52" s="1">
        <f>SUM(OSRRefT22_5x_0)</f>
        <v>1227</v>
      </c>
      <c r="U52" s="1"/>
      <c r="V52" s="5">
        <f t="shared" si="33"/>
        <v>4.5613382899628253E-3</v>
      </c>
      <c r="W52" s="1"/>
      <c r="X52" s="1">
        <f t="shared" si="34"/>
        <v>-333.03</v>
      </c>
      <c r="Y52" s="1"/>
      <c r="Z52" s="5">
        <f t="shared" si="35"/>
        <v>-0.27141809290953545</v>
      </c>
    </row>
    <row r="53" spans="1:26" s="24" customFormat="1" hidden="1" outlineLevel="2" x14ac:dyDescent="0.25">
      <c r="A53" s="25"/>
      <c r="B53" s="11" t="str">
        <f>CONCATENATE("          ", "6322", " - ", "EQUIPMENT DEPRECIATION EXPENSE")</f>
        <v xml:space="preserve">          6322 - EQUIPMENT DEPRECIATION EXPENSE</v>
      </c>
      <c r="C53" s="11"/>
      <c r="D53" s="7">
        <v>297.99</v>
      </c>
      <c r="E53" s="2"/>
      <c r="F53" s="6">
        <f t="shared" si="28"/>
        <v>3.5992881866793607E-3</v>
      </c>
      <c r="G53" s="2"/>
      <c r="H53" s="7">
        <v>298</v>
      </c>
      <c r="I53" s="2"/>
      <c r="J53" s="6">
        <f t="shared" si="29"/>
        <v>4.0821917808219182E-3</v>
      </c>
      <c r="K53" s="2"/>
      <c r="L53" s="7">
        <f t="shared" si="30"/>
        <v>-9.9999999999909051E-3</v>
      </c>
      <c r="M53" s="2"/>
      <c r="N53" s="6">
        <f t="shared" si="31"/>
        <v>-3.3557046979835255E-5</v>
      </c>
      <c r="O53" s="11"/>
      <c r="P53" s="7">
        <v>893.97</v>
      </c>
      <c r="Q53" s="2"/>
      <c r="R53" s="6">
        <f t="shared" si="32"/>
        <v>4.5733387096592668E-3</v>
      </c>
      <c r="S53" s="2"/>
      <c r="T53" s="7">
        <v>894</v>
      </c>
      <c r="U53" s="2"/>
      <c r="V53" s="6">
        <f t="shared" si="33"/>
        <v>3.3234200743494425E-3</v>
      </c>
      <c r="W53" s="2"/>
      <c r="X53" s="7">
        <f t="shared" si="34"/>
        <v>-2.9999999999972715E-2</v>
      </c>
      <c r="Y53" s="2"/>
      <c r="Z53" s="6">
        <f t="shared" si="35"/>
        <v>-3.3557046979835255E-5</v>
      </c>
    </row>
    <row r="54" spans="1:26" s="24" customFormat="1" hidden="1" outlineLevel="2" x14ac:dyDescent="0.25">
      <c r="A54" s="25"/>
      <c r="B54" s="11" t="str">
        <f>CONCATENATE("          ", "6324", " - ", "FURNITURE + FIXT DEPRECIATION")</f>
        <v xml:space="preserve">          6324 - FURNITURE + FIXT DEPRECIATION</v>
      </c>
      <c r="C54" s="11"/>
      <c r="D54" s="7"/>
      <c r="E54" s="2"/>
      <c r="F54" s="6">
        <f t="shared" si="28"/>
        <v>0</v>
      </c>
      <c r="G54" s="2"/>
      <c r="H54" s="7">
        <v>333</v>
      </c>
      <c r="I54" s="2"/>
      <c r="J54" s="6">
        <f t="shared" si="29"/>
        <v>4.5616438356164387E-3</v>
      </c>
      <c r="K54" s="2"/>
      <c r="L54" s="7">
        <f t="shared" si="30"/>
        <v>-333</v>
      </c>
      <c r="M54" s="2"/>
      <c r="N54" s="6">
        <f t="shared" si="31"/>
        <v>-1</v>
      </c>
      <c r="O54" s="11"/>
      <c r="P54" s="7"/>
      <c r="Q54" s="2"/>
      <c r="R54" s="6">
        <f t="shared" si="32"/>
        <v>0</v>
      </c>
      <c r="S54" s="2"/>
      <c r="T54" s="7">
        <v>333</v>
      </c>
      <c r="U54" s="2"/>
      <c r="V54" s="6">
        <f t="shared" si="33"/>
        <v>1.2379182156133828E-3</v>
      </c>
      <c r="W54" s="2"/>
      <c r="X54" s="7">
        <f t="shared" si="34"/>
        <v>-333</v>
      </c>
      <c r="Y54" s="2"/>
      <c r="Z54" s="6">
        <f t="shared" si="35"/>
        <v>-1</v>
      </c>
    </row>
    <row r="55" spans="1:26" s="26" customFormat="1" outlineLevel="1" collapsed="1" x14ac:dyDescent="0.25">
      <c r="A55" s="27"/>
      <c r="B55" s="13" t="str">
        <f>CONCATENATE("     ","Equipment Rental                                  ")</f>
        <v xml:space="preserve">     Equipment Rental                                  </v>
      </c>
      <c r="C55" s="13"/>
      <c r="D55" s="1">
        <f>SUM(OSRRefD22_6x_0)</f>
        <v>148.9</v>
      </c>
      <c r="E55" s="1"/>
      <c r="F55" s="5">
        <f t="shared" ref="F55:F61" si="36">IF(D$12=0,0,D55/D$12)</f>
        <v>1.7984966307478668E-3</v>
      </c>
      <c r="G55" s="1"/>
      <c r="H55" s="1">
        <f>SUM(OSRRefH22_6x_0)</f>
        <v>0</v>
      </c>
      <c r="I55" s="1"/>
      <c r="J55" s="5">
        <f t="shared" ref="J55:J61" si="37">IF(H$12=0,0,H55/H$12)</f>
        <v>0</v>
      </c>
      <c r="K55" s="1"/>
      <c r="L55" s="1">
        <f t="shared" ref="L55:L61" si="38">+D55-H55</f>
        <v>148.9</v>
      </c>
      <c r="M55" s="1"/>
      <c r="N55" s="5">
        <f t="shared" ref="N55:N61" si="39">IF(H55=0,0,L55/H55)</f>
        <v>0</v>
      </c>
      <c r="O55" s="13"/>
      <c r="P55" s="1">
        <f>SUM(OSRRefP22_6x_0)</f>
        <v>173.87</v>
      </c>
      <c r="Q55" s="1"/>
      <c r="R55" s="5">
        <f t="shared" ref="R55:R61" si="40">IF(P$12=0,0,P55/P$12)</f>
        <v>8.8947772458634704E-4</v>
      </c>
      <c r="S55" s="1"/>
      <c r="T55" s="1">
        <f>SUM(OSRRefT22_6x_0)</f>
        <v>200</v>
      </c>
      <c r="U55" s="1"/>
      <c r="V55" s="5">
        <f t="shared" ref="V55:V61" si="41">IF(T$12=0,0,T55/T$12)</f>
        <v>7.4349442379182155E-4</v>
      </c>
      <c r="W55" s="1"/>
      <c r="X55" s="1">
        <f t="shared" ref="X55:X61" si="42">+P55-T55</f>
        <v>-26.129999999999995</v>
      </c>
      <c r="Y55" s="1"/>
      <c r="Z55" s="5">
        <f t="shared" ref="Z55:Z61" si="43">IF(T55=0,0,X55/T55)</f>
        <v>-0.13064999999999999</v>
      </c>
    </row>
    <row r="56" spans="1:26" s="24" customFormat="1" hidden="1" outlineLevel="2" x14ac:dyDescent="0.25">
      <c r="A56" s="25"/>
      <c r="B56" s="11" t="str">
        <f>CONCATENATE("          ", "6351", " - ", "EQUIPMENT RENTAL")</f>
        <v xml:space="preserve">          6351 - EQUIPMENT RENTAL</v>
      </c>
      <c r="C56" s="11"/>
      <c r="D56" s="7">
        <v>148.9</v>
      </c>
      <c r="E56" s="2"/>
      <c r="F56" s="6">
        <f t="shared" si="36"/>
        <v>1.7984966307478668E-3</v>
      </c>
      <c r="G56" s="2"/>
      <c r="H56" s="7">
        <v>0</v>
      </c>
      <c r="I56" s="2"/>
      <c r="J56" s="6">
        <f t="shared" si="37"/>
        <v>0</v>
      </c>
      <c r="K56" s="2"/>
      <c r="L56" s="7">
        <f t="shared" si="38"/>
        <v>148.9</v>
      </c>
      <c r="M56" s="2"/>
      <c r="N56" s="6">
        <f t="shared" si="39"/>
        <v>0</v>
      </c>
      <c r="O56" s="11"/>
      <c r="P56" s="7">
        <v>173.87</v>
      </c>
      <c r="Q56" s="2"/>
      <c r="R56" s="6">
        <f t="shared" si="40"/>
        <v>8.8947772458634704E-4</v>
      </c>
      <c r="S56" s="2"/>
      <c r="T56" s="7">
        <v>200</v>
      </c>
      <c r="U56" s="2"/>
      <c r="V56" s="6">
        <f t="shared" si="41"/>
        <v>7.4349442379182155E-4</v>
      </c>
      <c r="W56" s="2"/>
      <c r="X56" s="7">
        <f t="shared" si="42"/>
        <v>-26.129999999999995</v>
      </c>
      <c r="Y56" s="2"/>
      <c r="Z56" s="6">
        <f t="shared" si="43"/>
        <v>-0.13064999999999999</v>
      </c>
    </row>
    <row r="57" spans="1:26" s="26" customFormat="1" outlineLevel="1" collapsed="1" x14ac:dyDescent="0.25">
      <c r="A57" s="27"/>
      <c r="B57" s="13" t="str">
        <f>CONCATENATE("     ","General                                           ")</f>
        <v xml:space="preserve">     General                                           </v>
      </c>
      <c r="C57" s="13"/>
      <c r="D57" s="1">
        <f>SUM(OSRRefD22_7x_0)</f>
        <v>543.54999999999995</v>
      </c>
      <c r="E57" s="1"/>
      <c r="F57" s="5">
        <f t="shared" si="36"/>
        <v>6.5652978082135858E-3</v>
      </c>
      <c r="G57" s="1"/>
      <c r="H57" s="1">
        <f>SUM(OSRRefH22_7x_0)</f>
        <v>50</v>
      </c>
      <c r="I57" s="1"/>
      <c r="J57" s="5">
        <f t="shared" si="37"/>
        <v>6.8493150684931507E-4</v>
      </c>
      <c r="K57" s="1"/>
      <c r="L57" s="1">
        <f t="shared" si="38"/>
        <v>493.54999999999995</v>
      </c>
      <c r="M57" s="1"/>
      <c r="N57" s="5">
        <f t="shared" si="39"/>
        <v>9.8709999999999987</v>
      </c>
      <c r="O57" s="13"/>
      <c r="P57" s="1">
        <f>SUM(OSRRefP22_7x_0)</f>
        <v>2447.08</v>
      </c>
      <c r="Q57" s="1"/>
      <c r="R57" s="5">
        <f t="shared" si="40"/>
        <v>1.2518681487782585E-2</v>
      </c>
      <c r="S57" s="1"/>
      <c r="T57" s="1">
        <f>SUM(OSRRefT22_7x_0)</f>
        <v>3700</v>
      </c>
      <c r="U57" s="1"/>
      <c r="V57" s="5">
        <f t="shared" si="41"/>
        <v>1.3754646840148699E-2</v>
      </c>
      <c r="W57" s="1"/>
      <c r="X57" s="1">
        <f t="shared" si="42"/>
        <v>-1252.92</v>
      </c>
      <c r="Y57" s="1"/>
      <c r="Z57" s="5">
        <f t="shared" si="43"/>
        <v>-0.33862702702702707</v>
      </c>
    </row>
    <row r="58" spans="1:26" s="24" customFormat="1" hidden="1" outlineLevel="2" x14ac:dyDescent="0.25">
      <c r="A58" s="25"/>
      <c r="B58" s="11" t="str">
        <f>CONCATENATE("          ", "6279", " - ", "GENERAL EXPENSE")</f>
        <v xml:space="preserve">          6279 - GENERAL EXPENSE</v>
      </c>
      <c r="C58" s="11"/>
      <c r="D58" s="7">
        <v>543.54999999999995</v>
      </c>
      <c r="E58" s="2"/>
      <c r="F58" s="6">
        <f t="shared" si="36"/>
        <v>6.5652978082135858E-3</v>
      </c>
      <c r="G58" s="2"/>
      <c r="H58" s="7">
        <v>50</v>
      </c>
      <c r="I58" s="2"/>
      <c r="J58" s="6">
        <f t="shared" si="37"/>
        <v>6.8493150684931507E-4</v>
      </c>
      <c r="K58" s="2"/>
      <c r="L58" s="7">
        <f t="shared" si="38"/>
        <v>493.54999999999995</v>
      </c>
      <c r="M58" s="2"/>
      <c r="N58" s="6">
        <f t="shared" si="39"/>
        <v>9.8709999999999987</v>
      </c>
      <c r="O58" s="11"/>
      <c r="P58" s="7">
        <v>2447.08</v>
      </c>
      <c r="Q58" s="2"/>
      <c r="R58" s="6">
        <f t="shared" si="40"/>
        <v>1.2518681487782585E-2</v>
      </c>
      <c r="S58" s="2"/>
      <c r="T58" s="7">
        <v>3700</v>
      </c>
      <c r="U58" s="2"/>
      <c r="V58" s="6">
        <f t="shared" si="41"/>
        <v>1.3754646840148699E-2</v>
      </c>
      <c r="W58" s="2"/>
      <c r="X58" s="7">
        <f t="shared" si="42"/>
        <v>-1252.92</v>
      </c>
      <c r="Y58" s="2"/>
      <c r="Z58" s="6">
        <f t="shared" si="43"/>
        <v>-0.33862702702702707</v>
      </c>
    </row>
    <row r="59" spans="1:26" s="26" customFormat="1" outlineLevel="1" collapsed="1" x14ac:dyDescent="0.25">
      <c r="A59" s="27"/>
      <c r="B59" s="13" t="str">
        <f>CONCATENATE("     ","Repair and Maintenance                            ")</f>
        <v xml:space="preserve">     Repair and Maintenance                            </v>
      </c>
      <c r="C59" s="13"/>
      <c r="D59" s="1">
        <f>SUM(OSRRefD22_8x_0)</f>
        <v>584.05999999999995</v>
      </c>
      <c r="E59" s="1"/>
      <c r="F59" s="5">
        <f t="shared" si="36"/>
        <v>7.0546000144701068E-3</v>
      </c>
      <c r="G59" s="1"/>
      <c r="H59" s="1">
        <f>SUM(OSRRefH22_8x_0)</f>
        <v>560</v>
      </c>
      <c r="I59" s="1"/>
      <c r="J59" s="5">
        <f t="shared" si="37"/>
        <v>7.6712328767123287E-3</v>
      </c>
      <c r="K59" s="1"/>
      <c r="L59" s="1">
        <f t="shared" si="38"/>
        <v>24.059999999999945</v>
      </c>
      <c r="M59" s="1"/>
      <c r="N59" s="5">
        <f t="shared" si="39"/>
        <v>4.2964285714285615E-2</v>
      </c>
      <c r="O59" s="13"/>
      <c r="P59" s="1">
        <f>SUM(OSRRefP22_8x_0)</f>
        <v>1392.07</v>
      </c>
      <c r="Q59" s="1"/>
      <c r="R59" s="5">
        <f t="shared" si="40"/>
        <v>7.1215002936959567E-3</v>
      </c>
      <c r="S59" s="1"/>
      <c r="T59" s="1">
        <f>SUM(OSRRefT22_8x_0)</f>
        <v>2560</v>
      </c>
      <c r="U59" s="1"/>
      <c r="V59" s="5">
        <f t="shared" si="41"/>
        <v>9.5167286245353162E-3</v>
      </c>
      <c r="W59" s="1"/>
      <c r="X59" s="1">
        <f t="shared" si="42"/>
        <v>-1167.93</v>
      </c>
      <c r="Y59" s="1"/>
      <c r="Z59" s="5">
        <f t="shared" si="43"/>
        <v>-0.45622265625000002</v>
      </c>
    </row>
    <row r="60" spans="1:26" s="24" customFormat="1" hidden="1" outlineLevel="2" x14ac:dyDescent="0.25">
      <c r="A60" s="25"/>
      <c r="B60" s="11" t="str">
        <f>CONCATENATE("          ", "6373", " - ", "MAINTENANCE CONTRACTS")</f>
        <v xml:space="preserve">          6373 - MAINTENANCE CONTRACTS</v>
      </c>
      <c r="C60" s="11"/>
      <c r="D60" s="7"/>
      <c r="E60" s="2"/>
      <c r="F60" s="6">
        <f t="shared" si="36"/>
        <v>0</v>
      </c>
      <c r="G60" s="2"/>
      <c r="H60" s="7">
        <v>60</v>
      </c>
      <c r="I60" s="2"/>
      <c r="J60" s="6">
        <f t="shared" si="37"/>
        <v>8.2191780821917813E-4</v>
      </c>
      <c r="K60" s="2"/>
      <c r="L60" s="7">
        <f t="shared" si="38"/>
        <v>-60</v>
      </c>
      <c r="M60" s="2"/>
      <c r="N60" s="6">
        <f t="shared" si="39"/>
        <v>-1</v>
      </c>
      <c r="O60" s="11"/>
      <c r="P60" s="7">
        <v>18.45</v>
      </c>
      <c r="Q60" s="2"/>
      <c r="R60" s="6">
        <f t="shared" si="40"/>
        <v>9.4385828599632496E-5</v>
      </c>
      <c r="S60" s="2"/>
      <c r="T60" s="7">
        <v>60</v>
      </c>
      <c r="U60" s="2"/>
      <c r="V60" s="6">
        <f t="shared" si="41"/>
        <v>2.2304832713754646E-4</v>
      </c>
      <c r="W60" s="2"/>
      <c r="X60" s="7">
        <f t="shared" si="42"/>
        <v>-41.55</v>
      </c>
      <c r="Y60" s="2"/>
      <c r="Z60" s="6">
        <f t="shared" si="43"/>
        <v>-0.6925</v>
      </c>
    </row>
    <row r="61" spans="1:26" s="24" customFormat="1" hidden="1" outlineLevel="2" x14ac:dyDescent="0.25">
      <c r="A61" s="25"/>
      <c r="B61" s="11" t="str">
        <f>CONCATENATE("          ", "6375", " - ", "OUTSIDE REPAIRS &amp; MAINTENANCE")</f>
        <v xml:space="preserve">          6375 - OUTSIDE REPAIRS &amp; MAINTENANCE</v>
      </c>
      <c r="C61" s="11"/>
      <c r="D61" s="7">
        <v>584.05999999999995</v>
      </c>
      <c r="E61" s="2"/>
      <c r="F61" s="6">
        <f t="shared" si="36"/>
        <v>7.0546000144701068E-3</v>
      </c>
      <c r="G61" s="2"/>
      <c r="H61" s="7">
        <v>500</v>
      </c>
      <c r="I61" s="2"/>
      <c r="J61" s="6">
        <f t="shared" si="37"/>
        <v>6.8493150684931503E-3</v>
      </c>
      <c r="K61" s="2"/>
      <c r="L61" s="7">
        <f t="shared" si="38"/>
        <v>84.059999999999945</v>
      </c>
      <c r="M61" s="2"/>
      <c r="N61" s="6">
        <f t="shared" si="39"/>
        <v>0.16811999999999988</v>
      </c>
      <c r="O61" s="11"/>
      <c r="P61" s="7">
        <v>1373.62</v>
      </c>
      <c r="Q61" s="2"/>
      <c r="R61" s="6">
        <f t="shared" si="40"/>
        <v>7.0271144650963244E-3</v>
      </c>
      <c r="S61" s="2"/>
      <c r="T61" s="7">
        <v>2500</v>
      </c>
      <c r="U61" s="2"/>
      <c r="V61" s="6">
        <f t="shared" si="41"/>
        <v>9.2936802973977699E-3</v>
      </c>
      <c r="W61" s="2"/>
      <c r="X61" s="7">
        <f t="shared" si="42"/>
        <v>-1126.3800000000001</v>
      </c>
      <c r="Y61" s="2"/>
      <c r="Z61" s="6">
        <f t="shared" si="43"/>
        <v>-0.45055200000000006</v>
      </c>
    </row>
    <row r="62" spans="1:26" s="26" customFormat="1" outlineLevel="1" collapsed="1" x14ac:dyDescent="0.25">
      <c r="A62" s="27"/>
      <c r="B62" s="13" t="str">
        <f>CONCATENATE("     ","Royalty &amp; Commissions                             ")</f>
        <v xml:space="preserve">     Royalty &amp; Commissions                             </v>
      </c>
      <c r="C62" s="13"/>
      <c r="D62" s="1">
        <f>SUM(OSRRefD22_9x_0)</f>
        <v>0</v>
      </c>
      <c r="E62" s="1"/>
      <c r="F62" s="5">
        <f t="shared" ref="F62:F67" si="44">IF(D$12=0,0,D62/D$12)</f>
        <v>0</v>
      </c>
      <c r="G62" s="1"/>
      <c r="H62" s="1">
        <f>SUM(OSRRefH22_9x_0)</f>
        <v>0</v>
      </c>
      <c r="I62" s="1"/>
      <c r="J62" s="5">
        <f t="shared" ref="J62:J67" si="45">IF(H$12=0,0,H62/H$12)</f>
        <v>0</v>
      </c>
      <c r="K62" s="1"/>
      <c r="L62" s="1">
        <f t="shared" ref="L62:L67" si="46">+D62-H62</f>
        <v>0</v>
      </c>
      <c r="M62" s="1"/>
      <c r="N62" s="5">
        <f t="shared" ref="N62:N67" si="47">IF(H62=0,0,L62/H62)</f>
        <v>0</v>
      </c>
      <c r="O62" s="13"/>
      <c r="P62" s="1">
        <f>SUM(OSRRefP22_9x_0)</f>
        <v>0</v>
      </c>
      <c r="Q62" s="1"/>
      <c r="R62" s="5">
        <f t="shared" ref="R62:R67" si="48">IF(P$12=0,0,P62/P$12)</f>
        <v>0</v>
      </c>
      <c r="S62" s="1"/>
      <c r="T62" s="1">
        <f>SUM(OSRRefT22_9x_0)</f>
        <v>3000</v>
      </c>
      <c r="U62" s="1"/>
      <c r="V62" s="5">
        <f t="shared" ref="V62:V67" si="49">IF(T$12=0,0,T62/T$12)</f>
        <v>1.1152416356877323E-2</v>
      </c>
      <c r="W62" s="1"/>
      <c r="X62" s="1">
        <f t="shared" ref="X62:X67" si="50">+P62-T62</f>
        <v>-3000</v>
      </c>
      <c r="Y62" s="1"/>
      <c r="Z62" s="5">
        <f t="shared" ref="Z62:Z67" si="51">IF(T62=0,0,X62/T62)</f>
        <v>-1</v>
      </c>
    </row>
    <row r="63" spans="1:26" s="24" customFormat="1" hidden="1" outlineLevel="2" x14ac:dyDescent="0.25">
      <c r="A63" s="25"/>
      <c r="B63" s="11" t="str">
        <f>CONCATENATE("          ", "6254", " - ", "ROYALTY &amp; COMMISSIONS")</f>
        <v xml:space="preserve">          6254 - ROYALTY &amp; COMMISSIONS</v>
      </c>
      <c r="C63" s="11"/>
      <c r="D63" s="7"/>
      <c r="E63" s="2"/>
      <c r="F63" s="6">
        <f t="shared" si="44"/>
        <v>0</v>
      </c>
      <c r="G63" s="2"/>
      <c r="H63" s="7"/>
      <c r="I63" s="2"/>
      <c r="J63" s="6">
        <f t="shared" si="45"/>
        <v>0</v>
      </c>
      <c r="K63" s="2"/>
      <c r="L63" s="7">
        <f t="shared" si="46"/>
        <v>0</v>
      </c>
      <c r="M63" s="2"/>
      <c r="N63" s="6">
        <f t="shared" si="47"/>
        <v>0</v>
      </c>
      <c r="O63" s="11"/>
      <c r="P63" s="7"/>
      <c r="Q63" s="2"/>
      <c r="R63" s="6">
        <f t="shared" si="48"/>
        <v>0</v>
      </c>
      <c r="S63" s="2"/>
      <c r="T63" s="7">
        <v>3000</v>
      </c>
      <c r="U63" s="2"/>
      <c r="V63" s="6">
        <f t="shared" si="49"/>
        <v>1.1152416356877323E-2</v>
      </c>
      <c r="W63" s="2"/>
      <c r="X63" s="7">
        <f t="shared" si="50"/>
        <v>-3000</v>
      </c>
      <c r="Y63" s="2"/>
      <c r="Z63" s="6">
        <f t="shared" si="51"/>
        <v>-1</v>
      </c>
    </row>
    <row r="64" spans="1:26" s="26" customFormat="1" outlineLevel="1" collapsed="1" x14ac:dyDescent="0.25">
      <c r="A64" s="27"/>
      <c r="B64" s="13" t="str">
        <f>CONCATENATE("     ","Services                                          ")</f>
        <v xml:space="preserve">     Services                                          </v>
      </c>
      <c r="C64" s="13"/>
      <c r="D64" s="1">
        <f>SUM(OSRRefD22_10x_0)</f>
        <v>3215.58</v>
      </c>
      <c r="E64" s="1"/>
      <c r="F64" s="5">
        <f t="shared" si="44"/>
        <v>3.8839555378779214E-2</v>
      </c>
      <c r="G64" s="1"/>
      <c r="H64" s="1">
        <f>SUM(OSRRefH22_10x_0)</f>
        <v>2910</v>
      </c>
      <c r="I64" s="1"/>
      <c r="J64" s="5">
        <f t="shared" si="45"/>
        <v>3.9863013698630136E-2</v>
      </c>
      <c r="K64" s="1"/>
      <c r="L64" s="1">
        <f t="shared" si="46"/>
        <v>305.57999999999993</v>
      </c>
      <c r="M64" s="1"/>
      <c r="N64" s="5">
        <f t="shared" si="47"/>
        <v>0.10501030927835049</v>
      </c>
      <c r="O64" s="13"/>
      <c r="P64" s="1">
        <f>SUM(OSRRefP22_10x_0)</f>
        <v>7500</v>
      </c>
      <c r="Q64" s="1"/>
      <c r="R64" s="5">
        <f t="shared" si="48"/>
        <v>3.8368223007980692E-2</v>
      </c>
      <c r="S64" s="1"/>
      <c r="T64" s="1">
        <f>SUM(OSRRefT22_10x_0)</f>
        <v>7630</v>
      </c>
      <c r="U64" s="1"/>
      <c r="V64" s="5">
        <f t="shared" si="49"/>
        <v>2.8364312267657992E-2</v>
      </c>
      <c r="W64" s="1"/>
      <c r="X64" s="1">
        <f t="shared" si="50"/>
        <v>-130</v>
      </c>
      <c r="Y64" s="1"/>
      <c r="Z64" s="5">
        <f t="shared" si="51"/>
        <v>-1.7038007863695939E-2</v>
      </c>
    </row>
    <row r="65" spans="1:26" s="24" customFormat="1" hidden="1" outlineLevel="2" x14ac:dyDescent="0.25">
      <c r="A65" s="25"/>
      <c r="B65" s="11" t="str">
        <f>CONCATENATE("          ", "6283", " - ", "PLANT SERVICE")</f>
        <v xml:space="preserve">          6283 - PLANT SERVICE</v>
      </c>
      <c r="C65" s="11"/>
      <c r="D65" s="7">
        <v>62.95</v>
      </c>
      <c r="E65" s="2"/>
      <c r="F65" s="6">
        <f t="shared" si="44"/>
        <v>7.6034494899649568E-4</v>
      </c>
      <c r="G65" s="2"/>
      <c r="H65" s="7">
        <v>60</v>
      </c>
      <c r="I65" s="2"/>
      <c r="J65" s="6">
        <f t="shared" si="45"/>
        <v>8.2191780821917813E-4</v>
      </c>
      <c r="K65" s="2"/>
      <c r="L65" s="7">
        <f t="shared" si="46"/>
        <v>2.9500000000000028</v>
      </c>
      <c r="M65" s="2"/>
      <c r="N65" s="6">
        <f t="shared" si="47"/>
        <v>4.9166666666666713E-2</v>
      </c>
      <c r="O65" s="11"/>
      <c r="P65" s="7">
        <v>188.85</v>
      </c>
      <c r="Q65" s="2"/>
      <c r="R65" s="6">
        <f t="shared" si="48"/>
        <v>9.6611185534095374E-4</v>
      </c>
      <c r="S65" s="2"/>
      <c r="T65" s="7">
        <v>180</v>
      </c>
      <c r="U65" s="2"/>
      <c r="V65" s="6">
        <f t="shared" si="49"/>
        <v>6.691449814126394E-4</v>
      </c>
      <c r="W65" s="2"/>
      <c r="X65" s="7">
        <f t="shared" si="50"/>
        <v>8.8499999999999943</v>
      </c>
      <c r="Y65" s="2"/>
      <c r="Z65" s="6">
        <f t="shared" si="51"/>
        <v>4.9166666666666636E-2</v>
      </c>
    </row>
    <row r="66" spans="1:26" s="24" customFormat="1" hidden="1" outlineLevel="2" x14ac:dyDescent="0.25">
      <c r="A66" s="25"/>
      <c r="B66" s="11" t="str">
        <f>CONCATENATE("          ", "6285", " - ", "JANITORIAL SERVICES")</f>
        <v xml:space="preserve">          6285 - JANITORIAL SERVICES</v>
      </c>
      <c r="C66" s="11"/>
      <c r="D66" s="7"/>
      <c r="E66" s="2"/>
      <c r="F66" s="6">
        <f t="shared" si="44"/>
        <v>0</v>
      </c>
      <c r="G66" s="2"/>
      <c r="H66" s="7">
        <v>250</v>
      </c>
      <c r="I66" s="2"/>
      <c r="J66" s="6">
        <f t="shared" si="45"/>
        <v>3.4246575342465752E-3</v>
      </c>
      <c r="K66" s="2"/>
      <c r="L66" s="7">
        <f t="shared" si="46"/>
        <v>-250</v>
      </c>
      <c r="M66" s="2"/>
      <c r="N66" s="6">
        <f t="shared" si="47"/>
        <v>-1</v>
      </c>
      <c r="O66" s="11"/>
      <c r="P66" s="7"/>
      <c r="Q66" s="2"/>
      <c r="R66" s="6">
        <f t="shared" si="48"/>
        <v>0</v>
      </c>
      <c r="S66" s="2"/>
      <c r="T66" s="7">
        <v>250</v>
      </c>
      <c r="U66" s="2"/>
      <c r="V66" s="6">
        <f t="shared" si="49"/>
        <v>9.2936802973977691E-4</v>
      </c>
      <c r="W66" s="2"/>
      <c r="X66" s="7">
        <f t="shared" si="50"/>
        <v>-250</v>
      </c>
      <c r="Y66" s="2"/>
      <c r="Z66" s="6">
        <f t="shared" si="51"/>
        <v>-1</v>
      </c>
    </row>
    <row r="67" spans="1:26" s="24" customFormat="1" hidden="1" outlineLevel="2" x14ac:dyDescent="0.25">
      <c r="A67" s="25"/>
      <c r="B67" s="11" t="str">
        <f>CONCATENATE("          ", "6286", " - ", "LAUNDRY EXPENSE")</f>
        <v xml:space="preserve">          6286 - LAUNDRY EXPENSE</v>
      </c>
      <c r="C67" s="11"/>
      <c r="D67" s="7">
        <v>3152.63</v>
      </c>
      <c r="E67" s="2"/>
      <c r="F67" s="6">
        <f t="shared" si="44"/>
        <v>3.8079210429782719E-2</v>
      </c>
      <c r="G67" s="2"/>
      <c r="H67" s="7">
        <v>2600</v>
      </c>
      <c r="I67" s="2"/>
      <c r="J67" s="6">
        <f t="shared" si="45"/>
        <v>3.5616438356164383E-2</v>
      </c>
      <c r="K67" s="2"/>
      <c r="L67" s="7">
        <f t="shared" si="46"/>
        <v>552.63000000000011</v>
      </c>
      <c r="M67" s="2"/>
      <c r="N67" s="6">
        <f t="shared" si="47"/>
        <v>0.21255000000000004</v>
      </c>
      <c r="O67" s="11"/>
      <c r="P67" s="7">
        <v>7311.15</v>
      </c>
      <c r="Q67" s="2"/>
      <c r="R67" s="6">
        <f t="shared" si="48"/>
        <v>3.7402111152639736E-2</v>
      </c>
      <c r="S67" s="2"/>
      <c r="T67" s="7">
        <v>7200</v>
      </c>
      <c r="U67" s="2"/>
      <c r="V67" s="6">
        <f t="shared" si="49"/>
        <v>2.6765799256505577E-2</v>
      </c>
      <c r="W67" s="2"/>
      <c r="X67" s="7">
        <f t="shared" si="50"/>
        <v>111.14999999999964</v>
      </c>
      <c r="Y67" s="2"/>
      <c r="Z67" s="6">
        <f t="shared" si="51"/>
        <v>1.543749999999995E-2</v>
      </c>
    </row>
    <row r="68" spans="1:26" s="26" customFormat="1" outlineLevel="1" collapsed="1" x14ac:dyDescent="0.25">
      <c r="A68" s="27"/>
      <c r="B68" s="13" t="str">
        <f>CONCATENATE("     ","Supplies                                          ")</f>
        <v xml:space="preserve">     Supplies                                          </v>
      </c>
      <c r="C68" s="13"/>
      <c r="D68" s="1">
        <f>SUM(OSRRefD22_11x_0)</f>
        <v>3676.77</v>
      </c>
      <c r="E68" s="1"/>
      <c r="F68" s="5">
        <f t="shared" ref="F68:F74" si="52">IF(D$12=0,0,D68/D$12)</f>
        <v>4.4410063512658388E-2</v>
      </c>
      <c r="G68" s="1"/>
      <c r="H68" s="1">
        <f>SUM(OSRRefH22_11x_0)</f>
        <v>2225</v>
      </c>
      <c r="I68" s="1"/>
      <c r="J68" s="5">
        <f t="shared" ref="J68:J74" si="53">IF(H$12=0,0,H68/H$12)</f>
        <v>3.047945205479452E-2</v>
      </c>
      <c r="K68" s="1"/>
      <c r="L68" s="1">
        <f t="shared" ref="L68:L74" si="54">+D68-H68</f>
        <v>1451.77</v>
      </c>
      <c r="M68" s="1"/>
      <c r="N68" s="5">
        <f t="shared" ref="N68:N74" si="55">IF(H68=0,0,L68/H68)</f>
        <v>0.65248089887640448</v>
      </c>
      <c r="O68" s="13"/>
      <c r="P68" s="1">
        <f>SUM(OSRRefP22_11x_0)</f>
        <v>5886.46</v>
      </c>
      <c r="Q68" s="1"/>
      <c r="R68" s="5">
        <f t="shared" ref="R68:R74" si="56">IF(P$12=0,0,P68/P$12)</f>
        <v>3.0113734667674402E-2</v>
      </c>
      <c r="S68" s="1"/>
      <c r="T68" s="1">
        <f>SUM(OSRRefT22_11x_0)</f>
        <v>6614.33</v>
      </c>
      <c r="U68" s="1"/>
      <c r="V68" s="5">
        <f t="shared" ref="V68:V74" si="57">IF(T$12=0,0,T68/T$12)</f>
        <v>2.4588587360594796E-2</v>
      </c>
      <c r="W68" s="1"/>
      <c r="X68" s="1">
        <f t="shared" ref="X68:X74" si="58">+P68-T68</f>
        <v>-727.86999999999989</v>
      </c>
      <c r="Y68" s="1"/>
      <c r="Z68" s="5">
        <f t="shared" ref="Z68:Z74" si="59">IF(T68=0,0,X68/T68)</f>
        <v>-0.11004440359038631</v>
      </c>
    </row>
    <row r="69" spans="1:26" s="24" customFormat="1" hidden="1" outlineLevel="2" x14ac:dyDescent="0.25">
      <c r="A69" s="25"/>
      <c r="B69" s="11" t="str">
        <f>CONCATENATE("          ", "6234", " - ", "EXPENDABLE SUPPLIES &amp; EQUIPMEN")</f>
        <v xml:space="preserve">          6234 - EXPENDABLE SUPPLIES &amp; EQUIPMEN</v>
      </c>
      <c r="C69" s="11"/>
      <c r="D69" s="7"/>
      <c r="E69" s="2"/>
      <c r="F69" s="6">
        <f t="shared" si="52"/>
        <v>0</v>
      </c>
      <c r="G69" s="2"/>
      <c r="H69" s="7">
        <v>350</v>
      </c>
      <c r="I69" s="2"/>
      <c r="J69" s="6">
        <f t="shared" si="53"/>
        <v>4.7945205479452057E-3</v>
      </c>
      <c r="K69" s="2"/>
      <c r="L69" s="7">
        <f t="shared" si="54"/>
        <v>-350</v>
      </c>
      <c r="M69" s="2"/>
      <c r="N69" s="6">
        <f t="shared" si="55"/>
        <v>-1</v>
      </c>
      <c r="O69" s="11"/>
      <c r="P69" s="7"/>
      <c r="Q69" s="2"/>
      <c r="R69" s="6">
        <f t="shared" si="56"/>
        <v>0</v>
      </c>
      <c r="S69" s="2"/>
      <c r="T69" s="7">
        <v>1850</v>
      </c>
      <c r="U69" s="2"/>
      <c r="V69" s="6">
        <f t="shared" si="57"/>
        <v>6.8773234200743497E-3</v>
      </c>
      <c r="W69" s="2"/>
      <c r="X69" s="7">
        <f t="shared" si="58"/>
        <v>-1850</v>
      </c>
      <c r="Y69" s="2"/>
      <c r="Z69" s="6">
        <f t="shared" si="59"/>
        <v>-1</v>
      </c>
    </row>
    <row r="70" spans="1:26" s="24" customFormat="1" hidden="1" outlineLevel="2" x14ac:dyDescent="0.25">
      <c r="A70" s="25"/>
      <c r="B70" s="11" t="str">
        <f>CONCATENATE("          ", "6239", " - ", "KITCHEN SUPPLIES")</f>
        <v xml:space="preserve">          6239 - KITCHEN SUPPLIES</v>
      </c>
      <c r="C70" s="11"/>
      <c r="D70" s="7">
        <v>2948.61</v>
      </c>
      <c r="E70" s="2"/>
      <c r="F70" s="6">
        <f t="shared" si="52"/>
        <v>3.5614943924710998E-2</v>
      </c>
      <c r="G70" s="2"/>
      <c r="H70" s="7">
        <v>500</v>
      </c>
      <c r="I70" s="2"/>
      <c r="J70" s="6">
        <f t="shared" si="53"/>
        <v>6.8493150684931503E-3</v>
      </c>
      <c r="K70" s="2"/>
      <c r="L70" s="7">
        <f t="shared" si="54"/>
        <v>2448.61</v>
      </c>
      <c r="M70" s="2"/>
      <c r="N70" s="6">
        <f t="shared" si="55"/>
        <v>4.8972199999999999</v>
      </c>
      <c r="O70" s="11"/>
      <c r="P70" s="7">
        <v>3065.15</v>
      </c>
      <c r="Q70" s="2"/>
      <c r="R70" s="6">
        <f t="shared" si="56"/>
        <v>1.5680581167054935E-2</v>
      </c>
      <c r="S70" s="2"/>
      <c r="T70" s="7">
        <v>1000</v>
      </c>
      <c r="U70" s="2"/>
      <c r="V70" s="6">
        <f t="shared" si="57"/>
        <v>3.7174721189591076E-3</v>
      </c>
      <c r="W70" s="2"/>
      <c r="X70" s="7">
        <f t="shared" si="58"/>
        <v>2065.15</v>
      </c>
      <c r="Y70" s="2"/>
      <c r="Z70" s="6">
        <f t="shared" si="59"/>
        <v>2.06515</v>
      </c>
    </row>
    <row r="71" spans="1:26" s="24" customFormat="1" hidden="1" outlineLevel="2" x14ac:dyDescent="0.25">
      <c r="A71" s="25"/>
      <c r="B71" s="11" t="str">
        <f>CONCATENATE("          ", "6241", " - ", "OFFICE EXPENSE")</f>
        <v xml:space="preserve">          6241 - OFFICE EXPENSE</v>
      </c>
      <c r="C71" s="11"/>
      <c r="D71" s="7">
        <v>90.68</v>
      </c>
      <c r="E71" s="2"/>
      <c r="F71" s="6">
        <f t="shared" si="52"/>
        <v>1.095283240270091E-3</v>
      </c>
      <c r="G71" s="2"/>
      <c r="H71" s="7">
        <v>250</v>
      </c>
      <c r="I71" s="2"/>
      <c r="J71" s="6">
        <f t="shared" si="53"/>
        <v>3.4246575342465752E-3</v>
      </c>
      <c r="K71" s="2"/>
      <c r="L71" s="7">
        <f t="shared" si="54"/>
        <v>-159.32</v>
      </c>
      <c r="M71" s="2"/>
      <c r="N71" s="6">
        <f t="shared" si="55"/>
        <v>-0.63727999999999996</v>
      </c>
      <c r="O71" s="11"/>
      <c r="P71" s="7">
        <v>208.41</v>
      </c>
      <c r="Q71" s="2"/>
      <c r="R71" s="6">
        <f t="shared" si="56"/>
        <v>1.0661761809457673E-3</v>
      </c>
      <c r="S71" s="2"/>
      <c r="T71" s="7">
        <v>856.25</v>
      </c>
      <c r="U71" s="2"/>
      <c r="V71" s="6">
        <f t="shared" si="57"/>
        <v>3.183085501858736E-3</v>
      </c>
      <c r="W71" s="2"/>
      <c r="X71" s="7">
        <f t="shared" si="58"/>
        <v>-647.84</v>
      </c>
      <c r="Y71" s="2"/>
      <c r="Z71" s="6">
        <f t="shared" si="59"/>
        <v>-0.75660145985401461</v>
      </c>
    </row>
    <row r="72" spans="1:26" s="24" customFormat="1" hidden="1" outlineLevel="2" x14ac:dyDescent="0.25">
      <c r="A72" s="25"/>
      <c r="B72" s="11" t="str">
        <f>CONCATENATE("          ", "6243", " - ", "PAPER SUPPLIES")</f>
        <v xml:space="preserve">          6243 - PAPER SUPPLIES</v>
      </c>
      <c r="C72" s="11"/>
      <c r="D72" s="7">
        <v>422.57</v>
      </c>
      <c r="E72" s="2"/>
      <c r="F72" s="6">
        <f t="shared" si="52"/>
        <v>5.1040343939229415E-3</v>
      </c>
      <c r="G72" s="2"/>
      <c r="H72" s="7">
        <v>625</v>
      </c>
      <c r="I72" s="2"/>
      <c r="J72" s="6">
        <f t="shared" si="53"/>
        <v>8.5616438356164379E-3</v>
      </c>
      <c r="K72" s="2"/>
      <c r="L72" s="7">
        <f t="shared" si="54"/>
        <v>-202.43</v>
      </c>
      <c r="M72" s="2"/>
      <c r="N72" s="6">
        <f t="shared" si="55"/>
        <v>-0.32388800000000001</v>
      </c>
      <c r="O72" s="11"/>
      <c r="P72" s="7">
        <v>1811.19</v>
      </c>
      <c r="Q72" s="2"/>
      <c r="R72" s="6">
        <f t="shared" si="56"/>
        <v>9.2656189106432741E-3</v>
      </c>
      <c r="S72" s="2"/>
      <c r="T72" s="7">
        <v>1625</v>
      </c>
      <c r="U72" s="2"/>
      <c r="V72" s="6">
        <f t="shared" si="57"/>
        <v>6.0408921933085506E-3</v>
      </c>
      <c r="W72" s="2"/>
      <c r="X72" s="7">
        <f t="shared" si="58"/>
        <v>186.19000000000005</v>
      </c>
      <c r="Y72" s="2"/>
      <c r="Z72" s="6">
        <f t="shared" si="59"/>
        <v>0.11457846153846157</v>
      </c>
    </row>
    <row r="73" spans="1:26" s="24" customFormat="1" hidden="1" outlineLevel="2" x14ac:dyDescent="0.25">
      <c r="A73" s="25"/>
      <c r="B73" s="11" t="str">
        <f>CONCATENATE("          ", "6247", " - ", "STORE SUPPLIES")</f>
        <v xml:space="preserve">          6247 - STORE SUPPLIES</v>
      </c>
      <c r="C73" s="11"/>
      <c r="D73" s="7"/>
      <c r="E73" s="2"/>
      <c r="F73" s="6">
        <f t="shared" si="52"/>
        <v>0</v>
      </c>
      <c r="G73" s="2"/>
      <c r="H73" s="7">
        <v>300</v>
      </c>
      <c r="I73" s="2"/>
      <c r="J73" s="6">
        <f t="shared" si="53"/>
        <v>4.10958904109589E-3</v>
      </c>
      <c r="K73" s="2"/>
      <c r="L73" s="7">
        <f t="shared" si="54"/>
        <v>-300</v>
      </c>
      <c r="M73" s="2"/>
      <c r="N73" s="6">
        <f t="shared" si="55"/>
        <v>-1</v>
      </c>
      <c r="O73" s="11"/>
      <c r="P73" s="7">
        <v>366.09</v>
      </c>
      <c r="Q73" s="2"/>
      <c r="R73" s="6">
        <f t="shared" si="56"/>
        <v>1.8728297014655533E-3</v>
      </c>
      <c r="S73" s="2"/>
      <c r="T73" s="7">
        <v>483.08</v>
      </c>
      <c r="U73" s="2"/>
      <c r="V73" s="6">
        <f t="shared" si="57"/>
        <v>1.7958364312267658E-3</v>
      </c>
      <c r="W73" s="2"/>
      <c r="X73" s="7">
        <f t="shared" si="58"/>
        <v>-116.99000000000001</v>
      </c>
      <c r="Y73" s="2"/>
      <c r="Z73" s="6">
        <f t="shared" si="59"/>
        <v>-0.24217520907510146</v>
      </c>
    </row>
    <row r="74" spans="1:26" s="24" customFormat="1" hidden="1" outlineLevel="2" x14ac:dyDescent="0.25">
      <c r="A74" s="25"/>
      <c r="B74" s="11" t="str">
        <f>CONCATENATE("          ", "6248", " - ", "UNIFORMS")</f>
        <v xml:space="preserve">          6248 - UNIFORMS</v>
      </c>
      <c r="C74" s="11"/>
      <c r="D74" s="7">
        <v>214.91</v>
      </c>
      <c r="E74" s="2"/>
      <c r="F74" s="6">
        <f t="shared" si="52"/>
        <v>2.5958019537543589E-3</v>
      </c>
      <c r="G74" s="2"/>
      <c r="H74" s="7">
        <v>200</v>
      </c>
      <c r="I74" s="2"/>
      <c r="J74" s="6">
        <f t="shared" si="53"/>
        <v>2.7397260273972603E-3</v>
      </c>
      <c r="K74" s="2"/>
      <c r="L74" s="7">
        <f t="shared" si="54"/>
        <v>14.909999999999997</v>
      </c>
      <c r="M74" s="2"/>
      <c r="N74" s="6">
        <f t="shared" si="55"/>
        <v>7.4549999999999977E-2</v>
      </c>
      <c r="O74" s="11"/>
      <c r="P74" s="7">
        <v>435.62</v>
      </c>
      <c r="Q74" s="2"/>
      <c r="R74" s="6">
        <f t="shared" si="56"/>
        <v>2.228528707564873E-3</v>
      </c>
      <c r="S74" s="2"/>
      <c r="T74" s="7">
        <v>800</v>
      </c>
      <c r="U74" s="2"/>
      <c r="V74" s="6">
        <f t="shared" si="57"/>
        <v>2.9739776951672862E-3</v>
      </c>
      <c r="W74" s="2"/>
      <c r="X74" s="7">
        <f t="shared" si="58"/>
        <v>-364.38</v>
      </c>
      <c r="Y74" s="2"/>
      <c r="Z74" s="6">
        <f t="shared" si="59"/>
        <v>-0.45547500000000002</v>
      </c>
    </row>
    <row r="75" spans="1:26" s="26" customFormat="1" outlineLevel="1" collapsed="1" x14ac:dyDescent="0.25">
      <c r="A75" s="27"/>
      <c r="B75" s="13" t="str">
        <f>CONCATENATE("     ","Telephone/Data Lines                              ")</f>
        <v xml:space="preserve">     Telephone/Data Lines                              </v>
      </c>
      <c r="C75" s="13"/>
      <c r="D75" s="1">
        <f>SUM(OSRRefD22_12x_0)</f>
        <v>349.2</v>
      </c>
      <c r="E75" s="1"/>
      <c r="F75" s="5">
        <f t="shared" ref="F75:F78" si="60">IF(D$12=0,0,D75/D$12)</f>
        <v>4.2178309164348895E-3</v>
      </c>
      <c r="G75" s="1"/>
      <c r="H75" s="1">
        <f>SUM(OSRRefH22_12x_0)</f>
        <v>195</v>
      </c>
      <c r="I75" s="1"/>
      <c r="J75" s="5">
        <f t="shared" ref="J75:J78" si="61">IF(H$12=0,0,H75/H$12)</f>
        <v>2.671232876712329E-3</v>
      </c>
      <c r="K75" s="1"/>
      <c r="L75" s="1">
        <f t="shared" ref="L75:L78" si="62">+D75-H75</f>
        <v>154.19999999999999</v>
      </c>
      <c r="M75" s="1"/>
      <c r="N75" s="5">
        <f t="shared" ref="N75:N78" si="63">IF(H75=0,0,L75/H75)</f>
        <v>0.79076923076923067</v>
      </c>
      <c r="O75" s="13"/>
      <c r="P75" s="1">
        <f>SUM(OSRRefP22_12x_0)</f>
        <v>571.75</v>
      </c>
      <c r="Q75" s="1"/>
      <c r="R75" s="5">
        <f t="shared" ref="R75:R78" si="64">IF(P$12=0,0,P75/P$12)</f>
        <v>2.9249375339750615E-3</v>
      </c>
      <c r="S75" s="1"/>
      <c r="T75" s="1">
        <f>SUM(OSRRefT22_12x_0)</f>
        <v>195</v>
      </c>
      <c r="U75" s="1"/>
      <c r="V75" s="5">
        <f t="shared" ref="V75:V78" si="65">IF(T$12=0,0,T75/T$12)</f>
        <v>7.2490706319702607E-4</v>
      </c>
      <c r="W75" s="1"/>
      <c r="X75" s="1">
        <f t="shared" ref="X75:X78" si="66">+P75-T75</f>
        <v>376.75</v>
      </c>
      <c r="Y75" s="1"/>
      <c r="Z75" s="5">
        <f t="shared" ref="Z75:Z78" si="67">IF(T75=0,0,X75/T75)</f>
        <v>1.9320512820512821</v>
      </c>
    </row>
    <row r="76" spans="1:26" s="24" customFormat="1" hidden="1" outlineLevel="2" x14ac:dyDescent="0.25">
      <c r="A76" s="25"/>
      <c r="B76" s="11" t="str">
        <f>CONCATENATE("          ", "6309", " - ", "TELEPHONE")</f>
        <v xml:space="preserve">          6309 - TELEPHONE</v>
      </c>
      <c r="C76" s="11"/>
      <c r="D76" s="7">
        <v>349.2</v>
      </c>
      <c r="E76" s="2"/>
      <c r="F76" s="6">
        <f t="shared" si="60"/>
        <v>4.2178309164348895E-3</v>
      </c>
      <c r="G76" s="2"/>
      <c r="H76" s="7">
        <v>195</v>
      </c>
      <c r="I76" s="2"/>
      <c r="J76" s="6">
        <f t="shared" si="61"/>
        <v>2.671232876712329E-3</v>
      </c>
      <c r="K76" s="2"/>
      <c r="L76" s="7">
        <f t="shared" si="62"/>
        <v>154.19999999999999</v>
      </c>
      <c r="M76" s="2"/>
      <c r="N76" s="6">
        <f t="shared" si="63"/>
        <v>0.79076923076923067</v>
      </c>
      <c r="O76" s="11"/>
      <c r="P76" s="7">
        <v>571.75</v>
      </c>
      <c r="Q76" s="2"/>
      <c r="R76" s="6">
        <f t="shared" si="64"/>
        <v>2.9249375339750615E-3</v>
      </c>
      <c r="S76" s="2"/>
      <c r="T76" s="7">
        <v>195</v>
      </c>
      <c r="U76" s="2"/>
      <c r="V76" s="6">
        <f t="shared" si="65"/>
        <v>7.2490706319702607E-4</v>
      </c>
      <c r="W76" s="2"/>
      <c r="X76" s="7">
        <f t="shared" si="66"/>
        <v>376.75</v>
      </c>
      <c r="Y76" s="2"/>
      <c r="Z76" s="6">
        <f t="shared" si="67"/>
        <v>1.9320512820512821</v>
      </c>
    </row>
    <row r="77" spans="1:26" s="26" customFormat="1" outlineLevel="1" collapsed="1" x14ac:dyDescent="0.25">
      <c r="A77" s="27"/>
      <c r="B77" s="13" t="str">
        <f>CONCATENATE("     ","Training                                          ")</f>
        <v xml:space="preserve">     Training                                          </v>
      </c>
      <c r="C77" s="13"/>
      <c r="D77" s="1">
        <f>SUM(OSRRefD22_13x_0)</f>
        <v>0</v>
      </c>
      <c r="E77" s="1"/>
      <c r="F77" s="5">
        <f t="shared" si="60"/>
        <v>0</v>
      </c>
      <c r="G77" s="1"/>
      <c r="H77" s="1">
        <f>SUM(OSRRefH22_13x_0)</f>
        <v>100</v>
      </c>
      <c r="I77" s="1"/>
      <c r="J77" s="5">
        <f t="shared" si="61"/>
        <v>1.3698630136986301E-3</v>
      </c>
      <c r="K77" s="1"/>
      <c r="L77" s="1">
        <f t="shared" si="62"/>
        <v>-100</v>
      </c>
      <c r="M77" s="1"/>
      <c r="N77" s="5">
        <f t="shared" si="63"/>
        <v>-1</v>
      </c>
      <c r="O77" s="13"/>
      <c r="P77" s="1">
        <f>SUM(OSRRefP22_13x_0)</f>
        <v>175</v>
      </c>
      <c r="Q77" s="1"/>
      <c r="R77" s="5">
        <f t="shared" si="64"/>
        <v>8.952585368528828E-4</v>
      </c>
      <c r="S77" s="1"/>
      <c r="T77" s="1">
        <f>SUM(OSRRefT22_13x_0)</f>
        <v>500</v>
      </c>
      <c r="U77" s="1"/>
      <c r="V77" s="5">
        <f t="shared" si="65"/>
        <v>1.8587360594795538E-3</v>
      </c>
      <c r="W77" s="1"/>
      <c r="X77" s="1">
        <f t="shared" si="66"/>
        <v>-325</v>
      </c>
      <c r="Y77" s="1"/>
      <c r="Z77" s="5">
        <f t="shared" si="67"/>
        <v>-0.65</v>
      </c>
    </row>
    <row r="78" spans="1:26" s="24" customFormat="1" hidden="1" outlineLevel="2" x14ac:dyDescent="0.25">
      <c r="A78" s="25"/>
      <c r="B78" s="11" t="str">
        <f>CONCATENATE("          ", "6376", " - ", "TRAINING")</f>
        <v xml:space="preserve">          6376 - TRAINING</v>
      </c>
      <c r="C78" s="11"/>
      <c r="D78" s="7"/>
      <c r="E78" s="2"/>
      <c r="F78" s="6">
        <f t="shared" si="60"/>
        <v>0</v>
      </c>
      <c r="G78" s="2"/>
      <c r="H78" s="7">
        <v>100</v>
      </c>
      <c r="I78" s="2"/>
      <c r="J78" s="6">
        <f t="shared" si="61"/>
        <v>1.3698630136986301E-3</v>
      </c>
      <c r="K78" s="2"/>
      <c r="L78" s="7">
        <f t="shared" si="62"/>
        <v>-100</v>
      </c>
      <c r="M78" s="2"/>
      <c r="N78" s="6">
        <f t="shared" si="63"/>
        <v>-1</v>
      </c>
      <c r="O78" s="11"/>
      <c r="P78" s="7">
        <v>175</v>
      </c>
      <c r="Q78" s="2"/>
      <c r="R78" s="6">
        <f t="shared" si="64"/>
        <v>8.952585368528828E-4</v>
      </c>
      <c r="S78" s="2"/>
      <c r="T78" s="7">
        <v>500</v>
      </c>
      <c r="U78" s="2"/>
      <c r="V78" s="6">
        <f t="shared" si="65"/>
        <v>1.8587360594795538E-3</v>
      </c>
      <c r="W78" s="2"/>
      <c r="X78" s="7">
        <f t="shared" si="66"/>
        <v>-325</v>
      </c>
      <c r="Y78" s="2"/>
      <c r="Z78" s="6">
        <f t="shared" si="67"/>
        <v>-0.65</v>
      </c>
    </row>
    <row r="79" spans="1:26" s="63" customFormat="1" x14ac:dyDescent="0.25">
      <c r="A79" s="36"/>
      <c r="B79" s="36"/>
      <c r="C79" s="36"/>
      <c r="D79" s="1"/>
      <c r="E79" s="1"/>
      <c r="F79" s="5"/>
      <c r="G79" s="1"/>
      <c r="H79" s="1"/>
      <c r="I79" s="1"/>
      <c r="J79" s="5"/>
      <c r="K79" s="1"/>
      <c r="L79" s="1"/>
      <c r="M79" s="1"/>
      <c r="N79" s="5"/>
      <c r="O79" s="36"/>
      <c r="P79" s="1"/>
      <c r="Q79" s="1"/>
      <c r="R79" s="5"/>
      <c r="S79" s="1"/>
      <c r="T79" s="1"/>
      <c r="U79" s="1"/>
      <c r="V79" s="5"/>
      <c r="W79" s="1"/>
      <c r="X79" s="1"/>
      <c r="Y79" s="1"/>
      <c r="Z79" s="5"/>
    </row>
    <row r="80" spans="1:26" s="23" customFormat="1" x14ac:dyDescent="0.25">
      <c r="A80" s="10"/>
      <c r="B80" s="28" t="s">
        <v>0</v>
      </c>
      <c r="C80" s="10"/>
      <c r="D80" s="4">
        <f>SUM(0)</f>
        <v>0</v>
      </c>
      <c r="E80" s="4"/>
      <c r="F80" s="12">
        <f>IF(D$12=0,0,D80/D$12)</f>
        <v>0</v>
      </c>
      <c r="G80" s="4"/>
      <c r="H80" s="4">
        <f>SUM(0)</f>
        <v>0</v>
      </c>
      <c r="I80" s="4"/>
      <c r="J80" s="12">
        <f>IF(H$12=0,0,H80/H$12)</f>
        <v>0</v>
      </c>
      <c r="K80" s="4"/>
      <c r="L80" s="4">
        <f>+D80-H80</f>
        <v>0</v>
      </c>
      <c r="M80" s="4"/>
      <c r="N80" s="12">
        <f>IF(H80=0,0,L80/H80)</f>
        <v>0</v>
      </c>
      <c r="O80" s="10"/>
      <c r="P80" s="4">
        <f>SUM(0)</f>
        <v>0</v>
      </c>
      <c r="Q80" s="4"/>
      <c r="R80" s="12">
        <f>IF(P$12=0,0,P80/P$12)</f>
        <v>0</v>
      </c>
      <c r="S80" s="4"/>
      <c r="T80" s="4">
        <f>SUM(0)</f>
        <v>0</v>
      </c>
      <c r="U80" s="4"/>
      <c r="V80" s="12">
        <f>IF(T$12=0,0,T80/T$12)</f>
        <v>0</v>
      </c>
      <c r="W80" s="4"/>
      <c r="X80" s="4">
        <f>+P80-T80</f>
        <v>0</v>
      </c>
      <c r="Y80" s="4"/>
      <c r="Z80" s="12">
        <f>IF(T80=0,0,X80/T80)</f>
        <v>0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10"/>
      <c r="B82" s="29" t="s">
        <v>3</v>
      </c>
      <c r="C82" s="29"/>
      <c r="D82" s="22">
        <f>+D22-D24+D80</f>
        <v>1582.1999999999971</v>
      </c>
      <c r="E82" s="14"/>
      <c r="F82" s="20">
        <f>IF(D$12=0,0,D82/D$12)</f>
        <v>1.911068750281578E-2</v>
      </c>
      <c r="G82" s="14"/>
      <c r="H82" s="22">
        <f>+H22-H24+H80</f>
        <v>-11218.664948123107</v>
      </c>
      <c r="I82" s="14"/>
      <c r="J82" s="20">
        <f>IF(H$12=0,0,H82/H$12)</f>
        <v>-0.15368034175511106</v>
      </c>
      <c r="K82" s="15"/>
      <c r="L82" s="22">
        <f>+D82-H82</f>
        <v>12800.864948123104</v>
      </c>
      <c r="M82" s="15"/>
      <c r="N82" s="20">
        <f>IF(H82=0,0,L82/H82)</f>
        <v>-1.1410328240763354</v>
      </c>
      <c r="O82" s="28"/>
      <c r="P82" s="22">
        <f>+P22-P24+P80</f>
        <v>-31881.399999999994</v>
      </c>
      <c r="Q82" s="14"/>
      <c r="R82" s="20">
        <f>IF(P$12=0,0,P82/P$12)</f>
        <v>-0.16309768866755139</v>
      </c>
      <c r="S82" s="14"/>
      <c r="T82" s="22">
        <f>+T22-T24+T80</f>
        <v>-14447.022331915417</v>
      </c>
      <c r="U82" s="14"/>
      <c r="V82" s="20">
        <f>IF(T$12=0,0,T82/T$12)</f>
        <v>-5.3706402720875158E-2</v>
      </c>
      <c r="W82" s="15"/>
      <c r="X82" s="22">
        <f>+P82-T82</f>
        <v>-17434.377668084577</v>
      </c>
      <c r="Y82" s="15"/>
      <c r="Z82" s="20">
        <f>IF(T82=0,0,X82/T82)</f>
        <v>1.2067800040406726</v>
      </c>
    </row>
    <row r="83" spans="1:26" x14ac:dyDescent="0.25">
      <c r="A83" s="9"/>
      <c r="B83" s="10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52"/>
      <c r="B84" s="10" t="s">
        <v>14</v>
      </c>
      <c r="C84" s="10"/>
      <c r="D84" s="4">
        <v>6947.03</v>
      </c>
      <c r="E84" s="4"/>
      <c r="F84" s="12">
        <f>IF(D$12=0,0,D84/D$12)</f>
        <v>8.3910074202178317E-2</v>
      </c>
      <c r="G84" s="4"/>
      <c r="H84" s="4">
        <v>2193</v>
      </c>
      <c r="I84" s="4"/>
      <c r="J84" s="12">
        <f>IF(H$12=0,0,H84/H$12)</f>
        <v>3.0041095890410961E-2</v>
      </c>
      <c r="K84" s="4"/>
      <c r="L84" s="4">
        <f>+D84-H84</f>
        <v>4754.03</v>
      </c>
      <c r="M84" s="4"/>
      <c r="N84" s="12">
        <f>IF(H84=0,0,L84/H84)</f>
        <v>2.1678203374373002</v>
      </c>
      <c r="O84" s="10"/>
      <c r="P84" s="4">
        <v>20996.53</v>
      </c>
      <c r="Q84" s="4"/>
      <c r="R84" s="12">
        <f>IF(P$12=0,0,P84/P$12)</f>
        <v>0.10741327272450091</v>
      </c>
      <c r="S84" s="4"/>
      <c r="T84" s="4">
        <v>34024</v>
      </c>
      <c r="U84" s="4"/>
      <c r="V84" s="12">
        <f>IF(T$12=0,0,T84/T$12)</f>
        <v>0.1264832713754647</v>
      </c>
      <c r="W84" s="4"/>
      <c r="X84" s="4">
        <f>+P84-T84</f>
        <v>-13027.470000000001</v>
      </c>
      <c r="Y84" s="4"/>
      <c r="Z84" s="12">
        <f>IF(T84=0,0,X84/T84)</f>
        <v>-0.38289060663061369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9" t="s">
        <v>4</v>
      </c>
      <c r="C86" s="29"/>
      <c r="D86" s="35">
        <f>+D82-D84</f>
        <v>-5364.8300000000027</v>
      </c>
      <c r="E86" s="14"/>
      <c r="F86" s="32">
        <f>IF(D$12=0,0,D86/D$12)</f>
        <v>-6.4799386699362541E-2</v>
      </c>
      <c r="G86" s="14"/>
      <c r="H86" s="35">
        <f>+H82-H84</f>
        <v>-13411.664948123107</v>
      </c>
      <c r="I86" s="14"/>
      <c r="J86" s="32">
        <f>IF(H$12=0,0,H86/H$12)</f>
        <v>-0.18372143764552201</v>
      </c>
      <c r="K86" s="15"/>
      <c r="L86" s="35">
        <f>D86-H86</f>
        <v>8046.8349481231044</v>
      </c>
      <c r="M86" s="15"/>
      <c r="N86" s="32">
        <f>IF(H86=0,0,L86/H86)</f>
        <v>-0.59998777029165329</v>
      </c>
      <c r="O86" s="28"/>
      <c r="P86" s="35">
        <f>+P82-P84</f>
        <v>-52877.929999999993</v>
      </c>
      <c r="Q86" s="14"/>
      <c r="R86" s="32">
        <f>IF(P$12=0,0,P86/P$12)</f>
        <v>-0.27051096139205227</v>
      </c>
      <c r="S86" s="14"/>
      <c r="T86" s="35">
        <f>+T82-T84</f>
        <v>-48471.022331915417</v>
      </c>
      <c r="U86" s="14"/>
      <c r="V86" s="32">
        <f>IF(T$12=0,0,T86/T$12)</f>
        <v>-0.18018967409633985</v>
      </c>
      <c r="W86" s="15"/>
      <c r="X86" s="35">
        <f>P86-T86</f>
        <v>-4406.9076680845756</v>
      </c>
      <c r="Y86" s="15"/>
      <c r="Z86" s="32">
        <f>IF(T86=0,0,X86/T86)</f>
        <v>9.0918397344858085E-2</v>
      </c>
    </row>
    <row r="87" spans="1:26" ht="15.75" thickTop="1" x14ac:dyDescent="0.2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9" t="s">
        <v>5</v>
      </c>
      <c r="C89" s="29"/>
      <c r="D89" s="30">
        <f>SUM(D86:D88)</f>
        <v>-5364.8300000000027</v>
      </c>
      <c r="E89" s="14"/>
      <c r="F89" s="31">
        <f>IF(D$12=0,0,D89/D$12)</f>
        <v>-6.4799386699362541E-2</v>
      </c>
      <c r="G89" s="14"/>
      <c r="H89" s="30">
        <f>SUM(H86:H88)</f>
        <v>-13411.664948123107</v>
      </c>
      <c r="I89" s="14"/>
      <c r="J89" s="31">
        <f>IF(H$12=0,0,H89/H$12)</f>
        <v>-0.18372143764552201</v>
      </c>
      <c r="K89" s="15"/>
      <c r="L89" s="30">
        <f>+D89-H89</f>
        <v>8046.8349481231044</v>
      </c>
      <c r="M89" s="15"/>
      <c r="N89" s="31">
        <f>IF(H89=0,0,L89/H89)</f>
        <v>-0.59998777029165329</v>
      </c>
      <c r="O89" s="28"/>
      <c r="P89" s="30">
        <f>SUM(P86:P88)</f>
        <v>-52877.929999999993</v>
      </c>
      <c r="Q89" s="14"/>
      <c r="R89" s="31">
        <f>IF(P$12=0,0,P89/P$12)</f>
        <v>-0.27051096139205227</v>
      </c>
      <c r="S89" s="14"/>
      <c r="T89" s="30">
        <f>SUM(T86:T88)</f>
        <v>-48471.022331915417</v>
      </c>
      <c r="U89" s="14"/>
      <c r="V89" s="31">
        <f>IF(T$12=0,0,T89/T$12)</f>
        <v>-0.18018967409633985</v>
      </c>
      <c r="W89" s="15"/>
      <c r="X89" s="30">
        <f>+P89-T89</f>
        <v>-4406.9076680845756</v>
      </c>
      <c r="Y89" s="15"/>
      <c r="Z89" s="31">
        <f>IF(T89=0,0,X89/T89)</f>
        <v>9.0918397344858085E-2</v>
      </c>
    </row>
    <row r="90" spans="1:26" ht="15.75" thickTop="1" x14ac:dyDescent="0.25">
      <c r="A90" s="9"/>
      <c r="C90" s="9"/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  <row r="91" spans="1:26" x14ac:dyDescent="0.25">
      <c r="A91" s="9"/>
      <c r="B91" s="53">
        <v>43756.452632141205</v>
      </c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  <row r="92" spans="1:26" x14ac:dyDescent="0.25">
      <c r="A92" s="9"/>
      <c r="B92" s="55" t="s">
        <v>314</v>
      </c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  <row r="93" spans="1:26" x14ac:dyDescent="0.25">
      <c r="A93" s="9"/>
      <c r="B93" s="56"/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25"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</sheetData>
  <pageMargins left="0.25" right="0.25" top="0.75" bottom="0.75" header="0.3" footer="0.3"/>
  <pageSetup scale="55" fitToWidth="2" orientation="landscape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str">
        <f>CONCATENATE("Period ",RIGHT(202003,2),", ",2020)</f>
        <v>Period 03, 2020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43736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tr">
        <f>CONCATENATE("Department ","413", " - ", "Beach Walk")</f>
        <v>Department 413 - Beach Walk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49395.78</v>
      </c>
      <c r="E12" s="4"/>
      <c r="F12" s="12"/>
      <c r="G12" s="4"/>
      <c r="H12" s="4">
        <f>SUM(OSRRefH13x_0)</f>
        <v>58330</v>
      </c>
      <c r="I12" s="4"/>
      <c r="J12" s="12"/>
      <c r="K12" s="4"/>
      <c r="L12" s="4">
        <f t="shared" ref="L12:L16" si="0">+D12-H12</f>
        <v>-8934.2200000000012</v>
      </c>
      <c r="M12" s="4"/>
      <c r="N12" s="12">
        <f t="shared" ref="N12:N16" si="1">IF(H12=0,0,L12/H12)</f>
        <v>-0.15316680953197329</v>
      </c>
      <c r="O12" s="10"/>
      <c r="P12" s="4">
        <f>SUM(OSRRefP13x_0)</f>
        <v>75397.78</v>
      </c>
      <c r="Q12" s="4"/>
      <c r="R12" s="12"/>
      <c r="S12" s="4"/>
      <c r="T12" s="4">
        <f>SUM(OSRRefT13x_0)</f>
        <v>89209</v>
      </c>
      <c r="U12" s="4"/>
      <c r="V12" s="12"/>
      <c r="W12" s="4"/>
      <c r="X12" s="4">
        <f t="shared" ref="X12:X16" si="2">+P12-T12</f>
        <v>-13811.220000000001</v>
      </c>
      <c r="Y12" s="4"/>
      <c r="Z12" s="12">
        <f t="shared" ref="Z12:Z16" si="3">IF(T12=0,0,X12/T12)</f>
        <v>-0.15481868421347622</v>
      </c>
    </row>
    <row r="13" spans="1:26" s="24" customFormat="1" hidden="1" outlineLevel="1" x14ac:dyDescent="0.25">
      <c r="A13" s="46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11650</v>
      </c>
      <c r="I13" s="2"/>
      <c r="J13" s="19"/>
      <c r="K13" s="2"/>
      <c r="L13" s="2">
        <f t="shared" si="0"/>
        <v>-11650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16709</v>
      </c>
      <c r="U13" s="2"/>
      <c r="V13" s="19"/>
      <c r="W13" s="2"/>
      <c r="X13" s="2">
        <f t="shared" si="2"/>
        <v>-16709</v>
      </c>
      <c r="Y13" s="2"/>
      <c r="Z13" s="19">
        <f t="shared" si="3"/>
        <v>-1</v>
      </c>
    </row>
    <row r="14" spans="1:26" s="24" customFormat="1" hidden="1" outlineLevel="1" x14ac:dyDescent="0.25">
      <c r="A14" s="46"/>
      <c r="B14" s="11" t="str">
        <f>CONCATENATE("          ", "4051", " - ", "TAXABLE SALES-FOOD")</f>
        <v xml:space="preserve">          4051 - TAXABLE SALES-FOOD</v>
      </c>
      <c r="C14" s="11"/>
      <c r="D14" s="2">
        <f>--12059.82</f>
        <v>12059.82</v>
      </c>
      <c r="E14" s="2"/>
      <c r="F14" s="19"/>
      <c r="G14" s="2"/>
      <c r="H14" s="2"/>
      <c r="I14" s="2"/>
      <c r="J14" s="19"/>
      <c r="K14" s="2"/>
      <c r="L14" s="2">
        <f t="shared" si="0"/>
        <v>12059.82</v>
      </c>
      <c r="M14" s="2"/>
      <c r="N14" s="19">
        <f t="shared" si="1"/>
        <v>0</v>
      </c>
      <c r="O14" s="11"/>
      <c r="P14" s="2">
        <f>--21073.06</f>
        <v>21073.06</v>
      </c>
      <c r="Q14" s="2"/>
      <c r="R14" s="19"/>
      <c r="S14" s="2"/>
      <c r="T14" s="2"/>
      <c r="U14" s="2"/>
      <c r="V14" s="19"/>
      <c r="W14" s="2"/>
      <c r="X14" s="2">
        <f t="shared" si="2"/>
        <v>21073.06</v>
      </c>
      <c r="Y14" s="2"/>
      <c r="Z14" s="19">
        <f t="shared" si="3"/>
        <v>0</v>
      </c>
    </row>
    <row r="15" spans="1:26" s="24" customFormat="1" hidden="1" outlineLevel="1" x14ac:dyDescent="0.25">
      <c r="A15" s="46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46680</v>
      </c>
      <c r="I15" s="2"/>
      <c r="J15" s="19"/>
      <c r="K15" s="2"/>
      <c r="L15" s="2">
        <f t="shared" si="0"/>
        <v>-46680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72500</v>
      </c>
      <c r="U15" s="2"/>
      <c r="V15" s="19"/>
      <c r="W15" s="2"/>
      <c r="X15" s="2">
        <f t="shared" si="2"/>
        <v>-72500</v>
      </c>
      <c r="Y15" s="2"/>
      <c r="Z15" s="19">
        <f t="shared" si="3"/>
        <v>-1</v>
      </c>
    </row>
    <row r="16" spans="1:26" s="24" customFormat="1" hidden="1" outlineLevel="1" x14ac:dyDescent="0.25">
      <c r="A16" s="46"/>
      <c r="B16" s="11" t="str">
        <f>CONCATENATE("          ", "4151", " - ", "NON-TAXABLE SALES-FOOD")</f>
        <v xml:space="preserve">          4151 - NON-TAXABLE SALES-FOOD</v>
      </c>
      <c r="C16" s="11"/>
      <c r="D16" s="2">
        <f>--37335.96</f>
        <v>37335.96</v>
      </c>
      <c r="E16" s="2"/>
      <c r="F16" s="19"/>
      <c r="G16" s="2"/>
      <c r="H16" s="2"/>
      <c r="I16" s="2"/>
      <c r="J16" s="19"/>
      <c r="K16" s="2"/>
      <c r="L16" s="2">
        <f t="shared" si="0"/>
        <v>37335.96</v>
      </c>
      <c r="M16" s="2"/>
      <c r="N16" s="19">
        <f t="shared" si="1"/>
        <v>0</v>
      </c>
      <c r="O16" s="11"/>
      <c r="P16" s="2">
        <f>--54324.72</f>
        <v>54324.72</v>
      </c>
      <c r="Q16" s="2"/>
      <c r="R16" s="19"/>
      <c r="S16" s="2"/>
      <c r="T16" s="2"/>
      <c r="U16" s="2"/>
      <c r="V16" s="19"/>
      <c r="W16" s="2"/>
      <c r="X16" s="2">
        <f t="shared" si="2"/>
        <v>54324.72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12352.300000000001</v>
      </c>
      <c r="E18" s="4"/>
      <c r="F18" s="12">
        <f t="shared" ref="F18:F21" si="4">IF(D$12=0,0,D18/D$12)</f>
        <v>0.25006792078189677</v>
      </c>
      <c r="G18" s="4"/>
      <c r="H18" s="4">
        <f>SUM(OSRRefH16x_0)</f>
        <v>17100</v>
      </c>
      <c r="I18" s="4"/>
      <c r="J18" s="12">
        <f t="shared" ref="J18:J21" si="5">IF(H$12=0,0,H18/H$12)</f>
        <v>0.29315960912052119</v>
      </c>
      <c r="K18" s="4"/>
      <c r="L18" s="4">
        <f t="shared" ref="L18:L21" si="6">+D18-H18</f>
        <v>-4747.6999999999989</v>
      </c>
      <c r="M18" s="4"/>
      <c r="N18" s="12">
        <f t="shared" ref="N18:N21" si="7">IF(H18=0,0,L18/H18)</f>
        <v>-0.27764327485380108</v>
      </c>
      <c r="O18" s="10"/>
      <c r="P18" s="4">
        <f>SUM(OSRRefP16x_0)</f>
        <v>22285.01</v>
      </c>
      <c r="Q18" s="4"/>
      <c r="R18" s="12">
        <f t="shared" ref="R18:R21" si="8">IF(P$12=0,0,P18/P$12)</f>
        <v>0.29556586414082747</v>
      </c>
      <c r="S18" s="4"/>
      <c r="T18" s="4">
        <f>SUM(OSRRefT16x_0)</f>
        <v>27100</v>
      </c>
      <c r="U18" s="4"/>
      <c r="V18" s="12">
        <f t="shared" ref="V18:V21" si="9">IF(T$12=0,0,T18/T$12)</f>
        <v>0.30378100864262575</v>
      </c>
      <c r="W18" s="4"/>
      <c r="X18" s="4">
        <f t="shared" ref="X18:X21" si="10">+P18-T18</f>
        <v>-4814.9900000000016</v>
      </c>
      <c r="Y18" s="4"/>
      <c r="Z18" s="12">
        <f t="shared" ref="Z18:Z21" si="11">IF(T18=0,0,X18/T18)</f>
        <v>-0.17767490774907754</v>
      </c>
    </row>
    <row r="19" spans="1:26" s="24" customFormat="1" hidden="1" outlineLevel="1" x14ac:dyDescent="0.25">
      <c r="A19" s="46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17100</v>
      </c>
      <c r="I19" s="2"/>
      <c r="J19" s="19">
        <f t="shared" si="5"/>
        <v>0.29315960912052119</v>
      </c>
      <c r="K19" s="2"/>
      <c r="L19" s="2">
        <f t="shared" si="6"/>
        <v>-17100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27100</v>
      </c>
      <c r="U19" s="2"/>
      <c r="V19" s="19">
        <f t="shared" si="9"/>
        <v>0.30378100864262575</v>
      </c>
      <c r="W19" s="2"/>
      <c r="X19" s="2">
        <f t="shared" si="10"/>
        <v>-27100</v>
      </c>
      <c r="Y19" s="2"/>
      <c r="Z19" s="19">
        <f t="shared" si="11"/>
        <v>-1</v>
      </c>
    </row>
    <row r="20" spans="1:26" s="24" customFormat="1" hidden="1" outlineLevel="1" x14ac:dyDescent="0.25">
      <c r="A20" s="46"/>
      <c r="B20" s="11" t="str">
        <f>CONCATENATE("          ", "5053", " - ", "PURCHASES @ COST-FOOD")</f>
        <v xml:space="preserve">          5053 - PURCHASES @ COST-FOOD</v>
      </c>
      <c r="C20" s="11"/>
      <c r="D20" s="2">
        <v>14797.070000000002</v>
      </c>
      <c r="E20" s="2"/>
      <c r="F20" s="19">
        <f t="shared" si="4"/>
        <v>0.29956142002413977</v>
      </c>
      <c r="G20" s="2"/>
      <c r="H20" s="2"/>
      <c r="I20" s="2"/>
      <c r="J20" s="19">
        <f t="shared" si="5"/>
        <v>0</v>
      </c>
      <c r="K20" s="2"/>
      <c r="L20" s="2">
        <f t="shared" si="6"/>
        <v>14797.070000000002</v>
      </c>
      <c r="M20" s="2"/>
      <c r="N20" s="19">
        <f t="shared" si="7"/>
        <v>0</v>
      </c>
      <c r="O20" s="11"/>
      <c r="P20" s="2">
        <v>26000.12</v>
      </c>
      <c r="Q20" s="2"/>
      <c r="R20" s="19">
        <f t="shared" si="8"/>
        <v>0.3448393308131884</v>
      </c>
      <c r="S20" s="2"/>
      <c r="T20" s="2"/>
      <c r="U20" s="2"/>
      <c r="V20" s="19">
        <f t="shared" si="9"/>
        <v>0</v>
      </c>
      <c r="W20" s="2"/>
      <c r="X20" s="2">
        <f t="shared" si="10"/>
        <v>26000.12</v>
      </c>
      <c r="Y20" s="2"/>
      <c r="Z20" s="19">
        <f t="shared" si="11"/>
        <v>0</v>
      </c>
    </row>
    <row r="21" spans="1:26" s="24" customFormat="1" hidden="1" outlineLevel="1" x14ac:dyDescent="0.25">
      <c r="A21" s="46"/>
      <c r="B21" s="11" t="str">
        <f>CONCATENATE("          ", "5059", " - ", "PURCHASES @ COST-FOOD")</f>
        <v xml:space="preserve">          5059 - PURCHASES @ COST-FOOD</v>
      </c>
      <c r="C21" s="11"/>
      <c r="D21" s="2">
        <v>-2444.77</v>
      </c>
      <c r="E21" s="2"/>
      <c r="F21" s="19">
        <f t="shared" si="4"/>
        <v>-4.9493499242242965E-2</v>
      </c>
      <c r="G21" s="2"/>
      <c r="H21" s="2"/>
      <c r="I21" s="2"/>
      <c r="J21" s="19">
        <f t="shared" si="5"/>
        <v>0</v>
      </c>
      <c r="K21" s="2"/>
      <c r="L21" s="2">
        <f t="shared" si="6"/>
        <v>-2444.77</v>
      </c>
      <c r="M21" s="2"/>
      <c r="N21" s="19">
        <f t="shared" si="7"/>
        <v>0</v>
      </c>
      <c r="O21" s="11"/>
      <c r="P21" s="2">
        <v>-3715.11</v>
      </c>
      <c r="Q21" s="2"/>
      <c r="R21" s="19">
        <f t="shared" si="8"/>
        <v>-4.9273466672360912E-2</v>
      </c>
      <c r="S21" s="2"/>
      <c r="T21" s="2"/>
      <c r="U21" s="2"/>
      <c r="V21" s="19">
        <f t="shared" si="9"/>
        <v>0</v>
      </c>
      <c r="W21" s="2"/>
      <c r="X21" s="2">
        <f t="shared" si="10"/>
        <v>-3715.11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2">
        <f>D12-D18</f>
        <v>37043.479999999996</v>
      </c>
      <c r="E23" s="14"/>
      <c r="F23" s="20">
        <f>IF(D$12=0,0,D23/D$12)</f>
        <v>0.74993207921810323</v>
      </c>
      <c r="G23" s="14"/>
      <c r="H23" s="22">
        <f>H12-H18</f>
        <v>41230</v>
      </c>
      <c r="I23" s="14"/>
      <c r="J23" s="20">
        <f>IF(H$12=0,0,H23/H$12)</f>
        <v>0.70684039087947881</v>
      </c>
      <c r="K23" s="15"/>
      <c r="L23" s="22">
        <f>+D23-H23</f>
        <v>-4186.5200000000041</v>
      </c>
      <c r="M23" s="15"/>
      <c r="N23" s="20">
        <f>IF(H23=0,0,L23/H23)</f>
        <v>-0.10154062575794334</v>
      </c>
      <c r="O23" s="28"/>
      <c r="P23" s="22">
        <f>P12-P18</f>
        <v>53112.770000000004</v>
      </c>
      <c r="Q23" s="14"/>
      <c r="R23" s="20">
        <f>IF(P$12=0,0,P23/P$12)</f>
        <v>0.70443413585917258</v>
      </c>
      <c r="S23" s="14"/>
      <c r="T23" s="22">
        <f>T12-T18</f>
        <v>62109</v>
      </c>
      <c r="U23" s="14"/>
      <c r="V23" s="20">
        <f>IF(T$12=0,0,T23/T$12)</f>
        <v>0.69621899135737431</v>
      </c>
      <c r="W23" s="15"/>
      <c r="X23" s="22">
        <f>+P23-T23</f>
        <v>-8996.2299999999959</v>
      </c>
      <c r="Y23" s="15"/>
      <c r="Z23" s="20">
        <f>IF(T23=0,0,X23/T23)</f>
        <v>-0.14484583554718311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21">
        <f>SUM(OSRRefD22x_0)</f>
        <v>24676.789999999994</v>
      </c>
      <c r="E25" s="21"/>
      <c r="F25" s="33">
        <f t="shared" ref="F25:F35" si="12">IF(D$12=0,0,D25/D$12)</f>
        <v>0.49957283800357022</v>
      </c>
      <c r="G25" s="21"/>
      <c r="H25" s="21">
        <f>SUM(OSRRefH22x_0)</f>
        <v>19689.605911700004</v>
      </c>
      <c r="I25" s="21"/>
      <c r="J25" s="33">
        <f t="shared" ref="J25:J35" si="13">IF(H$12=0,0,H25/H$12)</f>
        <v>0.33755539022286996</v>
      </c>
      <c r="K25" s="4"/>
      <c r="L25" s="21">
        <f t="shared" ref="L25:L35" si="14">+D25-H25</f>
        <v>4987.1840882999895</v>
      </c>
      <c r="M25" s="4"/>
      <c r="N25" s="33">
        <f t="shared" ref="N25:N35" si="15">IF(H25=0,0,L25/H25)</f>
        <v>0.25329019334696246</v>
      </c>
      <c r="O25" s="10"/>
      <c r="P25" s="21">
        <f>SUM(OSRRefP22x_0)</f>
        <v>59574.099999999991</v>
      </c>
      <c r="Q25" s="21"/>
      <c r="R25" s="33">
        <f t="shared" ref="R25:R35" si="16">IF(P$12=0,0,P25/P$12)</f>
        <v>0.7901306908505793</v>
      </c>
      <c r="S25" s="21"/>
      <c r="T25" s="21">
        <f>SUM(OSRRefT22x_0)</f>
        <v>49542.387298025002</v>
      </c>
      <c r="U25" s="21"/>
      <c r="V25" s="33">
        <f t="shared" ref="V25:V35" si="17">IF(T$12=0,0,T25/T$12)</f>
        <v>0.55535189608699798</v>
      </c>
      <c r="W25" s="4"/>
      <c r="X25" s="21">
        <f t="shared" ref="X25:X35" si="18">+P25-T25</f>
        <v>10031.71270197499</v>
      </c>
      <c r="Y25" s="4"/>
      <c r="Z25" s="33">
        <f t="shared" ref="Z25:Z35" si="19">IF(T25=0,0,X25/T25)</f>
        <v>0.20248747081218879</v>
      </c>
    </row>
    <row r="26" spans="1:26" s="26" customFormat="1" outlineLevel="1" collapsed="1" x14ac:dyDescent="0.25">
      <c r="A26" s="27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3621.58</v>
      </c>
      <c r="E26" s="1"/>
      <c r="F26" s="5">
        <f t="shared" si="12"/>
        <v>7.331759919572077E-2</v>
      </c>
      <c r="G26" s="1"/>
      <c r="H26" s="1">
        <f>SUM(OSRRefH22_0x_0)</f>
        <v>3823.5233732384618</v>
      </c>
      <c r="I26" s="1"/>
      <c r="J26" s="5">
        <f t="shared" si="13"/>
        <v>6.5549860676126545E-2</v>
      </c>
      <c r="K26" s="1"/>
      <c r="L26" s="1">
        <f t="shared" si="14"/>
        <v>-201.94337323846185</v>
      </c>
      <c r="M26" s="1"/>
      <c r="N26" s="5">
        <f t="shared" si="15"/>
        <v>-5.2816042567413186E-2</v>
      </c>
      <c r="O26" s="13"/>
      <c r="P26" s="1">
        <f>SUM(OSRRefP22_0x_0)</f>
        <v>10360.57</v>
      </c>
      <c r="Q26" s="1"/>
      <c r="R26" s="5">
        <f t="shared" si="16"/>
        <v>0.13741213600718749</v>
      </c>
      <c r="S26" s="1"/>
      <c r="T26" s="1">
        <f>SUM(OSRRefT22_0x_0)</f>
        <v>10962.869048025002</v>
      </c>
      <c r="U26" s="1"/>
      <c r="V26" s="5">
        <f t="shared" si="17"/>
        <v>0.12288972018546337</v>
      </c>
      <c r="W26" s="1"/>
      <c r="X26" s="1">
        <f t="shared" si="18"/>
        <v>-602.29904802500278</v>
      </c>
      <c r="Y26" s="1"/>
      <c r="Z26" s="5">
        <f t="shared" si="19"/>
        <v>-5.4939910837802898E-2</v>
      </c>
    </row>
    <row r="27" spans="1:26" s="24" customFormat="1" hidden="1" outlineLevel="2" x14ac:dyDescent="0.25">
      <c r="A27" s="25"/>
      <c r="B27" s="11" t="str">
        <f>CONCATENATE("          ", "6111", " - ", "F.I.C.A.")</f>
        <v xml:space="preserve">          6111 - F.I.C.A.</v>
      </c>
      <c r="C27" s="11"/>
      <c r="D27" s="7">
        <v>720.41</v>
      </c>
      <c r="E27" s="2"/>
      <c r="F27" s="6">
        <f t="shared" si="12"/>
        <v>1.4584444258193717E-2</v>
      </c>
      <c r="G27" s="2"/>
      <c r="H27" s="7">
        <v>738.86165185384607</v>
      </c>
      <c r="I27" s="2"/>
      <c r="J27" s="6">
        <f t="shared" si="13"/>
        <v>1.2666923570269948E-2</v>
      </c>
      <c r="K27" s="2"/>
      <c r="L27" s="7">
        <f t="shared" si="14"/>
        <v>-18.451651853846101</v>
      </c>
      <c r="M27" s="2"/>
      <c r="N27" s="6">
        <f t="shared" si="15"/>
        <v>-2.4973080965225158E-2</v>
      </c>
      <c r="O27" s="11"/>
      <c r="P27" s="7">
        <v>1917.75</v>
      </c>
      <c r="Q27" s="2"/>
      <c r="R27" s="6">
        <f t="shared" si="16"/>
        <v>2.543509901750423E-2</v>
      </c>
      <c r="S27" s="2"/>
      <c r="T27" s="7">
        <v>2131.1112035249998</v>
      </c>
      <c r="U27" s="2"/>
      <c r="V27" s="6">
        <f t="shared" si="17"/>
        <v>2.3888970883262899E-2</v>
      </c>
      <c r="W27" s="2"/>
      <c r="X27" s="7">
        <f t="shared" si="18"/>
        <v>-213.36120352499984</v>
      </c>
      <c r="Y27" s="2"/>
      <c r="Z27" s="6">
        <f t="shared" si="19"/>
        <v>-0.10011734872027617</v>
      </c>
    </row>
    <row r="28" spans="1:26" s="24" customFormat="1" hidden="1" outlineLevel="2" x14ac:dyDescent="0.25">
      <c r="A28" s="25"/>
      <c r="B28" s="11" t="str">
        <f>CONCATENATE("          ", "6112", " - ", "COMPENSATION INSURANCE")</f>
        <v xml:space="preserve">          6112 - COMPENSATION INSURANCE</v>
      </c>
      <c r="C28" s="11"/>
      <c r="D28" s="7">
        <v>608.98</v>
      </c>
      <c r="E28" s="2"/>
      <c r="F28" s="6">
        <f t="shared" si="12"/>
        <v>1.232858353486877E-2</v>
      </c>
      <c r="G28" s="2"/>
      <c r="H28" s="7">
        <v>529.52440276923096</v>
      </c>
      <c r="I28" s="2"/>
      <c r="J28" s="6">
        <f t="shared" si="13"/>
        <v>9.0780799377546875E-3</v>
      </c>
      <c r="K28" s="2"/>
      <c r="L28" s="7">
        <f t="shared" si="14"/>
        <v>79.455597230769058</v>
      </c>
      <c r="M28" s="2"/>
      <c r="N28" s="6">
        <f t="shared" si="15"/>
        <v>0.15005086982817703</v>
      </c>
      <c r="O28" s="11"/>
      <c r="P28" s="7">
        <v>1239.76</v>
      </c>
      <c r="Q28" s="2"/>
      <c r="R28" s="6">
        <f t="shared" si="16"/>
        <v>1.6442924446847109E-2</v>
      </c>
      <c r="S28" s="2"/>
      <c r="T28" s="7">
        <v>1260.0588089999999</v>
      </c>
      <c r="U28" s="2"/>
      <c r="V28" s="6">
        <f t="shared" si="17"/>
        <v>1.4124794684392828E-2</v>
      </c>
      <c r="W28" s="2"/>
      <c r="X28" s="7">
        <f t="shared" si="18"/>
        <v>-20.298808999999892</v>
      </c>
      <c r="Y28" s="2"/>
      <c r="Z28" s="6">
        <f t="shared" si="19"/>
        <v>-1.61094139852959E-2</v>
      </c>
    </row>
    <row r="29" spans="1:26" s="24" customFormat="1" hidden="1" outlineLevel="2" x14ac:dyDescent="0.25">
      <c r="A29" s="25"/>
      <c r="B29" s="11" t="str">
        <f>CONCATENATE("          ", "6113", " - ", "GROUP INSURANCE")</f>
        <v xml:space="preserve">          6113 - GROUP INSURANCE</v>
      </c>
      <c r="C29" s="11"/>
      <c r="D29" s="7">
        <v>1286.5999999999999</v>
      </c>
      <c r="E29" s="2"/>
      <c r="F29" s="6">
        <f t="shared" si="12"/>
        <v>2.6046759460018647E-2</v>
      </c>
      <c r="G29" s="2"/>
      <c r="H29" s="7">
        <v>1381</v>
      </c>
      <c r="I29" s="2"/>
      <c r="J29" s="6">
        <f t="shared" si="13"/>
        <v>2.3675638607920452E-2</v>
      </c>
      <c r="K29" s="2"/>
      <c r="L29" s="7">
        <f t="shared" si="14"/>
        <v>-94.400000000000091</v>
      </c>
      <c r="M29" s="2"/>
      <c r="N29" s="6">
        <f t="shared" si="15"/>
        <v>-6.835626357711809E-2</v>
      </c>
      <c r="O29" s="11"/>
      <c r="P29" s="7">
        <v>3859.8</v>
      </c>
      <c r="Q29" s="2"/>
      <c r="R29" s="6">
        <f t="shared" si="16"/>
        <v>5.1192488691311606E-2</v>
      </c>
      <c r="S29" s="2"/>
      <c r="T29" s="7">
        <v>4143</v>
      </c>
      <c r="U29" s="2"/>
      <c r="V29" s="6">
        <f t="shared" si="17"/>
        <v>4.6441502538981494E-2</v>
      </c>
      <c r="W29" s="2"/>
      <c r="X29" s="7">
        <f t="shared" si="18"/>
        <v>-283.19999999999982</v>
      </c>
      <c r="Y29" s="2"/>
      <c r="Z29" s="6">
        <f t="shared" si="19"/>
        <v>-6.8356263577117993E-2</v>
      </c>
    </row>
    <row r="30" spans="1:26" s="24" customFormat="1" hidden="1" outlineLevel="2" x14ac:dyDescent="0.25">
      <c r="A30" s="25"/>
      <c r="B30" s="11" t="str">
        <f>CONCATENATE("          ", "6114", " - ", "STATE UNEMPLOYMENT INSURANCE")</f>
        <v xml:space="preserve">          6114 - STATE UNEMPLOYMENT INSURANCE</v>
      </c>
      <c r="C30" s="11"/>
      <c r="D30" s="7">
        <v>40.81</v>
      </c>
      <c r="E30" s="2"/>
      <c r="F30" s="6">
        <f t="shared" si="12"/>
        <v>8.261839371703413E-4</v>
      </c>
      <c r="G30" s="2"/>
      <c r="H30" s="7">
        <v>35.483593999999997</v>
      </c>
      <c r="I30" s="2"/>
      <c r="J30" s="6">
        <f t="shared" si="13"/>
        <v>6.0832494428253035E-4</v>
      </c>
      <c r="K30" s="2"/>
      <c r="L30" s="7">
        <f t="shared" si="14"/>
        <v>5.3264060000000057</v>
      </c>
      <c r="M30" s="2"/>
      <c r="N30" s="6">
        <f t="shared" si="15"/>
        <v>0.15010897712334342</v>
      </c>
      <c r="O30" s="11"/>
      <c r="P30" s="7">
        <v>83.08</v>
      </c>
      <c r="Q30" s="2"/>
      <c r="R30" s="6">
        <f t="shared" si="16"/>
        <v>1.1018892068174952E-3</v>
      </c>
      <c r="S30" s="2"/>
      <c r="T30" s="7">
        <v>84.436930500000003</v>
      </c>
      <c r="U30" s="2"/>
      <c r="V30" s="6">
        <f t="shared" si="17"/>
        <v>9.46506860294365E-4</v>
      </c>
      <c r="W30" s="2"/>
      <c r="X30" s="7">
        <f t="shared" si="18"/>
        <v>-1.3569305000000043</v>
      </c>
      <c r="Y30" s="2"/>
      <c r="Z30" s="6">
        <f t="shared" si="19"/>
        <v>-1.6070343769779789E-2</v>
      </c>
    </row>
    <row r="31" spans="1:26" s="24" customFormat="1" hidden="1" outlineLevel="2" x14ac:dyDescent="0.25">
      <c r="A31" s="25"/>
      <c r="B31" s="11" t="str">
        <f>CONCATENATE("          ", "6115", " - ", "P.E.R.S.")</f>
        <v xml:space="preserve">          6115 - P.E.R.S.</v>
      </c>
      <c r="C31" s="11"/>
      <c r="D31" s="7">
        <v>326.52</v>
      </c>
      <c r="E31" s="2"/>
      <c r="F31" s="6">
        <f t="shared" si="12"/>
        <v>6.6102812831379523E-3</v>
      </c>
      <c r="G31" s="2"/>
      <c r="H31" s="7">
        <v>402.01010923076899</v>
      </c>
      <c r="I31" s="2"/>
      <c r="J31" s="6">
        <f t="shared" si="13"/>
        <v>6.8919957008532311E-3</v>
      </c>
      <c r="K31" s="2"/>
      <c r="L31" s="7">
        <f t="shared" si="14"/>
        <v>-75.490109230769008</v>
      </c>
      <c r="M31" s="2"/>
      <c r="N31" s="6">
        <f t="shared" si="15"/>
        <v>-0.18778161916180777</v>
      </c>
      <c r="O31" s="11"/>
      <c r="P31" s="7">
        <v>979.56</v>
      </c>
      <c r="Q31" s="2"/>
      <c r="R31" s="6">
        <f t="shared" si="16"/>
        <v>1.2991894456308925E-2</v>
      </c>
      <c r="S31" s="2"/>
      <c r="T31" s="7">
        <v>1306.5328550000002</v>
      </c>
      <c r="U31" s="2"/>
      <c r="V31" s="6">
        <f t="shared" si="17"/>
        <v>1.4645751605779687E-2</v>
      </c>
      <c r="W31" s="2"/>
      <c r="X31" s="7">
        <f t="shared" si="18"/>
        <v>-326.97285500000021</v>
      </c>
      <c r="Y31" s="2"/>
      <c r="Z31" s="6">
        <f t="shared" si="19"/>
        <v>-0.25025995614936158</v>
      </c>
    </row>
    <row r="32" spans="1:26" s="24" customFormat="1" hidden="1" outlineLevel="2" x14ac:dyDescent="0.25">
      <c r="A32" s="25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25">
      <c r="A33" s="25"/>
      <c r="B33" s="11" t="str">
        <f>CONCATENATE("          ", "6118", " - ", "VACATION")</f>
        <v xml:space="preserve">          6118 - VACATION</v>
      </c>
      <c r="C33" s="11"/>
      <c r="D33" s="7">
        <v>269.38</v>
      </c>
      <c r="E33" s="2"/>
      <c r="F33" s="6">
        <f t="shared" si="12"/>
        <v>5.453502303233191E-3</v>
      </c>
      <c r="G33" s="2"/>
      <c r="H33" s="7">
        <v>233.72680769230803</v>
      </c>
      <c r="I33" s="2"/>
      <c r="J33" s="6">
        <f t="shared" si="13"/>
        <v>4.0069742446821191E-3</v>
      </c>
      <c r="K33" s="2"/>
      <c r="L33" s="7">
        <f t="shared" si="14"/>
        <v>35.653192307691967</v>
      </c>
      <c r="M33" s="2"/>
      <c r="N33" s="6">
        <f t="shared" si="15"/>
        <v>0.15254216090876474</v>
      </c>
      <c r="O33" s="11"/>
      <c r="P33" s="7">
        <v>892.23</v>
      </c>
      <c r="Q33" s="2"/>
      <c r="R33" s="6">
        <f t="shared" si="16"/>
        <v>1.183363754211331E-2</v>
      </c>
      <c r="S33" s="2"/>
      <c r="T33" s="7">
        <v>759.61212500000101</v>
      </c>
      <c r="U33" s="2"/>
      <c r="V33" s="6">
        <f t="shared" si="17"/>
        <v>8.5149718638254102E-3</v>
      </c>
      <c r="W33" s="2"/>
      <c r="X33" s="7">
        <f t="shared" si="18"/>
        <v>132.617874999999</v>
      </c>
      <c r="Y33" s="2"/>
      <c r="Z33" s="6">
        <f t="shared" si="19"/>
        <v>0.17458630613617288</v>
      </c>
    </row>
    <row r="34" spans="1:26" s="24" customFormat="1" hidden="1" outlineLevel="2" x14ac:dyDescent="0.25">
      <c r="A34" s="25"/>
      <c r="B34" s="11" t="str">
        <f>CONCATENATE("          ", "6119", " - ", "SICK LEAVE")</f>
        <v xml:space="preserve">          6119 - SICK LEAVE</v>
      </c>
      <c r="C34" s="11"/>
      <c r="D34" s="7">
        <v>215.62</v>
      </c>
      <c r="E34" s="2"/>
      <c r="F34" s="6">
        <f t="shared" si="12"/>
        <v>4.365150221334697E-3</v>
      </c>
      <c r="G34" s="2"/>
      <c r="H34" s="7">
        <v>502.91680769230794</v>
      </c>
      <c r="I34" s="2"/>
      <c r="J34" s="6">
        <f t="shared" si="13"/>
        <v>8.6219236703635859E-3</v>
      </c>
      <c r="K34" s="2"/>
      <c r="L34" s="7">
        <f t="shared" si="14"/>
        <v>-287.29680769230794</v>
      </c>
      <c r="M34" s="2"/>
      <c r="N34" s="6">
        <f t="shared" si="15"/>
        <v>-0.57126109785553325</v>
      </c>
      <c r="O34" s="11"/>
      <c r="P34" s="7">
        <v>980.75</v>
      </c>
      <c r="Q34" s="2"/>
      <c r="R34" s="6">
        <f t="shared" si="16"/>
        <v>1.3007677414374801E-2</v>
      </c>
      <c r="S34" s="2"/>
      <c r="T34" s="7">
        <v>1278.1171250000011</v>
      </c>
      <c r="U34" s="2"/>
      <c r="V34" s="6">
        <f t="shared" si="17"/>
        <v>1.4327221748926691E-2</v>
      </c>
      <c r="W34" s="2"/>
      <c r="X34" s="7">
        <f t="shared" si="18"/>
        <v>-297.36712500000112</v>
      </c>
      <c r="Y34" s="2"/>
      <c r="Z34" s="6">
        <f t="shared" si="19"/>
        <v>-0.23266030881168334</v>
      </c>
    </row>
    <row r="35" spans="1:26" s="24" customFormat="1" hidden="1" outlineLevel="2" x14ac:dyDescent="0.25">
      <c r="A35" s="25"/>
      <c r="B35" s="11" t="str">
        <f>CONCATENATE("          ", "6156", " - ", "EMPLOYEE MEALS")</f>
        <v xml:space="preserve">          6156 - EMPLOYEE MEALS</v>
      </c>
      <c r="C35" s="11"/>
      <c r="D35" s="7">
        <v>153.26</v>
      </c>
      <c r="E35" s="2"/>
      <c r="F35" s="6">
        <f t="shared" si="12"/>
        <v>3.1026941977634523E-3</v>
      </c>
      <c r="G35" s="2"/>
      <c r="H35" s="7"/>
      <c r="I35" s="2"/>
      <c r="J35" s="6">
        <f t="shared" si="13"/>
        <v>0</v>
      </c>
      <c r="K35" s="2"/>
      <c r="L35" s="7">
        <f t="shared" si="14"/>
        <v>153.26</v>
      </c>
      <c r="M35" s="2"/>
      <c r="N35" s="6">
        <f t="shared" si="15"/>
        <v>0</v>
      </c>
      <c r="O35" s="11"/>
      <c r="P35" s="7">
        <v>407.64</v>
      </c>
      <c r="Q35" s="2"/>
      <c r="R35" s="6">
        <f t="shared" si="16"/>
        <v>5.4065252319100109E-3</v>
      </c>
      <c r="S35" s="2"/>
      <c r="T35" s="7"/>
      <c r="U35" s="2"/>
      <c r="V35" s="6">
        <f t="shared" si="17"/>
        <v>0</v>
      </c>
      <c r="W35" s="2"/>
      <c r="X35" s="7">
        <f t="shared" si="18"/>
        <v>407.64</v>
      </c>
      <c r="Y35" s="2"/>
      <c r="Z35" s="6">
        <f t="shared" si="19"/>
        <v>0</v>
      </c>
    </row>
    <row r="36" spans="1:26" s="26" customFormat="1" outlineLevel="1" collapsed="1" x14ac:dyDescent="0.25">
      <c r="A36" s="27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15710.27</v>
      </c>
      <c r="E36" s="1"/>
      <c r="F36" s="5">
        <f t="shared" ref="F36:F46" si="20">IF(D$12=0,0,D36/D$12)</f>
        <v>0.31804882927246014</v>
      </c>
      <c r="G36" s="1"/>
      <c r="H36" s="1">
        <f>SUM(OSRRefH22_1x_0)</f>
        <v>13180.08253846154</v>
      </c>
      <c r="I36" s="1"/>
      <c r="J36" s="5">
        <f t="shared" ref="J36:J46" si="21">IF(H$12=0,0,H36/H$12)</f>
        <v>0.22595718392699365</v>
      </c>
      <c r="K36" s="1"/>
      <c r="L36" s="1">
        <f t="shared" ref="L36:L46" si="22">+D36-H36</f>
        <v>2530.1874615384604</v>
      </c>
      <c r="M36" s="1"/>
      <c r="N36" s="5">
        <f t="shared" ref="N36:N46" si="23">IF(H36=0,0,L36/H36)</f>
        <v>0.19197053236616524</v>
      </c>
      <c r="O36" s="13"/>
      <c r="P36" s="1">
        <f>SUM(OSRRefP22_1x_0)</f>
        <v>34420.86</v>
      </c>
      <c r="Q36" s="1"/>
      <c r="R36" s="5">
        <f t="shared" ref="R36:R46" si="24">IF(P$12=0,0,P36/P$12)</f>
        <v>0.45652352098430488</v>
      </c>
      <c r="S36" s="1"/>
      <c r="T36" s="1">
        <f>SUM(OSRRefT22_1x_0)</f>
        <v>30956.518250000001</v>
      </c>
      <c r="U36" s="1"/>
      <c r="V36" s="5">
        <f t="shared" ref="V36:V46" si="25">IF(T$12=0,0,T36/T$12)</f>
        <v>0.34701115638556651</v>
      </c>
      <c r="W36" s="1"/>
      <c r="X36" s="1">
        <f t="shared" ref="X36:X46" si="26">+P36-T36</f>
        <v>3464.3417499999996</v>
      </c>
      <c r="Y36" s="1"/>
      <c r="Z36" s="5">
        <f t="shared" ref="Z36:Z46" si="27">IF(T36=0,0,X36/T36)</f>
        <v>0.11190992869490417</v>
      </c>
    </row>
    <row r="37" spans="1:26" s="24" customFormat="1" hidden="1" outlineLevel="2" x14ac:dyDescent="0.25">
      <c r="A37" s="25"/>
      <c r="B37" s="11" t="str">
        <f>CONCATENATE("          ", "6001", " - ", "ADMINISTRATIVE SALARIES")</f>
        <v xml:space="preserve">          6001 - ADMINISTRATIVE SALARIES</v>
      </c>
      <c r="C37" s="11"/>
      <c r="D37" s="7"/>
      <c r="E37" s="2"/>
      <c r="F37" s="6">
        <f t="shared" si="20"/>
        <v>0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0</v>
      </c>
      <c r="Y37" s="2"/>
      <c r="Z37" s="6">
        <f t="shared" si="27"/>
        <v>0</v>
      </c>
    </row>
    <row r="38" spans="1:26" s="24" customFormat="1" hidden="1" outlineLevel="2" x14ac:dyDescent="0.25">
      <c r="A38" s="25"/>
      <c r="B38" s="11" t="str">
        <f>CONCATENATE("          ", "6002", " - ", "STAFF SALARIES")</f>
        <v xml:space="preserve">          6002 - STAFF SALARIES</v>
      </c>
      <c r="C38" s="11"/>
      <c r="D38" s="7">
        <v>4674.62</v>
      </c>
      <c r="E38" s="2"/>
      <c r="F38" s="6">
        <f t="shared" si="20"/>
        <v>9.4636019514217615E-2</v>
      </c>
      <c r="G38" s="2"/>
      <c r="H38" s="7">
        <v>4207.08253846154</v>
      </c>
      <c r="I38" s="2"/>
      <c r="J38" s="6">
        <f t="shared" si="21"/>
        <v>7.2125536404278073E-2</v>
      </c>
      <c r="K38" s="2"/>
      <c r="L38" s="7">
        <f t="shared" si="22"/>
        <v>467.53746153845987</v>
      </c>
      <c r="M38" s="2"/>
      <c r="N38" s="6">
        <f t="shared" si="23"/>
        <v>0.11113104087314402</v>
      </c>
      <c r="O38" s="11"/>
      <c r="P38" s="7">
        <v>14257.94</v>
      </c>
      <c r="Q38" s="2"/>
      <c r="R38" s="6">
        <f t="shared" si="24"/>
        <v>0.18910291523172168</v>
      </c>
      <c r="S38" s="2"/>
      <c r="T38" s="7">
        <v>13673.018250000001</v>
      </c>
      <c r="U38" s="2"/>
      <c r="V38" s="6">
        <f t="shared" si="25"/>
        <v>0.15326949354885719</v>
      </c>
      <c r="W38" s="2"/>
      <c r="X38" s="7">
        <f t="shared" si="26"/>
        <v>584.92174999999952</v>
      </c>
      <c r="Y38" s="2"/>
      <c r="Z38" s="6">
        <f t="shared" si="27"/>
        <v>4.2779270772932629E-2</v>
      </c>
    </row>
    <row r="39" spans="1:26" s="24" customFormat="1" hidden="1" outlineLevel="2" x14ac:dyDescent="0.25">
      <c r="A39" s="25"/>
      <c r="B39" s="11" t="str">
        <f>CONCATENATE("          ", "6003", " - ", "STAFF HOURLY-9 MONTH")</f>
        <v xml:space="preserve">          6003 - STAFF HOURLY-9 MONTH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5"/>
      <c r="B40" s="11" t="str">
        <f>CONCATENATE("          ", "6004", " - ", "STAFF HOURLY")</f>
        <v xml:space="preserve">          6004 - STAFF HOURLY</v>
      </c>
      <c r="C40" s="11"/>
      <c r="D40" s="7"/>
      <c r="E40" s="2"/>
      <c r="F40" s="6">
        <f t="shared" si="20"/>
        <v>0</v>
      </c>
      <c r="G40" s="2"/>
      <c r="H40" s="7">
        <v>4980</v>
      </c>
      <c r="I40" s="2"/>
      <c r="J40" s="6">
        <f t="shared" si="21"/>
        <v>8.5376307217555292E-2</v>
      </c>
      <c r="K40" s="2"/>
      <c r="L40" s="7">
        <f t="shared" si="22"/>
        <v>-4980</v>
      </c>
      <c r="M40" s="2"/>
      <c r="N40" s="6">
        <f t="shared" si="23"/>
        <v>-1</v>
      </c>
      <c r="O40" s="11"/>
      <c r="P40" s="7"/>
      <c r="Q40" s="2"/>
      <c r="R40" s="6">
        <f t="shared" si="24"/>
        <v>0</v>
      </c>
      <c r="S40" s="2"/>
      <c r="T40" s="7">
        <v>8934.5</v>
      </c>
      <c r="U40" s="2"/>
      <c r="V40" s="6">
        <f t="shared" si="25"/>
        <v>0.10015245098588707</v>
      </c>
      <c r="W40" s="2"/>
      <c r="X40" s="7">
        <f t="shared" si="26"/>
        <v>-8934.5</v>
      </c>
      <c r="Y40" s="2"/>
      <c r="Z40" s="6">
        <f t="shared" si="27"/>
        <v>-1</v>
      </c>
    </row>
    <row r="41" spans="1:26" s="24" customFormat="1" hidden="1" outlineLevel="2" x14ac:dyDescent="0.25">
      <c r="A41" s="25"/>
      <c r="B41" s="11" t="str">
        <f>CONCATENATE("          ", "6005", " - ", "TEMPORARY WAGES-HOURLY")</f>
        <v xml:space="preserve">          6005 - TEMPORARY WAGES-HOURLY</v>
      </c>
      <c r="C41" s="11"/>
      <c r="D41" s="7">
        <v>4742.6499999999996</v>
      </c>
      <c r="E41" s="2"/>
      <c r="F41" s="6">
        <f t="shared" si="20"/>
        <v>9.6013262671426583E-2</v>
      </c>
      <c r="G41" s="2"/>
      <c r="H41" s="7">
        <v>765</v>
      </c>
      <c r="I41" s="2"/>
      <c r="J41" s="6">
        <f t="shared" si="21"/>
        <v>1.3115035144865421E-2</v>
      </c>
      <c r="K41" s="2"/>
      <c r="L41" s="7">
        <f t="shared" si="22"/>
        <v>3977.6499999999996</v>
      </c>
      <c r="M41" s="2"/>
      <c r="N41" s="6">
        <f t="shared" si="23"/>
        <v>5.1995424836601298</v>
      </c>
      <c r="O41" s="11"/>
      <c r="P41" s="7">
        <v>7380.61</v>
      </c>
      <c r="Q41" s="2"/>
      <c r="R41" s="6">
        <f t="shared" si="24"/>
        <v>9.7888956412244502E-2</v>
      </c>
      <c r="S41" s="2"/>
      <c r="T41" s="7">
        <v>969</v>
      </c>
      <c r="U41" s="2"/>
      <c r="V41" s="6">
        <f t="shared" si="25"/>
        <v>1.0862132744454035E-2</v>
      </c>
      <c r="W41" s="2"/>
      <c r="X41" s="7">
        <f t="shared" si="26"/>
        <v>6411.61</v>
      </c>
      <c r="Y41" s="2"/>
      <c r="Z41" s="6">
        <f t="shared" si="27"/>
        <v>6.6167285861713099</v>
      </c>
    </row>
    <row r="42" spans="1:26" s="24" customFormat="1" hidden="1" outlineLevel="2" x14ac:dyDescent="0.25">
      <c r="A42" s="25"/>
      <c r="B42" s="11" t="str">
        <f>CONCATENATE("          ", "6006", " - ", "TEMPORARY PART TIME")</f>
        <v xml:space="preserve">          6006 - TEMPORARY PART TIME</v>
      </c>
      <c r="C42" s="11"/>
      <c r="D42" s="7"/>
      <c r="E42" s="2"/>
      <c r="F42" s="6">
        <f t="shared" si="20"/>
        <v>0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0</v>
      </c>
      <c r="M42" s="2"/>
      <c r="N42" s="6">
        <f t="shared" si="23"/>
        <v>0</v>
      </c>
      <c r="O42" s="11"/>
      <c r="P42" s="7"/>
      <c r="Q42" s="2"/>
      <c r="R42" s="6">
        <f t="shared" si="24"/>
        <v>0</v>
      </c>
      <c r="S42" s="2"/>
      <c r="T42" s="7">
        <v>0</v>
      </c>
      <c r="U42" s="2"/>
      <c r="V42" s="6">
        <f t="shared" si="25"/>
        <v>0</v>
      </c>
      <c r="W42" s="2"/>
      <c r="X42" s="7">
        <f t="shared" si="26"/>
        <v>0</v>
      </c>
      <c r="Y42" s="2"/>
      <c r="Z42" s="6">
        <f t="shared" si="27"/>
        <v>0</v>
      </c>
    </row>
    <row r="43" spans="1:26" s="24" customFormat="1" hidden="1" outlineLevel="2" x14ac:dyDescent="0.25">
      <c r="A43" s="25"/>
      <c r="B43" s="11" t="str">
        <f>CONCATENATE("          ", "6007", " - ", "STUDENT HOURLY")</f>
        <v xml:space="preserve">          6007 - STUDENT HOURLY</v>
      </c>
      <c r="C43" s="11"/>
      <c r="D43" s="7">
        <v>5546</v>
      </c>
      <c r="E43" s="2"/>
      <c r="F43" s="6">
        <f t="shared" si="20"/>
        <v>0.11227679773454331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5546</v>
      </c>
      <c r="M43" s="2"/>
      <c r="N43" s="6">
        <f t="shared" si="23"/>
        <v>0</v>
      </c>
      <c r="O43" s="11"/>
      <c r="P43" s="7">
        <v>12035.31</v>
      </c>
      <c r="Q43" s="2"/>
      <c r="R43" s="6">
        <f t="shared" si="24"/>
        <v>0.15962419583176055</v>
      </c>
      <c r="S43" s="2"/>
      <c r="T43" s="7">
        <v>3720</v>
      </c>
      <c r="U43" s="2"/>
      <c r="V43" s="6">
        <f t="shared" si="25"/>
        <v>4.1699828492640874E-2</v>
      </c>
      <c r="W43" s="2"/>
      <c r="X43" s="7">
        <f t="shared" si="26"/>
        <v>8315.31</v>
      </c>
      <c r="Y43" s="2"/>
      <c r="Z43" s="6">
        <f t="shared" si="27"/>
        <v>2.235298387096774</v>
      </c>
    </row>
    <row r="44" spans="1:26" s="24" customFormat="1" hidden="1" outlineLevel="2" x14ac:dyDescent="0.25">
      <c r="A44" s="25"/>
      <c r="B44" s="11" t="str">
        <f>CONCATENATE("          ", "6008", " - ", "STUDENT HOURLY-FICA EXEMPT")</f>
        <v xml:space="preserve">          6008 - STUDENT HOURLY-FICA EXEMPT</v>
      </c>
      <c r="C44" s="11"/>
      <c r="D44" s="7">
        <v>747</v>
      </c>
      <c r="E44" s="2"/>
      <c r="F44" s="6">
        <f t="shared" si="20"/>
        <v>1.5122749352272603E-2</v>
      </c>
      <c r="G44" s="2"/>
      <c r="H44" s="7">
        <v>3228</v>
      </c>
      <c r="I44" s="2"/>
      <c r="J44" s="6">
        <f t="shared" si="21"/>
        <v>5.5340305160294874E-2</v>
      </c>
      <c r="K44" s="2"/>
      <c r="L44" s="7">
        <f t="shared" si="22"/>
        <v>-2481</v>
      </c>
      <c r="M44" s="2"/>
      <c r="N44" s="6">
        <f t="shared" si="23"/>
        <v>-0.76858736059479549</v>
      </c>
      <c r="O44" s="11"/>
      <c r="P44" s="7">
        <v>747</v>
      </c>
      <c r="Q44" s="2"/>
      <c r="R44" s="6">
        <f t="shared" si="24"/>
        <v>9.9074535085781033E-3</v>
      </c>
      <c r="S44" s="2"/>
      <c r="T44" s="7">
        <v>3660</v>
      </c>
      <c r="U44" s="2"/>
      <c r="V44" s="6">
        <f t="shared" si="25"/>
        <v>4.1027250613727313E-2</v>
      </c>
      <c r="W44" s="2"/>
      <c r="X44" s="7">
        <f t="shared" si="26"/>
        <v>-2913</v>
      </c>
      <c r="Y44" s="2"/>
      <c r="Z44" s="6">
        <f t="shared" si="27"/>
        <v>-0.79590163934426228</v>
      </c>
    </row>
    <row r="45" spans="1:26" s="24" customFormat="1" hidden="1" outlineLevel="2" x14ac:dyDescent="0.25">
      <c r="A45" s="25"/>
      <c r="B45" s="11" t="str">
        <f>CONCATENATE("          ", "6009", " - ", "TEMPORARY-SEASONAL")</f>
        <v xml:space="preserve">          6009 - TEMPORARY-SEASONAL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24" customFormat="1" hidden="1" outlineLevel="2" x14ac:dyDescent="0.25">
      <c r="A46" s="25"/>
      <c r="B46" s="11" t="str">
        <f>CONCATENATE("          ", "6010", " - ", "GRATUITY")</f>
        <v xml:space="preserve">          6010 - GRATUITY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6" customFormat="1" outlineLevel="1" collapsed="1" x14ac:dyDescent="0.25">
      <c r="A47" s="27"/>
      <c r="B47" s="13" t="str">
        <f>CONCATENATE("     ","Advertising/Promo                                 ")</f>
        <v xml:space="preserve">     Advertising/Promo                                 </v>
      </c>
      <c r="C47" s="13"/>
      <c r="D47" s="1">
        <f>SUM(OSRRefD22_2x_0)</f>
        <v>42.38</v>
      </c>
      <c r="E47" s="1"/>
      <c r="F47" s="5">
        <f t="shared" ref="F47:F59" si="28">IF(D$12=0,0,D47/D$12)</f>
        <v>8.5796802884780855E-4</v>
      </c>
      <c r="G47" s="1"/>
      <c r="H47" s="1">
        <f>SUM(OSRRefH22_2x_0)</f>
        <v>75</v>
      </c>
      <c r="I47" s="1"/>
      <c r="J47" s="5">
        <f t="shared" ref="J47:J59" si="29">IF(H$12=0,0,H47/H$12)</f>
        <v>1.2857877593005316E-3</v>
      </c>
      <c r="K47" s="1"/>
      <c r="L47" s="1">
        <f t="shared" ref="L47:L59" si="30">+D47-H47</f>
        <v>-32.619999999999997</v>
      </c>
      <c r="M47" s="1"/>
      <c r="N47" s="5">
        <f t="shared" ref="N47:N59" si="31">IF(H47=0,0,L47/H47)</f>
        <v>-0.43493333333333328</v>
      </c>
      <c r="O47" s="13"/>
      <c r="P47" s="1">
        <f>SUM(OSRRefP22_2x_0)</f>
        <v>1040.93</v>
      </c>
      <c r="Q47" s="1"/>
      <c r="R47" s="5">
        <f t="shared" ref="R47:R59" si="32">IF(P$12=0,0,P47/P$12)</f>
        <v>1.3805844150849005E-2</v>
      </c>
      <c r="S47" s="1"/>
      <c r="T47" s="1">
        <f>SUM(OSRRefT22_2x_0)</f>
        <v>400</v>
      </c>
      <c r="U47" s="1"/>
      <c r="V47" s="5">
        <f t="shared" ref="V47:V59" si="33">IF(T$12=0,0,T47/T$12)</f>
        <v>4.4838525260904169E-3</v>
      </c>
      <c r="W47" s="1"/>
      <c r="X47" s="1">
        <f t="shared" ref="X47:X59" si="34">+P47-T47</f>
        <v>640.93000000000006</v>
      </c>
      <c r="Y47" s="1"/>
      <c r="Z47" s="5">
        <f t="shared" ref="Z47:Z59" si="35">IF(T47=0,0,X47/T47)</f>
        <v>1.6023250000000002</v>
      </c>
    </row>
    <row r="48" spans="1:26" s="24" customFormat="1" hidden="1" outlineLevel="2" x14ac:dyDescent="0.25">
      <c r="A48" s="25"/>
      <c r="B48" s="11" t="str">
        <f>CONCATENATE("          ", "6362", " - ", "ADVERTISING EXPENSE")</f>
        <v xml:space="preserve">          6362 - ADVERTISING EXPENSE</v>
      </c>
      <c r="C48" s="11"/>
      <c r="D48" s="7">
        <v>42.38</v>
      </c>
      <c r="E48" s="2"/>
      <c r="F48" s="6">
        <f t="shared" si="28"/>
        <v>8.5796802884780855E-4</v>
      </c>
      <c r="G48" s="2"/>
      <c r="H48" s="7">
        <v>75</v>
      </c>
      <c r="I48" s="2"/>
      <c r="J48" s="6">
        <f t="shared" si="29"/>
        <v>1.2857877593005316E-3</v>
      </c>
      <c r="K48" s="2"/>
      <c r="L48" s="7">
        <f t="shared" si="30"/>
        <v>-32.619999999999997</v>
      </c>
      <c r="M48" s="2"/>
      <c r="N48" s="6">
        <f t="shared" si="31"/>
        <v>-0.43493333333333328</v>
      </c>
      <c r="O48" s="11"/>
      <c r="P48" s="7">
        <v>1040.93</v>
      </c>
      <c r="Q48" s="2"/>
      <c r="R48" s="6">
        <f t="shared" si="32"/>
        <v>1.3805844150849005E-2</v>
      </c>
      <c r="S48" s="2"/>
      <c r="T48" s="7">
        <v>400</v>
      </c>
      <c r="U48" s="2"/>
      <c r="V48" s="6">
        <f t="shared" si="33"/>
        <v>4.4838525260904169E-3</v>
      </c>
      <c r="W48" s="2"/>
      <c r="X48" s="7">
        <f t="shared" si="34"/>
        <v>640.93000000000006</v>
      </c>
      <c r="Y48" s="2"/>
      <c r="Z48" s="6">
        <f t="shared" si="35"/>
        <v>1.6023250000000002</v>
      </c>
    </row>
    <row r="49" spans="1:26" s="26" customFormat="1" outlineLevel="1" collapsed="1" x14ac:dyDescent="0.25">
      <c r="A49" s="27"/>
      <c r="B49" s="13" t="str">
        <f>CONCATENATE("     ","Bad Debts/Over/Short                              ")</f>
        <v xml:space="preserve">     Bad Debts/Over/Short                              </v>
      </c>
      <c r="C49" s="13"/>
      <c r="D49" s="1">
        <f>SUM(OSRRefD22_3x_0)</f>
        <v>-30.91</v>
      </c>
      <c r="E49" s="1"/>
      <c r="F49" s="5">
        <f t="shared" si="28"/>
        <v>-6.2576195780287311E-4</v>
      </c>
      <c r="G49" s="1"/>
      <c r="H49" s="1">
        <f>SUM(OSRRefH22_3x_0)</f>
        <v>20</v>
      </c>
      <c r="I49" s="1"/>
      <c r="J49" s="5">
        <f t="shared" si="29"/>
        <v>3.4287673581347508E-4</v>
      </c>
      <c r="K49" s="1"/>
      <c r="L49" s="1">
        <f t="shared" si="30"/>
        <v>-50.91</v>
      </c>
      <c r="M49" s="1"/>
      <c r="N49" s="5">
        <f t="shared" si="31"/>
        <v>-2.5454999999999997</v>
      </c>
      <c r="O49" s="13"/>
      <c r="P49" s="1">
        <f>SUM(OSRRefP22_3x_0)</f>
        <v>-37.729999999999997</v>
      </c>
      <c r="Q49" s="1"/>
      <c r="R49" s="5">
        <f t="shared" si="32"/>
        <v>-5.0041261161800786E-4</v>
      </c>
      <c r="S49" s="1"/>
      <c r="T49" s="1">
        <f>SUM(OSRRefT22_3x_0)</f>
        <v>60</v>
      </c>
      <c r="U49" s="1"/>
      <c r="V49" s="5">
        <f t="shared" si="33"/>
        <v>6.7257787891356253E-4</v>
      </c>
      <c r="W49" s="1"/>
      <c r="X49" s="1">
        <f t="shared" si="34"/>
        <v>-97.72999999999999</v>
      </c>
      <c r="Y49" s="1"/>
      <c r="Z49" s="5">
        <f t="shared" si="35"/>
        <v>-1.6288333333333331</v>
      </c>
    </row>
    <row r="50" spans="1:26" s="24" customFormat="1" hidden="1" outlineLevel="2" x14ac:dyDescent="0.25">
      <c r="A50" s="25"/>
      <c r="B50" s="11" t="str">
        <f>CONCATENATE("          ", "6272", " - ", "CASH (OVER/SHORT)")</f>
        <v xml:space="preserve">          6272 - CASH (OVER/SHORT)</v>
      </c>
      <c r="C50" s="11"/>
      <c r="D50" s="7">
        <v>-30.91</v>
      </c>
      <c r="E50" s="2"/>
      <c r="F50" s="6">
        <f t="shared" si="28"/>
        <v>-6.2576195780287311E-4</v>
      </c>
      <c r="G50" s="2"/>
      <c r="H50" s="7">
        <v>20</v>
      </c>
      <c r="I50" s="2"/>
      <c r="J50" s="6">
        <f t="shared" si="29"/>
        <v>3.4287673581347508E-4</v>
      </c>
      <c r="K50" s="2"/>
      <c r="L50" s="7">
        <f t="shared" si="30"/>
        <v>-50.91</v>
      </c>
      <c r="M50" s="2"/>
      <c r="N50" s="6">
        <f t="shared" si="31"/>
        <v>-2.5454999999999997</v>
      </c>
      <c r="O50" s="11"/>
      <c r="P50" s="7">
        <v>-37.729999999999997</v>
      </c>
      <c r="Q50" s="2"/>
      <c r="R50" s="6">
        <f t="shared" si="32"/>
        <v>-5.0041261161800786E-4</v>
      </c>
      <c r="S50" s="2"/>
      <c r="T50" s="7">
        <v>60</v>
      </c>
      <c r="U50" s="2"/>
      <c r="V50" s="6">
        <f t="shared" si="33"/>
        <v>6.7257787891356253E-4</v>
      </c>
      <c r="W50" s="2"/>
      <c r="X50" s="7">
        <f t="shared" si="34"/>
        <v>-97.72999999999999</v>
      </c>
      <c r="Y50" s="2"/>
      <c r="Z50" s="6">
        <f t="shared" si="35"/>
        <v>-1.6288333333333331</v>
      </c>
    </row>
    <row r="51" spans="1:26" s="26" customFormat="1" outlineLevel="1" collapsed="1" x14ac:dyDescent="0.25">
      <c r="A51" s="27"/>
      <c r="B51" s="13" t="str">
        <f>CONCATENATE("     ","Bank/card Fees                                    ")</f>
        <v xml:space="preserve">     Bank/card Fees                                    </v>
      </c>
      <c r="C51" s="13"/>
      <c r="D51" s="1">
        <f>SUM(OSRRefD22_4x_0)</f>
        <v>1690</v>
      </c>
      <c r="E51" s="1"/>
      <c r="F51" s="5">
        <f t="shared" si="28"/>
        <v>3.4213449003133466E-2</v>
      </c>
      <c r="G51" s="1"/>
      <c r="H51" s="1">
        <f>SUM(OSRRefH22_4x_0)</f>
        <v>1500</v>
      </c>
      <c r="I51" s="1"/>
      <c r="J51" s="5">
        <f t="shared" si="29"/>
        <v>2.571575518601063E-2</v>
      </c>
      <c r="K51" s="1"/>
      <c r="L51" s="1">
        <f t="shared" si="30"/>
        <v>190</v>
      </c>
      <c r="M51" s="1"/>
      <c r="N51" s="5">
        <f t="shared" si="31"/>
        <v>0.12666666666666668</v>
      </c>
      <c r="O51" s="13"/>
      <c r="P51" s="1">
        <f>SUM(OSRRefP22_4x_0)</f>
        <v>2500.1999999999998</v>
      </c>
      <c r="Q51" s="1"/>
      <c r="R51" s="5">
        <f t="shared" si="32"/>
        <v>3.3160127526301174E-2</v>
      </c>
      <c r="S51" s="1"/>
      <c r="T51" s="1">
        <f>SUM(OSRRefT22_4x_0)</f>
        <v>2400</v>
      </c>
      <c r="U51" s="1"/>
      <c r="V51" s="5">
        <f t="shared" si="33"/>
        <v>2.6903115156542503E-2</v>
      </c>
      <c r="W51" s="1"/>
      <c r="X51" s="1">
        <f t="shared" si="34"/>
        <v>100.19999999999982</v>
      </c>
      <c r="Y51" s="1"/>
      <c r="Z51" s="5">
        <f t="shared" si="35"/>
        <v>4.1749999999999926E-2</v>
      </c>
    </row>
    <row r="52" spans="1:26" s="24" customFormat="1" hidden="1" outlineLevel="2" x14ac:dyDescent="0.25">
      <c r="A52" s="25"/>
      <c r="B52" s="11" t="str">
        <f>CONCATENATE("          ", "6381", " - ", "BANK/CREDIT CARD FEES")</f>
        <v xml:space="preserve">          6381 - BANK/CREDIT CARD FEES</v>
      </c>
      <c r="C52" s="11"/>
      <c r="D52" s="7">
        <v>1690</v>
      </c>
      <c r="E52" s="2"/>
      <c r="F52" s="6">
        <f t="shared" si="28"/>
        <v>3.4213449003133466E-2</v>
      </c>
      <c r="G52" s="2"/>
      <c r="H52" s="7">
        <v>1500</v>
      </c>
      <c r="I52" s="2"/>
      <c r="J52" s="6">
        <f t="shared" si="29"/>
        <v>2.571575518601063E-2</v>
      </c>
      <c r="K52" s="2"/>
      <c r="L52" s="7">
        <f t="shared" si="30"/>
        <v>190</v>
      </c>
      <c r="M52" s="2"/>
      <c r="N52" s="6">
        <f t="shared" si="31"/>
        <v>0.12666666666666668</v>
      </c>
      <c r="O52" s="11"/>
      <c r="P52" s="7">
        <v>2500.1999999999998</v>
      </c>
      <c r="Q52" s="2"/>
      <c r="R52" s="6">
        <f t="shared" si="32"/>
        <v>3.3160127526301174E-2</v>
      </c>
      <c r="S52" s="2"/>
      <c r="T52" s="7">
        <v>2400</v>
      </c>
      <c r="U52" s="2"/>
      <c r="V52" s="6">
        <f t="shared" si="33"/>
        <v>2.6903115156542503E-2</v>
      </c>
      <c r="W52" s="2"/>
      <c r="X52" s="7">
        <f t="shared" si="34"/>
        <v>100.19999999999982</v>
      </c>
      <c r="Y52" s="2"/>
      <c r="Z52" s="6">
        <f t="shared" si="35"/>
        <v>4.1749999999999926E-2</v>
      </c>
    </row>
    <row r="53" spans="1:26" s="26" customFormat="1" outlineLevel="1" collapsed="1" x14ac:dyDescent="0.25">
      <c r="A53" s="27"/>
      <c r="B53" s="13" t="str">
        <f>CONCATENATE("     ","Depreciation                                      ")</f>
        <v xml:space="preserve">     Depreciation                                      </v>
      </c>
      <c r="C53" s="13"/>
      <c r="D53" s="1">
        <f>SUM(OSRRefD22_5x_0)</f>
        <v>630.21</v>
      </c>
      <c r="E53" s="1"/>
      <c r="F53" s="5">
        <f t="shared" si="28"/>
        <v>1.2758377335067895E-2</v>
      </c>
      <c r="G53" s="1"/>
      <c r="H53" s="1">
        <f>SUM(OSRRefH22_5x_0)</f>
        <v>636</v>
      </c>
      <c r="I53" s="1"/>
      <c r="J53" s="5">
        <f t="shared" si="29"/>
        <v>1.0903480198868507E-2</v>
      </c>
      <c r="K53" s="1"/>
      <c r="L53" s="1">
        <f t="shared" si="30"/>
        <v>-5.7899999999999636</v>
      </c>
      <c r="M53" s="1"/>
      <c r="N53" s="5">
        <f t="shared" si="31"/>
        <v>-9.1037735849056039E-3</v>
      </c>
      <c r="O53" s="13"/>
      <c r="P53" s="1">
        <f>SUM(OSRRefP22_5x_0)</f>
        <v>1890.63</v>
      </c>
      <c r="Q53" s="1"/>
      <c r="R53" s="5">
        <f t="shared" si="32"/>
        <v>2.5075406729481959E-2</v>
      </c>
      <c r="S53" s="1"/>
      <c r="T53" s="1">
        <f>SUM(OSRRefT22_5x_0)</f>
        <v>1908</v>
      </c>
      <c r="U53" s="1"/>
      <c r="V53" s="5">
        <f t="shared" si="33"/>
        <v>2.138797654945129E-2</v>
      </c>
      <c r="W53" s="1"/>
      <c r="X53" s="1">
        <f t="shared" si="34"/>
        <v>-17.369999999999891</v>
      </c>
      <c r="Y53" s="1"/>
      <c r="Z53" s="5">
        <f t="shared" si="35"/>
        <v>-9.1037735849056039E-3</v>
      </c>
    </row>
    <row r="54" spans="1:26" s="24" customFormat="1" hidden="1" outlineLevel="2" x14ac:dyDescent="0.25">
      <c r="A54" s="25"/>
      <c r="B54" s="11" t="str">
        <f>CONCATENATE("          ", "6322", " - ", "EQUIPMENT DEPRECIATION EXPENSE")</f>
        <v xml:space="preserve">          6322 - EQUIPMENT DEPRECIATION EXPENSE</v>
      </c>
      <c r="C54" s="11"/>
      <c r="D54" s="7">
        <v>630.21</v>
      </c>
      <c r="E54" s="2"/>
      <c r="F54" s="6">
        <f t="shared" si="28"/>
        <v>1.2758377335067895E-2</v>
      </c>
      <c r="G54" s="2"/>
      <c r="H54" s="7">
        <v>636</v>
      </c>
      <c r="I54" s="2"/>
      <c r="J54" s="6">
        <f t="shared" si="29"/>
        <v>1.0903480198868507E-2</v>
      </c>
      <c r="K54" s="2"/>
      <c r="L54" s="7">
        <f t="shared" si="30"/>
        <v>-5.7899999999999636</v>
      </c>
      <c r="M54" s="2"/>
      <c r="N54" s="6">
        <f t="shared" si="31"/>
        <v>-9.1037735849056039E-3</v>
      </c>
      <c r="O54" s="11"/>
      <c r="P54" s="7">
        <v>1890.63</v>
      </c>
      <c r="Q54" s="2"/>
      <c r="R54" s="6">
        <f t="shared" si="32"/>
        <v>2.5075406729481959E-2</v>
      </c>
      <c r="S54" s="2"/>
      <c r="T54" s="7">
        <v>1908</v>
      </c>
      <c r="U54" s="2"/>
      <c r="V54" s="6">
        <f t="shared" si="33"/>
        <v>2.138797654945129E-2</v>
      </c>
      <c r="W54" s="2"/>
      <c r="X54" s="7">
        <f t="shared" si="34"/>
        <v>-17.369999999999891</v>
      </c>
      <c r="Y54" s="2"/>
      <c r="Z54" s="6">
        <f t="shared" si="35"/>
        <v>-9.1037735849056039E-3</v>
      </c>
    </row>
    <row r="55" spans="1:26" s="26" customFormat="1" outlineLevel="1" collapsed="1" x14ac:dyDescent="0.25">
      <c r="A55" s="27"/>
      <c r="B55" s="13" t="str">
        <f>CONCATENATE("     ","General                                           ")</f>
        <v xml:space="preserve">     General                                           </v>
      </c>
      <c r="C55" s="13"/>
      <c r="D55" s="1">
        <f>SUM(OSRRefD22_6x_0)</f>
        <v>0</v>
      </c>
      <c r="E55" s="1"/>
      <c r="F55" s="5">
        <f t="shared" si="28"/>
        <v>0</v>
      </c>
      <c r="G55" s="1"/>
      <c r="H55" s="1">
        <f>SUM(OSRRefH22_6x_0)</f>
        <v>0</v>
      </c>
      <c r="I55" s="1"/>
      <c r="J55" s="5">
        <f t="shared" si="29"/>
        <v>0</v>
      </c>
      <c r="K55" s="1"/>
      <c r="L55" s="1">
        <f t="shared" si="30"/>
        <v>0</v>
      </c>
      <c r="M55" s="1"/>
      <c r="N55" s="5">
        <f t="shared" si="31"/>
        <v>0</v>
      </c>
      <c r="O55" s="13"/>
      <c r="P55" s="1">
        <f>SUM(OSRRefP22_6x_0)</f>
        <v>749.55</v>
      </c>
      <c r="Q55" s="1"/>
      <c r="R55" s="5">
        <f t="shared" si="32"/>
        <v>9.9412741330049768E-3</v>
      </c>
      <c r="S55" s="1"/>
      <c r="T55" s="1">
        <f>SUM(OSRRefT22_6x_0)</f>
        <v>0</v>
      </c>
      <c r="U55" s="1"/>
      <c r="V55" s="5">
        <f t="shared" si="33"/>
        <v>0</v>
      </c>
      <c r="W55" s="1"/>
      <c r="X55" s="1">
        <f t="shared" si="34"/>
        <v>749.55</v>
      </c>
      <c r="Y55" s="1"/>
      <c r="Z55" s="5">
        <f t="shared" si="35"/>
        <v>0</v>
      </c>
    </row>
    <row r="56" spans="1:26" s="24" customFormat="1" hidden="1" outlineLevel="2" x14ac:dyDescent="0.25">
      <c r="A56" s="25"/>
      <c r="B56" s="11" t="str">
        <f>CONCATENATE("          ", "6279", " - ", "GENERAL EXPENSE")</f>
        <v xml:space="preserve">          6279 - GENERAL EXPENSE</v>
      </c>
      <c r="C56" s="11"/>
      <c r="D56" s="7"/>
      <c r="E56" s="2"/>
      <c r="F56" s="6">
        <f t="shared" si="28"/>
        <v>0</v>
      </c>
      <c r="G56" s="2"/>
      <c r="H56" s="7"/>
      <c r="I56" s="2"/>
      <c r="J56" s="6">
        <f t="shared" si="29"/>
        <v>0</v>
      </c>
      <c r="K56" s="2"/>
      <c r="L56" s="7">
        <f t="shared" si="30"/>
        <v>0</v>
      </c>
      <c r="M56" s="2"/>
      <c r="N56" s="6">
        <f t="shared" si="31"/>
        <v>0</v>
      </c>
      <c r="O56" s="11"/>
      <c r="P56" s="7">
        <v>749.55</v>
      </c>
      <c r="Q56" s="2"/>
      <c r="R56" s="6">
        <f t="shared" si="32"/>
        <v>9.9412741330049768E-3</v>
      </c>
      <c r="S56" s="2"/>
      <c r="T56" s="7"/>
      <c r="U56" s="2"/>
      <c r="V56" s="6">
        <f t="shared" si="33"/>
        <v>0</v>
      </c>
      <c r="W56" s="2"/>
      <c r="X56" s="7">
        <f t="shared" si="34"/>
        <v>749.55</v>
      </c>
      <c r="Y56" s="2"/>
      <c r="Z56" s="6">
        <f t="shared" si="35"/>
        <v>0</v>
      </c>
    </row>
    <row r="57" spans="1:26" s="26" customFormat="1" outlineLevel="1" collapsed="1" x14ac:dyDescent="0.25">
      <c r="A57" s="27"/>
      <c r="B57" s="13" t="str">
        <f>CONCATENATE("     ","Repair and Maintenance                            ")</f>
        <v xml:space="preserve">     Repair and Maintenance                            </v>
      </c>
      <c r="C57" s="13"/>
      <c r="D57" s="1">
        <f>SUM(OSRRefD22_7x_0)</f>
        <v>2614.4</v>
      </c>
      <c r="E57" s="1"/>
      <c r="F57" s="5">
        <f t="shared" si="28"/>
        <v>5.2927598268516056E-2</v>
      </c>
      <c r="G57" s="1"/>
      <c r="H57" s="1">
        <f>SUM(OSRRefH22_7x_0)</f>
        <v>0</v>
      </c>
      <c r="I57" s="1"/>
      <c r="J57" s="5">
        <f t="shared" si="29"/>
        <v>0</v>
      </c>
      <c r="K57" s="1"/>
      <c r="L57" s="1">
        <f t="shared" si="30"/>
        <v>2614.4</v>
      </c>
      <c r="M57" s="1"/>
      <c r="N57" s="5">
        <f t="shared" si="31"/>
        <v>0</v>
      </c>
      <c r="O57" s="13"/>
      <c r="P57" s="1">
        <f>SUM(OSRRefP22_7x_0)</f>
        <v>6578.84</v>
      </c>
      <c r="Q57" s="1"/>
      <c r="R57" s="5">
        <f t="shared" si="32"/>
        <v>8.7255088942937056E-2</v>
      </c>
      <c r="S57" s="1"/>
      <c r="T57" s="1">
        <f>SUM(OSRRefT22_7x_0)</f>
        <v>0</v>
      </c>
      <c r="U57" s="1"/>
      <c r="V57" s="5">
        <f t="shared" si="33"/>
        <v>0</v>
      </c>
      <c r="W57" s="1"/>
      <c r="X57" s="1">
        <f t="shared" si="34"/>
        <v>6578.84</v>
      </c>
      <c r="Y57" s="1"/>
      <c r="Z57" s="5">
        <f t="shared" si="35"/>
        <v>0</v>
      </c>
    </row>
    <row r="58" spans="1:26" s="24" customFormat="1" hidden="1" outlineLevel="2" x14ac:dyDescent="0.25">
      <c r="A58" s="25"/>
      <c r="B58" s="11" t="str">
        <f>CONCATENATE("          ", "6371", " - ", "COMPUTER SOFTWARE MAINTENANCE")</f>
        <v xml:space="preserve">          6371 - COMPUTER SOFTWARE MAINTENANCE</v>
      </c>
      <c r="C58" s="11"/>
      <c r="D58" s="7">
        <v>874.62</v>
      </c>
      <c r="E58" s="2"/>
      <c r="F58" s="6">
        <f t="shared" si="28"/>
        <v>1.7706370868118694E-2</v>
      </c>
      <c r="G58" s="2"/>
      <c r="H58" s="7"/>
      <c r="I58" s="2"/>
      <c r="J58" s="6">
        <f t="shared" si="29"/>
        <v>0</v>
      </c>
      <c r="K58" s="2"/>
      <c r="L58" s="7">
        <f t="shared" si="30"/>
        <v>874.62</v>
      </c>
      <c r="M58" s="2"/>
      <c r="N58" s="6">
        <f t="shared" si="31"/>
        <v>0</v>
      </c>
      <c r="O58" s="11"/>
      <c r="P58" s="7">
        <v>874.62</v>
      </c>
      <c r="Q58" s="2"/>
      <c r="R58" s="6">
        <f t="shared" si="32"/>
        <v>1.1600076288718316E-2</v>
      </c>
      <c r="S58" s="2"/>
      <c r="T58" s="7"/>
      <c r="U58" s="2"/>
      <c r="V58" s="6">
        <f t="shared" si="33"/>
        <v>0</v>
      </c>
      <c r="W58" s="2"/>
      <c r="X58" s="7">
        <f t="shared" si="34"/>
        <v>874.62</v>
      </c>
      <c r="Y58" s="2"/>
      <c r="Z58" s="6">
        <f t="shared" si="35"/>
        <v>0</v>
      </c>
    </row>
    <row r="59" spans="1:26" s="24" customFormat="1" hidden="1" outlineLevel="2" x14ac:dyDescent="0.25">
      <c r="A59" s="25"/>
      <c r="B59" s="11" t="str">
        <f>CONCATENATE("          ", "6375", " - ", "OUTSIDE REPAIRS &amp; MAINTENANCE")</f>
        <v xml:space="preserve">          6375 - OUTSIDE REPAIRS &amp; MAINTENANCE</v>
      </c>
      <c r="C59" s="11"/>
      <c r="D59" s="7">
        <v>1739.78</v>
      </c>
      <c r="E59" s="2"/>
      <c r="F59" s="6">
        <f t="shared" si="28"/>
        <v>3.5221227400397362E-2</v>
      </c>
      <c r="G59" s="2"/>
      <c r="H59" s="7"/>
      <c r="I59" s="2"/>
      <c r="J59" s="6">
        <f t="shared" si="29"/>
        <v>0</v>
      </c>
      <c r="K59" s="2"/>
      <c r="L59" s="7">
        <f t="shared" si="30"/>
        <v>1739.78</v>
      </c>
      <c r="M59" s="2"/>
      <c r="N59" s="6">
        <f t="shared" si="31"/>
        <v>0</v>
      </c>
      <c r="O59" s="11"/>
      <c r="P59" s="7">
        <v>5704.22</v>
      </c>
      <c r="Q59" s="2"/>
      <c r="R59" s="6">
        <f t="shared" si="32"/>
        <v>7.5655012654218742E-2</v>
      </c>
      <c r="S59" s="2"/>
      <c r="T59" s="7"/>
      <c r="U59" s="2"/>
      <c r="V59" s="6">
        <f t="shared" si="33"/>
        <v>0</v>
      </c>
      <c r="W59" s="2"/>
      <c r="X59" s="7">
        <f t="shared" si="34"/>
        <v>5704.22</v>
      </c>
      <c r="Y59" s="2"/>
      <c r="Z59" s="6">
        <f t="shared" si="35"/>
        <v>0</v>
      </c>
    </row>
    <row r="60" spans="1:26" s="26" customFormat="1" outlineLevel="1" collapsed="1" x14ac:dyDescent="0.25">
      <c r="A60" s="27"/>
      <c r="B60" s="13" t="str">
        <f>CONCATENATE("     ","Services                                          ")</f>
        <v xml:space="preserve">     Services                                          </v>
      </c>
      <c r="C60" s="13"/>
      <c r="D60" s="1">
        <f>SUM(OSRRefD22_8x_0)</f>
        <v>0</v>
      </c>
      <c r="E60" s="1"/>
      <c r="F60" s="5">
        <f t="shared" ref="F60:F67" si="36">IF(D$12=0,0,D60/D$12)</f>
        <v>0</v>
      </c>
      <c r="G60" s="1"/>
      <c r="H60" s="1">
        <f>SUM(OSRRefH22_8x_0)</f>
        <v>0</v>
      </c>
      <c r="I60" s="1"/>
      <c r="J60" s="5">
        <f t="shared" ref="J60:J67" si="37">IF(H$12=0,0,H60/H$12)</f>
        <v>0</v>
      </c>
      <c r="K60" s="1"/>
      <c r="L60" s="1">
        <f t="shared" ref="L60:L67" si="38">+D60-H60</f>
        <v>0</v>
      </c>
      <c r="M60" s="1"/>
      <c r="N60" s="5">
        <f t="shared" ref="N60:N67" si="39">IF(H60=0,0,L60/H60)</f>
        <v>0</v>
      </c>
      <c r="O60" s="13"/>
      <c r="P60" s="1">
        <f>SUM(OSRRefP22_8x_0)</f>
        <v>67.22</v>
      </c>
      <c r="Q60" s="1"/>
      <c r="R60" s="5">
        <f t="shared" ref="R60:R67" si="40">IF(P$12=0,0,P60/P$12)</f>
        <v>8.9153818587231612E-4</v>
      </c>
      <c r="S60" s="1"/>
      <c r="T60" s="1">
        <f>SUM(OSRRefT22_8x_0)</f>
        <v>90</v>
      </c>
      <c r="U60" s="1"/>
      <c r="V60" s="5">
        <f t="shared" ref="V60:V67" si="41">IF(T$12=0,0,T60/T$12)</f>
        <v>1.0088668183703439E-3</v>
      </c>
      <c r="W60" s="1"/>
      <c r="X60" s="1">
        <f t="shared" ref="X60:X67" si="42">+P60-T60</f>
        <v>-22.78</v>
      </c>
      <c r="Y60" s="1"/>
      <c r="Z60" s="5">
        <f t="shared" ref="Z60:Z67" si="43">IF(T60=0,0,X60/T60)</f>
        <v>-0.25311111111111112</v>
      </c>
    </row>
    <row r="61" spans="1:26" s="24" customFormat="1" hidden="1" outlineLevel="2" x14ac:dyDescent="0.25">
      <c r="A61" s="25"/>
      <c r="B61" s="11" t="str">
        <f>CONCATENATE("          ", "6286", " - ", "LAUNDRY EXPENSE")</f>
        <v xml:space="preserve">          6286 - LAUNDRY EXPENSE</v>
      </c>
      <c r="C61" s="11"/>
      <c r="D61" s="7"/>
      <c r="E61" s="2"/>
      <c r="F61" s="6">
        <f t="shared" si="36"/>
        <v>0</v>
      </c>
      <c r="G61" s="2"/>
      <c r="H61" s="7"/>
      <c r="I61" s="2"/>
      <c r="J61" s="6">
        <f t="shared" si="37"/>
        <v>0</v>
      </c>
      <c r="K61" s="2"/>
      <c r="L61" s="7">
        <f t="shared" si="38"/>
        <v>0</v>
      </c>
      <c r="M61" s="2"/>
      <c r="N61" s="6">
        <f t="shared" si="39"/>
        <v>0</v>
      </c>
      <c r="O61" s="11"/>
      <c r="P61" s="7">
        <v>67.22</v>
      </c>
      <c r="Q61" s="2"/>
      <c r="R61" s="6">
        <f t="shared" si="40"/>
        <v>8.9153818587231612E-4</v>
      </c>
      <c r="S61" s="2"/>
      <c r="T61" s="7">
        <v>90</v>
      </c>
      <c r="U61" s="2"/>
      <c r="V61" s="6">
        <f t="shared" si="41"/>
        <v>1.0088668183703439E-3</v>
      </c>
      <c r="W61" s="2"/>
      <c r="X61" s="7">
        <f t="shared" si="42"/>
        <v>-22.78</v>
      </c>
      <c r="Y61" s="2"/>
      <c r="Z61" s="6">
        <f t="shared" si="43"/>
        <v>-0.25311111111111112</v>
      </c>
    </row>
    <row r="62" spans="1:26" s="26" customFormat="1" outlineLevel="1" collapsed="1" x14ac:dyDescent="0.25">
      <c r="A62" s="27"/>
      <c r="B62" s="13" t="str">
        <f>CONCATENATE("     ","Supplies                                          ")</f>
        <v xml:space="preserve">     Supplies                                          </v>
      </c>
      <c r="C62" s="13"/>
      <c r="D62" s="1">
        <f>SUM(OSRRefD22_9x_0)</f>
        <v>253.85999999999999</v>
      </c>
      <c r="E62" s="1"/>
      <c r="F62" s="5">
        <f t="shared" si="36"/>
        <v>5.1393054224470186E-3</v>
      </c>
      <c r="G62" s="1"/>
      <c r="H62" s="1">
        <f>SUM(OSRRefH22_9x_0)</f>
        <v>360</v>
      </c>
      <c r="I62" s="1"/>
      <c r="J62" s="5">
        <f t="shared" si="37"/>
        <v>6.1717812446425513E-3</v>
      </c>
      <c r="K62" s="1"/>
      <c r="L62" s="1">
        <f t="shared" si="38"/>
        <v>-106.14000000000001</v>
      </c>
      <c r="M62" s="1"/>
      <c r="N62" s="5">
        <f t="shared" si="39"/>
        <v>-0.29483333333333339</v>
      </c>
      <c r="O62" s="13"/>
      <c r="P62" s="1">
        <f>SUM(OSRRefP22_9x_0)</f>
        <v>1790.03</v>
      </c>
      <c r="Q62" s="1"/>
      <c r="R62" s="5">
        <f t="shared" si="40"/>
        <v>2.3741149938366887E-2</v>
      </c>
      <c r="S62" s="1"/>
      <c r="T62" s="1">
        <f>SUM(OSRRefT22_9x_0)</f>
        <v>2180</v>
      </c>
      <c r="U62" s="1"/>
      <c r="V62" s="5">
        <f t="shared" si="41"/>
        <v>2.443699626719277E-2</v>
      </c>
      <c r="W62" s="1"/>
      <c r="X62" s="1">
        <f t="shared" si="42"/>
        <v>-389.97</v>
      </c>
      <c r="Y62" s="1"/>
      <c r="Z62" s="5">
        <f t="shared" si="43"/>
        <v>-0.17888532110091745</v>
      </c>
    </row>
    <row r="63" spans="1:26" s="24" customFormat="1" hidden="1" outlineLevel="2" x14ac:dyDescent="0.25">
      <c r="A63" s="25"/>
      <c r="B63" s="11" t="str">
        <f>CONCATENATE("          ", "6239", " - ", "KITCHEN SUPPLIES")</f>
        <v xml:space="preserve">          6239 - KITCHEN SUPPLIES</v>
      </c>
      <c r="C63" s="11"/>
      <c r="D63" s="7"/>
      <c r="E63" s="2"/>
      <c r="F63" s="6">
        <f t="shared" si="36"/>
        <v>0</v>
      </c>
      <c r="G63" s="2"/>
      <c r="H63" s="7">
        <v>20</v>
      </c>
      <c r="I63" s="2"/>
      <c r="J63" s="6">
        <f t="shared" si="37"/>
        <v>3.4287673581347508E-4</v>
      </c>
      <c r="K63" s="2"/>
      <c r="L63" s="7">
        <f t="shared" si="38"/>
        <v>-20</v>
      </c>
      <c r="M63" s="2"/>
      <c r="N63" s="6">
        <f t="shared" si="39"/>
        <v>-1</v>
      </c>
      <c r="O63" s="11"/>
      <c r="P63" s="7">
        <v>540.89</v>
      </c>
      <c r="Q63" s="2"/>
      <c r="R63" s="6">
        <f t="shared" si="40"/>
        <v>7.1738186455887693E-3</v>
      </c>
      <c r="S63" s="2"/>
      <c r="T63" s="7">
        <v>620</v>
      </c>
      <c r="U63" s="2"/>
      <c r="V63" s="6">
        <f t="shared" si="41"/>
        <v>6.9499714154401459E-3</v>
      </c>
      <c r="W63" s="2"/>
      <c r="X63" s="7">
        <f t="shared" si="42"/>
        <v>-79.110000000000014</v>
      </c>
      <c r="Y63" s="2"/>
      <c r="Z63" s="6">
        <f t="shared" si="43"/>
        <v>-0.1275967741935484</v>
      </c>
    </row>
    <row r="64" spans="1:26" s="24" customFormat="1" hidden="1" outlineLevel="2" x14ac:dyDescent="0.25">
      <c r="A64" s="25"/>
      <c r="B64" s="11" t="str">
        <f>CONCATENATE("          ", "6241", " - ", "OFFICE EXPENSE")</f>
        <v xml:space="preserve">          6241 - OFFICE EXPENSE</v>
      </c>
      <c r="C64" s="11"/>
      <c r="D64" s="7">
        <v>76.599999999999994</v>
      </c>
      <c r="E64" s="2"/>
      <c r="F64" s="6">
        <f t="shared" si="36"/>
        <v>1.5507397595503098E-3</v>
      </c>
      <c r="G64" s="2"/>
      <c r="H64" s="7">
        <v>20</v>
      </c>
      <c r="I64" s="2"/>
      <c r="J64" s="6">
        <f t="shared" si="37"/>
        <v>3.4287673581347508E-4</v>
      </c>
      <c r="K64" s="2"/>
      <c r="L64" s="7">
        <f t="shared" si="38"/>
        <v>56.599999999999994</v>
      </c>
      <c r="M64" s="2"/>
      <c r="N64" s="6">
        <f t="shared" si="39"/>
        <v>2.8299999999999996</v>
      </c>
      <c r="O64" s="11"/>
      <c r="P64" s="7">
        <v>182.38</v>
      </c>
      <c r="Q64" s="2"/>
      <c r="R64" s="6">
        <f t="shared" si="40"/>
        <v>2.4189041109698457E-3</v>
      </c>
      <c r="S64" s="2"/>
      <c r="T64" s="7">
        <v>20</v>
      </c>
      <c r="U64" s="2"/>
      <c r="V64" s="6">
        <f t="shared" si="41"/>
        <v>2.2419262630452084E-4</v>
      </c>
      <c r="W64" s="2"/>
      <c r="X64" s="7">
        <f t="shared" si="42"/>
        <v>162.38</v>
      </c>
      <c r="Y64" s="2"/>
      <c r="Z64" s="6">
        <f t="shared" si="43"/>
        <v>8.1189999999999998</v>
      </c>
    </row>
    <row r="65" spans="1:26" s="24" customFormat="1" hidden="1" outlineLevel="2" x14ac:dyDescent="0.25">
      <c r="A65" s="25"/>
      <c r="B65" s="11" t="str">
        <f>CONCATENATE("          ", "6243", " - ", "PAPER SUPPLIES")</f>
        <v xml:space="preserve">          6243 - PAPER SUPPLIES</v>
      </c>
      <c r="C65" s="11"/>
      <c r="D65" s="7">
        <v>177.26</v>
      </c>
      <c r="E65" s="2"/>
      <c r="F65" s="6">
        <f t="shared" si="36"/>
        <v>3.588565662896709E-3</v>
      </c>
      <c r="G65" s="2"/>
      <c r="H65" s="7">
        <v>320</v>
      </c>
      <c r="I65" s="2"/>
      <c r="J65" s="6">
        <f t="shared" si="37"/>
        <v>5.4860277730156013E-3</v>
      </c>
      <c r="K65" s="2"/>
      <c r="L65" s="7">
        <f t="shared" si="38"/>
        <v>-142.74</v>
      </c>
      <c r="M65" s="2"/>
      <c r="N65" s="6">
        <f t="shared" si="39"/>
        <v>-0.44606250000000003</v>
      </c>
      <c r="O65" s="11"/>
      <c r="P65" s="7">
        <v>371.52</v>
      </c>
      <c r="Q65" s="2"/>
      <c r="R65" s="6">
        <f t="shared" si="40"/>
        <v>4.927466034145833E-3</v>
      </c>
      <c r="S65" s="2"/>
      <c r="T65" s="7">
        <v>640</v>
      </c>
      <c r="U65" s="2"/>
      <c r="V65" s="6">
        <f t="shared" si="41"/>
        <v>7.174164041744667E-3</v>
      </c>
      <c r="W65" s="2"/>
      <c r="X65" s="7">
        <f t="shared" si="42"/>
        <v>-268.48</v>
      </c>
      <c r="Y65" s="2"/>
      <c r="Z65" s="6">
        <f t="shared" si="43"/>
        <v>-0.41950000000000004</v>
      </c>
    </row>
    <row r="66" spans="1:26" s="24" customFormat="1" hidden="1" outlineLevel="2" x14ac:dyDescent="0.25">
      <c r="A66" s="25"/>
      <c r="B66" s="11" t="str">
        <f>CONCATENATE("          ", "6247", " - ", "STORE SUPPLIES")</f>
        <v xml:space="preserve">          6247 - STORE SUPPLIES</v>
      </c>
      <c r="C66" s="11"/>
      <c r="D66" s="7"/>
      <c r="E66" s="2"/>
      <c r="F66" s="6">
        <f t="shared" si="36"/>
        <v>0</v>
      </c>
      <c r="G66" s="2"/>
      <c r="H66" s="7"/>
      <c r="I66" s="2"/>
      <c r="J66" s="6">
        <f t="shared" si="37"/>
        <v>0</v>
      </c>
      <c r="K66" s="2"/>
      <c r="L66" s="7">
        <f t="shared" si="38"/>
        <v>0</v>
      </c>
      <c r="M66" s="2"/>
      <c r="N66" s="6">
        <f t="shared" si="39"/>
        <v>0</v>
      </c>
      <c r="O66" s="11"/>
      <c r="P66" s="7"/>
      <c r="Q66" s="2"/>
      <c r="R66" s="6">
        <f t="shared" si="40"/>
        <v>0</v>
      </c>
      <c r="S66" s="2"/>
      <c r="T66" s="7">
        <v>900</v>
      </c>
      <c r="U66" s="2"/>
      <c r="V66" s="6">
        <f t="shared" si="41"/>
        <v>1.0088668183703438E-2</v>
      </c>
      <c r="W66" s="2"/>
      <c r="X66" s="7">
        <f t="shared" si="42"/>
        <v>-900</v>
      </c>
      <c r="Y66" s="2"/>
      <c r="Z66" s="6">
        <f t="shared" si="43"/>
        <v>-1</v>
      </c>
    </row>
    <row r="67" spans="1:26" s="24" customFormat="1" hidden="1" outlineLevel="2" x14ac:dyDescent="0.25">
      <c r="A67" s="25"/>
      <c r="B67" s="11" t="str">
        <f>CONCATENATE("          ", "6248", " - ", "UNIFORMS")</f>
        <v xml:space="preserve">          6248 - UNIFORMS</v>
      </c>
      <c r="C67" s="11"/>
      <c r="D67" s="7"/>
      <c r="E67" s="2"/>
      <c r="F67" s="6">
        <f t="shared" si="36"/>
        <v>0</v>
      </c>
      <c r="G67" s="2"/>
      <c r="H67" s="7"/>
      <c r="I67" s="2"/>
      <c r="J67" s="6">
        <f t="shared" si="37"/>
        <v>0</v>
      </c>
      <c r="K67" s="2"/>
      <c r="L67" s="7">
        <f t="shared" si="38"/>
        <v>0</v>
      </c>
      <c r="M67" s="2"/>
      <c r="N67" s="6">
        <f t="shared" si="39"/>
        <v>0</v>
      </c>
      <c r="O67" s="11"/>
      <c r="P67" s="7">
        <v>695.24</v>
      </c>
      <c r="Q67" s="2"/>
      <c r="R67" s="6">
        <f t="shared" si="40"/>
        <v>9.2209611476624376E-3</v>
      </c>
      <c r="S67" s="2"/>
      <c r="T67" s="7"/>
      <c r="U67" s="2"/>
      <c r="V67" s="6">
        <f t="shared" si="41"/>
        <v>0</v>
      </c>
      <c r="W67" s="2"/>
      <c r="X67" s="7">
        <f t="shared" si="42"/>
        <v>695.24</v>
      </c>
      <c r="Y67" s="2"/>
      <c r="Z67" s="6">
        <f t="shared" si="43"/>
        <v>0</v>
      </c>
    </row>
    <row r="68" spans="1:26" s="26" customFormat="1" outlineLevel="1" collapsed="1" x14ac:dyDescent="0.25">
      <c r="A68" s="27"/>
      <c r="B68" s="13" t="str">
        <f>CONCATENATE("     ","Telephone/Data Lines                              ")</f>
        <v xml:space="preserve">     Telephone/Data Lines                              </v>
      </c>
      <c r="C68" s="13"/>
      <c r="D68" s="1">
        <f>SUM(OSRRefD22_10x_0)</f>
        <v>145</v>
      </c>
      <c r="E68" s="1"/>
      <c r="F68" s="5">
        <f t="shared" ref="F68:F70" si="44">IF(D$12=0,0,D68/D$12)</f>
        <v>2.9354734351800904E-3</v>
      </c>
      <c r="G68" s="1"/>
      <c r="H68" s="1">
        <f>SUM(OSRRefH22_10x_0)</f>
        <v>95</v>
      </c>
      <c r="I68" s="1"/>
      <c r="J68" s="5">
        <f t="shared" ref="J68:J70" si="45">IF(H$12=0,0,H68/H$12)</f>
        <v>1.6286644951140066E-3</v>
      </c>
      <c r="K68" s="1"/>
      <c r="L68" s="1">
        <f t="shared" ref="L68:L70" si="46">+D68-H68</f>
        <v>50</v>
      </c>
      <c r="M68" s="1"/>
      <c r="N68" s="5">
        <f t="shared" ref="N68:N70" si="47">IF(H68=0,0,L68/H68)</f>
        <v>0.52631578947368418</v>
      </c>
      <c r="O68" s="13"/>
      <c r="P68" s="1">
        <f>SUM(OSRRefP22_10x_0)</f>
        <v>213</v>
      </c>
      <c r="Q68" s="1"/>
      <c r="R68" s="5">
        <f t="shared" ref="R68:R70" si="48">IF(P$12=0,0,P68/P$12)</f>
        <v>2.8250168638917486E-3</v>
      </c>
      <c r="S68" s="1"/>
      <c r="T68" s="1">
        <f>SUM(OSRRefT22_10x_0)</f>
        <v>285</v>
      </c>
      <c r="U68" s="1"/>
      <c r="V68" s="5">
        <f t="shared" ref="V68:V70" si="49">IF(T$12=0,0,T68/T$12)</f>
        <v>3.1947449248394219E-3</v>
      </c>
      <c r="W68" s="1"/>
      <c r="X68" s="1">
        <f t="shared" ref="X68:X70" si="50">+P68-T68</f>
        <v>-72</v>
      </c>
      <c r="Y68" s="1"/>
      <c r="Z68" s="5">
        <f t="shared" ref="Z68:Z70" si="51">IF(T68=0,0,X68/T68)</f>
        <v>-0.25263157894736843</v>
      </c>
    </row>
    <row r="69" spans="1:26" s="24" customFormat="1" hidden="1" outlineLevel="2" x14ac:dyDescent="0.25">
      <c r="A69" s="25"/>
      <c r="B69" s="11" t="str">
        <f>CONCATENATE("          ", "6303", " - ", "DATA PHONE LINES")</f>
        <v xml:space="preserve">          6303 - DATA PHONE LINES</v>
      </c>
      <c r="C69" s="11"/>
      <c r="D69" s="7"/>
      <c r="E69" s="2"/>
      <c r="F69" s="6">
        <f t="shared" si="44"/>
        <v>0</v>
      </c>
      <c r="G69" s="2"/>
      <c r="H69" s="7">
        <v>50</v>
      </c>
      <c r="I69" s="2"/>
      <c r="J69" s="6">
        <f t="shared" si="45"/>
        <v>8.5719183953368767E-4</v>
      </c>
      <c r="K69" s="2"/>
      <c r="L69" s="7">
        <f t="shared" si="46"/>
        <v>-50</v>
      </c>
      <c r="M69" s="2"/>
      <c r="N69" s="6">
        <f t="shared" si="47"/>
        <v>-1</v>
      </c>
      <c r="O69" s="11"/>
      <c r="P69" s="7"/>
      <c r="Q69" s="2"/>
      <c r="R69" s="6">
        <f t="shared" si="48"/>
        <v>0</v>
      </c>
      <c r="S69" s="2"/>
      <c r="T69" s="7">
        <v>150</v>
      </c>
      <c r="U69" s="2"/>
      <c r="V69" s="6">
        <f t="shared" si="49"/>
        <v>1.6814446972839064E-3</v>
      </c>
      <c r="W69" s="2"/>
      <c r="X69" s="7">
        <f t="shared" si="50"/>
        <v>-150</v>
      </c>
      <c r="Y69" s="2"/>
      <c r="Z69" s="6">
        <f t="shared" si="51"/>
        <v>-1</v>
      </c>
    </row>
    <row r="70" spans="1:26" s="24" customFormat="1" hidden="1" outlineLevel="2" x14ac:dyDescent="0.25">
      <c r="A70" s="25"/>
      <c r="B70" s="11" t="str">
        <f>CONCATENATE("          ", "6309", " - ", "TELEPHONE")</f>
        <v xml:space="preserve">          6309 - TELEPHONE</v>
      </c>
      <c r="C70" s="11"/>
      <c r="D70" s="7">
        <v>145</v>
      </c>
      <c r="E70" s="2"/>
      <c r="F70" s="6">
        <f t="shared" si="44"/>
        <v>2.9354734351800904E-3</v>
      </c>
      <c r="G70" s="2"/>
      <c r="H70" s="7">
        <v>45</v>
      </c>
      <c r="I70" s="2"/>
      <c r="J70" s="6">
        <f t="shared" si="45"/>
        <v>7.7147265558031892E-4</v>
      </c>
      <c r="K70" s="2"/>
      <c r="L70" s="7">
        <f t="shared" si="46"/>
        <v>100</v>
      </c>
      <c r="M70" s="2"/>
      <c r="N70" s="6">
        <f t="shared" si="47"/>
        <v>2.2222222222222223</v>
      </c>
      <c r="O70" s="11"/>
      <c r="P70" s="7">
        <v>213</v>
      </c>
      <c r="Q70" s="2"/>
      <c r="R70" s="6">
        <f t="shared" si="48"/>
        <v>2.8250168638917486E-3</v>
      </c>
      <c r="S70" s="2"/>
      <c r="T70" s="7">
        <v>135</v>
      </c>
      <c r="U70" s="2"/>
      <c r="V70" s="6">
        <f t="shared" si="49"/>
        <v>1.5133002275555156E-3</v>
      </c>
      <c r="W70" s="2"/>
      <c r="X70" s="7">
        <f t="shared" si="50"/>
        <v>78</v>
      </c>
      <c r="Y70" s="2"/>
      <c r="Z70" s="6">
        <f t="shared" si="51"/>
        <v>0.57777777777777772</v>
      </c>
    </row>
    <row r="71" spans="1:26" s="26" customFormat="1" outlineLevel="1" collapsed="1" x14ac:dyDescent="0.25">
      <c r="A71" s="27"/>
      <c r="B71" s="13" t="str">
        <f>CONCATENATE("     ","Training                                          ")</f>
        <v xml:space="preserve">     Training                                          </v>
      </c>
      <c r="C71" s="13"/>
      <c r="D71" s="1">
        <f>SUM(OSRRefD22_11x_0)</f>
        <v>0</v>
      </c>
      <c r="E71" s="1"/>
      <c r="F71" s="5">
        <f t="shared" ref="F71:F72" si="52">IF(D$12=0,0,D71/D$12)</f>
        <v>0</v>
      </c>
      <c r="G71" s="1"/>
      <c r="H71" s="1">
        <f>SUM(OSRRefH22_11x_0)</f>
        <v>0</v>
      </c>
      <c r="I71" s="1"/>
      <c r="J71" s="5">
        <f t="shared" ref="J71:J72" si="53">IF(H$12=0,0,H71/H$12)</f>
        <v>0</v>
      </c>
      <c r="K71" s="1"/>
      <c r="L71" s="1">
        <f t="shared" ref="L71:L72" si="54">+D71-H71</f>
        <v>0</v>
      </c>
      <c r="M71" s="1"/>
      <c r="N71" s="5">
        <f t="shared" ref="N71:N72" si="55">IF(H71=0,0,L71/H71)</f>
        <v>0</v>
      </c>
      <c r="O71" s="13"/>
      <c r="P71" s="1">
        <f>SUM(OSRRefP22_11x_0)</f>
        <v>0</v>
      </c>
      <c r="Q71" s="1"/>
      <c r="R71" s="5">
        <f t="shared" ref="R71:R72" si="56">IF(P$12=0,0,P71/P$12)</f>
        <v>0</v>
      </c>
      <c r="S71" s="1"/>
      <c r="T71" s="1">
        <f>SUM(OSRRefT22_11x_0)</f>
        <v>300</v>
      </c>
      <c r="U71" s="1"/>
      <c r="V71" s="5">
        <f t="shared" ref="V71:V72" si="57">IF(T$12=0,0,T71/T$12)</f>
        <v>3.3628893945678129E-3</v>
      </c>
      <c r="W71" s="1"/>
      <c r="X71" s="1">
        <f t="shared" ref="X71:X72" si="58">+P71-T71</f>
        <v>-300</v>
      </c>
      <c r="Y71" s="1"/>
      <c r="Z71" s="5">
        <f t="shared" ref="Z71:Z72" si="59">IF(T71=0,0,X71/T71)</f>
        <v>-1</v>
      </c>
    </row>
    <row r="72" spans="1:26" s="24" customFormat="1" hidden="1" outlineLevel="2" x14ac:dyDescent="0.25">
      <c r="A72" s="25"/>
      <c r="B72" s="11" t="str">
        <f>CONCATENATE("          ", "6376", " - ", "TRAINING")</f>
        <v xml:space="preserve">          6376 - TRAINING</v>
      </c>
      <c r="C72" s="11"/>
      <c r="D72" s="7"/>
      <c r="E72" s="2"/>
      <c r="F72" s="6">
        <f t="shared" si="52"/>
        <v>0</v>
      </c>
      <c r="G72" s="2"/>
      <c r="H72" s="7"/>
      <c r="I72" s="2"/>
      <c r="J72" s="6">
        <f t="shared" si="53"/>
        <v>0</v>
      </c>
      <c r="K72" s="2"/>
      <c r="L72" s="7">
        <f t="shared" si="54"/>
        <v>0</v>
      </c>
      <c r="M72" s="2"/>
      <c r="N72" s="6">
        <f t="shared" si="55"/>
        <v>0</v>
      </c>
      <c r="O72" s="11"/>
      <c r="P72" s="7"/>
      <c r="Q72" s="2"/>
      <c r="R72" s="6">
        <f t="shared" si="56"/>
        <v>0</v>
      </c>
      <c r="S72" s="2"/>
      <c r="T72" s="7">
        <v>300</v>
      </c>
      <c r="U72" s="2"/>
      <c r="V72" s="6">
        <f t="shared" si="57"/>
        <v>3.3628893945678129E-3</v>
      </c>
      <c r="W72" s="2"/>
      <c r="X72" s="7">
        <f t="shared" si="58"/>
        <v>-300</v>
      </c>
      <c r="Y72" s="2"/>
      <c r="Z72" s="6">
        <f t="shared" si="59"/>
        <v>-1</v>
      </c>
    </row>
    <row r="73" spans="1:26" s="63" customFormat="1" x14ac:dyDescent="0.25">
      <c r="A73" s="36"/>
      <c r="B73" s="36"/>
      <c r="C73" s="36"/>
      <c r="D73" s="1"/>
      <c r="E73" s="1"/>
      <c r="F73" s="5"/>
      <c r="G73" s="1"/>
      <c r="H73" s="1"/>
      <c r="I73" s="1"/>
      <c r="J73" s="5"/>
      <c r="K73" s="1"/>
      <c r="L73" s="1"/>
      <c r="M73" s="1"/>
      <c r="N73" s="5"/>
      <c r="O73" s="36"/>
      <c r="P73" s="1"/>
      <c r="Q73" s="1"/>
      <c r="R73" s="5"/>
      <c r="S73" s="1"/>
      <c r="T73" s="1"/>
      <c r="U73" s="1"/>
      <c r="V73" s="5"/>
      <c r="W73" s="1"/>
      <c r="X73" s="1"/>
      <c r="Y73" s="1"/>
      <c r="Z73" s="5"/>
    </row>
    <row r="74" spans="1:26" s="23" customFormat="1" collapsed="1" x14ac:dyDescent="0.25">
      <c r="A74" s="10"/>
      <c r="B74" s="28" t="s">
        <v>0</v>
      </c>
      <c r="C74" s="10"/>
      <c r="D74" s="4">
        <f>SUM(OSRRefD25x_0)</f>
        <v>104</v>
      </c>
      <c r="E74" s="4"/>
      <c r="F74" s="12">
        <f t="shared" ref="F74:F75" si="60">IF(D$12=0,0,D74/D$12)</f>
        <v>2.1054430155774441E-3</v>
      </c>
      <c r="G74" s="4"/>
      <c r="H74" s="4">
        <f>SUM(OSRRefH25x_0)</f>
        <v>0</v>
      </c>
      <c r="I74" s="4"/>
      <c r="J74" s="12">
        <f t="shared" ref="J74:J75" si="61">IF(H$12=0,0,H74/H$12)</f>
        <v>0</v>
      </c>
      <c r="K74" s="4"/>
      <c r="L74" s="4">
        <f t="shared" ref="L74:L75" si="62">+D74-H74</f>
        <v>104</v>
      </c>
      <c r="M74" s="4"/>
      <c r="N74" s="12">
        <f t="shared" ref="N74:N75" si="63">IF(H74=0,0,L74/H74)</f>
        <v>0</v>
      </c>
      <c r="O74" s="10"/>
      <c r="P74" s="4">
        <f>SUM(OSRRefP25x_0)</f>
        <v>136</v>
      </c>
      <c r="Q74" s="4"/>
      <c r="R74" s="12">
        <f t="shared" ref="R74:R75" si="64">IF(P$12=0,0,P74/P$12)</f>
        <v>1.8037666360998959E-3</v>
      </c>
      <c r="S74" s="4"/>
      <c r="T74" s="4">
        <f>SUM(OSRRefT25x_0)</f>
        <v>0</v>
      </c>
      <c r="U74" s="4"/>
      <c r="V74" s="12">
        <f t="shared" ref="V74:V75" si="65">IF(T$12=0,0,T74/T$12)</f>
        <v>0</v>
      </c>
      <c r="W74" s="4"/>
      <c r="X74" s="4">
        <f t="shared" ref="X74:X75" si="66">+P74-T74</f>
        <v>136</v>
      </c>
      <c r="Y74" s="4"/>
      <c r="Z74" s="12">
        <f t="shared" ref="Z74:Z75" si="67">IF(T74=0,0,X74/T74)</f>
        <v>0</v>
      </c>
    </row>
    <row r="75" spans="1:26" s="24" customFormat="1" hidden="1" outlineLevel="1" x14ac:dyDescent="0.25">
      <c r="A75" s="46"/>
      <c r="B75" s="11" t="str">
        <f>CONCATENATE("          ", "9150", " - ", "MISC. INCOME")</f>
        <v xml:space="preserve">          9150 - MISC. INCOME</v>
      </c>
      <c r="C75" s="11"/>
      <c r="D75" s="2">
        <f>--104</f>
        <v>104</v>
      </c>
      <c r="E75" s="2"/>
      <c r="F75" s="19">
        <f t="shared" si="60"/>
        <v>2.1054430155774441E-3</v>
      </c>
      <c r="G75" s="2"/>
      <c r="H75" s="2"/>
      <c r="I75" s="2"/>
      <c r="J75" s="19">
        <f t="shared" si="61"/>
        <v>0</v>
      </c>
      <c r="K75" s="2"/>
      <c r="L75" s="2">
        <f t="shared" si="62"/>
        <v>104</v>
      </c>
      <c r="M75" s="2"/>
      <c r="N75" s="19">
        <f t="shared" si="63"/>
        <v>0</v>
      </c>
      <c r="O75" s="11"/>
      <c r="P75" s="2">
        <f>--136</f>
        <v>136</v>
      </c>
      <c r="Q75" s="2"/>
      <c r="R75" s="19">
        <f t="shared" si="64"/>
        <v>1.8037666360998959E-3</v>
      </c>
      <c r="S75" s="2"/>
      <c r="T75" s="2"/>
      <c r="U75" s="2"/>
      <c r="V75" s="19">
        <f t="shared" si="65"/>
        <v>0</v>
      </c>
      <c r="W75" s="2"/>
      <c r="X75" s="2">
        <f t="shared" si="66"/>
        <v>136</v>
      </c>
      <c r="Y75" s="2"/>
      <c r="Z75" s="19">
        <f t="shared" si="67"/>
        <v>0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10"/>
      <c r="B77" s="29" t="s">
        <v>3</v>
      </c>
      <c r="C77" s="29"/>
      <c r="D77" s="22">
        <f>+D23-D25+D74</f>
        <v>12470.690000000002</v>
      </c>
      <c r="E77" s="14"/>
      <c r="F77" s="20">
        <f>IF(D$12=0,0,D77/D$12)</f>
        <v>0.25246468423011043</v>
      </c>
      <c r="G77" s="14"/>
      <c r="H77" s="22">
        <f>+H23-H25+H74</f>
        <v>21540.394088299996</v>
      </c>
      <c r="I77" s="14"/>
      <c r="J77" s="20">
        <f>IF(H$12=0,0,H77/H$12)</f>
        <v>0.36928500065660885</v>
      </c>
      <c r="K77" s="15"/>
      <c r="L77" s="22">
        <f>+D77-H77</f>
        <v>-9069.7040882999936</v>
      </c>
      <c r="M77" s="15"/>
      <c r="N77" s="20">
        <f>IF(H77=0,0,L77/H77)</f>
        <v>-0.4210556246613123</v>
      </c>
      <c r="O77" s="28"/>
      <c r="P77" s="22">
        <f>+P23-P25+P74</f>
        <v>-6325.3299999999872</v>
      </c>
      <c r="Q77" s="14"/>
      <c r="R77" s="20">
        <f>IF(P$12=0,0,P77/P$12)</f>
        <v>-8.3892788355306849E-2</v>
      </c>
      <c r="S77" s="14"/>
      <c r="T77" s="22">
        <f>+T23-T25+T74</f>
        <v>12566.612701974998</v>
      </c>
      <c r="U77" s="14"/>
      <c r="V77" s="20">
        <f>IF(T$12=0,0,T77/T$12)</f>
        <v>0.1408670952703763</v>
      </c>
      <c r="W77" s="15"/>
      <c r="X77" s="22">
        <f>+P77-T77</f>
        <v>-18891.942701974986</v>
      </c>
      <c r="Y77" s="15"/>
      <c r="Z77" s="20">
        <f>IF(T77=0,0,X77/T77)</f>
        <v>-1.5033440713109494</v>
      </c>
    </row>
    <row r="78" spans="1:26" x14ac:dyDescent="0.25">
      <c r="A78" s="9"/>
      <c r="B78" s="10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52"/>
      <c r="B79" s="10" t="s">
        <v>14</v>
      </c>
      <c r="C79" s="10"/>
      <c r="D79" s="4">
        <v>4856.74</v>
      </c>
      <c r="E79" s="4"/>
      <c r="F79" s="12">
        <f>IF(D$12=0,0,D79/D$12)</f>
        <v>9.8322974148803796E-2</v>
      </c>
      <c r="G79" s="4"/>
      <c r="H79" s="4">
        <v>6269</v>
      </c>
      <c r="I79" s="4"/>
      <c r="J79" s="12">
        <f>IF(H$12=0,0,H79/H$12)</f>
        <v>0.10747471284073376</v>
      </c>
      <c r="K79" s="4"/>
      <c r="L79" s="4">
        <f>+D79-H79</f>
        <v>-1412.2600000000002</v>
      </c>
      <c r="M79" s="4"/>
      <c r="N79" s="12">
        <f>IF(H79=0,0,L79/H79)</f>
        <v>-0.22527675865369282</v>
      </c>
      <c r="O79" s="10"/>
      <c r="P79" s="4">
        <v>8098.72</v>
      </c>
      <c r="Q79" s="4"/>
      <c r="R79" s="12">
        <f>IF(P$12=0,0,P79/P$12)</f>
        <v>0.10741324214055109</v>
      </c>
      <c r="S79" s="4"/>
      <c r="T79" s="4">
        <v>11284</v>
      </c>
      <c r="U79" s="4"/>
      <c r="V79" s="12">
        <f>IF(T$12=0,0,T79/T$12)</f>
        <v>0.12648947976101066</v>
      </c>
      <c r="W79" s="4"/>
      <c r="X79" s="4">
        <f>+P79-T79</f>
        <v>-3185.2799999999997</v>
      </c>
      <c r="Y79" s="4"/>
      <c r="Z79" s="12">
        <f>IF(T79=0,0,X79/T79)</f>
        <v>-0.28228287841191063</v>
      </c>
    </row>
    <row r="80" spans="1:26" x14ac:dyDescent="0.25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9" t="s">
        <v>4</v>
      </c>
      <c r="C81" s="29"/>
      <c r="D81" s="35">
        <f>+D77-D79</f>
        <v>7613.9500000000025</v>
      </c>
      <c r="E81" s="14"/>
      <c r="F81" s="32">
        <f>IF(D$12=0,0,D81/D$12)</f>
        <v>0.15414171008130659</v>
      </c>
      <c r="G81" s="14"/>
      <c r="H81" s="35">
        <f>+H77-H79</f>
        <v>15271.394088299996</v>
      </c>
      <c r="I81" s="14"/>
      <c r="J81" s="32">
        <f>IF(H$12=0,0,H81/H$12)</f>
        <v>0.26181028781587512</v>
      </c>
      <c r="K81" s="15"/>
      <c r="L81" s="35">
        <f>D81-H81</f>
        <v>-7657.4440882999934</v>
      </c>
      <c r="M81" s="15"/>
      <c r="N81" s="32">
        <f>IF(H81=0,0,L81/H81)</f>
        <v>-0.50142403791194523</v>
      </c>
      <c r="O81" s="28"/>
      <c r="P81" s="35">
        <f>+P77-P79</f>
        <v>-14424.049999999988</v>
      </c>
      <c r="Q81" s="14"/>
      <c r="R81" s="32">
        <f>IF(P$12=0,0,P81/P$12)</f>
        <v>-0.19130603049585795</v>
      </c>
      <c r="S81" s="14"/>
      <c r="T81" s="35">
        <f>+T77-T79</f>
        <v>1282.6127019749983</v>
      </c>
      <c r="U81" s="14"/>
      <c r="V81" s="32">
        <f>IF(T$12=0,0,T81/T$12)</f>
        <v>1.4377615509365628E-2</v>
      </c>
      <c r="W81" s="15"/>
      <c r="X81" s="35">
        <f>P81-T81</f>
        <v>-15706.662701974987</v>
      </c>
      <c r="Y81" s="15"/>
      <c r="Z81" s="32">
        <f>IF(T81=0,0,X81/T81)</f>
        <v>-12.24583436433265</v>
      </c>
    </row>
    <row r="82" spans="1:26" ht="15.75" thickTop="1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9" t="s">
        <v>5</v>
      </c>
      <c r="C84" s="29"/>
      <c r="D84" s="30">
        <f>SUM(D81:D83)</f>
        <v>7613.9500000000025</v>
      </c>
      <c r="E84" s="14"/>
      <c r="F84" s="31">
        <f>IF(D$12=0,0,D84/D$12)</f>
        <v>0.15414171008130659</v>
      </c>
      <c r="G84" s="14"/>
      <c r="H84" s="30">
        <f>SUM(H81:H83)</f>
        <v>15271.394088299996</v>
      </c>
      <c r="I84" s="14"/>
      <c r="J84" s="31">
        <f>IF(H$12=0,0,H84/H$12)</f>
        <v>0.26181028781587512</v>
      </c>
      <c r="K84" s="15"/>
      <c r="L84" s="30">
        <f>+D84-H84</f>
        <v>-7657.4440882999934</v>
      </c>
      <c r="M84" s="15"/>
      <c r="N84" s="31">
        <f>IF(H84=0,0,L84/H84)</f>
        <v>-0.50142403791194523</v>
      </c>
      <c r="O84" s="28"/>
      <c r="P84" s="30">
        <f>SUM(P81:P83)</f>
        <v>-14424.049999999988</v>
      </c>
      <c r="Q84" s="14"/>
      <c r="R84" s="31">
        <f>IF(P$12=0,0,P84/P$12)</f>
        <v>-0.19130603049585795</v>
      </c>
      <c r="S84" s="14"/>
      <c r="T84" s="30">
        <f>SUM(T81:T83)</f>
        <v>1282.6127019749983</v>
      </c>
      <c r="U84" s="14"/>
      <c r="V84" s="31">
        <f>IF(T$12=0,0,T84/T$12)</f>
        <v>1.4377615509365628E-2</v>
      </c>
      <c r="W84" s="15"/>
      <c r="X84" s="30">
        <f>+P84-T84</f>
        <v>-15706.662701974987</v>
      </c>
      <c r="Y84" s="15"/>
      <c r="Z84" s="31">
        <f>IF(T84=0,0,X84/T84)</f>
        <v>-12.24583436433265</v>
      </c>
    </row>
    <row r="85" spans="1:26" ht="15.75" thickTop="1" x14ac:dyDescent="0.25">
      <c r="A85" s="9"/>
      <c r="C85" s="9"/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  <row r="86" spans="1:26" x14ac:dyDescent="0.25">
      <c r="A86" s="9"/>
      <c r="B86" s="53">
        <v>43756.452647881946</v>
      </c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25">
      <c r="A87" s="9"/>
      <c r="B87" s="55" t="s">
        <v>314</v>
      </c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25">
      <c r="A88" s="9"/>
      <c r="B88" s="56"/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25"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</sheetData>
  <pageMargins left="0.25" right="0.25" top="0.75" bottom="0.75" header="0.3" footer="0.3"/>
  <pageSetup scale="55" fitToWidth="2" orientation="landscape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str">
        <f>CONCATENATE("Period ",RIGHT(202003,2),", ",2020)</f>
        <v>Period 03, 2020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43736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tr">
        <f>CONCATENATE("Department ","414", " - ", "Starbucks UDP")</f>
        <v>Department 414 - Starbucks UDP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96329.48</v>
      </c>
      <c r="E12" s="4"/>
      <c r="F12" s="12"/>
      <c r="G12" s="4"/>
      <c r="H12" s="4">
        <f>SUM(OSRRefH13x_0)</f>
        <v>103800</v>
      </c>
      <c r="I12" s="4"/>
      <c r="J12" s="12"/>
      <c r="K12" s="4"/>
      <c r="L12" s="4">
        <f t="shared" ref="L12:L16" si="0">+D12-H12</f>
        <v>-7470.5200000000041</v>
      </c>
      <c r="M12" s="4"/>
      <c r="N12" s="12">
        <f t="shared" ref="N12:N16" si="1">IF(H12=0,0,L12/H12)</f>
        <v>-7.1970327552986546E-2</v>
      </c>
      <c r="O12" s="10"/>
      <c r="P12" s="4">
        <f>SUM(OSRRefP13x_0)</f>
        <v>154537.53</v>
      </c>
      <c r="Q12" s="4"/>
      <c r="R12" s="12"/>
      <c r="S12" s="4"/>
      <c r="T12" s="4">
        <f>SUM(OSRRefT13x_0)</f>
        <v>189800</v>
      </c>
      <c r="U12" s="4"/>
      <c r="V12" s="12"/>
      <c r="W12" s="4"/>
      <c r="X12" s="4">
        <f t="shared" ref="X12:X16" si="2">+P12-T12</f>
        <v>-35262.47</v>
      </c>
      <c r="Y12" s="4"/>
      <c r="Z12" s="12">
        <f t="shared" ref="Z12:Z16" si="3">IF(T12=0,0,X12/T12)</f>
        <v>-0.18578751317175976</v>
      </c>
    </row>
    <row r="13" spans="1:26" s="24" customFormat="1" hidden="1" outlineLevel="1" x14ac:dyDescent="0.25">
      <c r="A13" s="46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28800</v>
      </c>
      <c r="I13" s="2"/>
      <c r="J13" s="19"/>
      <c r="K13" s="2"/>
      <c r="L13" s="2">
        <f t="shared" si="0"/>
        <v>-28800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63200</v>
      </c>
      <c r="U13" s="2"/>
      <c r="V13" s="19"/>
      <c r="W13" s="2"/>
      <c r="X13" s="2">
        <f t="shared" si="2"/>
        <v>-63200</v>
      </c>
      <c r="Y13" s="2"/>
      <c r="Z13" s="19">
        <f t="shared" si="3"/>
        <v>-1</v>
      </c>
    </row>
    <row r="14" spans="1:26" s="24" customFormat="1" hidden="1" outlineLevel="1" x14ac:dyDescent="0.25">
      <c r="A14" s="46"/>
      <c r="B14" s="11" t="str">
        <f>CONCATENATE("          ", "4058", " - ", "TAXABLE SALES-FOOD")</f>
        <v xml:space="preserve">          4058 - TAXABLE SALES-FOOD</v>
      </c>
      <c r="C14" s="11"/>
      <c r="D14" s="2">
        <f>--24452.76</f>
        <v>24452.76</v>
      </c>
      <c r="E14" s="2"/>
      <c r="F14" s="19"/>
      <c r="G14" s="2"/>
      <c r="H14" s="2"/>
      <c r="I14" s="2"/>
      <c r="J14" s="19"/>
      <c r="K14" s="2"/>
      <c r="L14" s="2">
        <f t="shared" si="0"/>
        <v>24452.76</v>
      </c>
      <c r="M14" s="2"/>
      <c r="N14" s="19">
        <f t="shared" si="1"/>
        <v>0</v>
      </c>
      <c r="O14" s="11"/>
      <c r="P14" s="2">
        <f>--42290.9</f>
        <v>42290.9</v>
      </c>
      <c r="Q14" s="2"/>
      <c r="R14" s="19"/>
      <c r="S14" s="2"/>
      <c r="T14" s="2"/>
      <c r="U14" s="2"/>
      <c r="V14" s="19"/>
      <c r="W14" s="2"/>
      <c r="X14" s="2">
        <f t="shared" si="2"/>
        <v>42290.9</v>
      </c>
      <c r="Y14" s="2"/>
      <c r="Z14" s="19">
        <f t="shared" si="3"/>
        <v>0</v>
      </c>
    </row>
    <row r="15" spans="1:26" s="24" customFormat="1" hidden="1" outlineLevel="1" x14ac:dyDescent="0.25">
      <c r="A15" s="46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75000</v>
      </c>
      <c r="I15" s="2"/>
      <c r="J15" s="19"/>
      <c r="K15" s="2"/>
      <c r="L15" s="2">
        <f t="shared" si="0"/>
        <v>-75000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126600</v>
      </c>
      <c r="U15" s="2"/>
      <c r="V15" s="19"/>
      <c r="W15" s="2"/>
      <c r="X15" s="2">
        <f t="shared" si="2"/>
        <v>-126600</v>
      </c>
      <c r="Y15" s="2"/>
      <c r="Z15" s="19">
        <f t="shared" si="3"/>
        <v>-1</v>
      </c>
    </row>
    <row r="16" spans="1:26" s="24" customFormat="1" hidden="1" outlineLevel="1" x14ac:dyDescent="0.25">
      <c r="A16" s="46"/>
      <c r="B16" s="11" t="str">
        <f>CONCATENATE("          ", "4158", " - ", "NON-TAXABLE SALES-FOOD")</f>
        <v xml:space="preserve">          4158 - NON-TAXABLE SALES-FOOD</v>
      </c>
      <c r="C16" s="11"/>
      <c r="D16" s="2">
        <f>--71876.72</f>
        <v>71876.72</v>
      </c>
      <c r="E16" s="2"/>
      <c r="F16" s="19"/>
      <c r="G16" s="2"/>
      <c r="H16" s="2"/>
      <c r="I16" s="2"/>
      <c r="J16" s="19"/>
      <c r="K16" s="2"/>
      <c r="L16" s="2">
        <f t="shared" si="0"/>
        <v>71876.72</v>
      </c>
      <c r="M16" s="2"/>
      <c r="N16" s="19">
        <f t="shared" si="1"/>
        <v>0</v>
      </c>
      <c r="O16" s="11"/>
      <c r="P16" s="2">
        <f>--112246.63</f>
        <v>112246.63</v>
      </c>
      <c r="Q16" s="2"/>
      <c r="R16" s="19"/>
      <c r="S16" s="2"/>
      <c r="T16" s="2"/>
      <c r="U16" s="2"/>
      <c r="V16" s="19"/>
      <c r="W16" s="2"/>
      <c r="X16" s="2">
        <f t="shared" si="2"/>
        <v>112246.63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38581.31</v>
      </c>
      <c r="E18" s="4"/>
      <c r="F18" s="12">
        <f t="shared" ref="F18:F21" si="4">IF(D$12=0,0,D18/D$12)</f>
        <v>0.40051404824359066</v>
      </c>
      <c r="G18" s="4"/>
      <c r="H18" s="4">
        <f>SUM(OSRRefH16x_0)</f>
        <v>33000</v>
      </c>
      <c r="I18" s="4"/>
      <c r="J18" s="12">
        <f t="shared" ref="J18:J21" si="5">IF(H$12=0,0,H18/H$12)</f>
        <v>0.31791907514450868</v>
      </c>
      <c r="K18" s="4"/>
      <c r="L18" s="4">
        <f t="shared" ref="L18:L21" si="6">+D18-H18</f>
        <v>5581.3099999999977</v>
      </c>
      <c r="M18" s="4"/>
      <c r="N18" s="12">
        <f t="shared" ref="N18:N21" si="7">IF(H18=0,0,L18/H18)</f>
        <v>0.16913060606060598</v>
      </c>
      <c r="O18" s="10"/>
      <c r="P18" s="4">
        <f>SUM(OSRRefP16x_0)</f>
        <v>61929.9</v>
      </c>
      <c r="Q18" s="4"/>
      <c r="R18" s="12">
        <f t="shared" ref="R18:R21" si="8">IF(P$12=0,0,P18/P$12)</f>
        <v>0.40074343106169746</v>
      </c>
      <c r="S18" s="4"/>
      <c r="T18" s="4">
        <f>SUM(OSRRefT16x_0)</f>
        <v>64000</v>
      </c>
      <c r="U18" s="4"/>
      <c r="V18" s="12">
        <f t="shared" ref="V18:V21" si="9">IF(T$12=0,0,T18/T$12)</f>
        <v>0.33719704952581664</v>
      </c>
      <c r="W18" s="4"/>
      <c r="X18" s="4">
        <f t="shared" ref="X18:X21" si="10">+P18-T18</f>
        <v>-2070.0999999999985</v>
      </c>
      <c r="Y18" s="4"/>
      <c r="Z18" s="12">
        <f t="shared" ref="Z18:Z21" si="11">IF(T18=0,0,X18/T18)</f>
        <v>-3.234531249999998E-2</v>
      </c>
    </row>
    <row r="19" spans="1:26" s="24" customFormat="1" hidden="1" outlineLevel="1" x14ac:dyDescent="0.25">
      <c r="A19" s="46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33000</v>
      </c>
      <c r="I19" s="2"/>
      <c r="J19" s="19">
        <f t="shared" si="5"/>
        <v>0.31791907514450868</v>
      </c>
      <c r="K19" s="2"/>
      <c r="L19" s="2">
        <f t="shared" si="6"/>
        <v>-33000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64000</v>
      </c>
      <c r="U19" s="2"/>
      <c r="V19" s="19">
        <f t="shared" si="9"/>
        <v>0.33719704952581664</v>
      </c>
      <c r="W19" s="2"/>
      <c r="X19" s="2">
        <f t="shared" si="10"/>
        <v>-64000</v>
      </c>
      <c r="Y19" s="2"/>
      <c r="Z19" s="19">
        <f t="shared" si="11"/>
        <v>-1</v>
      </c>
    </row>
    <row r="20" spans="1:26" s="24" customFormat="1" hidden="1" outlineLevel="1" x14ac:dyDescent="0.25">
      <c r="A20" s="46"/>
      <c r="B20" s="11" t="str">
        <f>CONCATENATE("          ", "5053", " - ", "PURCHASES @ COST-FOOD")</f>
        <v xml:space="preserve">          5053 - PURCHASES @ COST-FOOD</v>
      </c>
      <c r="C20" s="11"/>
      <c r="D20" s="2">
        <v>32296.31</v>
      </c>
      <c r="E20" s="2"/>
      <c r="F20" s="19">
        <f t="shared" si="4"/>
        <v>0.33526922391774566</v>
      </c>
      <c r="G20" s="2"/>
      <c r="H20" s="2"/>
      <c r="I20" s="2"/>
      <c r="J20" s="19">
        <f t="shared" si="5"/>
        <v>0</v>
      </c>
      <c r="K20" s="2"/>
      <c r="L20" s="2">
        <f t="shared" si="6"/>
        <v>32296.31</v>
      </c>
      <c r="M20" s="2"/>
      <c r="N20" s="19">
        <f t="shared" si="7"/>
        <v>0</v>
      </c>
      <c r="O20" s="11"/>
      <c r="P20" s="2">
        <v>51435.9</v>
      </c>
      <c r="Q20" s="2"/>
      <c r="R20" s="19">
        <f t="shared" si="8"/>
        <v>0.33283759614897429</v>
      </c>
      <c r="S20" s="2"/>
      <c r="T20" s="2"/>
      <c r="U20" s="2"/>
      <c r="V20" s="19">
        <f t="shared" si="9"/>
        <v>0</v>
      </c>
      <c r="W20" s="2"/>
      <c r="X20" s="2">
        <f t="shared" si="10"/>
        <v>51435.9</v>
      </c>
      <c r="Y20" s="2"/>
      <c r="Z20" s="19">
        <f t="shared" si="11"/>
        <v>0</v>
      </c>
    </row>
    <row r="21" spans="1:26" s="24" customFormat="1" hidden="1" outlineLevel="1" x14ac:dyDescent="0.25">
      <c r="A21" s="46"/>
      <c r="B21" s="11" t="str">
        <f>CONCATENATE("          ", "5059", " - ", "PURCHASES @ COST-FOOD")</f>
        <v xml:space="preserve">          5059 - PURCHASES @ COST-FOOD</v>
      </c>
      <c r="C21" s="11"/>
      <c r="D21" s="2">
        <v>6285</v>
      </c>
      <c r="E21" s="2"/>
      <c r="F21" s="19">
        <f t="shared" si="4"/>
        <v>6.5244824325845011E-2</v>
      </c>
      <c r="G21" s="2"/>
      <c r="H21" s="2"/>
      <c r="I21" s="2"/>
      <c r="J21" s="19">
        <f t="shared" si="5"/>
        <v>0</v>
      </c>
      <c r="K21" s="2"/>
      <c r="L21" s="2">
        <f t="shared" si="6"/>
        <v>6285</v>
      </c>
      <c r="M21" s="2"/>
      <c r="N21" s="19">
        <f t="shared" si="7"/>
        <v>0</v>
      </c>
      <c r="O21" s="11"/>
      <c r="P21" s="2">
        <v>10494</v>
      </c>
      <c r="Q21" s="2"/>
      <c r="R21" s="19">
        <f t="shared" si="8"/>
        <v>6.7905834912723145E-2</v>
      </c>
      <c r="S21" s="2"/>
      <c r="T21" s="2"/>
      <c r="U21" s="2"/>
      <c r="V21" s="19">
        <f t="shared" si="9"/>
        <v>0</v>
      </c>
      <c r="W21" s="2"/>
      <c r="X21" s="2">
        <f t="shared" si="10"/>
        <v>10494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2">
        <f>D12-D18</f>
        <v>57748.17</v>
      </c>
      <c r="E23" s="14"/>
      <c r="F23" s="20">
        <f>IF(D$12=0,0,D23/D$12)</f>
        <v>0.5994859517564094</v>
      </c>
      <c r="G23" s="14"/>
      <c r="H23" s="22">
        <f>H12-H18</f>
        <v>70800</v>
      </c>
      <c r="I23" s="14"/>
      <c r="J23" s="20">
        <f>IF(H$12=0,0,H23/H$12)</f>
        <v>0.68208092485549132</v>
      </c>
      <c r="K23" s="15"/>
      <c r="L23" s="22">
        <f>+D23-H23</f>
        <v>-13051.830000000002</v>
      </c>
      <c r="M23" s="15"/>
      <c r="N23" s="20">
        <f>IF(H23=0,0,L23/H23)</f>
        <v>-0.18434788135593222</v>
      </c>
      <c r="O23" s="28"/>
      <c r="P23" s="22">
        <f>P12-P18</f>
        <v>92607.63</v>
      </c>
      <c r="Q23" s="14"/>
      <c r="R23" s="20">
        <f>IF(P$12=0,0,P23/P$12)</f>
        <v>0.59925656893830259</v>
      </c>
      <c r="S23" s="14"/>
      <c r="T23" s="22">
        <f>T12-T18</f>
        <v>125800</v>
      </c>
      <c r="U23" s="14"/>
      <c r="V23" s="20">
        <f>IF(T$12=0,0,T23/T$12)</f>
        <v>0.66280295047418336</v>
      </c>
      <c r="W23" s="15"/>
      <c r="X23" s="22">
        <f>+P23-T23</f>
        <v>-33192.369999999995</v>
      </c>
      <c r="Y23" s="15"/>
      <c r="Z23" s="20">
        <f>IF(T23=0,0,X23/T23)</f>
        <v>-0.26385031796502378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21">
        <f>SUM(OSRRefD22x_0)</f>
        <v>42458.340000000004</v>
      </c>
      <c r="E25" s="21"/>
      <c r="F25" s="33">
        <f t="shared" ref="F25:F35" si="12">IF(D$12=0,0,D25/D$12)</f>
        <v>0.44076164430660275</v>
      </c>
      <c r="G25" s="21"/>
      <c r="H25" s="21">
        <f>SUM(OSRRefH22x_0)</f>
        <v>39608.846427199998</v>
      </c>
      <c r="I25" s="21"/>
      <c r="J25" s="33">
        <f t="shared" ref="J25:J35" si="13">IF(H$12=0,0,H25/H$12)</f>
        <v>0.38158811586897878</v>
      </c>
      <c r="K25" s="4"/>
      <c r="L25" s="21">
        <f t="shared" ref="L25:L35" si="14">+D25-H25</f>
        <v>2849.4935728000055</v>
      </c>
      <c r="M25" s="4"/>
      <c r="N25" s="33">
        <f t="shared" ref="N25:N35" si="15">IF(H25=0,0,L25/H25)</f>
        <v>7.1940837207599528E-2</v>
      </c>
      <c r="O25" s="10"/>
      <c r="P25" s="21">
        <f>SUM(OSRRefP22x_0)</f>
        <v>91671.220000000016</v>
      </c>
      <c r="Q25" s="21"/>
      <c r="R25" s="33">
        <f t="shared" ref="R25:R35" si="16">IF(P$12=0,0,P25/P$12)</f>
        <v>0.59319713470248958</v>
      </c>
      <c r="S25" s="21"/>
      <c r="T25" s="21">
        <f>SUM(OSRRefT22x_0)</f>
        <v>102177.8759884</v>
      </c>
      <c r="U25" s="21"/>
      <c r="V25" s="33">
        <f t="shared" ref="V25:V35" si="17">IF(T$12=0,0,T25/T$12)</f>
        <v>0.5383449735953636</v>
      </c>
      <c r="W25" s="4"/>
      <c r="X25" s="21">
        <f t="shared" ref="X25:X35" si="18">+P25-T25</f>
        <v>-10506.655988399987</v>
      </c>
      <c r="Y25" s="4"/>
      <c r="Z25" s="33">
        <f t="shared" ref="Z25:Z35" si="19">IF(T25=0,0,X25/T25)</f>
        <v>-0.10282711288295698</v>
      </c>
    </row>
    <row r="26" spans="1:26" s="26" customFormat="1" outlineLevel="1" collapsed="1" x14ac:dyDescent="0.25">
      <c r="A26" s="27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2784.52</v>
      </c>
      <c r="E26" s="1"/>
      <c r="F26" s="5">
        <f t="shared" si="12"/>
        <v>2.8906208151440245E-2</v>
      </c>
      <c r="G26" s="1"/>
      <c r="H26" s="1">
        <f>SUM(OSRRefH22_0x_0)</f>
        <v>4333.9104272000004</v>
      </c>
      <c r="I26" s="1"/>
      <c r="J26" s="5">
        <f t="shared" si="13"/>
        <v>4.1752508932562625E-2</v>
      </c>
      <c r="K26" s="1"/>
      <c r="L26" s="1">
        <f t="shared" si="14"/>
        <v>-1549.3904272000004</v>
      </c>
      <c r="M26" s="1"/>
      <c r="N26" s="5">
        <f t="shared" si="15"/>
        <v>-0.3575040262659539</v>
      </c>
      <c r="O26" s="13"/>
      <c r="P26" s="1">
        <f>SUM(OSRRefP22_0x_0)</f>
        <v>7944.37</v>
      </c>
      <c r="Q26" s="1"/>
      <c r="R26" s="5">
        <f t="shared" si="16"/>
        <v>5.1407383047988406E-2</v>
      </c>
      <c r="S26" s="1"/>
      <c r="T26" s="1">
        <f>SUM(OSRRefT22_0x_0)</f>
        <v>13411.083988400002</v>
      </c>
      <c r="U26" s="1"/>
      <c r="V26" s="5">
        <f t="shared" si="17"/>
        <v>7.065903049736566E-2</v>
      </c>
      <c r="W26" s="1"/>
      <c r="X26" s="1">
        <f t="shared" si="18"/>
        <v>-5466.7139884000017</v>
      </c>
      <c r="Y26" s="1"/>
      <c r="Z26" s="5">
        <f t="shared" si="19"/>
        <v>-0.40762655674429221</v>
      </c>
    </row>
    <row r="27" spans="1:26" s="24" customFormat="1" hidden="1" outlineLevel="2" x14ac:dyDescent="0.25">
      <c r="A27" s="25"/>
      <c r="B27" s="11" t="str">
        <f>CONCATENATE("          ", "6111", " - ", "F.I.C.A.")</f>
        <v xml:space="preserve">          6111 - F.I.C.A.</v>
      </c>
      <c r="C27" s="11"/>
      <c r="D27" s="7">
        <v>526.13</v>
      </c>
      <c r="E27" s="2"/>
      <c r="F27" s="6">
        <f t="shared" si="12"/>
        <v>5.4617755644481838E-3</v>
      </c>
      <c r="G27" s="2"/>
      <c r="H27" s="7">
        <v>668.79873120000002</v>
      </c>
      <c r="I27" s="2"/>
      <c r="J27" s="6">
        <f t="shared" si="13"/>
        <v>6.4431476994219654E-3</v>
      </c>
      <c r="K27" s="2"/>
      <c r="L27" s="7">
        <f t="shared" si="14"/>
        <v>-142.66873120000002</v>
      </c>
      <c r="M27" s="2"/>
      <c r="N27" s="6">
        <f t="shared" si="15"/>
        <v>-0.213320875989126</v>
      </c>
      <c r="O27" s="11"/>
      <c r="P27" s="7">
        <v>2245.69</v>
      </c>
      <c r="Q27" s="2"/>
      <c r="R27" s="6">
        <f t="shared" si="16"/>
        <v>1.453168042740168E-2</v>
      </c>
      <c r="S27" s="2"/>
      <c r="T27" s="7">
        <v>2779.7134764000002</v>
      </c>
      <c r="U27" s="2"/>
      <c r="V27" s="6">
        <f t="shared" si="17"/>
        <v>1.4645487230769232E-2</v>
      </c>
      <c r="W27" s="2"/>
      <c r="X27" s="7">
        <f t="shared" si="18"/>
        <v>-534.02347640000016</v>
      </c>
      <c r="Y27" s="2"/>
      <c r="Z27" s="6">
        <f t="shared" si="19"/>
        <v>-0.19211457617265382</v>
      </c>
    </row>
    <row r="28" spans="1:26" s="24" customFormat="1" hidden="1" outlineLevel="2" x14ac:dyDescent="0.25">
      <c r="A28" s="25"/>
      <c r="B28" s="11" t="str">
        <f>CONCATENATE("          ", "6112", " - ", "COMPENSATION INSURANCE")</f>
        <v xml:space="preserve">          6112 - COMPENSATION INSURANCE</v>
      </c>
      <c r="C28" s="11"/>
      <c r="D28" s="7">
        <v>946.73</v>
      </c>
      <c r="E28" s="2"/>
      <c r="F28" s="6">
        <f t="shared" si="12"/>
        <v>9.8280401804307464E-3</v>
      </c>
      <c r="G28" s="2"/>
      <c r="H28" s="7">
        <v>758.11475199999995</v>
      </c>
      <c r="I28" s="2"/>
      <c r="J28" s="6">
        <f t="shared" si="13"/>
        <v>7.3036103275529859E-3</v>
      </c>
      <c r="K28" s="2"/>
      <c r="L28" s="7">
        <f t="shared" si="14"/>
        <v>188.61524800000007</v>
      </c>
      <c r="M28" s="2"/>
      <c r="N28" s="6">
        <f t="shared" si="15"/>
        <v>0.24879511644168623</v>
      </c>
      <c r="O28" s="11"/>
      <c r="P28" s="7">
        <v>1885.66</v>
      </c>
      <c r="Q28" s="2"/>
      <c r="R28" s="6">
        <f t="shared" si="16"/>
        <v>1.2201955084955739E-2</v>
      </c>
      <c r="S28" s="2"/>
      <c r="T28" s="7">
        <v>2037.8489440000001</v>
      </c>
      <c r="U28" s="2"/>
      <c r="V28" s="6">
        <f t="shared" si="17"/>
        <v>1.073682267650158E-2</v>
      </c>
      <c r="W28" s="2"/>
      <c r="X28" s="7">
        <f t="shared" si="18"/>
        <v>-152.18894399999999</v>
      </c>
      <c r="Y28" s="2"/>
      <c r="Z28" s="6">
        <f t="shared" si="19"/>
        <v>-7.468117028403258E-2</v>
      </c>
    </row>
    <row r="29" spans="1:26" s="24" customFormat="1" hidden="1" outlineLevel="2" x14ac:dyDescent="0.25">
      <c r="A29" s="25"/>
      <c r="B29" s="11" t="str">
        <f>CONCATENATE("          ", "6113", " - ", "GROUP INSURANCE")</f>
        <v xml:space="preserve">          6113 - GROUP INSURANCE</v>
      </c>
      <c r="C29" s="11"/>
      <c r="D29" s="7">
        <v>650.39</v>
      </c>
      <c r="E29" s="2"/>
      <c r="F29" s="6">
        <f t="shared" si="12"/>
        <v>6.751723356131477E-3</v>
      </c>
      <c r="G29" s="2"/>
      <c r="H29" s="7">
        <v>1381</v>
      </c>
      <c r="I29" s="2"/>
      <c r="J29" s="6">
        <f t="shared" si="13"/>
        <v>1.3304431599229286E-2</v>
      </c>
      <c r="K29" s="2"/>
      <c r="L29" s="7">
        <f t="shared" si="14"/>
        <v>-730.61</v>
      </c>
      <c r="M29" s="2"/>
      <c r="N29" s="6">
        <f t="shared" si="15"/>
        <v>-0.52904417089065892</v>
      </c>
      <c r="O29" s="11"/>
      <c r="P29" s="7">
        <v>1951.17</v>
      </c>
      <c r="Q29" s="2"/>
      <c r="R29" s="6">
        <f t="shared" si="16"/>
        <v>1.2625865056857062E-2</v>
      </c>
      <c r="S29" s="2"/>
      <c r="T29" s="7">
        <v>4143</v>
      </c>
      <c r="U29" s="2"/>
      <c r="V29" s="6">
        <f t="shared" si="17"/>
        <v>2.1828240252897788E-2</v>
      </c>
      <c r="W29" s="2"/>
      <c r="X29" s="7">
        <f t="shared" si="18"/>
        <v>-2191.83</v>
      </c>
      <c r="Y29" s="2"/>
      <c r="Z29" s="6">
        <f t="shared" si="19"/>
        <v>-0.52904417089065892</v>
      </c>
    </row>
    <row r="30" spans="1:26" s="24" customFormat="1" hidden="1" outlineLevel="2" x14ac:dyDescent="0.25">
      <c r="A30" s="25"/>
      <c r="B30" s="11" t="str">
        <f>CONCATENATE("          ", "6114", " - ", "STATE UNEMPLOYMENT INSURANCE")</f>
        <v xml:space="preserve">          6114 - STATE UNEMPLOYMENT INSURANCE</v>
      </c>
      <c r="C30" s="11"/>
      <c r="D30" s="7">
        <v>63.44</v>
      </c>
      <c r="E30" s="2"/>
      <c r="F30" s="6">
        <f t="shared" si="12"/>
        <v>6.5857305572499718E-4</v>
      </c>
      <c r="G30" s="2"/>
      <c r="H30" s="7">
        <v>60.603504000000001</v>
      </c>
      <c r="I30" s="2"/>
      <c r="J30" s="6">
        <f t="shared" si="13"/>
        <v>5.8384878612716769E-4</v>
      </c>
      <c r="K30" s="2"/>
      <c r="L30" s="7">
        <f t="shared" si="14"/>
        <v>2.8364959999999968</v>
      </c>
      <c r="M30" s="2"/>
      <c r="N30" s="6">
        <f t="shared" si="15"/>
        <v>4.6804158386617327E-2</v>
      </c>
      <c r="O30" s="11"/>
      <c r="P30" s="7">
        <v>126.36</v>
      </c>
      <c r="Q30" s="2"/>
      <c r="R30" s="6">
        <f t="shared" si="16"/>
        <v>8.176654564104914E-4</v>
      </c>
      <c r="S30" s="2"/>
      <c r="T30" s="7">
        <v>166.417888</v>
      </c>
      <c r="U30" s="2"/>
      <c r="V30" s="6">
        <f t="shared" si="17"/>
        <v>8.7680657534246577E-4</v>
      </c>
      <c r="W30" s="2"/>
      <c r="X30" s="7">
        <f t="shared" si="18"/>
        <v>-40.057888000000005</v>
      </c>
      <c r="Y30" s="2"/>
      <c r="Z30" s="6">
        <f t="shared" si="19"/>
        <v>-0.24070662403791596</v>
      </c>
    </row>
    <row r="31" spans="1:26" s="24" customFormat="1" hidden="1" outlineLevel="2" x14ac:dyDescent="0.25">
      <c r="A31" s="25"/>
      <c r="B31" s="11" t="str">
        <f>CONCATENATE("          ", "6115", " - ", "P.E.R.S.")</f>
        <v xml:space="preserve">          6115 - P.E.R.S.</v>
      </c>
      <c r="C31" s="11"/>
      <c r="D31" s="7"/>
      <c r="E31" s="2"/>
      <c r="F31" s="6">
        <f t="shared" si="12"/>
        <v>0</v>
      </c>
      <c r="G31" s="2"/>
      <c r="H31" s="7">
        <v>422.34944000000002</v>
      </c>
      <c r="I31" s="2"/>
      <c r="J31" s="6">
        <f t="shared" si="13"/>
        <v>4.0688770712909439E-3</v>
      </c>
      <c r="K31" s="2"/>
      <c r="L31" s="7">
        <f t="shared" si="14"/>
        <v>-422.34944000000002</v>
      </c>
      <c r="M31" s="2"/>
      <c r="N31" s="6">
        <f t="shared" si="15"/>
        <v>-1</v>
      </c>
      <c r="O31" s="11"/>
      <c r="P31" s="7"/>
      <c r="Q31" s="2"/>
      <c r="R31" s="6">
        <f t="shared" si="16"/>
        <v>0</v>
      </c>
      <c r="S31" s="2"/>
      <c r="T31" s="7">
        <v>1372.6356800000001</v>
      </c>
      <c r="U31" s="2"/>
      <c r="V31" s="6">
        <f t="shared" si="17"/>
        <v>7.2320109589041103E-3</v>
      </c>
      <c r="W31" s="2"/>
      <c r="X31" s="7">
        <f t="shared" si="18"/>
        <v>-1372.6356800000001</v>
      </c>
      <c r="Y31" s="2"/>
      <c r="Z31" s="6">
        <f t="shared" si="19"/>
        <v>-1</v>
      </c>
    </row>
    <row r="32" spans="1:26" s="24" customFormat="1" hidden="1" outlineLevel="2" x14ac:dyDescent="0.25">
      <c r="A32" s="25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25">
      <c r="A33" s="25"/>
      <c r="B33" s="11" t="str">
        <f>CONCATENATE("          ", "6118", " - ", "VACATION")</f>
        <v xml:space="preserve">          6118 - VACATION</v>
      </c>
      <c r="C33" s="11"/>
      <c r="D33" s="7">
        <v>192.5</v>
      </c>
      <c r="E33" s="2"/>
      <c r="F33" s="6">
        <f t="shared" si="12"/>
        <v>1.998349830186979E-3</v>
      </c>
      <c r="G33" s="2"/>
      <c r="H33" s="7">
        <v>245.55199999999999</v>
      </c>
      <c r="I33" s="2"/>
      <c r="J33" s="6">
        <f t="shared" si="13"/>
        <v>2.3656262042389209E-3</v>
      </c>
      <c r="K33" s="2"/>
      <c r="L33" s="7">
        <f t="shared" si="14"/>
        <v>-53.051999999999992</v>
      </c>
      <c r="M33" s="2"/>
      <c r="N33" s="6">
        <f t="shared" si="15"/>
        <v>-0.21605199713299014</v>
      </c>
      <c r="O33" s="11"/>
      <c r="P33" s="7">
        <v>577.5</v>
      </c>
      <c r="Q33" s="2"/>
      <c r="R33" s="6">
        <f t="shared" si="16"/>
        <v>3.7369563238133807E-3</v>
      </c>
      <c r="S33" s="2"/>
      <c r="T33" s="7">
        <v>798.04399999999998</v>
      </c>
      <c r="U33" s="2"/>
      <c r="V33" s="6">
        <f t="shared" si="17"/>
        <v>4.2046575342465755E-3</v>
      </c>
      <c r="W33" s="2"/>
      <c r="X33" s="7">
        <f t="shared" si="18"/>
        <v>-220.54399999999998</v>
      </c>
      <c r="Y33" s="2"/>
      <c r="Z33" s="6">
        <f t="shared" si="19"/>
        <v>-0.27635568966122165</v>
      </c>
    </row>
    <row r="34" spans="1:26" s="24" customFormat="1" hidden="1" outlineLevel="2" x14ac:dyDescent="0.25">
      <c r="A34" s="25"/>
      <c r="B34" s="11" t="str">
        <f>CONCATENATE("          ", "6119", " - ", "SICK LEAVE")</f>
        <v xml:space="preserve">          6119 - SICK LEAVE</v>
      </c>
      <c r="C34" s="11"/>
      <c r="D34" s="7">
        <v>230.62</v>
      </c>
      <c r="E34" s="2"/>
      <c r="F34" s="6">
        <f t="shared" si="12"/>
        <v>2.3940750017543955E-3</v>
      </c>
      <c r="G34" s="2"/>
      <c r="H34" s="7">
        <v>797.49199999999996</v>
      </c>
      <c r="I34" s="2"/>
      <c r="J34" s="6">
        <f t="shared" si="13"/>
        <v>7.6829672447013483E-3</v>
      </c>
      <c r="K34" s="2"/>
      <c r="L34" s="7">
        <f t="shared" si="14"/>
        <v>-566.87199999999996</v>
      </c>
      <c r="M34" s="2"/>
      <c r="N34" s="6">
        <f t="shared" si="15"/>
        <v>-0.71081841573332394</v>
      </c>
      <c r="O34" s="11"/>
      <c r="P34" s="7">
        <v>691.86</v>
      </c>
      <c r="Q34" s="2"/>
      <c r="R34" s="6">
        <f t="shared" si="16"/>
        <v>4.4769707397290482E-3</v>
      </c>
      <c r="S34" s="2"/>
      <c r="T34" s="7">
        <v>2113.424</v>
      </c>
      <c r="U34" s="2"/>
      <c r="V34" s="6">
        <f t="shared" si="17"/>
        <v>1.1135005268703899E-2</v>
      </c>
      <c r="W34" s="2"/>
      <c r="X34" s="7">
        <f t="shared" si="18"/>
        <v>-1421.5639999999999</v>
      </c>
      <c r="Y34" s="2"/>
      <c r="Z34" s="6">
        <f t="shared" si="19"/>
        <v>-0.67263549576421955</v>
      </c>
    </row>
    <row r="35" spans="1:26" s="24" customFormat="1" hidden="1" outlineLevel="2" x14ac:dyDescent="0.25">
      <c r="A35" s="25"/>
      <c r="B35" s="11" t="str">
        <f>CONCATENATE("          ", "6156", " - ", "EMPLOYEE MEALS")</f>
        <v xml:space="preserve">          6156 - EMPLOYEE MEALS</v>
      </c>
      <c r="C35" s="11"/>
      <c r="D35" s="7">
        <v>174.71</v>
      </c>
      <c r="E35" s="2"/>
      <c r="F35" s="6">
        <f t="shared" si="12"/>
        <v>1.8136711627634657E-3</v>
      </c>
      <c r="G35" s="2"/>
      <c r="H35" s="7"/>
      <c r="I35" s="2"/>
      <c r="J35" s="6">
        <f t="shared" si="13"/>
        <v>0</v>
      </c>
      <c r="K35" s="2"/>
      <c r="L35" s="7">
        <f t="shared" si="14"/>
        <v>174.71</v>
      </c>
      <c r="M35" s="2"/>
      <c r="N35" s="6">
        <f t="shared" si="15"/>
        <v>0</v>
      </c>
      <c r="O35" s="11"/>
      <c r="P35" s="7">
        <v>466.13</v>
      </c>
      <c r="Q35" s="2"/>
      <c r="R35" s="6">
        <f t="shared" si="16"/>
        <v>3.0162899588210062E-3</v>
      </c>
      <c r="S35" s="2"/>
      <c r="T35" s="7"/>
      <c r="U35" s="2"/>
      <c r="V35" s="6">
        <f t="shared" si="17"/>
        <v>0</v>
      </c>
      <c r="W35" s="2"/>
      <c r="X35" s="7">
        <f t="shared" si="18"/>
        <v>466.13</v>
      </c>
      <c r="Y35" s="2"/>
      <c r="Z35" s="6">
        <f t="shared" si="19"/>
        <v>0</v>
      </c>
    </row>
    <row r="36" spans="1:26" s="26" customFormat="1" outlineLevel="1" collapsed="1" x14ac:dyDescent="0.25">
      <c r="A36" s="27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25048.79</v>
      </c>
      <c r="E36" s="1"/>
      <c r="F36" s="5">
        <f t="shared" ref="F36:F46" si="20">IF(D$12=0,0,D36/D$12)</f>
        <v>0.26003244282020416</v>
      </c>
      <c r="G36" s="1"/>
      <c r="H36" s="1">
        <f>SUM(OSRRefH22_1x_0)</f>
        <v>19047.936000000002</v>
      </c>
      <c r="I36" s="1"/>
      <c r="J36" s="5">
        <f t="shared" ref="J36:J46" si="21">IF(H$12=0,0,H36/H$12)</f>
        <v>0.18350612716763007</v>
      </c>
      <c r="K36" s="1"/>
      <c r="L36" s="1">
        <f t="shared" ref="L36:L46" si="22">+D36-H36</f>
        <v>6000.8539999999994</v>
      </c>
      <c r="M36" s="1"/>
      <c r="N36" s="5">
        <f t="shared" ref="N36:N46" si="23">IF(H36=0,0,L36/H36)</f>
        <v>0.31503959274117671</v>
      </c>
      <c r="O36" s="13"/>
      <c r="P36" s="1">
        <f>SUM(OSRRefP22_1x_0)</f>
        <v>53077.240000000005</v>
      </c>
      <c r="Q36" s="1"/>
      <c r="R36" s="5">
        <f t="shared" ref="R36:R46" si="24">IF(P$12=0,0,P36/P$12)</f>
        <v>0.34345857604945546</v>
      </c>
      <c r="S36" s="1"/>
      <c r="T36" s="1">
        <f>SUM(OSRRefT22_1x_0)</f>
        <v>50925.792000000001</v>
      </c>
      <c r="U36" s="1"/>
      <c r="V36" s="5">
        <f t="shared" ref="V36:V46" si="25">IF(T$12=0,0,T36/T$12)</f>
        <v>0.26831291886195996</v>
      </c>
      <c r="W36" s="1"/>
      <c r="X36" s="1">
        <f t="shared" ref="X36:X46" si="26">+P36-T36</f>
        <v>2151.448000000004</v>
      </c>
      <c r="Y36" s="1"/>
      <c r="Z36" s="5">
        <f t="shared" ref="Z36:Z46" si="27">IF(T36=0,0,X36/T36)</f>
        <v>4.2246726373936491E-2</v>
      </c>
    </row>
    <row r="37" spans="1:26" s="24" customFormat="1" hidden="1" outlineLevel="2" x14ac:dyDescent="0.25">
      <c r="A37" s="25"/>
      <c r="B37" s="11" t="str">
        <f>CONCATENATE("          ", "6001", " - ", "ADMINISTRATIVE SALARIES")</f>
        <v xml:space="preserve">          6001 - ADMINISTRATIVE SALARIES</v>
      </c>
      <c r="C37" s="11"/>
      <c r="D37" s="7"/>
      <c r="E37" s="2"/>
      <c r="F37" s="6">
        <f t="shared" si="20"/>
        <v>0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0</v>
      </c>
      <c r="Y37" s="2"/>
      <c r="Z37" s="6">
        <f t="shared" si="27"/>
        <v>0</v>
      </c>
    </row>
    <row r="38" spans="1:26" s="24" customFormat="1" hidden="1" outlineLevel="2" x14ac:dyDescent="0.25">
      <c r="A38" s="25"/>
      <c r="B38" s="11" t="str">
        <f>CONCATENATE("          ", "6002", " - ", "STAFF SALARIES")</f>
        <v xml:space="preserve">          6002 - STAFF SALARIES</v>
      </c>
      <c r="C38" s="11"/>
      <c r="D38" s="7"/>
      <c r="E38" s="2"/>
      <c r="F38" s="6">
        <f t="shared" si="20"/>
        <v>0</v>
      </c>
      <c r="G38" s="2"/>
      <c r="H38" s="7">
        <v>4419.9359999999997</v>
      </c>
      <c r="I38" s="2"/>
      <c r="J38" s="6">
        <f t="shared" si="21"/>
        <v>4.2581271676300575E-2</v>
      </c>
      <c r="K38" s="2"/>
      <c r="L38" s="7">
        <f t="shared" si="22"/>
        <v>-4419.9359999999997</v>
      </c>
      <c r="M38" s="2"/>
      <c r="N38" s="6">
        <f t="shared" si="23"/>
        <v>-1</v>
      </c>
      <c r="O38" s="11"/>
      <c r="P38" s="7"/>
      <c r="Q38" s="2"/>
      <c r="R38" s="6">
        <f t="shared" si="24"/>
        <v>0</v>
      </c>
      <c r="S38" s="2"/>
      <c r="T38" s="7">
        <v>14364.791999999999</v>
      </c>
      <c r="U38" s="2"/>
      <c r="V38" s="6">
        <f t="shared" si="25"/>
        <v>7.568383561643835E-2</v>
      </c>
      <c r="W38" s="2"/>
      <c r="X38" s="7">
        <f t="shared" si="26"/>
        <v>-14364.791999999999</v>
      </c>
      <c r="Y38" s="2"/>
      <c r="Z38" s="6">
        <f t="shared" si="27"/>
        <v>-1</v>
      </c>
    </row>
    <row r="39" spans="1:26" s="24" customFormat="1" hidden="1" outlineLevel="2" x14ac:dyDescent="0.25">
      <c r="A39" s="25"/>
      <c r="B39" s="11" t="str">
        <f>CONCATENATE("          ", "6003", " - ", "STAFF HOURLY-9 MONTH")</f>
        <v xml:space="preserve">          6003 - STAFF HOURLY-9 MONTH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5"/>
      <c r="B40" s="11" t="str">
        <f>CONCATENATE("          ", "6004", " - ", "STAFF HOURLY")</f>
        <v xml:space="preserve">          6004 - STAFF HOURLY</v>
      </c>
      <c r="C40" s="11"/>
      <c r="D40" s="7">
        <v>6324.22</v>
      </c>
      <c r="E40" s="2"/>
      <c r="F40" s="6">
        <f t="shared" si="20"/>
        <v>6.5651968639299216E-2</v>
      </c>
      <c r="G40" s="2"/>
      <c r="H40" s="7">
        <v>3828</v>
      </c>
      <c r="I40" s="2"/>
      <c r="J40" s="6">
        <f t="shared" si="21"/>
        <v>3.6878612716763008E-2</v>
      </c>
      <c r="K40" s="2"/>
      <c r="L40" s="7">
        <f t="shared" si="22"/>
        <v>2496.2200000000003</v>
      </c>
      <c r="M40" s="2"/>
      <c r="N40" s="6">
        <f t="shared" si="23"/>
        <v>0.65209508881922684</v>
      </c>
      <c r="O40" s="11"/>
      <c r="P40" s="7">
        <v>16535.150000000001</v>
      </c>
      <c r="Q40" s="2"/>
      <c r="R40" s="6">
        <f t="shared" si="24"/>
        <v>0.10699763351983173</v>
      </c>
      <c r="S40" s="2"/>
      <c r="T40" s="7">
        <v>12441</v>
      </c>
      <c r="U40" s="2"/>
      <c r="V40" s="6">
        <f t="shared" si="25"/>
        <v>6.5547945205479449E-2</v>
      </c>
      <c r="W40" s="2"/>
      <c r="X40" s="7">
        <f t="shared" si="26"/>
        <v>4094.1500000000015</v>
      </c>
      <c r="Y40" s="2"/>
      <c r="Z40" s="6">
        <f t="shared" si="27"/>
        <v>0.32908528253355851</v>
      </c>
    </row>
    <row r="41" spans="1:26" s="24" customFormat="1" hidden="1" outlineLevel="2" x14ac:dyDescent="0.25">
      <c r="A41" s="25"/>
      <c r="B41" s="11" t="str">
        <f>CONCATENATE("          ", "6005", " - ", "TEMPORARY WAGES-HOURLY")</f>
        <v xml:space="preserve">          6005 - TEMPORARY WAGES-HOURLY</v>
      </c>
      <c r="C41" s="11"/>
      <c r="D41" s="7">
        <v>527</v>
      </c>
      <c r="E41" s="2"/>
      <c r="F41" s="6">
        <f t="shared" si="20"/>
        <v>5.4708070675768211E-3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527</v>
      </c>
      <c r="M41" s="2"/>
      <c r="N41" s="6">
        <f t="shared" si="23"/>
        <v>0</v>
      </c>
      <c r="O41" s="11"/>
      <c r="P41" s="7">
        <v>1997.5</v>
      </c>
      <c r="Q41" s="2"/>
      <c r="R41" s="6">
        <f t="shared" si="24"/>
        <v>1.2925662782367493E-2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1997.5</v>
      </c>
      <c r="Y41" s="2"/>
      <c r="Z41" s="6">
        <f t="shared" si="27"/>
        <v>0</v>
      </c>
    </row>
    <row r="42" spans="1:26" s="24" customFormat="1" hidden="1" outlineLevel="2" x14ac:dyDescent="0.25">
      <c r="A42" s="25"/>
      <c r="B42" s="11" t="str">
        <f>CONCATENATE("          ", "6006", " - ", "TEMPORARY PART TIME")</f>
        <v xml:space="preserve">          6006 - TEMPORARY PART TIME</v>
      </c>
      <c r="C42" s="11"/>
      <c r="D42" s="7"/>
      <c r="E42" s="2"/>
      <c r="F42" s="6">
        <f t="shared" si="20"/>
        <v>0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0</v>
      </c>
      <c r="M42" s="2"/>
      <c r="N42" s="6">
        <f t="shared" si="23"/>
        <v>0</v>
      </c>
      <c r="O42" s="11"/>
      <c r="P42" s="7">
        <v>29.25</v>
      </c>
      <c r="Q42" s="2"/>
      <c r="R42" s="6">
        <f t="shared" si="24"/>
        <v>1.8927441120613226E-4</v>
      </c>
      <c r="S42" s="2"/>
      <c r="T42" s="7">
        <v>0</v>
      </c>
      <c r="U42" s="2"/>
      <c r="V42" s="6">
        <f t="shared" si="25"/>
        <v>0</v>
      </c>
      <c r="W42" s="2"/>
      <c r="X42" s="7">
        <f t="shared" si="26"/>
        <v>29.25</v>
      </c>
      <c r="Y42" s="2"/>
      <c r="Z42" s="6">
        <f t="shared" si="27"/>
        <v>0</v>
      </c>
    </row>
    <row r="43" spans="1:26" s="24" customFormat="1" hidden="1" outlineLevel="2" x14ac:dyDescent="0.25">
      <c r="A43" s="25"/>
      <c r="B43" s="11" t="str">
        <f>CONCATENATE("          ", "6007", " - ", "STUDENT HOURLY")</f>
        <v xml:space="preserve">          6007 - STUDENT HOURLY</v>
      </c>
      <c r="C43" s="11"/>
      <c r="D43" s="7">
        <v>18197.57</v>
      </c>
      <c r="E43" s="2"/>
      <c r="F43" s="6">
        <f t="shared" si="20"/>
        <v>0.18890966711332813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18197.57</v>
      </c>
      <c r="M43" s="2"/>
      <c r="N43" s="6">
        <f t="shared" si="23"/>
        <v>0</v>
      </c>
      <c r="O43" s="11"/>
      <c r="P43" s="7">
        <v>34515.340000000004</v>
      </c>
      <c r="Q43" s="2"/>
      <c r="R43" s="6">
        <f t="shared" si="24"/>
        <v>0.22334600533605012</v>
      </c>
      <c r="S43" s="2"/>
      <c r="T43" s="7">
        <v>3720</v>
      </c>
      <c r="U43" s="2"/>
      <c r="V43" s="6">
        <f t="shared" si="25"/>
        <v>1.9599578503688094E-2</v>
      </c>
      <c r="W43" s="2"/>
      <c r="X43" s="7">
        <f t="shared" si="26"/>
        <v>30795.340000000004</v>
      </c>
      <c r="Y43" s="2"/>
      <c r="Z43" s="6">
        <f t="shared" si="27"/>
        <v>8.2783172043010769</v>
      </c>
    </row>
    <row r="44" spans="1:26" s="24" customFormat="1" hidden="1" outlineLevel="2" x14ac:dyDescent="0.25">
      <c r="A44" s="25"/>
      <c r="B44" s="11" t="str">
        <f>CONCATENATE("          ", "6008", " - ", "STUDENT HOURLY-FICA EXEMPT")</f>
        <v xml:space="preserve">          6008 - STUDENT HOURLY-FICA EXEMPT</v>
      </c>
      <c r="C44" s="11"/>
      <c r="D44" s="7"/>
      <c r="E44" s="2"/>
      <c r="F44" s="6">
        <f t="shared" si="20"/>
        <v>0</v>
      </c>
      <c r="G44" s="2"/>
      <c r="H44" s="7">
        <v>10800</v>
      </c>
      <c r="I44" s="2"/>
      <c r="J44" s="6">
        <f t="shared" si="21"/>
        <v>0.10404624277456648</v>
      </c>
      <c r="K44" s="2"/>
      <c r="L44" s="7">
        <f t="shared" si="22"/>
        <v>-10800</v>
      </c>
      <c r="M44" s="2"/>
      <c r="N44" s="6">
        <f t="shared" si="23"/>
        <v>-1</v>
      </c>
      <c r="O44" s="11"/>
      <c r="P44" s="7"/>
      <c r="Q44" s="2"/>
      <c r="R44" s="6">
        <f t="shared" si="24"/>
        <v>0</v>
      </c>
      <c r="S44" s="2"/>
      <c r="T44" s="7">
        <v>20400</v>
      </c>
      <c r="U44" s="2"/>
      <c r="V44" s="6">
        <f t="shared" si="25"/>
        <v>0.10748155953635406</v>
      </c>
      <c r="W44" s="2"/>
      <c r="X44" s="7">
        <f t="shared" si="26"/>
        <v>-20400</v>
      </c>
      <c r="Y44" s="2"/>
      <c r="Z44" s="6">
        <f t="shared" si="27"/>
        <v>-1</v>
      </c>
    </row>
    <row r="45" spans="1:26" s="24" customFormat="1" hidden="1" outlineLevel="2" x14ac:dyDescent="0.25">
      <c r="A45" s="25"/>
      <c r="B45" s="11" t="str">
        <f>CONCATENATE("          ", "6009", " - ", "TEMPORARY-SEASONAL")</f>
        <v xml:space="preserve">          6009 - TEMPORARY-SEASONAL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24" customFormat="1" hidden="1" outlineLevel="2" x14ac:dyDescent="0.25">
      <c r="A46" s="25"/>
      <c r="B46" s="11" t="str">
        <f>CONCATENATE("          ", "6010", " - ", "GRATUITY")</f>
        <v xml:space="preserve">          6010 - GRATUITY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6" customFormat="1" outlineLevel="1" collapsed="1" x14ac:dyDescent="0.25">
      <c r="A47" s="27"/>
      <c r="B47" s="13" t="str">
        <f>CONCATENATE("     ","Advertising/Promo                                 ")</f>
        <v xml:space="preserve">     Advertising/Promo                                 </v>
      </c>
      <c r="C47" s="13"/>
      <c r="D47" s="1">
        <f>SUM(OSRRefD22_2x_0)</f>
        <v>392.74</v>
      </c>
      <c r="E47" s="1"/>
      <c r="F47" s="5">
        <f t="shared" ref="F47:F55" si="28">IF(D$12=0,0,D47/D$12)</f>
        <v>4.0770488951045935E-3</v>
      </c>
      <c r="G47" s="1"/>
      <c r="H47" s="1">
        <f>SUM(OSRRefH22_2x_0)</f>
        <v>0</v>
      </c>
      <c r="I47" s="1"/>
      <c r="J47" s="5">
        <f t="shared" ref="J47:J55" si="29">IF(H$12=0,0,H47/H$12)</f>
        <v>0</v>
      </c>
      <c r="K47" s="1"/>
      <c r="L47" s="1">
        <f t="shared" ref="L47:L55" si="30">+D47-H47</f>
        <v>392.74</v>
      </c>
      <c r="M47" s="1"/>
      <c r="N47" s="5">
        <f t="shared" ref="N47:N55" si="31">IF(H47=0,0,L47/H47)</f>
        <v>0</v>
      </c>
      <c r="O47" s="13"/>
      <c r="P47" s="1">
        <f>SUM(OSRRefP22_2x_0)</f>
        <v>531.21</v>
      </c>
      <c r="Q47" s="1"/>
      <c r="R47" s="5">
        <f t="shared" ref="R47:R55" si="32">IF(P$12=0,0,P47/P$12)</f>
        <v>3.437417435104599E-3</v>
      </c>
      <c r="S47" s="1"/>
      <c r="T47" s="1">
        <f>SUM(OSRRefT22_2x_0)</f>
        <v>100</v>
      </c>
      <c r="U47" s="1"/>
      <c r="V47" s="5">
        <f t="shared" ref="V47:V55" si="33">IF(T$12=0,0,T47/T$12)</f>
        <v>5.2687038988408848E-4</v>
      </c>
      <c r="W47" s="1"/>
      <c r="X47" s="1">
        <f t="shared" ref="X47:X55" si="34">+P47-T47</f>
        <v>431.21000000000004</v>
      </c>
      <c r="Y47" s="1"/>
      <c r="Z47" s="5">
        <f t="shared" ref="Z47:Z55" si="35">IF(T47=0,0,X47/T47)</f>
        <v>4.3121</v>
      </c>
    </row>
    <row r="48" spans="1:26" s="24" customFormat="1" hidden="1" outlineLevel="2" x14ac:dyDescent="0.25">
      <c r="A48" s="25"/>
      <c r="B48" s="11" t="str">
        <f>CONCATENATE("          ", "6362", " - ", "ADVERTISING EXPENSE")</f>
        <v xml:space="preserve">          6362 - ADVERTISING EXPENSE</v>
      </c>
      <c r="C48" s="11"/>
      <c r="D48" s="7">
        <v>392.74</v>
      </c>
      <c r="E48" s="2"/>
      <c r="F48" s="6">
        <f t="shared" si="28"/>
        <v>4.0770488951045935E-3</v>
      </c>
      <c r="G48" s="2"/>
      <c r="H48" s="7"/>
      <c r="I48" s="2"/>
      <c r="J48" s="6">
        <f t="shared" si="29"/>
        <v>0</v>
      </c>
      <c r="K48" s="2"/>
      <c r="L48" s="7">
        <f t="shared" si="30"/>
        <v>392.74</v>
      </c>
      <c r="M48" s="2"/>
      <c r="N48" s="6">
        <f t="shared" si="31"/>
        <v>0</v>
      </c>
      <c r="O48" s="11"/>
      <c r="P48" s="7">
        <v>531.21</v>
      </c>
      <c r="Q48" s="2"/>
      <c r="R48" s="6">
        <f t="shared" si="32"/>
        <v>3.437417435104599E-3</v>
      </c>
      <c r="S48" s="2"/>
      <c r="T48" s="7">
        <v>100</v>
      </c>
      <c r="U48" s="2"/>
      <c r="V48" s="6">
        <f t="shared" si="33"/>
        <v>5.2687038988408848E-4</v>
      </c>
      <c r="W48" s="2"/>
      <c r="X48" s="7">
        <f t="shared" si="34"/>
        <v>431.21000000000004</v>
      </c>
      <c r="Y48" s="2"/>
      <c r="Z48" s="6">
        <f t="shared" si="35"/>
        <v>4.3121</v>
      </c>
    </row>
    <row r="49" spans="1:26" s="26" customFormat="1" outlineLevel="1" collapsed="1" x14ac:dyDescent="0.25">
      <c r="A49" s="27"/>
      <c r="B49" s="13" t="str">
        <f>CONCATENATE("     ","Bad Debts/Over/Short                              ")</f>
        <v xml:space="preserve">     Bad Debts/Over/Short                              </v>
      </c>
      <c r="C49" s="13"/>
      <c r="D49" s="1">
        <f>SUM(OSRRefD22_3x_0)</f>
        <v>-2.0299999999999998</v>
      </c>
      <c r="E49" s="1"/>
      <c r="F49" s="5">
        <f t="shared" si="28"/>
        <v>-2.1073507300153596E-5</v>
      </c>
      <c r="G49" s="1"/>
      <c r="H49" s="1">
        <f>SUM(OSRRefH22_3x_0)</f>
        <v>10</v>
      </c>
      <c r="I49" s="1"/>
      <c r="J49" s="5">
        <f t="shared" si="29"/>
        <v>9.6339113680154144E-5</v>
      </c>
      <c r="K49" s="1"/>
      <c r="L49" s="1">
        <f t="shared" si="30"/>
        <v>-12.03</v>
      </c>
      <c r="M49" s="1"/>
      <c r="N49" s="5">
        <f t="shared" si="31"/>
        <v>-1.2029999999999998</v>
      </c>
      <c r="O49" s="13"/>
      <c r="P49" s="1">
        <f>SUM(OSRRefP22_3x_0)</f>
        <v>0.2</v>
      </c>
      <c r="Q49" s="1"/>
      <c r="R49" s="5">
        <f t="shared" si="32"/>
        <v>1.2941840082470582E-6</v>
      </c>
      <c r="S49" s="1"/>
      <c r="T49" s="1">
        <f>SUM(OSRRefT22_3x_0)</f>
        <v>10</v>
      </c>
      <c r="U49" s="1"/>
      <c r="V49" s="5">
        <f t="shared" si="33"/>
        <v>5.2687038988408854E-5</v>
      </c>
      <c r="W49" s="1"/>
      <c r="X49" s="1">
        <f t="shared" si="34"/>
        <v>-9.8000000000000007</v>
      </c>
      <c r="Y49" s="1"/>
      <c r="Z49" s="5">
        <f t="shared" si="35"/>
        <v>-0.98000000000000009</v>
      </c>
    </row>
    <row r="50" spans="1:26" s="24" customFormat="1" hidden="1" outlineLevel="2" x14ac:dyDescent="0.25">
      <c r="A50" s="25"/>
      <c r="B50" s="11" t="str">
        <f>CONCATENATE("          ", "6272", " - ", "CASH (OVER/SHORT)")</f>
        <v xml:space="preserve">          6272 - CASH (OVER/SHORT)</v>
      </c>
      <c r="C50" s="11"/>
      <c r="D50" s="7">
        <v>-2.0299999999999998</v>
      </c>
      <c r="E50" s="2"/>
      <c r="F50" s="6">
        <f t="shared" si="28"/>
        <v>-2.1073507300153596E-5</v>
      </c>
      <c r="G50" s="2"/>
      <c r="H50" s="7">
        <v>10</v>
      </c>
      <c r="I50" s="2"/>
      <c r="J50" s="6">
        <f t="shared" si="29"/>
        <v>9.6339113680154144E-5</v>
      </c>
      <c r="K50" s="2"/>
      <c r="L50" s="7">
        <f t="shared" si="30"/>
        <v>-12.03</v>
      </c>
      <c r="M50" s="2"/>
      <c r="N50" s="6">
        <f t="shared" si="31"/>
        <v>-1.2029999999999998</v>
      </c>
      <c r="O50" s="11"/>
      <c r="P50" s="7">
        <v>0.2</v>
      </c>
      <c r="Q50" s="2"/>
      <c r="R50" s="6">
        <f t="shared" si="32"/>
        <v>1.2941840082470582E-6</v>
      </c>
      <c r="S50" s="2"/>
      <c r="T50" s="7">
        <v>10</v>
      </c>
      <c r="U50" s="2"/>
      <c r="V50" s="6">
        <f t="shared" si="33"/>
        <v>5.2687038988408854E-5</v>
      </c>
      <c r="W50" s="2"/>
      <c r="X50" s="7">
        <f t="shared" si="34"/>
        <v>-9.8000000000000007</v>
      </c>
      <c r="Y50" s="2"/>
      <c r="Z50" s="6">
        <f t="shared" si="35"/>
        <v>-0.98000000000000009</v>
      </c>
    </row>
    <row r="51" spans="1:26" s="26" customFormat="1" outlineLevel="1" collapsed="1" x14ac:dyDescent="0.25">
      <c r="A51" s="27"/>
      <c r="B51" s="13" t="str">
        <f>CONCATENATE("     ","Bank/card Fees                                    ")</f>
        <v xml:space="preserve">     Bank/card Fees                                    </v>
      </c>
      <c r="C51" s="13"/>
      <c r="D51" s="1">
        <f>SUM(OSRRefD22_4x_0)</f>
        <v>2514.7800000000002</v>
      </c>
      <c r="E51" s="1"/>
      <c r="F51" s="5">
        <f t="shared" si="28"/>
        <v>2.6106026940039544E-2</v>
      </c>
      <c r="G51" s="1"/>
      <c r="H51" s="1">
        <f>SUM(OSRRefH22_4x_0)</f>
        <v>2016</v>
      </c>
      <c r="I51" s="1"/>
      <c r="J51" s="5">
        <f t="shared" si="29"/>
        <v>1.9421965317919076E-2</v>
      </c>
      <c r="K51" s="1"/>
      <c r="L51" s="1">
        <f t="shared" si="30"/>
        <v>498.7800000000002</v>
      </c>
      <c r="M51" s="1"/>
      <c r="N51" s="5">
        <f t="shared" si="31"/>
        <v>0.24741071428571437</v>
      </c>
      <c r="O51" s="13"/>
      <c r="P51" s="1">
        <f>SUM(OSRRefP22_4x_0)</f>
        <v>3779.52</v>
      </c>
      <c r="Q51" s="1"/>
      <c r="R51" s="5">
        <f t="shared" si="32"/>
        <v>2.4456971714249608E-2</v>
      </c>
      <c r="S51" s="1"/>
      <c r="T51" s="1">
        <f>SUM(OSRRefT22_4x_0)</f>
        <v>5366</v>
      </c>
      <c r="U51" s="1"/>
      <c r="V51" s="5">
        <f t="shared" si="33"/>
        <v>2.8271865121180191E-2</v>
      </c>
      <c r="W51" s="1"/>
      <c r="X51" s="1">
        <f t="shared" si="34"/>
        <v>-1586.48</v>
      </c>
      <c r="Y51" s="1"/>
      <c r="Z51" s="5">
        <f t="shared" si="35"/>
        <v>-0.29565411852404028</v>
      </c>
    </row>
    <row r="52" spans="1:26" s="24" customFormat="1" hidden="1" outlineLevel="2" x14ac:dyDescent="0.25">
      <c r="A52" s="25"/>
      <c r="B52" s="11" t="str">
        <f>CONCATENATE("          ", "6381", " - ", "BANK/CREDIT CARD FEES")</f>
        <v xml:space="preserve">          6381 - BANK/CREDIT CARD FEES</v>
      </c>
      <c r="C52" s="11"/>
      <c r="D52" s="7">
        <v>2514.7800000000002</v>
      </c>
      <c r="E52" s="2"/>
      <c r="F52" s="6">
        <f t="shared" si="28"/>
        <v>2.6106026940039544E-2</v>
      </c>
      <c r="G52" s="2"/>
      <c r="H52" s="7">
        <v>2016</v>
      </c>
      <c r="I52" s="2"/>
      <c r="J52" s="6">
        <f t="shared" si="29"/>
        <v>1.9421965317919076E-2</v>
      </c>
      <c r="K52" s="2"/>
      <c r="L52" s="7">
        <f t="shared" si="30"/>
        <v>498.7800000000002</v>
      </c>
      <c r="M52" s="2"/>
      <c r="N52" s="6">
        <f t="shared" si="31"/>
        <v>0.24741071428571437</v>
      </c>
      <c r="O52" s="11"/>
      <c r="P52" s="7">
        <v>3779.52</v>
      </c>
      <c r="Q52" s="2"/>
      <c r="R52" s="6">
        <f t="shared" si="32"/>
        <v>2.4456971714249608E-2</v>
      </c>
      <c r="S52" s="2"/>
      <c r="T52" s="7">
        <v>5366</v>
      </c>
      <c r="U52" s="2"/>
      <c r="V52" s="6">
        <f t="shared" si="33"/>
        <v>2.8271865121180191E-2</v>
      </c>
      <c r="W52" s="2"/>
      <c r="X52" s="7">
        <f t="shared" si="34"/>
        <v>-1586.48</v>
      </c>
      <c r="Y52" s="2"/>
      <c r="Z52" s="6">
        <f t="shared" si="35"/>
        <v>-0.29565411852404028</v>
      </c>
    </row>
    <row r="53" spans="1:26" s="26" customFormat="1" outlineLevel="1" collapsed="1" x14ac:dyDescent="0.25">
      <c r="A53" s="27"/>
      <c r="B53" s="13" t="str">
        <f>CONCATENATE("     ","Depreciation                                      ")</f>
        <v xml:space="preserve">     Depreciation                                      </v>
      </c>
      <c r="C53" s="13"/>
      <c r="D53" s="1">
        <f>SUM(OSRRefD22_5x_0)</f>
        <v>1647.59</v>
      </c>
      <c r="E53" s="1"/>
      <c r="F53" s="5">
        <f t="shared" si="28"/>
        <v>1.7103694528403973E-2</v>
      </c>
      <c r="G53" s="1"/>
      <c r="H53" s="1">
        <f>SUM(OSRRefH22_5x_0)</f>
        <v>2401</v>
      </c>
      <c r="I53" s="1"/>
      <c r="J53" s="5">
        <f t="shared" si="29"/>
        <v>2.3131021194605011E-2</v>
      </c>
      <c r="K53" s="1"/>
      <c r="L53" s="1">
        <f t="shared" si="30"/>
        <v>-753.41000000000008</v>
      </c>
      <c r="M53" s="1"/>
      <c r="N53" s="5">
        <f t="shared" si="31"/>
        <v>-0.31379008746355691</v>
      </c>
      <c r="O53" s="13"/>
      <c r="P53" s="1">
        <f>SUM(OSRRefP22_5x_0)</f>
        <v>4942.7700000000004</v>
      </c>
      <c r="Q53" s="1"/>
      <c r="R53" s="5">
        <f t="shared" si="32"/>
        <v>3.1984269452216559E-2</v>
      </c>
      <c r="S53" s="1"/>
      <c r="T53" s="1">
        <f>SUM(OSRRefT22_5x_0)</f>
        <v>5869</v>
      </c>
      <c r="U53" s="1"/>
      <c r="V53" s="5">
        <f t="shared" si="33"/>
        <v>3.0922023182297156E-2</v>
      </c>
      <c r="W53" s="1"/>
      <c r="X53" s="1">
        <f t="shared" si="34"/>
        <v>-926.22999999999956</v>
      </c>
      <c r="Y53" s="1"/>
      <c r="Z53" s="5">
        <f t="shared" si="35"/>
        <v>-0.15781734537399891</v>
      </c>
    </row>
    <row r="54" spans="1:26" s="24" customFormat="1" hidden="1" outlineLevel="2" x14ac:dyDescent="0.25">
      <c r="A54" s="25"/>
      <c r="B54" s="11" t="str">
        <f>CONCATENATE("          ", "6322", " - ", "EQUIPMENT DEPRECIATION EXPENSE")</f>
        <v xml:space="preserve">          6322 - EQUIPMENT DEPRECIATION EXPENSE</v>
      </c>
      <c r="C54" s="11"/>
      <c r="D54" s="7">
        <v>1647.59</v>
      </c>
      <c r="E54" s="2"/>
      <c r="F54" s="6">
        <f t="shared" si="28"/>
        <v>1.7103694528403973E-2</v>
      </c>
      <c r="G54" s="2"/>
      <c r="H54" s="7">
        <v>1674</v>
      </c>
      <c r="I54" s="2"/>
      <c r="J54" s="6">
        <f t="shared" si="29"/>
        <v>1.6127167630057802E-2</v>
      </c>
      <c r="K54" s="2"/>
      <c r="L54" s="7">
        <f t="shared" si="30"/>
        <v>-26.410000000000082</v>
      </c>
      <c r="M54" s="2"/>
      <c r="N54" s="6">
        <f t="shared" si="31"/>
        <v>-1.5776583034647601E-2</v>
      </c>
      <c r="O54" s="11"/>
      <c r="P54" s="7">
        <v>4942.7700000000004</v>
      </c>
      <c r="Q54" s="2"/>
      <c r="R54" s="6">
        <f t="shared" si="32"/>
        <v>3.1984269452216559E-2</v>
      </c>
      <c r="S54" s="2"/>
      <c r="T54" s="7">
        <v>5022</v>
      </c>
      <c r="U54" s="2"/>
      <c r="V54" s="6">
        <f t="shared" si="33"/>
        <v>2.6459430979978923E-2</v>
      </c>
      <c r="W54" s="2"/>
      <c r="X54" s="7">
        <f t="shared" si="34"/>
        <v>-79.229999999999563</v>
      </c>
      <c r="Y54" s="2"/>
      <c r="Z54" s="6">
        <f t="shared" si="35"/>
        <v>-1.5776583034647462E-2</v>
      </c>
    </row>
    <row r="55" spans="1:26" s="24" customFormat="1" hidden="1" outlineLevel="2" x14ac:dyDescent="0.25">
      <c r="A55" s="25"/>
      <c r="B55" s="11" t="str">
        <f>CONCATENATE("          ", "6324", " - ", "FURNITURE + FIXT DEPRECIATION")</f>
        <v xml:space="preserve">          6324 - FURNITURE + FIXT DEPRECIATION</v>
      </c>
      <c r="C55" s="11"/>
      <c r="D55" s="7"/>
      <c r="E55" s="2"/>
      <c r="F55" s="6">
        <f t="shared" si="28"/>
        <v>0</v>
      </c>
      <c r="G55" s="2"/>
      <c r="H55" s="7">
        <v>727</v>
      </c>
      <c r="I55" s="2"/>
      <c r="J55" s="6">
        <f t="shared" si="29"/>
        <v>7.0038535645472058E-3</v>
      </c>
      <c r="K55" s="2"/>
      <c r="L55" s="7">
        <f t="shared" si="30"/>
        <v>-727</v>
      </c>
      <c r="M55" s="2"/>
      <c r="N55" s="6">
        <f t="shared" si="31"/>
        <v>-1</v>
      </c>
      <c r="O55" s="11"/>
      <c r="P55" s="7"/>
      <c r="Q55" s="2"/>
      <c r="R55" s="6">
        <f t="shared" si="32"/>
        <v>0</v>
      </c>
      <c r="S55" s="2"/>
      <c r="T55" s="7">
        <v>847</v>
      </c>
      <c r="U55" s="2"/>
      <c r="V55" s="6">
        <f t="shared" si="33"/>
        <v>4.4625922023182295E-3</v>
      </c>
      <c r="W55" s="2"/>
      <c r="X55" s="7">
        <f t="shared" si="34"/>
        <v>-847</v>
      </c>
      <c r="Y55" s="2"/>
      <c r="Z55" s="6">
        <f t="shared" si="35"/>
        <v>-1</v>
      </c>
    </row>
    <row r="56" spans="1:26" s="26" customFormat="1" outlineLevel="1" collapsed="1" x14ac:dyDescent="0.25">
      <c r="A56" s="27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SUM(OSRRefD22_6x_0)</f>
        <v>0</v>
      </c>
      <c r="E56" s="1"/>
      <c r="F56" s="5">
        <f t="shared" ref="F56:F77" si="36">IF(D$12=0,0,D56/D$12)</f>
        <v>0</v>
      </c>
      <c r="G56" s="1"/>
      <c r="H56" s="1">
        <f>SUM(OSRRefH22_6x_0)</f>
        <v>0</v>
      </c>
      <c r="I56" s="1"/>
      <c r="J56" s="5">
        <f t="shared" ref="J56:J77" si="37">IF(H$12=0,0,H56/H$12)</f>
        <v>0</v>
      </c>
      <c r="K56" s="1"/>
      <c r="L56" s="1">
        <f t="shared" ref="L56:L77" si="38">+D56-H56</f>
        <v>0</v>
      </c>
      <c r="M56" s="1"/>
      <c r="N56" s="5">
        <f t="shared" ref="N56:N77" si="39">IF(H56=0,0,L56/H56)</f>
        <v>0</v>
      </c>
      <c r="O56" s="13"/>
      <c r="P56" s="1">
        <f>SUM(OSRRefP22_6x_0)</f>
        <v>0</v>
      </c>
      <c r="Q56" s="1"/>
      <c r="R56" s="5">
        <f t="shared" ref="R56:R77" si="40">IF(P$12=0,0,P56/P$12)</f>
        <v>0</v>
      </c>
      <c r="S56" s="1"/>
      <c r="T56" s="1">
        <f>SUM(OSRRefT22_6x_0)</f>
        <v>40</v>
      </c>
      <c r="U56" s="1"/>
      <c r="V56" s="5">
        <f t="shared" ref="V56:V77" si="41">IF(T$12=0,0,T56/T$12)</f>
        <v>2.1074815595363542E-4</v>
      </c>
      <c r="W56" s="1"/>
      <c r="X56" s="1">
        <f t="shared" ref="X56:X77" si="42">+P56-T56</f>
        <v>-40</v>
      </c>
      <c r="Y56" s="1"/>
      <c r="Z56" s="5">
        <f t="shared" ref="Z56:Z77" si="43">IF(T56=0,0,X56/T56)</f>
        <v>-1</v>
      </c>
    </row>
    <row r="57" spans="1:26" s="24" customFormat="1" hidden="1" outlineLevel="2" x14ac:dyDescent="0.25">
      <c r="A57" s="25"/>
      <c r="B57" s="11" t="str">
        <f>CONCATENATE("          ", "6277", " - ", "EMPLOYEE APPRECIATION")</f>
        <v xml:space="preserve">          6277 - EMPLOYEE APPRECIATION</v>
      </c>
      <c r="C57" s="11"/>
      <c r="D57" s="7"/>
      <c r="E57" s="2"/>
      <c r="F57" s="6">
        <f t="shared" si="36"/>
        <v>0</v>
      </c>
      <c r="G57" s="2"/>
      <c r="H57" s="7"/>
      <c r="I57" s="2"/>
      <c r="J57" s="6">
        <f t="shared" si="37"/>
        <v>0</v>
      </c>
      <c r="K57" s="2"/>
      <c r="L57" s="7">
        <f t="shared" si="38"/>
        <v>0</v>
      </c>
      <c r="M57" s="2"/>
      <c r="N57" s="6">
        <f t="shared" si="39"/>
        <v>0</v>
      </c>
      <c r="O57" s="11"/>
      <c r="P57" s="7"/>
      <c r="Q57" s="2"/>
      <c r="R57" s="6">
        <f t="shared" si="40"/>
        <v>0</v>
      </c>
      <c r="S57" s="2"/>
      <c r="T57" s="7">
        <v>40</v>
      </c>
      <c r="U57" s="2"/>
      <c r="V57" s="6">
        <f t="shared" si="41"/>
        <v>2.1074815595363542E-4</v>
      </c>
      <c r="W57" s="2"/>
      <c r="X57" s="7">
        <f t="shared" si="42"/>
        <v>-40</v>
      </c>
      <c r="Y57" s="2"/>
      <c r="Z57" s="6">
        <f t="shared" si="43"/>
        <v>-1</v>
      </c>
    </row>
    <row r="58" spans="1:26" s="26" customFormat="1" outlineLevel="1" collapsed="1" x14ac:dyDescent="0.25">
      <c r="A58" s="27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SUM(OSRRefD22_7x_0)</f>
        <v>118.91</v>
      </c>
      <c r="E58" s="1"/>
      <c r="F58" s="5">
        <f t="shared" si="36"/>
        <v>1.234409237961214E-3</v>
      </c>
      <c r="G58" s="1"/>
      <c r="H58" s="1">
        <f>SUM(OSRRefH22_7x_0)</f>
        <v>0</v>
      </c>
      <c r="I58" s="1"/>
      <c r="J58" s="5">
        <f t="shared" si="37"/>
        <v>0</v>
      </c>
      <c r="K58" s="1"/>
      <c r="L58" s="1">
        <f t="shared" si="38"/>
        <v>118.91</v>
      </c>
      <c r="M58" s="1"/>
      <c r="N58" s="5">
        <f t="shared" si="39"/>
        <v>0</v>
      </c>
      <c r="O58" s="13"/>
      <c r="P58" s="1">
        <f>SUM(OSRRefP22_7x_0)</f>
        <v>356.73</v>
      </c>
      <c r="Q58" s="1"/>
      <c r="R58" s="5">
        <f t="shared" si="40"/>
        <v>2.3083713063098655E-3</v>
      </c>
      <c r="S58" s="1"/>
      <c r="T58" s="1">
        <f>SUM(OSRRefT22_7x_0)</f>
        <v>0</v>
      </c>
      <c r="U58" s="1"/>
      <c r="V58" s="5">
        <f t="shared" si="41"/>
        <v>0</v>
      </c>
      <c r="W58" s="1"/>
      <c r="X58" s="1">
        <f t="shared" si="42"/>
        <v>356.73</v>
      </c>
      <c r="Y58" s="1"/>
      <c r="Z58" s="5">
        <f t="shared" si="43"/>
        <v>0</v>
      </c>
    </row>
    <row r="59" spans="1:26" s="24" customFormat="1" hidden="1" outlineLevel="2" x14ac:dyDescent="0.25">
      <c r="A59" s="25"/>
      <c r="B59" s="11" t="str">
        <f>CONCATENATE("          ", "6351", " - ", "EQUIPMENT RENTAL")</f>
        <v xml:space="preserve">          6351 - EQUIPMENT RENTAL</v>
      </c>
      <c r="C59" s="11"/>
      <c r="D59" s="7">
        <v>118.91</v>
      </c>
      <c r="E59" s="2"/>
      <c r="F59" s="6">
        <f t="shared" si="36"/>
        <v>1.234409237961214E-3</v>
      </c>
      <c r="G59" s="2"/>
      <c r="H59" s="7"/>
      <c r="I59" s="2"/>
      <c r="J59" s="6">
        <f t="shared" si="37"/>
        <v>0</v>
      </c>
      <c r="K59" s="2"/>
      <c r="L59" s="7">
        <f t="shared" si="38"/>
        <v>118.91</v>
      </c>
      <c r="M59" s="2"/>
      <c r="N59" s="6">
        <f t="shared" si="39"/>
        <v>0</v>
      </c>
      <c r="O59" s="11"/>
      <c r="P59" s="7">
        <v>356.73</v>
      </c>
      <c r="Q59" s="2"/>
      <c r="R59" s="6">
        <f t="shared" si="40"/>
        <v>2.3083713063098655E-3</v>
      </c>
      <c r="S59" s="2"/>
      <c r="T59" s="7"/>
      <c r="U59" s="2"/>
      <c r="V59" s="6">
        <f t="shared" si="41"/>
        <v>0</v>
      </c>
      <c r="W59" s="2"/>
      <c r="X59" s="7">
        <f t="shared" si="42"/>
        <v>356.73</v>
      </c>
      <c r="Y59" s="2"/>
      <c r="Z59" s="6">
        <f t="shared" si="43"/>
        <v>0</v>
      </c>
    </row>
    <row r="60" spans="1:26" s="26" customFormat="1" outlineLevel="1" collapsed="1" x14ac:dyDescent="0.25">
      <c r="A60" s="27"/>
      <c r="B60" s="13" t="str">
        <f>CONCATENATE("     ","General                                           ")</f>
        <v xml:space="preserve">     General                                           </v>
      </c>
      <c r="C60" s="13"/>
      <c r="D60" s="1">
        <f>SUM(OSRRefD22_8x_0)</f>
        <v>967.23</v>
      </c>
      <c r="E60" s="1"/>
      <c r="F60" s="5">
        <f t="shared" si="36"/>
        <v>1.0040851461048063E-2</v>
      </c>
      <c r="G60" s="1"/>
      <c r="H60" s="1">
        <f>SUM(OSRRefH22_8x_0)</f>
        <v>1300</v>
      </c>
      <c r="I60" s="1"/>
      <c r="J60" s="5">
        <f t="shared" si="37"/>
        <v>1.2524084778420038E-2</v>
      </c>
      <c r="K60" s="1"/>
      <c r="L60" s="1">
        <f t="shared" si="38"/>
        <v>-332.77</v>
      </c>
      <c r="M60" s="1"/>
      <c r="N60" s="5">
        <f t="shared" si="39"/>
        <v>-0.25597692307692305</v>
      </c>
      <c r="O60" s="13"/>
      <c r="P60" s="1">
        <f>SUM(OSRRefP22_8x_0)</f>
        <v>2736.74</v>
      </c>
      <c r="Q60" s="1"/>
      <c r="R60" s="5">
        <f t="shared" si="40"/>
        <v>1.7709225713650269E-2</v>
      </c>
      <c r="S60" s="1"/>
      <c r="T60" s="1">
        <f>SUM(OSRRefT22_8x_0)</f>
        <v>3600</v>
      </c>
      <c r="U60" s="1"/>
      <c r="V60" s="5">
        <f t="shared" si="41"/>
        <v>1.8967334035827187E-2</v>
      </c>
      <c r="W60" s="1"/>
      <c r="X60" s="1">
        <f t="shared" si="42"/>
        <v>-863.26000000000022</v>
      </c>
      <c r="Y60" s="1"/>
      <c r="Z60" s="5">
        <f t="shared" si="43"/>
        <v>-0.2397944444444445</v>
      </c>
    </row>
    <row r="61" spans="1:26" s="24" customFormat="1" hidden="1" outlineLevel="2" x14ac:dyDescent="0.25">
      <c r="A61" s="25"/>
      <c r="B61" s="11" t="str">
        <f>CONCATENATE("          ", "6279", " - ", "GENERAL EXPENSE")</f>
        <v xml:space="preserve">          6279 - GENERAL EXPENSE</v>
      </c>
      <c r="C61" s="11"/>
      <c r="D61" s="7">
        <v>967.23</v>
      </c>
      <c r="E61" s="2"/>
      <c r="F61" s="6">
        <f t="shared" si="36"/>
        <v>1.0040851461048063E-2</v>
      </c>
      <c r="G61" s="2"/>
      <c r="H61" s="7">
        <v>1300</v>
      </c>
      <c r="I61" s="2"/>
      <c r="J61" s="6">
        <f t="shared" si="37"/>
        <v>1.2524084778420038E-2</v>
      </c>
      <c r="K61" s="2"/>
      <c r="L61" s="7">
        <f t="shared" si="38"/>
        <v>-332.77</v>
      </c>
      <c r="M61" s="2"/>
      <c r="N61" s="6">
        <f t="shared" si="39"/>
        <v>-0.25597692307692305</v>
      </c>
      <c r="O61" s="11"/>
      <c r="P61" s="7">
        <v>2736.74</v>
      </c>
      <c r="Q61" s="2"/>
      <c r="R61" s="6">
        <f t="shared" si="40"/>
        <v>1.7709225713650269E-2</v>
      </c>
      <c r="S61" s="2"/>
      <c r="T61" s="7">
        <v>3600</v>
      </c>
      <c r="U61" s="2"/>
      <c r="V61" s="6">
        <f t="shared" si="41"/>
        <v>1.8967334035827187E-2</v>
      </c>
      <c r="W61" s="2"/>
      <c r="X61" s="7">
        <f t="shared" si="42"/>
        <v>-863.26000000000022</v>
      </c>
      <c r="Y61" s="2"/>
      <c r="Z61" s="6">
        <f t="shared" si="43"/>
        <v>-0.2397944444444445</v>
      </c>
    </row>
    <row r="62" spans="1:26" s="26" customFormat="1" outlineLevel="1" collapsed="1" x14ac:dyDescent="0.25">
      <c r="A62" s="27"/>
      <c r="B62" s="13" t="str">
        <f>CONCATENATE("     ","Repair and Maintenance                            ")</f>
        <v xml:space="preserve">     Repair and Maintenance                            </v>
      </c>
      <c r="C62" s="13"/>
      <c r="D62" s="1">
        <f>SUM(OSRRefD22_9x_0)</f>
        <v>410.33</v>
      </c>
      <c r="E62" s="1"/>
      <c r="F62" s="5">
        <f t="shared" si="36"/>
        <v>4.2596513549123284E-3</v>
      </c>
      <c r="G62" s="1"/>
      <c r="H62" s="1">
        <f>SUM(OSRRefH22_9x_0)</f>
        <v>500</v>
      </c>
      <c r="I62" s="1"/>
      <c r="J62" s="5">
        <f t="shared" si="37"/>
        <v>4.8169556840077067E-3</v>
      </c>
      <c r="K62" s="1"/>
      <c r="L62" s="1">
        <f t="shared" si="38"/>
        <v>-89.670000000000016</v>
      </c>
      <c r="M62" s="1"/>
      <c r="N62" s="5">
        <f t="shared" si="39"/>
        <v>-0.17934000000000003</v>
      </c>
      <c r="O62" s="13"/>
      <c r="P62" s="1">
        <f>SUM(OSRRefP22_9x_0)</f>
        <v>3594.63</v>
      </c>
      <c r="Q62" s="1"/>
      <c r="R62" s="5">
        <f t="shared" si="40"/>
        <v>2.3260563307825614E-2</v>
      </c>
      <c r="S62" s="1"/>
      <c r="T62" s="1">
        <f>SUM(OSRRefT22_9x_0)</f>
        <v>1500</v>
      </c>
      <c r="U62" s="1"/>
      <c r="V62" s="5">
        <f t="shared" si="41"/>
        <v>7.9030558482613283E-3</v>
      </c>
      <c r="W62" s="1"/>
      <c r="X62" s="1">
        <f t="shared" si="42"/>
        <v>2094.63</v>
      </c>
      <c r="Y62" s="1"/>
      <c r="Z62" s="5">
        <f t="shared" si="43"/>
        <v>1.39642</v>
      </c>
    </row>
    <row r="63" spans="1:26" s="24" customFormat="1" hidden="1" outlineLevel="2" x14ac:dyDescent="0.25">
      <c r="A63" s="25"/>
      <c r="B63" s="11" t="str">
        <f>CONCATENATE("          ", "6375", " - ", "OUTSIDE REPAIRS &amp; MAINTENANCE")</f>
        <v xml:space="preserve">          6375 - OUTSIDE REPAIRS &amp; MAINTENANCE</v>
      </c>
      <c r="C63" s="11"/>
      <c r="D63" s="7">
        <v>410.33</v>
      </c>
      <c r="E63" s="2"/>
      <c r="F63" s="6">
        <f t="shared" si="36"/>
        <v>4.2596513549123284E-3</v>
      </c>
      <c r="G63" s="2"/>
      <c r="H63" s="7">
        <v>500</v>
      </c>
      <c r="I63" s="2"/>
      <c r="J63" s="6">
        <f t="shared" si="37"/>
        <v>4.8169556840077067E-3</v>
      </c>
      <c r="K63" s="2"/>
      <c r="L63" s="7">
        <f t="shared" si="38"/>
        <v>-89.670000000000016</v>
      </c>
      <c r="M63" s="2"/>
      <c r="N63" s="6">
        <f t="shared" si="39"/>
        <v>-0.17934000000000003</v>
      </c>
      <c r="O63" s="11"/>
      <c r="P63" s="7">
        <v>3594.63</v>
      </c>
      <c r="Q63" s="2"/>
      <c r="R63" s="6">
        <f t="shared" si="40"/>
        <v>2.3260563307825614E-2</v>
      </c>
      <c r="S63" s="2"/>
      <c r="T63" s="7">
        <v>1500</v>
      </c>
      <c r="U63" s="2"/>
      <c r="V63" s="6">
        <f t="shared" si="41"/>
        <v>7.9030558482613283E-3</v>
      </c>
      <c r="W63" s="2"/>
      <c r="X63" s="7">
        <f t="shared" si="42"/>
        <v>2094.63</v>
      </c>
      <c r="Y63" s="2"/>
      <c r="Z63" s="6">
        <f t="shared" si="43"/>
        <v>1.39642</v>
      </c>
    </row>
    <row r="64" spans="1:26" s="26" customFormat="1" outlineLevel="1" collapsed="1" x14ac:dyDescent="0.25">
      <c r="A64" s="27"/>
      <c r="B64" s="13" t="str">
        <f>CONCATENATE("     ","Royalty &amp; Commissions                             ")</f>
        <v xml:space="preserve">     Royalty &amp; Commissions                             </v>
      </c>
      <c r="C64" s="13"/>
      <c r="D64" s="1">
        <f>SUM(OSRRefD22_10x_0)</f>
        <v>7706.32</v>
      </c>
      <c r="E64" s="1"/>
      <c r="F64" s="5">
        <f t="shared" si="36"/>
        <v>7.9999601368137774E-2</v>
      </c>
      <c r="G64" s="1"/>
      <c r="H64" s="1">
        <f>SUM(OSRRefH22_10x_0)</f>
        <v>8640</v>
      </c>
      <c r="I64" s="1"/>
      <c r="J64" s="5">
        <f t="shared" si="37"/>
        <v>8.3236994219653179E-2</v>
      </c>
      <c r="K64" s="1"/>
      <c r="L64" s="1">
        <f t="shared" si="38"/>
        <v>-933.68000000000029</v>
      </c>
      <c r="M64" s="1"/>
      <c r="N64" s="5">
        <f t="shared" si="39"/>
        <v>-0.10806481481481485</v>
      </c>
      <c r="O64" s="13"/>
      <c r="P64" s="1">
        <f>SUM(OSRRefP22_10x_0)</f>
        <v>9143.2000000000007</v>
      </c>
      <c r="Q64" s="1"/>
      <c r="R64" s="5">
        <f t="shared" si="40"/>
        <v>5.9164916121022516E-2</v>
      </c>
      <c r="S64" s="1"/>
      <c r="T64" s="1">
        <f>SUM(OSRRefT22_10x_0)</f>
        <v>15520</v>
      </c>
      <c r="U64" s="1"/>
      <c r="V64" s="5">
        <f t="shared" si="41"/>
        <v>8.1770284510010532E-2</v>
      </c>
      <c r="W64" s="1"/>
      <c r="X64" s="1">
        <f t="shared" si="42"/>
        <v>-6376.7999999999993</v>
      </c>
      <c r="Y64" s="1"/>
      <c r="Z64" s="5">
        <f t="shared" si="43"/>
        <v>-0.41087628865979375</v>
      </c>
    </row>
    <row r="65" spans="1:26" s="24" customFormat="1" hidden="1" outlineLevel="2" x14ac:dyDescent="0.25">
      <c r="A65" s="25"/>
      <c r="B65" s="11" t="str">
        <f>CONCATENATE("          ", "6259", " - ", "ROYALTY &amp; COMMISSIONS")</f>
        <v xml:space="preserve">          6259 - ROYALTY &amp; COMMISSIONS</v>
      </c>
      <c r="C65" s="11"/>
      <c r="D65" s="7">
        <v>7706.32</v>
      </c>
      <c r="E65" s="2"/>
      <c r="F65" s="6">
        <f t="shared" si="36"/>
        <v>7.9999601368137774E-2</v>
      </c>
      <c r="G65" s="2"/>
      <c r="H65" s="7">
        <v>8640</v>
      </c>
      <c r="I65" s="2"/>
      <c r="J65" s="6">
        <f t="shared" si="37"/>
        <v>8.3236994219653179E-2</v>
      </c>
      <c r="K65" s="2"/>
      <c r="L65" s="7">
        <f t="shared" si="38"/>
        <v>-933.68000000000029</v>
      </c>
      <c r="M65" s="2"/>
      <c r="N65" s="6">
        <f t="shared" si="39"/>
        <v>-0.10806481481481485</v>
      </c>
      <c r="O65" s="11"/>
      <c r="P65" s="7">
        <v>9143.2000000000007</v>
      </c>
      <c r="Q65" s="2"/>
      <c r="R65" s="6">
        <f t="shared" si="40"/>
        <v>5.9164916121022516E-2</v>
      </c>
      <c r="S65" s="2"/>
      <c r="T65" s="7">
        <v>15520</v>
      </c>
      <c r="U65" s="2"/>
      <c r="V65" s="6">
        <f t="shared" si="41"/>
        <v>8.1770284510010532E-2</v>
      </c>
      <c r="W65" s="2"/>
      <c r="X65" s="7">
        <f t="shared" si="42"/>
        <v>-6376.7999999999993</v>
      </c>
      <c r="Y65" s="2"/>
      <c r="Z65" s="6">
        <f t="shared" si="43"/>
        <v>-0.41087628865979375</v>
      </c>
    </row>
    <row r="66" spans="1:26" s="26" customFormat="1" outlineLevel="1" collapsed="1" x14ac:dyDescent="0.25">
      <c r="A66" s="27"/>
      <c r="B66" s="13" t="str">
        <f>CONCATENATE("     ","Services                                          ")</f>
        <v xml:space="preserve">     Services                                          </v>
      </c>
      <c r="C66" s="13"/>
      <c r="D66" s="1">
        <f>SUM(OSRRefD22_11x_0)</f>
        <v>0</v>
      </c>
      <c r="E66" s="1"/>
      <c r="F66" s="5">
        <f t="shared" si="36"/>
        <v>0</v>
      </c>
      <c r="G66" s="1"/>
      <c r="H66" s="1">
        <f>SUM(OSRRefH22_11x_0)</f>
        <v>120</v>
      </c>
      <c r="I66" s="1"/>
      <c r="J66" s="5">
        <f t="shared" si="37"/>
        <v>1.1560693641618498E-3</v>
      </c>
      <c r="K66" s="1"/>
      <c r="L66" s="1">
        <f t="shared" si="38"/>
        <v>-120</v>
      </c>
      <c r="M66" s="1"/>
      <c r="N66" s="5">
        <f t="shared" si="39"/>
        <v>-1</v>
      </c>
      <c r="O66" s="13"/>
      <c r="P66" s="1">
        <f>SUM(OSRRefP22_11x_0)</f>
        <v>86.1</v>
      </c>
      <c r="Q66" s="1"/>
      <c r="R66" s="5">
        <f t="shared" si="40"/>
        <v>5.571462155503585E-4</v>
      </c>
      <c r="S66" s="1"/>
      <c r="T66" s="1">
        <f>SUM(OSRRefT22_11x_0)</f>
        <v>360</v>
      </c>
      <c r="U66" s="1"/>
      <c r="V66" s="5">
        <f t="shared" si="41"/>
        <v>1.8967334035827187E-3</v>
      </c>
      <c r="W66" s="1"/>
      <c r="X66" s="1">
        <f t="shared" si="42"/>
        <v>-273.89999999999998</v>
      </c>
      <c r="Y66" s="1"/>
      <c r="Z66" s="5">
        <f t="shared" si="43"/>
        <v>-0.76083333333333325</v>
      </c>
    </row>
    <row r="67" spans="1:26" s="24" customFormat="1" hidden="1" outlineLevel="2" x14ac:dyDescent="0.25">
      <c r="A67" s="25"/>
      <c r="B67" s="11" t="str">
        <f>CONCATENATE("          ", "6286", " - ", "LAUNDRY EXPENSE")</f>
        <v xml:space="preserve">          6286 - LAUNDRY EXPENSE</v>
      </c>
      <c r="C67" s="11"/>
      <c r="D67" s="7"/>
      <c r="E67" s="2"/>
      <c r="F67" s="6">
        <f t="shared" si="36"/>
        <v>0</v>
      </c>
      <c r="G67" s="2"/>
      <c r="H67" s="7">
        <v>120</v>
      </c>
      <c r="I67" s="2"/>
      <c r="J67" s="6">
        <f t="shared" si="37"/>
        <v>1.1560693641618498E-3</v>
      </c>
      <c r="K67" s="2"/>
      <c r="L67" s="7">
        <f t="shared" si="38"/>
        <v>-120</v>
      </c>
      <c r="M67" s="2"/>
      <c r="N67" s="6">
        <f t="shared" si="39"/>
        <v>-1</v>
      </c>
      <c r="O67" s="11"/>
      <c r="P67" s="7">
        <v>86.1</v>
      </c>
      <c r="Q67" s="2"/>
      <c r="R67" s="6">
        <f t="shared" si="40"/>
        <v>5.571462155503585E-4</v>
      </c>
      <c r="S67" s="2"/>
      <c r="T67" s="7">
        <v>360</v>
      </c>
      <c r="U67" s="2"/>
      <c r="V67" s="6">
        <f t="shared" si="41"/>
        <v>1.8967334035827187E-3</v>
      </c>
      <c r="W67" s="2"/>
      <c r="X67" s="7">
        <f t="shared" si="42"/>
        <v>-273.89999999999998</v>
      </c>
      <c r="Y67" s="2"/>
      <c r="Z67" s="6">
        <f t="shared" si="43"/>
        <v>-0.76083333333333325</v>
      </c>
    </row>
    <row r="68" spans="1:26" s="26" customFormat="1" outlineLevel="1" collapsed="1" x14ac:dyDescent="0.25">
      <c r="A68" s="27"/>
      <c r="B68" s="13" t="str">
        <f>CONCATENATE("     ","Subscriptions &amp; Dues                              ")</f>
        <v xml:space="preserve">     Subscriptions &amp; Dues                              </v>
      </c>
      <c r="C68" s="13"/>
      <c r="D68" s="1">
        <f>SUM(OSRRefD22_12x_0)</f>
        <v>30.68</v>
      </c>
      <c r="E68" s="1"/>
      <c r="F68" s="5">
        <f t="shared" si="36"/>
        <v>3.1849024826044947E-4</v>
      </c>
      <c r="G68" s="1"/>
      <c r="H68" s="1">
        <f>SUM(OSRRefH22_12x_0)</f>
        <v>0</v>
      </c>
      <c r="I68" s="1"/>
      <c r="J68" s="5">
        <f t="shared" si="37"/>
        <v>0</v>
      </c>
      <c r="K68" s="1"/>
      <c r="L68" s="1">
        <f t="shared" si="38"/>
        <v>30.68</v>
      </c>
      <c r="M68" s="1"/>
      <c r="N68" s="5">
        <f t="shared" si="39"/>
        <v>0</v>
      </c>
      <c r="O68" s="13"/>
      <c r="P68" s="1">
        <f>SUM(OSRRefP22_12x_0)</f>
        <v>61.36</v>
      </c>
      <c r="Q68" s="1"/>
      <c r="R68" s="5">
        <f t="shared" si="40"/>
        <v>3.9705565373019747E-4</v>
      </c>
      <c r="S68" s="1"/>
      <c r="T68" s="1">
        <f>SUM(OSRRefT22_12x_0)</f>
        <v>0</v>
      </c>
      <c r="U68" s="1"/>
      <c r="V68" s="5">
        <f t="shared" si="41"/>
        <v>0</v>
      </c>
      <c r="W68" s="1"/>
      <c r="X68" s="1">
        <f t="shared" si="42"/>
        <v>61.36</v>
      </c>
      <c r="Y68" s="1"/>
      <c r="Z68" s="5">
        <f t="shared" si="43"/>
        <v>0</v>
      </c>
    </row>
    <row r="69" spans="1:26" s="24" customFormat="1" hidden="1" outlineLevel="2" x14ac:dyDescent="0.25">
      <c r="A69" s="25"/>
      <c r="B69" s="11" t="str">
        <f>CONCATENATE("          ", "6275", " - ", "SUBSCRIPTIONS")</f>
        <v xml:space="preserve">          6275 - SUBSCRIPTIONS</v>
      </c>
      <c r="C69" s="11"/>
      <c r="D69" s="7">
        <v>30.68</v>
      </c>
      <c r="E69" s="2"/>
      <c r="F69" s="6">
        <f t="shared" si="36"/>
        <v>3.1849024826044947E-4</v>
      </c>
      <c r="G69" s="2"/>
      <c r="H69" s="7"/>
      <c r="I69" s="2"/>
      <c r="J69" s="6">
        <f t="shared" si="37"/>
        <v>0</v>
      </c>
      <c r="K69" s="2"/>
      <c r="L69" s="7">
        <f t="shared" si="38"/>
        <v>30.68</v>
      </c>
      <c r="M69" s="2"/>
      <c r="N69" s="6">
        <f t="shared" si="39"/>
        <v>0</v>
      </c>
      <c r="O69" s="11"/>
      <c r="P69" s="7">
        <v>61.36</v>
      </c>
      <c r="Q69" s="2"/>
      <c r="R69" s="6">
        <f t="shared" si="40"/>
        <v>3.9705565373019747E-4</v>
      </c>
      <c r="S69" s="2"/>
      <c r="T69" s="7"/>
      <c r="U69" s="2"/>
      <c r="V69" s="6">
        <f t="shared" si="41"/>
        <v>0</v>
      </c>
      <c r="W69" s="2"/>
      <c r="X69" s="7">
        <f t="shared" si="42"/>
        <v>61.36</v>
      </c>
      <c r="Y69" s="2"/>
      <c r="Z69" s="6">
        <f t="shared" si="43"/>
        <v>0</v>
      </c>
    </row>
    <row r="70" spans="1:26" s="26" customFormat="1" outlineLevel="1" collapsed="1" x14ac:dyDescent="0.25">
      <c r="A70" s="27"/>
      <c r="B70" s="13" t="str">
        <f>CONCATENATE("     ","Supplies                                          ")</f>
        <v xml:space="preserve">     Supplies                                          </v>
      </c>
      <c r="C70" s="13"/>
      <c r="D70" s="1">
        <f>SUM(OSRRefD22_13x_0)</f>
        <v>692.48</v>
      </c>
      <c r="E70" s="1"/>
      <c r="F70" s="5">
        <f t="shared" si="36"/>
        <v>7.1886612488721007E-3</v>
      </c>
      <c r="G70" s="1"/>
      <c r="H70" s="1">
        <f>SUM(OSRRefH22_13x_0)</f>
        <v>1150</v>
      </c>
      <c r="I70" s="1"/>
      <c r="J70" s="5">
        <f t="shared" si="37"/>
        <v>1.1078998073217727E-2</v>
      </c>
      <c r="K70" s="1"/>
      <c r="L70" s="1">
        <f t="shared" si="38"/>
        <v>-457.52</v>
      </c>
      <c r="M70" s="1"/>
      <c r="N70" s="5">
        <f t="shared" si="39"/>
        <v>-0.39784347826086958</v>
      </c>
      <c r="O70" s="13"/>
      <c r="P70" s="1">
        <f>SUM(OSRRefP22_13x_0)</f>
        <v>5366.15</v>
      </c>
      <c r="Q70" s="1"/>
      <c r="R70" s="5">
        <f t="shared" si="40"/>
        <v>3.4723927579274755E-2</v>
      </c>
      <c r="S70" s="1"/>
      <c r="T70" s="1">
        <f>SUM(OSRRefT22_13x_0)</f>
        <v>5206</v>
      </c>
      <c r="U70" s="1"/>
      <c r="V70" s="5">
        <f t="shared" si="41"/>
        <v>2.7428872497365649E-2</v>
      </c>
      <c r="W70" s="1"/>
      <c r="X70" s="1">
        <f t="shared" si="42"/>
        <v>160.14999999999964</v>
      </c>
      <c r="Y70" s="1"/>
      <c r="Z70" s="5">
        <f t="shared" si="43"/>
        <v>3.0762581636573114E-2</v>
      </c>
    </row>
    <row r="71" spans="1:26" s="24" customFormat="1" hidden="1" outlineLevel="2" x14ac:dyDescent="0.25">
      <c r="A71" s="25"/>
      <c r="B71" s="11" t="str">
        <f>CONCATENATE("          ", "6237", " - ", "JANITORIAL SUPPLIES")</f>
        <v xml:space="preserve">          6237 - JANITORIAL SUPPLIES</v>
      </c>
      <c r="C71" s="11"/>
      <c r="D71" s="7">
        <v>-12.34</v>
      </c>
      <c r="E71" s="2"/>
      <c r="F71" s="6">
        <f t="shared" si="36"/>
        <v>-1.2810200989354453E-4</v>
      </c>
      <c r="G71" s="2"/>
      <c r="H71" s="7"/>
      <c r="I71" s="2"/>
      <c r="J71" s="6">
        <f t="shared" si="37"/>
        <v>0</v>
      </c>
      <c r="K71" s="2"/>
      <c r="L71" s="7">
        <f t="shared" si="38"/>
        <v>-12.34</v>
      </c>
      <c r="M71" s="2"/>
      <c r="N71" s="6">
        <f t="shared" si="39"/>
        <v>0</v>
      </c>
      <c r="O71" s="11"/>
      <c r="P71" s="7">
        <v>105.29</v>
      </c>
      <c r="Q71" s="2"/>
      <c r="R71" s="6">
        <f t="shared" si="40"/>
        <v>6.8132317114166384E-4</v>
      </c>
      <c r="S71" s="2"/>
      <c r="T71" s="7"/>
      <c r="U71" s="2"/>
      <c r="V71" s="6">
        <f t="shared" si="41"/>
        <v>0</v>
      </c>
      <c r="W71" s="2"/>
      <c r="X71" s="7">
        <f t="shared" si="42"/>
        <v>105.29</v>
      </c>
      <c r="Y71" s="2"/>
      <c r="Z71" s="6">
        <f t="shared" si="43"/>
        <v>0</v>
      </c>
    </row>
    <row r="72" spans="1:26" s="24" customFormat="1" hidden="1" outlineLevel="2" x14ac:dyDescent="0.25">
      <c r="A72" s="25"/>
      <c r="B72" s="11" t="str">
        <f>CONCATENATE("          ", "6239", " - ", "KITCHEN SUPPLIES")</f>
        <v xml:space="preserve">          6239 - KITCHEN SUPPLIES</v>
      </c>
      <c r="C72" s="11"/>
      <c r="D72" s="7">
        <v>238.37</v>
      </c>
      <c r="E72" s="2"/>
      <c r="F72" s="6">
        <f t="shared" si="36"/>
        <v>2.4745280468658195E-3</v>
      </c>
      <c r="G72" s="2"/>
      <c r="H72" s="7">
        <v>180</v>
      </c>
      <c r="I72" s="2"/>
      <c r="J72" s="6">
        <f t="shared" si="37"/>
        <v>1.7341040462427746E-3</v>
      </c>
      <c r="K72" s="2"/>
      <c r="L72" s="7">
        <f t="shared" si="38"/>
        <v>58.370000000000005</v>
      </c>
      <c r="M72" s="2"/>
      <c r="N72" s="6">
        <f t="shared" si="39"/>
        <v>0.32427777777777778</v>
      </c>
      <c r="O72" s="11"/>
      <c r="P72" s="7">
        <v>1905.7</v>
      </c>
      <c r="Q72" s="2"/>
      <c r="R72" s="6">
        <f t="shared" si="40"/>
        <v>1.2331632322582093E-2</v>
      </c>
      <c r="S72" s="2"/>
      <c r="T72" s="7">
        <v>3896</v>
      </c>
      <c r="U72" s="2"/>
      <c r="V72" s="6">
        <f t="shared" si="41"/>
        <v>2.0526870389884089E-2</v>
      </c>
      <c r="W72" s="2"/>
      <c r="X72" s="7">
        <f t="shared" si="42"/>
        <v>-1990.3</v>
      </c>
      <c r="Y72" s="2"/>
      <c r="Z72" s="6">
        <f t="shared" si="43"/>
        <v>-0.51085728952772069</v>
      </c>
    </row>
    <row r="73" spans="1:26" s="24" customFormat="1" hidden="1" outlineLevel="2" x14ac:dyDescent="0.25">
      <c r="A73" s="25"/>
      <c r="B73" s="11" t="str">
        <f>CONCATENATE("          ", "6241", " - ", "OFFICE EXPENSE")</f>
        <v xml:space="preserve">          6241 - OFFICE EXPENSE</v>
      </c>
      <c r="C73" s="11"/>
      <c r="D73" s="7"/>
      <c r="E73" s="2"/>
      <c r="F73" s="6">
        <f t="shared" si="36"/>
        <v>0</v>
      </c>
      <c r="G73" s="2"/>
      <c r="H73" s="7">
        <v>20</v>
      </c>
      <c r="I73" s="2"/>
      <c r="J73" s="6">
        <f t="shared" si="37"/>
        <v>1.9267822736030829E-4</v>
      </c>
      <c r="K73" s="2"/>
      <c r="L73" s="7">
        <f t="shared" si="38"/>
        <v>-20</v>
      </c>
      <c r="M73" s="2"/>
      <c r="N73" s="6">
        <f t="shared" si="39"/>
        <v>-1</v>
      </c>
      <c r="O73" s="11"/>
      <c r="P73" s="7">
        <v>1074.28</v>
      </c>
      <c r="Q73" s="2"/>
      <c r="R73" s="6">
        <f t="shared" si="40"/>
        <v>6.9515799818982479E-3</v>
      </c>
      <c r="S73" s="2"/>
      <c r="T73" s="7">
        <v>60</v>
      </c>
      <c r="U73" s="2"/>
      <c r="V73" s="6">
        <f t="shared" si="41"/>
        <v>3.1612223393045309E-4</v>
      </c>
      <c r="W73" s="2"/>
      <c r="X73" s="7">
        <f t="shared" si="42"/>
        <v>1014.28</v>
      </c>
      <c r="Y73" s="2"/>
      <c r="Z73" s="6">
        <f t="shared" si="43"/>
        <v>16.904666666666667</v>
      </c>
    </row>
    <row r="74" spans="1:26" s="24" customFormat="1" hidden="1" outlineLevel="2" x14ac:dyDescent="0.25">
      <c r="A74" s="25"/>
      <c r="B74" s="11" t="str">
        <f>CONCATENATE("          ", "6243", " - ", "PAPER SUPPLIES")</f>
        <v xml:space="preserve">          6243 - PAPER SUPPLIES</v>
      </c>
      <c r="C74" s="11"/>
      <c r="D74" s="7">
        <v>274.39</v>
      </c>
      <c r="E74" s="2"/>
      <c r="F74" s="6">
        <f t="shared" si="36"/>
        <v>2.8484530384675594E-3</v>
      </c>
      <c r="G74" s="2"/>
      <c r="H74" s="7">
        <v>950</v>
      </c>
      <c r="I74" s="2"/>
      <c r="J74" s="6">
        <f t="shared" si="37"/>
        <v>9.1522157996146436E-3</v>
      </c>
      <c r="K74" s="2"/>
      <c r="L74" s="7">
        <f t="shared" si="38"/>
        <v>-675.61</v>
      </c>
      <c r="M74" s="2"/>
      <c r="N74" s="6">
        <f t="shared" si="39"/>
        <v>-0.71116842105263156</v>
      </c>
      <c r="O74" s="11"/>
      <c r="P74" s="7">
        <v>1160.8800000000001</v>
      </c>
      <c r="Q74" s="2"/>
      <c r="R74" s="6">
        <f t="shared" si="40"/>
        <v>7.5119616574692251E-3</v>
      </c>
      <c r="S74" s="2"/>
      <c r="T74" s="7">
        <v>1250</v>
      </c>
      <c r="U74" s="2"/>
      <c r="V74" s="6">
        <f t="shared" si="41"/>
        <v>6.5858798735511067E-3</v>
      </c>
      <c r="W74" s="2"/>
      <c r="X74" s="7">
        <f t="shared" si="42"/>
        <v>-89.119999999999891</v>
      </c>
      <c r="Y74" s="2"/>
      <c r="Z74" s="6">
        <f t="shared" si="43"/>
        <v>-7.1295999999999915E-2</v>
      </c>
    </row>
    <row r="75" spans="1:26" s="24" customFormat="1" hidden="1" outlineLevel="2" x14ac:dyDescent="0.25">
      <c r="A75" s="25"/>
      <c r="B75" s="11" t="str">
        <f>CONCATENATE("          ", "6245", " - ", "PRINTING")</f>
        <v xml:space="preserve">          6245 - PRINTING</v>
      </c>
      <c r="C75" s="11"/>
      <c r="D75" s="7">
        <v>6.22</v>
      </c>
      <c r="E75" s="2"/>
      <c r="F75" s="6">
        <f t="shared" si="36"/>
        <v>6.4570056850716937E-5</v>
      </c>
      <c r="G75" s="2"/>
      <c r="H75" s="7"/>
      <c r="I75" s="2"/>
      <c r="J75" s="6">
        <f t="shared" si="37"/>
        <v>0</v>
      </c>
      <c r="K75" s="2"/>
      <c r="L75" s="7">
        <f t="shared" si="38"/>
        <v>6.22</v>
      </c>
      <c r="M75" s="2"/>
      <c r="N75" s="6">
        <f t="shared" si="39"/>
        <v>0</v>
      </c>
      <c r="O75" s="11"/>
      <c r="P75" s="7">
        <v>154.13</v>
      </c>
      <c r="Q75" s="2"/>
      <c r="R75" s="6">
        <f t="shared" si="40"/>
        <v>9.9736290595559538E-4</v>
      </c>
      <c r="S75" s="2"/>
      <c r="T75" s="7"/>
      <c r="U75" s="2"/>
      <c r="V75" s="6">
        <f t="shared" si="41"/>
        <v>0</v>
      </c>
      <c r="W75" s="2"/>
      <c r="X75" s="7">
        <f t="shared" si="42"/>
        <v>154.13</v>
      </c>
      <c r="Y75" s="2"/>
      <c r="Z75" s="6">
        <f t="shared" si="43"/>
        <v>0</v>
      </c>
    </row>
    <row r="76" spans="1:26" s="24" customFormat="1" hidden="1" outlineLevel="2" x14ac:dyDescent="0.25">
      <c r="A76" s="25"/>
      <c r="B76" s="11" t="str">
        <f>CONCATENATE("          ", "6247", " - ", "STORE SUPPLIES")</f>
        <v xml:space="preserve">          6247 - STORE SUPPLIES</v>
      </c>
      <c r="C76" s="11"/>
      <c r="D76" s="7">
        <v>185.84</v>
      </c>
      <c r="E76" s="2"/>
      <c r="F76" s="6">
        <f t="shared" si="36"/>
        <v>1.9292121165815491E-3</v>
      </c>
      <c r="G76" s="2"/>
      <c r="H76" s="7"/>
      <c r="I76" s="2"/>
      <c r="J76" s="6">
        <f t="shared" si="37"/>
        <v>0</v>
      </c>
      <c r="K76" s="2"/>
      <c r="L76" s="7">
        <f t="shared" si="38"/>
        <v>185.84</v>
      </c>
      <c r="M76" s="2"/>
      <c r="N76" s="6">
        <f t="shared" si="39"/>
        <v>0</v>
      </c>
      <c r="O76" s="11"/>
      <c r="P76" s="7">
        <v>875.02</v>
      </c>
      <c r="Q76" s="2"/>
      <c r="R76" s="6">
        <f t="shared" si="40"/>
        <v>5.6621844544817038E-3</v>
      </c>
      <c r="S76" s="2"/>
      <c r="T76" s="7"/>
      <c r="U76" s="2"/>
      <c r="V76" s="6">
        <f t="shared" si="41"/>
        <v>0</v>
      </c>
      <c r="W76" s="2"/>
      <c r="X76" s="7">
        <f t="shared" si="42"/>
        <v>875.02</v>
      </c>
      <c r="Y76" s="2"/>
      <c r="Z76" s="6">
        <f t="shared" si="43"/>
        <v>0</v>
      </c>
    </row>
    <row r="77" spans="1:26" s="24" customFormat="1" hidden="1" outlineLevel="2" x14ac:dyDescent="0.25">
      <c r="A77" s="25"/>
      <c r="B77" s="11" t="str">
        <f>CONCATENATE("          ", "6248", " - ", "UNIFORMS")</f>
        <v xml:space="preserve">          6248 - UNIFORMS</v>
      </c>
      <c r="C77" s="11"/>
      <c r="D77" s="7"/>
      <c r="E77" s="2"/>
      <c r="F77" s="6">
        <f t="shared" si="36"/>
        <v>0</v>
      </c>
      <c r="G77" s="2"/>
      <c r="H77" s="7"/>
      <c r="I77" s="2"/>
      <c r="J77" s="6">
        <f t="shared" si="37"/>
        <v>0</v>
      </c>
      <c r="K77" s="2"/>
      <c r="L77" s="7">
        <f t="shared" si="38"/>
        <v>0</v>
      </c>
      <c r="M77" s="2"/>
      <c r="N77" s="6">
        <f t="shared" si="39"/>
        <v>0</v>
      </c>
      <c r="O77" s="11"/>
      <c r="P77" s="7">
        <v>90.85</v>
      </c>
      <c r="Q77" s="2"/>
      <c r="R77" s="6">
        <f t="shared" si="40"/>
        <v>5.8788308574622618E-4</v>
      </c>
      <c r="S77" s="2"/>
      <c r="T77" s="7"/>
      <c r="U77" s="2"/>
      <c r="V77" s="6">
        <f t="shared" si="41"/>
        <v>0</v>
      </c>
      <c r="W77" s="2"/>
      <c r="X77" s="7">
        <f t="shared" si="42"/>
        <v>90.85</v>
      </c>
      <c r="Y77" s="2"/>
      <c r="Z77" s="6">
        <f t="shared" si="43"/>
        <v>0</v>
      </c>
    </row>
    <row r="78" spans="1:26" s="26" customFormat="1" outlineLevel="1" collapsed="1" x14ac:dyDescent="0.25">
      <c r="A78" s="27"/>
      <c r="B78" s="13" t="str">
        <f>CONCATENATE("     ","Telephone/Data Lines                              ")</f>
        <v xml:space="preserve">     Telephone/Data Lines                              </v>
      </c>
      <c r="C78" s="13"/>
      <c r="D78" s="1">
        <f>SUM(OSRRefD22_14x_0)</f>
        <v>50</v>
      </c>
      <c r="E78" s="1"/>
      <c r="F78" s="5">
        <f t="shared" ref="F78:F81" si="44">IF(D$12=0,0,D78/D$12)</f>
        <v>5.1905190394466996E-4</v>
      </c>
      <c r="G78" s="1"/>
      <c r="H78" s="1">
        <f>SUM(OSRRefH22_14x_0)</f>
        <v>50</v>
      </c>
      <c r="I78" s="1"/>
      <c r="J78" s="5">
        <f t="shared" ref="J78:J81" si="45">IF(H$12=0,0,H78/H$12)</f>
        <v>4.8169556840077071E-4</v>
      </c>
      <c r="K78" s="1"/>
      <c r="L78" s="1">
        <f t="shared" ref="L78:L81" si="46">+D78-H78</f>
        <v>0</v>
      </c>
      <c r="M78" s="1"/>
      <c r="N78" s="5">
        <f t="shared" ref="N78:N81" si="47">IF(H78=0,0,L78/H78)</f>
        <v>0</v>
      </c>
      <c r="O78" s="13"/>
      <c r="P78" s="1">
        <f>SUM(OSRRefP22_14x_0)</f>
        <v>-45</v>
      </c>
      <c r="Q78" s="1"/>
      <c r="R78" s="5">
        <f t="shared" ref="R78:R81" si="48">IF(P$12=0,0,P78/P$12)</f>
        <v>-2.9119140185558808E-4</v>
      </c>
      <c r="S78" s="1"/>
      <c r="T78" s="1">
        <f>SUM(OSRRefT22_14x_0)</f>
        <v>150</v>
      </c>
      <c r="U78" s="1"/>
      <c r="V78" s="5">
        <f t="shared" ref="V78:V81" si="49">IF(T$12=0,0,T78/T$12)</f>
        <v>7.9030558482613277E-4</v>
      </c>
      <c r="W78" s="1"/>
      <c r="X78" s="1">
        <f t="shared" ref="X78:X81" si="50">+P78-T78</f>
        <v>-195</v>
      </c>
      <c r="Y78" s="1"/>
      <c r="Z78" s="5">
        <f t="shared" ref="Z78:Z81" si="51">IF(T78=0,0,X78/T78)</f>
        <v>-1.3</v>
      </c>
    </row>
    <row r="79" spans="1:26" s="24" customFormat="1" hidden="1" outlineLevel="2" x14ac:dyDescent="0.25">
      <c r="A79" s="25"/>
      <c r="B79" s="11" t="str">
        <f>CONCATENATE("          ", "6309", " - ", "TELEPHONE")</f>
        <v xml:space="preserve">          6309 - TELEPHONE</v>
      </c>
      <c r="C79" s="11"/>
      <c r="D79" s="7">
        <v>50</v>
      </c>
      <c r="E79" s="2"/>
      <c r="F79" s="6">
        <f t="shared" si="44"/>
        <v>5.1905190394466996E-4</v>
      </c>
      <c r="G79" s="2"/>
      <c r="H79" s="7">
        <v>50</v>
      </c>
      <c r="I79" s="2"/>
      <c r="J79" s="6">
        <f t="shared" si="45"/>
        <v>4.8169556840077071E-4</v>
      </c>
      <c r="K79" s="2"/>
      <c r="L79" s="7">
        <f t="shared" si="46"/>
        <v>0</v>
      </c>
      <c r="M79" s="2"/>
      <c r="N79" s="6">
        <f t="shared" si="47"/>
        <v>0</v>
      </c>
      <c r="O79" s="11"/>
      <c r="P79" s="7">
        <v>-45</v>
      </c>
      <c r="Q79" s="2"/>
      <c r="R79" s="6">
        <f t="shared" si="48"/>
        <v>-2.9119140185558808E-4</v>
      </c>
      <c r="S79" s="2"/>
      <c r="T79" s="7">
        <v>150</v>
      </c>
      <c r="U79" s="2"/>
      <c r="V79" s="6">
        <f t="shared" si="49"/>
        <v>7.9030558482613277E-4</v>
      </c>
      <c r="W79" s="2"/>
      <c r="X79" s="7">
        <f t="shared" si="50"/>
        <v>-195</v>
      </c>
      <c r="Y79" s="2"/>
      <c r="Z79" s="6">
        <f t="shared" si="51"/>
        <v>-1.3</v>
      </c>
    </row>
    <row r="80" spans="1:26" s="26" customFormat="1" outlineLevel="1" collapsed="1" x14ac:dyDescent="0.25">
      <c r="A80" s="27"/>
      <c r="B80" s="13" t="str">
        <f>CONCATENATE("     ","Training                                          ")</f>
        <v xml:space="preserve">     Training                                          </v>
      </c>
      <c r="C80" s="13"/>
      <c r="D80" s="1">
        <f>SUM(OSRRefD22_15x_0)</f>
        <v>96</v>
      </c>
      <c r="E80" s="1"/>
      <c r="F80" s="5">
        <f t="shared" si="44"/>
        <v>9.9657965557376632E-4</v>
      </c>
      <c r="G80" s="1"/>
      <c r="H80" s="1">
        <f>SUM(OSRRefH22_15x_0)</f>
        <v>40</v>
      </c>
      <c r="I80" s="1"/>
      <c r="J80" s="5">
        <f t="shared" si="45"/>
        <v>3.8535645472061658E-4</v>
      </c>
      <c r="K80" s="1"/>
      <c r="L80" s="1">
        <f t="shared" si="46"/>
        <v>56</v>
      </c>
      <c r="M80" s="1"/>
      <c r="N80" s="5">
        <f t="shared" si="47"/>
        <v>1.4</v>
      </c>
      <c r="O80" s="13"/>
      <c r="P80" s="1">
        <f>SUM(OSRRefP22_15x_0)</f>
        <v>96</v>
      </c>
      <c r="Q80" s="1"/>
      <c r="R80" s="5">
        <f t="shared" si="48"/>
        <v>6.2120832395858798E-4</v>
      </c>
      <c r="S80" s="1"/>
      <c r="T80" s="1">
        <f>SUM(OSRRefT22_15x_0)</f>
        <v>120</v>
      </c>
      <c r="U80" s="1"/>
      <c r="V80" s="5">
        <f t="shared" si="49"/>
        <v>6.3224446786090617E-4</v>
      </c>
      <c r="W80" s="1"/>
      <c r="X80" s="1">
        <f t="shared" si="50"/>
        <v>-24</v>
      </c>
      <c r="Y80" s="1"/>
      <c r="Z80" s="5">
        <f t="shared" si="51"/>
        <v>-0.2</v>
      </c>
    </row>
    <row r="81" spans="1:26" s="24" customFormat="1" hidden="1" outlineLevel="2" x14ac:dyDescent="0.25">
      <c r="A81" s="25"/>
      <c r="B81" s="11" t="str">
        <f>CONCATENATE("          ", "6376", " - ", "TRAINING")</f>
        <v xml:space="preserve">          6376 - TRAINING</v>
      </c>
      <c r="C81" s="11"/>
      <c r="D81" s="7">
        <v>96</v>
      </c>
      <c r="E81" s="2"/>
      <c r="F81" s="6">
        <f t="shared" si="44"/>
        <v>9.9657965557376632E-4</v>
      </c>
      <c r="G81" s="2"/>
      <c r="H81" s="7">
        <v>40</v>
      </c>
      <c r="I81" s="2"/>
      <c r="J81" s="6">
        <f t="shared" si="45"/>
        <v>3.8535645472061658E-4</v>
      </c>
      <c r="K81" s="2"/>
      <c r="L81" s="7">
        <f t="shared" si="46"/>
        <v>56</v>
      </c>
      <c r="M81" s="2"/>
      <c r="N81" s="6">
        <f t="shared" si="47"/>
        <v>1.4</v>
      </c>
      <c r="O81" s="11"/>
      <c r="P81" s="7">
        <v>96</v>
      </c>
      <c r="Q81" s="2"/>
      <c r="R81" s="6">
        <f t="shared" si="48"/>
        <v>6.2120832395858798E-4</v>
      </c>
      <c r="S81" s="2"/>
      <c r="T81" s="7">
        <v>120</v>
      </c>
      <c r="U81" s="2"/>
      <c r="V81" s="6">
        <f t="shared" si="49"/>
        <v>6.3224446786090617E-4</v>
      </c>
      <c r="W81" s="2"/>
      <c r="X81" s="7">
        <f t="shared" si="50"/>
        <v>-24</v>
      </c>
      <c r="Y81" s="2"/>
      <c r="Z81" s="6">
        <f t="shared" si="51"/>
        <v>-0.2</v>
      </c>
    </row>
    <row r="82" spans="1:26" s="63" customFormat="1" x14ac:dyDescent="0.25">
      <c r="A82" s="36"/>
      <c r="B82" s="36"/>
      <c r="C82" s="36"/>
      <c r="D82" s="1"/>
      <c r="E82" s="1"/>
      <c r="F82" s="5"/>
      <c r="G82" s="1"/>
      <c r="H82" s="1"/>
      <c r="I82" s="1"/>
      <c r="J82" s="5"/>
      <c r="K82" s="1"/>
      <c r="L82" s="1"/>
      <c r="M82" s="1"/>
      <c r="N82" s="5"/>
      <c r="O82" s="36"/>
      <c r="P82" s="1"/>
      <c r="Q82" s="1"/>
      <c r="R82" s="5"/>
      <c r="S82" s="1"/>
      <c r="T82" s="1"/>
      <c r="U82" s="1"/>
      <c r="V82" s="5"/>
      <c r="W82" s="1"/>
      <c r="X82" s="1"/>
      <c r="Y82" s="1"/>
      <c r="Z82" s="5"/>
    </row>
    <row r="83" spans="1:26" s="23" customFormat="1" x14ac:dyDescent="0.25">
      <c r="A83" s="10"/>
      <c r="B83" s="28" t="s">
        <v>0</v>
      </c>
      <c r="C83" s="10"/>
      <c r="D83" s="4">
        <f>SUM(0)</f>
        <v>0</v>
      </c>
      <c r="E83" s="4"/>
      <c r="F83" s="12">
        <f>IF(D$12=0,0,D83/D$12)</f>
        <v>0</v>
      </c>
      <c r="G83" s="4"/>
      <c r="H83" s="4">
        <f>SUM(0)</f>
        <v>0</v>
      </c>
      <c r="I83" s="4"/>
      <c r="J83" s="12">
        <f>IF(H$12=0,0,H83/H$12)</f>
        <v>0</v>
      </c>
      <c r="K83" s="4"/>
      <c r="L83" s="4">
        <f>+D83-H83</f>
        <v>0</v>
      </c>
      <c r="M83" s="4"/>
      <c r="N83" s="12">
        <f>IF(H83=0,0,L83/H83)</f>
        <v>0</v>
      </c>
      <c r="O83" s="10"/>
      <c r="P83" s="4">
        <f>SUM(0)</f>
        <v>0</v>
      </c>
      <c r="Q83" s="4"/>
      <c r="R83" s="12">
        <f>IF(P$12=0,0,P83/P$12)</f>
        <v>0</v>
      </c>
      <c r="S83" s="4"/>
      <c r="T83" s="4">
        <f>SUM(0)</f>
        <v>0</v>
      </c>
      <c r="U83" s="4"/>
      <c r="V83" s="12">
        <f>IF(T$12=0,0,T83/T$12)</f>
        <v>0</v>
      </c>
      <c r="W83" s="4"/>
      <c r="X83" s="4">
        <f>+P83-T83</f>
        <v>0</v>
      </c>
      <c r="Y83" s="4"/>
      <c r="Z83" s="12">
        <f>IF(T83=0,0,X83/T83)</f>
        <v>0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10"/>
      <c r="B85" s="29" t="s">
        <v>3</v>
      </c>
      <c r="C85" s="29"/>
      <c r="D85" s="22">
        <f>+D23-D25+D83</f>
        <v>15289.829999999994</v>
      </c>
      <c r="E85" s="14"/>
      <c r="F85" s="20">
        <f>IF(D$12=0,0,D85/D$12)</f>
        <v>0.15872430744980659</v>
      </c>
      <c r="G85" s="14"/>
      <c r="H85" s="22">
        <f>+H23-H25+H83</f>
        <v>31191.153572800002</v>
      </c>
      <c r="I85" s="14"/>
      <c r="J85" s="20">
        <f>IF(H$12=0,0,H85/H$12)</f>
        <v>0.30049280898651254</v>
      </c>
      <c r="K85" s="15"/>
      <c r="L85" s="22">
        <f>+D85-H85</f>
        <v>-15901.323572800007</v>
      </c>
      <c r="M85" s="15"/>
      <c r="N85" s="20">
        <f>IF(H85=0,0,L85/H85)</f>
        <v>-0.50980235584061984</v>
      </c>
      <c r="O85" s="28"/>
      <c r="P85" s="22">
        <f>+P23-P25+P83</f>
        <v>936.40999999998894</v>
      </c>
      <c r="Q85" s="14"/>
      <c r="R85" s="20">
        <f>IF(P$12=0,0,P85/P$12)</f>
        <v>6.0594342358130668E-3</v>
      </c>
      <c r="S85" s="14"/>
      <c r="T85" s="22">
        <f>+T23-T25+T83</f>
        <v>23622.124011599997</v>
      </c>
      <c r="U85" s="14"/>
      <c r="V85" s="20">
        <f>IF(T$12=0,0,T85/T$12)</f>
        <v>0.12445797687881979</v>
      </c>
      <c r="W85" s="15"/>
      <c r="X85" s="22">
        <f>+P85-T85</f>
        <v>-22685.714011600008</v>
      </c>
      <c r="Y85" s="15"/>
      <c r="Z85" s="20">
        <f>IF(T85=0,0,X85/T85)</f>
        <v>-0.96035877216036325</v>
      </c>
    </row>
    <row r="86" spans="1:26" x14ac:dyDescent="0.25">
      <c r="A86" s="9"/>
      <c r="B86" s="10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52"/>
      <c r="B87" s="10" t="s">
        <v>14</v>
      </c>
      <c r="C87" s="10"/>
      <c r="D87" s="4">
        <v>9341.9</v>
      </c>
      <c r="E87" s="4"/>
      <c r="F87" s="12">
        <f>IF(D$12=0,0,D87/D$12)</f>
        <v>9.6978619629214238E-2</v>
      </c>
      <c r="G87" s="4"/>
      <c r="H87" s="4">
        <v>10040</v>
      </c>
      <c r="I87" s="4"/>
      <c r="J87" s="12">
        <f>IF(H$12=0,0,H87/H$12)</f>
        <v>9.6724470134874757E-2</v>
      </c>
      <c r="K87" s="4"/>
      <c r="L87" s="4">
        <f>+D87-H87</f>
        <v>-698.10000000000036</v>
      </c>
      <c r="M87" s="4"/>
      <c r="N87" s="12">
        <f>IF(H87=0,0,L87/H87)</f>
        <v>-6.9531872509960194E-2</v>
      </c>
      <c r="O87" s="10"/>
      <c r="P87" s="4">
        <v>16599.38</v>
      </c>
      <c r="Q87" s="4"/>
      <c r="R87" s="12">
        <f>IF(P$12=0,0,P87/P$12)</f>
        <v>0.10741326071408026</v>
      </c>
      <c r="S87" s="4"/>
      <c r="T87" s="4">
        <v>24007</v>
      </c>
      <c r="U87" s="4"/>
      <c r="V87" s="12">
        <f>IF(T$12=0,0,T87/T$12)</f>
        <v>0.12648577449947312</v>
      </c>
      <c r="W87" s="4"/>
      <c r="X87" s="4">
        <f>+P87-T87</f>
        <v>-7407.619999999999</v>
      </c>
      <c r="Y87" s="4"/>
      <c r="Z87" s="12">
        <f>IF(T87=0,0,X87/T87)</f>
        <v>-0.30856083642270998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9" t="s">
        <v>4</v>
      </c>
      <c r="C89" s="29"/>
      <c r="D89" s="35">
        <f>+D85-D87</f>
        <v>5947.9299999999948</v>
      </c>
      <c r="E89" s="14"/>
      <c r="F89" s="32">
        <f>IF(D$12=0,0,D89/D$12)</f>
        <v>6.1745687820592358E-2</v>
      </c>
      <c r="G89" s="14"/>
      <c r="H89" s="35">
        <f>+H85-H87</f>
        <v>21151.153572800002</v>
      </c>
      <c r="I89" s="14"/>
      <c r="J89" s="32">
        <f>IF(H$12=0,0,H89/H$12)</f>
        <v>0.20376833885163778</v>
      </c>
      <c r="K89" s="15"/>
      <c r="L89" s="35">
        <f>D89-H89</f>
        <v>-15203.223572800007</v>
      </c>
      <c r="M89" s="15"/>
      <c r="N89" s="32">
        <f>IF(H89=0,0,L89/H89)</f>
        <v>-0.71878933319036908</v>
      </c>
      <c r="O89" s="28"/>
      <c r="P89" s="35">
        <f>+P85-P87</f>
        <v>-15662.970000000012</v>
      </c>
      <c r="Q89" s="14"/>
      <c r="R89" s="32">
        <f>IF(P$12=0,0,P89/P$12)</f>
        <v>-0.1013538264782672</v>
      </c>
      <c r="S89" s="14"/>
      <c r="T89" s="35">
        <f>+T85-T87</f>
        <v>-384.87598840000283</v>
      </c>
      <c r="U89" s="14"/>
      <c r="V89" s="32">
        <f>IF(T$12=0,0,T89/T$12)</f>
        <v>-2.0277976206533343E-3</v>
      </c>
      <c r="W89" s="15"/>
      <c r="X89" s="35">
        <f>P89-T89</f>
        <v>-15278.094011600009</v>
      </c>
      <c r="Y89" s="15"/>
      <c r="Z89" s="32">
        <f>IF(T89=0,0,X89/T89)</f>
        <v>39.696147517837453</v>
      </c>
    </row>
    <row r="90" spans="1:26" ht="15.75" thickTop="1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9" t="s">
        <v>5</v>
      </c>
      <c r="C92" s="29"/>
      <c r="D92" s="30">
        <f>SUM(D89:D91)</f>
        <v>5947.9299999999948</v>
      </c>
      <c r="E92" s="14"/>
      <c r="F92" s="31">
        <f>IF(D$12=0,0,D92/D$12)</f>
        <v>6.1745687820592358E-2</v>
      </c>
      <c r="G92" s="14"/>
      <c r="H92" s="30">
        <f>SUM(H89:H91)</f>
        <v>21151.153572800002</v>
      </c>
      <c r="I92" s="14"/>
      <c r="J92" s="31">
        <f>IF(H$12=0,0,H92/H$12)</f>
        <v>0.20376833885163778</v>
      </c>
      <c r="K92" s="15"/>
      <c r="L92" s="30">
        <f>+D92-H92</f>
        <v>-15203.223572800007</v>
      </c>
      <c r="M92" s="15"/>
      <c r="N92" s="31">
        <f>IF(H92=0,0,L92/H92)</f>
        <v>-0.71878933319036908</v>
      </c>
      <c r="O92" s="28"/>
      <c r="P92" s="30">
        <f>SUM(P89:P91)</f>
        <v>-15662.970000000012</v>
      </c>
      <c r="Q92" s="14"/>
      <c r="R92" s="31">
        <f>IF(P$12=0,0,P92/P$12)</f>
        <v>-0.1013538264782672</v>
      </c>
      <c r="S92" s="14"/>
      <c r="T92" s="30">
        <f>SUM(T89:T91)</f>
        <v>-384.87598840000283</v>
      </c>
      <c r="U92" s="14"/>
      <c r="V92" s="31">
        <f>IF(T$12=0,0,T92/T$12)</f>
        <v>-2.0277976206533343E-3</v>
      </c>
      <c r="W92" s="15"/>
      <c r="X92" s="30">
        <f>+P92-T92</f>
        <v>-15278.094011600009</v>
      </c>
      <c r="Y92" s="15"/>
      <c r="Z92" s="31">
        <f>IF(T92=0,0,X92/T92)</f>
        <v>39.696147517837453</v>
      </c>
    </row>
    <row r="93" spans="1:26" ht="15.75" thickTop="1" x14ac:dyDescent="0.25">
      <c r="A93" s="9"/>
      <c r="C93" s="9"/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25">
      <c r="A94" s="9"/>
      <c r="B94" s="53">
        <v>43756.452664548611</v>
      </c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A95" s="9"/>
      <c r="B95" s="55" t="s">
        <v>314</v>
      </c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25">
      <c r="A96" s="9"/>
      <c r="B96" s="56"/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  <row r="97" spans="4:24" x14ac:dyDescent="0.25"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</sheetData>
  <pageMargins left="0.25" right="0.25" top="0.75" bottom="0.75" header="0.3" footer="0.3"/>
  <pageSetup scale="55" fitToWidth="2" orientation="landscape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str">
        <f>CONCATENATE("Period ",RIGHT(202003,2),", ",2020)</f>
        <v>Period 03, 2020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43736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tr">
        <f>CONCATENATE("Department ","415", " - ", "Outpost")</f>
        <v>Department 415 - Outpost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105265.63999999998</v>
      </c>
      <c r="E12" s="4"/>
      <c r="F12" s="12"/>
      <c r="G12" s="4"/>
      <c r="H12" s="4">
        <f>SUM(OSRRefH13x_0)</f>
        <v>112650</v>
      </c>
      <c r="I12" s="4"/>
      <c r="J12" s="12"/>
      <c r="K12" s="4"/>
      <c r="L12" s="4">
        <f t="shared" ref="L12:L15" si="0">+D12-H12</f>
        <v>-7384.3600000000151</v>
      </c>
      <c r="M12" s="4"/>
      <c r="N12" s="12">
        <f t="shared" ref="N12:N15" si="1">IF(H12=0,0,L12/H12)</f>
        <v>-6.5551353750554944E-2</v>
      </c>
      <c r="O12" s="10"/>
      <c r="P12" s="4">
        <f>SUM(OSRRefP13x_0)</f>
        <v>173060.99</v>
      </c>
      <c r="Q12" s="4"/>
      <c r="R12" s="12"/>
      <c r="S12" s="4"/>
      <c r="T12" s="4">
        <f>SUM(OSRRefT13x_0)</f>
        <v>181050</v>
      </c>
      <c r="U12" s="4"/>
      <c r="V12" s="12"/>
      <c r="W12" s="4"/>
      <c r="X12" s="4">
        <f t="shared" ref="X12:X15" si="2">+P12-T12</f>
        <v>-7989.0100000000093</v>
      </c>
      <c r="Y12" s="4"/>
      <c r="Z12" s="12">
        <f t="shared" ref="Z12:Z15" si="3">IF(T12=0,0,X12/T12)</f>
        <v>-4.4125987296327031E-2</v>
      </c>
    </row>
    <row r="13" spans="1:26" s="24" customFormat="1" hidden="1" outlineLevel="1" x14ac:dyDescent="0.25">
      <c r="A13" s="46"/>
      <c r="B13" s="11" t="str">
        <f>CONCATENATE("          ", "4051", " - ", "TAXABLE SALES-FOOD")</f>
        <v xml:space="preserve">          4051 - TAXABLE SALES-FOOD</v>
      </c>
      <c r="C13" s="11"/>
      <c r="D13" s="2">
        <f>--30450.21</f>
        <v>30450.21</v>
      </c>
      <c r="E13" s="2"/>
      <c r="F13" s="19"/>
      <c r="G13" s="2"/>
      <c r="H13" s="2"/>
      <c r="I13" s="2"/>
      <c r="J13" s="19"/>
      <c r="K13" s="2"/>
      <c r="L13" s="2">
        <f t="shared" si="0"/>
        <v>30450.21</v>
      </c>
      <c r="M13" s="2"/>
      <c r="N13" s="19">
        <f t="shared" si="1"/>
        <v>0</v>
      </c>
      <c r="O13" s="11"/>
      <c r="P13" s="2">
        <f>--56880.05</f>
        <v>56880.05</v>
      </c>
      <c r="Q13" s="2"/>
      <c r="R13" s="19"/>
      <c r="S13" s="2"/>
      <c r="T13" s="2"/>
      <c r="U13" s="2"/>
      <c r="V13" s="19"/>
      <c r="W13" s="2"/>
      <c r="X13" s="2">
        <f t="shared" si="2"/>
        <v>56880.05</v>
      </c>
      <c r="Y13" s="2"/>
      <c r="Z13" s="19">
        <f t="shared" si="3"/>
        <v>0</v>
      </c>
    </row>
    <row r="14" spans="1:26" s="24" customFormat="1" hidden="1" outlineLevel="1" x14ac:dyDescent="0.25">
      <c r="A14" s="46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112650</v>
      </c>
      <c r="I14" s="2"/>
      <c r="J14" s="19"/>
      <c r="K14" s="2"/>
      <c r="L14" s="2">
        <f t="shared" si="0"/>
        <v>-112650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181050</v>
      </c>
      <c r="U14" s="2"/>
      <c r="V14" s="19"/>
      <c r="W14" s="2"/>
      <c r="X14" s="2">
        <f t="shared" si="2"/>
        <v>-181050</v>
      </c>
      <c r="Y14" s="2"/>
      <c r="Z14" s="19">
        <f t="shared" si="3"/>
        <v>-1</v>
      </c>
    </row>
    <row r="15" spans="1:26" s="24" customFormat="1" hidden="1" outlineLevel="1" x14ac:dyDescent="0.25">
      <c r="A15" s="46"/>
      <c r="B15" s="11" t="str">
        <f>CONCATENATE("          ", "4151", " - ", "NON-TAXABLE SALES-FOOD")</f>
        <v xml:space="preserve">          4151 - NON-TAXABLE SALES-FOOD</v>
      </c>
      <c r="C15" s="11"/>
      <c r="D15" s="2">
        <f>--74815.43</f>
        <v>74815.429999999993</v>
      </c>
      <c r="E15" s="2"/>
      <c r="F15" s="19"/>
      <c r="G15" s="2"/>
      <c r="H15" s="2"/>
      <c r="I15" s="2"/>
      <c r="J15" s="19"/>
      <c r="K15" s="2"/>
      <c r="L15" s="2">
        <f t="shared" si="0"/>
        <v>74815.429999999993</v>
      </c>
      <c r="M15" s="2"/>
      <c r="N15" s="19">
        <f t="shared" si="1"/>
        <v>0</v>
      </c>
      <c r="O15" s="11"/>
      <c r="P15" s="2">
        <f>--116180.94</f>
        <v>116180.94</v>
      </c>
      <c r="Q15" s="2"/>
      <c r="R15" s="19"/>
      <c r="S15" s="2"/>
      <c r="T15" s="2"/>
      <c r="U15" s="2"/>
      <c r="V15" s="19"/>
      <c r="W15" s="2"/>
      <c r="X15" s="2">
        <f t="shared" si="2"/>
        <v>116180.94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8" t="s">
        <v>8</v>
      </c>
      <c r="C17" s="10"/>
      <c r="D17" s="4">
        <f>SUM(OSRRefD16x_0)</f>
        <v>38790.519999999997</v>
      </c>
      <c r="E17" s="4"/>
      <c r="F17" s="12">
        <f t="shared" ref="F17:F20" si="4">IF(D$12=0,0,D17/D$12)</f>
        <v>0.36850125074050755</v>
      </c>
      <c r="G17" s="4"/>
      <c r="H17" s="4">
        <f>SUM(OSRRefH16x_0)</f>
        <v>36000</v>
      </c>
      <c r="I17" s="4"/>
      <c r="J17" s="12">
        <f t="shared" ref="J17:J20" si="5">IF(H$12=0,0,H17/H$12)</f>
        <v>0.31957390146471371</v>
      </c>
      <c r="K17" s="4"/>
      <c r="L17" s="4">
        <f t="shared" ref="L17:L20" si="6">+D17-H17</f>
        <v>2790.5199999999968</v>
      </c>
      <c r="M17" s="4"/>
      <c r="N17" s="12">
        <f t="shared" ref="N17:N20" si="7">IF(H17=0,0,L17/H17)</f>
        <v>7.7514444444444358E-2</v>
      </c>
      <c r="O17" s="10"/>
      <c r="P17" s="4">
        <f>SUM(OSRRefP16x_0)</f>
        <v>61432.800000000003</v>
      </c>
      <c r="Q17" s="4"/>
      <c r="R17" s="12">
        <f t="shared" ref="R17:R20" si="8">IF(P$12=0,0,P17/P$12)</f>
        <v>0.35497774512904384</v>
      </c>
      <c r="S17" s="4"/>
      <c r="T17" s="4">
        <f>SUM(OSRRefT16x_0)</f>
        <v>58540</v>
      </c>
      <c r="U17" s="4"/>
      <c r="V17" s="12">
        <f t="shared" ref="V17:V20" si="9">IF(T$12=0,0,T17/T$12)</f>
        <v>0.32333609500138083</v>
      </c>
      <c r="W17" s="4"/>
      <c r="X17" s="4">
        <f t="shared" ref="X17:X20" si="10">+P17-T17</f>
        <v>2892.8000000000029</v>
      </c>
      <c r="Y17" s="4"/>
      <c r="Z17" s="12">
        <f t="shared" ref="Z17:Z20" si="11">IF(T17=0,0,X17/T17)</f>
        <v>4.9415784079262094E-2</v>
      </c>
    </row>
    <row r="18" spans="1:26" s="24" customFormat="1" outlineLevel="1" x14ac:dyDescent="0.25">
      <c r="A18" s="46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4"/>
        <v>0</v>
      </c>
      <c r="G18" s="2"/>
      <c r="H18" s="2">
        <v>36000</v>
      </c>
      <c r="I18" s="2"/>
      <c r="J18" s="19">
        <f t="shared" si="5"/>
        <v>0.31957390146471371</v>
      </c>
      <c r="K18" s="2"/>
      <c r="L18" s="2">
        <f t="shared" si="6"/>
        <v>-36000</v>
      </c>
      <c r="M18" s="2"/>
      <c r="N18" s="19">
        <f t="shared" si="7"/>
        <v>-1</v>
      </c>
      <c r="O18" s="11"/>
      <c r="P18" s="2"/>
      <c r="Q18" s="2"/>
      <c r="R18" s="19">
        <f t="shared" si="8"/>
        <v>0</v>
      </c>
      <c r="S18" s="2"/>
      <c r="T18" s="2">
        <v>58540</v>
      </c>
      <c r="U18" s="2"/>
      <c r="V18" s="19">
        <f t="shared" si="9"/>
        <v>0.32333609500138083</v>
      </c>
      <c r="W18" s="2"/>
      <c r="X18" s="2">
        <f t="shared" si="10"/>
        <v>-58540</v>
      </c>
      <c r="Y18" s="2"/>
      <c r="Z18" s="19">
        <f t="shared" si="11"/>
        <v>-1</v>
      </c>
    </row>
    <row r="19" spans="1:26" s="24" customFormat="1" outlineLevel="1" x14ac:dyDescent="0.25">
      <c r="A19" s="46"/>
      <c r="B19" s="11" t="str">
        <f>CONCATENATE("          ", "5053", " - ", "PURCHASES @ COST-FOOD")</f>
        <v xml:space="preserve">          5053 - PURCHASES @ COST-FOOD</v>
      </c>
      <c r="C19" s="11"/>
      <c r="D19" s="2">
        <v>33793.519999999997</v>
      </c>
      <c r="E19" s="2"/>
      <c r="F19" s="19">
        <f t="shared" si="4"/>
        <v>0.32103087009208325</v>
      </c>
      <c r="G19" s="2"/>
      <c r="H19" s="2"/>
      <c r="I19" s="2"/>
      <c r="J19" s="19">
        <f t="shared" si="5"/>
        <v>0</v>
      </c>
      <c r="K19" s="2"/>
      <c r="L19" s="2">
        <f t="shared" si="6"/>
        <v>33793.519999999997</v>
      </c>
      <c r="M19" s="2"/>
      <c r="N19" s="19">
        <f t="shared" si="7"/>
        <v>0</v>
      </c>
      <c r="O19" s="11"/>
      <c r="P19" s="2">
        <v>58017.8</v>
      </c>
      <c r="Q19" s="2"/>
      <c r="R19" s="19">
        <f t="shared" si="8"/>
        <v>0.33524481744846141</v>
      </c>
      <c r="S19" s="2"/>
      <c r="T19" s="2"/>
      <c r="U19" s="2"/>
      <c r="V19" s="19">
        <f t="shared" si="9"/>
        <v>0</v>
      </c>
      <c r="W19" s="2"/>
      <c r="X19" s="2">
        <f t="shared" si="10"/>
        <v>58017.8</v>
      </c>
      <c r="Y19" s="2"/>
      <c r="Z19" s="19">
        <f t="shared" si="11"/>
        <v>0</v>
      </c>
    </row>
    <row r="20" spans="1:26" s="24" customFormat="1" outlineLevel="1" x14ac:dyDescent="0.25">
      <c r="A20" s="46"/>
      <c r="B20" s="11" t="str">
        <f>CONCATENATE("          ", "5059", " - ", "PURCHASES @ COST-FOOD")</f>
        <v xml:space="preserve">          5059 - PURCHASES @ COST-FOOD</v>
      </c>
      <c r="C20" s="11"/>
      <c r="D20" s="2">
        <v>4997</v>
      </c>
      <c r="E20" s="2"/>
      <c r="F20" s="19">
        <f t="shared" si="4"/>
        <v>4.7470380648424314E-2</v>
      </c>
      <c r="G20" s="2"/>
      <c r="H20" s="2"/>
      <c r="I20" s="2"/>
      <c r="J20" s="19">
        <f t="shared" si="5"/>
        <v>0</v>
      </c>
      <c r="K20" s="2"/>
      <c r="L20" s="2">
        <f t="shared" si="6"/>
        <v>4997</v>
      </c>
      <c r="M20" s="2"/>
      <c r="N20" s="19">
        <f t="shared" si="7"/>
        <v>0</v>
      </c>
      <c r="O20" s="11"/>
      <c r="P20" s="2">
        <v>3415</v>
      </c>
      <c r="Q20" s="2"/>
      <c r="R20" s="19">
        <f t="shared" si="8"/>
        <v>1.9732927680582435E-2</v>
      </c>
      <c r="S20" s="2"/>
      <c r="T20" s="2"/>
      <c r="U20" s="2"/>
      <c r="V20" s="19">
        <f t="shared" si="9"/>
        <v>0</v>
      </c>
      <c r="W20" s="2"/>
      <c r="X20" s="2">
        <f t="shared" si="10"/>
        <v>3415</v>
      </c>
      <c r="Y20" s="2"/>
      <c r="Z20" s="19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6</v>
      </c>
      <c r="C22" s="29"/>
      <c r="D22" s="22">
        <f>D12-D17</f>
        <v>66475.12</v>
      </c>
      <c r="E22" s="14"/>
      <c r="F22" s="20">
        <f>IF(D$12=0,0,D22/D$12)</f>
        <v>0.63149874925949245</v>
      </c>
      <c r="G22" s="14"/>
      <c r="H22" s="22">
        <f>H12-H17</f>
        <v>76650</v>
      </c>
      <c r="I22" s="14"/>
      <c r="J22" s="20">
        <f>IF(H$12=0,0,H22/H$12)</f>
        <v>0.68042609853528624</v>
      </c>
      <c r="K22" s="15"/>
      <c r="L22" s="22">
        <f>+D22-H22</f>
        <v>-10174.880000000005</v>
      </c>
      <c r="M22" s="15"/>
      <c r="N22" s="20">
        <f>IF(H22=0,0,L22/H22)</f>
        <v>-0.13274468362687547</v>
      </c>
      <c r="O22" s="28"/>
      <c r="P22" s="22">
        <f>P12-P17</f>
        <v>111628.18999999999</v>
      </c>
      <c r="Q22" s="14"/>
      <c r="R22" s="20">
        <f>IF(P$12=0,0,P22/P$12)</f>
        <v>0.6450222548709561</v>
      </c>
      <c r="S22" s="14"/>
      <c r="T22" s="22">
        <f>T12-T17</f>
        <v>122510</v>
      </c>
      <c r="U22" s="14"/>
      <c r="V22" s="20">
        <f>IF(T$12=0,0,T22/T$12)</f>
        <v>0.67666390499861917</v>
      </c>
      <c r="W22" s="15"/>
      <c r="X22" s="22">
        <f>+P22-T22</f>
        <v>-10881.810000000012</v>
      </c>
      <c r="Y22" s="15"/>
      <c r="Z22" s="20">
        <f>IF(T22=0,0,X22/T22)</f>
        <v>-8.8823851114194857E-2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9</v>
      </c>
      <c r="C24" s="10"/>
      <c r="D24" s="21">
        <f>SUM(OSRRefD22x_0)</f>
        <v>70957.510000000009</v>
      </c>
      <c r="E24" s="21"/>
      <c r="F24" s="33">
        <f t="shared" ref="F24:F34" si="12">IF(D$12=0,0,D24/D$12)</f>
        <v>0.6740804501829849</v>
      </c>
      <c r="G24" s="21"/>
      <c r="H24" s="21">
        <f>SUM(OSRRefH22x_0)</f>
        <v>68315.485476923088</v>
      </c>
      <c r="I24" s="21"/>
      <c r="J24" s="33">
        <f t="shared" ref="J24:J34" si="13">IF(H$12=0,0,H24/H$12)</f>
        <v>0.60644017289767504</v>
      </c>
      <c r="K24" s="4"/>
      <c r="L24" s="21">
        <f t="shared" ref="L24:L34" si="14">+D24-H24</f>
        <v>2642.0245230769215</v>
      </c>
      <c r="M24" s="4"/>
      <c r="N24" s="33">
        <f t="shared" ref="N24:N34" si="15">IF(H24=0,0,L24/H24)</f>
        <v>3.8673874665933465E-2</v>
      </c>
      <c r="O24" s="10"/>
      <c r="P24" s="21">
        <f>SUM(OSRRefP22x_0)</f>
        <v>196969.86000000002</v>
      </c>
      <c r="Q24" s="21"/>
      <c r="R24" s="33">
        <f t="shared" ref="R24:R34" si="16">IF(P$12=0,0,P24/P$12)</f>
        <v>1.1381528558226786</v>
      </c>
      <c r="S24" s="21"/>
      <c r="T24" s="21">
        <f>SUM(OSRRefT22x_0)</f>
        <v>190128.58438000001</v>
      </c>
      <c r="U24" s="21"/>
      <c r="V24" s="33">
        <f t="shared" ref="V24:V34" si="17">IF(T$12=0,0,T24/T$12)</f>
        <v>1.0501440727975697</v>
      </c>
      <c r="W24" s="4"/>
      <c r="X24" s="21">
        <f t="shared" ref="X24:X34" si="18">+P24-T24</f>
        <v>6841.2756200000003</v>
      </c>
      <c r="Y24" s="4"/>
      <c r="Z24" s="33">
        <f t="shared" ref="Z24:Z34" si="19">IF(T24=0,0,X24/T24)</f>
        <v>3.598236236970398E-2</v>
      </c>
    </row>
    <row r="25" spans="1:26" s="26" customFormat="1" outlineLevel="1" collapsed="1" x14ac:dyDescent="0.25">
      <c r="A25" s="27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7531.1500000000015</v>
      </c>
      <c r="E25" s="1"/>
      <c r="F25" s="5">
        <f t="shared" si="12"/>
        <v>7.1544237986868292E-2</v>
      </c>
      <c r="G25" s="1"/>
      <c r="H25" s="1">
        <f>SUM(OSRRefH22_0x_0)</f>
        <v>7456.4064000000062</v>
      </c>
      <c r="I25" s="1"/>
      <c r="J25" s="5">
        <f t="shared" si="13"/>
        <v>6.6190913448735081E-2</v>
      </c>
      <c r="K25" s="1"/>
      <c r="L25" s="1">
        <f t="shared" si="14"/>
        <v>74.74359999999524</v>
      </c>
      <c r="M25" s="1"/>
      <c r="N25" s="5">
        <f t="shared" si="15"/>
        <v>1.0024078086730248E-2</v>
      </c>
      <c r="O25" s="13"/>
      <c r="P25" s="1">
        <f>SUM(OSRRefP22_0x_0)</f>
        <v>26234.91</v>
      </c>
      <c r="Q25" s="1"/>
      <c r="R25" s="5">
        <f t="shared" si="16"/>
        <v>0.15159343535478448</v>
      </c>
      <c r="S25" s="1"/>
      <c r="T25" s="1">
        <f>SUM(OSRRefT22_0x_0)</f>
        <v>22384.053380000008</v>
      </c>
      <c r="U25" s="1"/>
      <c r="V25" s="5">
        <f t="shared" si="17"/>
        <v>0.12363464998619171</v>
      </c>
      <c r="W25" s="1"/>
      <c r="X25" s="1">
        <f t="shared" si="18"/>
        <v>3850.8566199999914</v>
      </c>
      <c r="Y25" s="1"/>
      <c r="Z25" s="5">
        <f t="shared" si="19"/>
        <v>0.1720357146503548</v>
      </c>
    </row>
    <row r="26" spans="1:26" s="24" customFormat="1" hidden="1" outlineLevel="2" x14ac:dyDescent="0.25">
      <c r="A26" s="25"/>
      <c r="B26" s="11" t="str">
        <f>CONCATENATE("          ", "6111", " - ", "F.I.C.A.")</f>
        <v xml:space="preserve">          6111 - F.I.C.A.</v>
      </c>
      <c r="C26" s="11"/>
      <c r="D26" s="7">
        <v>1303.67</v>
      </c>
      <c r="E26" s="2"/>
      <c r="F26" s="6">
        <f t="shared" si="12"/>
        <v>1.2384572971769328E-2</v>
      </c>
      <c r="G26" s="2"/>
      <c r="H26" s="7">
        <v>664.56297230769201</v>
      </c>
      <c r="I26" s="2"/>
      <c r="J26" s="6">
        <f t="shared" si="13"/>
        <v>5.8993606063709901E-3</v>
      </c>
      <c r="K26" s="2"/>
      <c r="L26" s="7">
        <f t="shared" si="14"/>
        <v>639.10702769230807</v>
      </c>
      <c r="M26" s="2"/>
      <c r="N26" s="6">
        <f t="shared" si="15"/>
        <v>0.96169521072323927</v>
      </c>
      <c r="O26" s="11"/>
      <c r="P26" s="7">
        <v>3811.65</v>
      </c>
      <c r="Q26" s="2"/>
      <c r="R26" s="6">
        <f t="shared" si="16"/>
        <v>2.2024894229485226E-2</v>
      </c>
      <c r="S26" s="2"/>
      <c r="T26" s="7">
        <v>2832.5283599999971</v>
      </c>
      <c r="U26" s="2"/>
      <c r="V26" s="6">
        <f t="shared" si="17"/>
        <v>1.5645006130903048E-2</v>
      </c>
      <c r="W26" s="2"/>
      <c r="X26" s="7">
        <f t="shared" si="18"/>
        <v>979.12164000000303</v>
      </c>
      <c r="Y26" s="2"/>
      <c r="Z26" s="6">
        <f t="shared" si="19"/>
        <v>0.34567055137975883</v>
      </c>
    </row>
    <row r="27" spans="1:26" s="24" customFormat="1" hidden="1" outlineLevel="2" x14ac:dyDescent="0.25">
      <c r="A27" s="25"/>
      <c r="B27" s="11" t="str">
        <f>CONCATENATE("          ", "6112", " - ", "COMPENSATION INSURANCE")</f>
        <v xml:space="preserve">          6112 - COMPENSATION INSURANCE</v>
      </c>
      <c r="C27" s="11"/>
      <c r="D27" s="7">
        <v>1035.51</v>
      </c>
      <c r="E27" s="2"/>
      <c r="F27" s="6">
        <f t="shared" si="12"/>
        <v>9.837113040874498E-3</v>
      </c>
      <c r="G27" s="2"/>
      <c r="H27" s="7">
        <v>1203.51750153846</v>
      </c>
      <c r="I27" s="2"/>
      <c r="J27" s="6">
        <f t="shared" si="13"/>
        <v>1.0683688429103062E-2</v>
      </c>
      <c r="K27" s="2"/>
      <c r="L27" s="7">
        <f t="shared" si="14"/>
        <v>-168.00750153846002</v>
      </c>
      <c r="M27" s="2"/>
      <c r="N27" s="6">
        <f t="shared" si="15"/>
        <v>-0.13959705722907687</v>
      </c>
      <c r="O27" s="11"/>
      <c r="P27" s="7">
        <v>2345.39</v>
      </c>
      <c r="Q27" s="2"/>
      <c r="R27" s="6">
        <f t="shared" si="16"/>
        <v>1.3552389825113101E-2</v>
      </c>
      <c r="S27" s="2"/>
      <c r="T27" s="7">
        <v>2769.322839999998</v>
      </c>
      <c r="U27" s="2"/>
      <c r="V27" s="6">
        <f t="shared" si="17"/>
        <v>1.5295900800883723E-2</v>
      </c>
      <c r="W27" s="2"/>
      <c r="X27" s="7">
        <f t="shared" si="18"/>
        <v>-423.93283999999812</v>
      </c>
      <c r="Y27" s="2"/>
      <c r="Z27" s="6">
        <f t="shared" si="19"/>
        <v>-0.15308176926024214</v>
      </c>
    </row>
    <row r="28" spans="1:26" s="24" customFormat="1" hidden="1" outlineLevel="2" x14ac:dyDescent="0.25">
      <c r="A28" s="25"/>
      <c r="B28" s="11" t="str">
        <f>CONCATENATE("          ", "6113", " - ", "GROUP INSURANCE")</f>
        <v xml:space="preserve">          6113 - GROUP INSURANCE</v>
      </c>
      <c r="C28" s="11"/>
      <c r="D28" s="7">
        <v>3090.11</v>
      </c>
      <c r="E28" s="2"/>
      <c r="F28" s="6">
        <f t="shared" si="12"/>
        <v>2.9355352800780964E-2</v>
      </c>
      <c r="G28" s="2"/>
      <c r="H28" s="7">
        <v>3205.9230769230799</v>
      </c>
      <c r="I28" s="2"/>
      <c r="J28" s="6">
        <f t="shared" si="13"/>
        <v>2.845914848577967E-2</v>
      </c>
      <c r="K28" s="2"/>
      <c r="L28" s="7">
        <f t="shared" si="14"/>
        <v>-115.81307692307973</v>
      </c>
      <c r="M28" s="2"/>
      <c r="N28" s="6">
        <f t="shared" si="15"/>
        <v>-3.6124721069175691E-2</v>
      </c>
      <c r="O28" s="11"/>
      <c r="P28" s="7">
        <v>9270.33</v>
      </c>
      <c r="Q28" s="2"/>
      <c r="R28" s="6">
        <f t="shared" si="16"/>
        <v>5.3566837910727312E-2</v>
      </c>
      <c r="S28" s="2"/>
      <c r="T28" s="7">
        <v>10074.000000000009</v>
      </c>
      <c r="U28" s="2"/>
      <c r="V28" s="6">
        <f t="shared" si="17"/>
        <v>5.5642087821043962E-2</v>
      </c>
      <c r="W28" s="2"/>
      <c r="X28" s="7">
        <f t="shared" si="18"/>
        <v>-803.67000000000917</v>
      </c>
      <c r="Y28" s="2"/>
      <c r="Z28" s="6">
        <f t="shared" si="19"/>
        <v>-7.977665276950649E-2</v>
      </c>
    </row>
    <row r="29" spans="1:26" s="24" customFormat="1" hidden="1" outlineLevel="2" x14ac:dyDescent="0.25">
      <c r="A29" s="25"/>
      <c r="B29" s="11" t="str">
        <f>CONCATENATE("          ", "6114", " - ", "STATE UNEMPLOYMENT INSURANCE")</f>
        <v xml:space="preserve">          6114 - STATE UNEMPLOYMENT INSURANCE</v>
      </c>
      <c r="C29" s="11"/>
      <c r="D29" s="7">
        <v>69.39</v>
      </c>
      <c r="E29" s="2"/>
      <c r="F29" s="6">
        <f t="shared" si="12"/>
        <v>6.591894563126202E-4</v>
      </c>
      <c r="G29" s="2"/>
      <c r="H29" s="7">
        <v>80.648079999999993</v>
      </c>
      <c r="I29" s="2"/>
      <c r="J29" s="6">
        <f t="shared" si="13"/>
        <v>7.1591726586773185E-4</v>
      </c>
      <c r="K29" s="2"/>
      <c r="L29" s="7">
        <f t="shared" si="14"/>
        <v>-11.258079999999993</v>
      </c>
      <c r="M29" s="2"/>
      <c r="N29" s="6">
        <f t="shared" si="15"/>
        <v>-0.13959513977270127</v>
      </c>
      <c r="O29" s="11"/>
      <c r="P29" s="7">
        <v>157.16</v>
      </c>
      <c r="Q29" s="2"/>
      <c r="R29" s="6">
        <f t="shared" si="16"/>
        <v>9.0811915498692107E-4</v>
      </c>
      <c r="S29" s="2"/>
      <c r="T29" s="7">
        <v>185.57318000000001</v>
      </c>
      <c r="U29" s="2"/>
      <c r="V29" s="6">
        <f t="shared" si="17"/>
        <v>1.0249830433581885E-3</v>
      </c>
      <c r="W29" s="2"/>
      <c r="X29" s="7">
        <f t="shared" si="18"/>
        <v>-28.413180000000011</v>
      </c>
      <c r="Y29" s="2"/>
      <c r="Z29" s="6">
        <f t="shared" si="19"/>
        <v>-0.15311037942012962</v>
      </c>
    </row>
    <row r="30" spans="1:26" s="24" customFormat="1" hidden="1" outlineLevel="2" x14ac:dyDescent="0.25">
      <c r="A30" s="25"/>
      <c r="B30" s="11" t="str">
        <f>CONCATENATE("          ", "6115", " - ", "P.E.R.S.")</f>
        <v xml:space="preserve">          6115 - P.E.R.S.</v>
      </c>
      <c r="C30" s="11"/>
      <c r="D30" s="7">
        <v>581.80999999999995</v>
      </c>
      <c r="E30" s="2"/>
      <c r="F30" s="6">
        <f t="shared" si="12"/>
        <v>5.5270646718150393E-3</v>
      </c>
      <c r="G30" s="2"/>
      <c r="H30" s="7">
        <v>463.34153846153902</v>
      </c>
      <c r="I30" s="2"/>
      <c r="J30" s="6">
        <f t="shared" si="13"/>
        <v>4.113107309911576E-3</v>
      </c>
      <c r="K30" s="2"/>
      <c r="L30" s="7">
        <f t="shared" si="14"/>
        <v>118.46846153846093</v>
      </c>
      <c r="M30" s="2"/>
      <c r="N30" s="6">
        <f t="shared" si="15"/>
        <v>0.25568279919779896</v>
      </c>
      <c r="O30" s="11"/>
      <c r="P30" s="7">
        <v>1745.43</v>
      </c>
      <c r="Q30" s="2"/>
      <c r="R30" s="6">
        <f t="shared" si="16"/>
        <v>1.0085635127824013E-2</v>
      </c>
      <c r="S30" s="2"/>
      <c r="T30" s="7">
        <v>1505.860000000001</v>
      </c>
      <c r="U30" s="2"/>
      <c r="V30" s="6">
        <f t="shared" si="17"/>
        <v>8.3173708920187845E-3</v>
      </c>
      <c r="W30" s="2"/>
      <c r="X30" s="7">
        <f t="shared" si="18"/>
        <v>239.56999999999903</v>
      </c>
      <c r="Y30" s="2"/>
      <c r="Z30" s="6">
        <f t="shared" si="19"/>
        <v>0.15909181464412286</v>
      </c>
    </row>
    <row r="31" spans="1:26" s="24" customFormat="1" hidden="1" outlineLevel="2" x14ac:dyDescent="0.25">
      <c r="A31" s="25"/>
      <c r="B31" s="11" t="str">
        <f>CONCATENATE("          ", "6116", " - ", "EDUCATIONAL BENEFITS")</f>
        <v xml:space="preserve">          6116 - EDUCATIONAL BENEFITS</v>
      </c>
      <c r="C31" s="11"/>
      <c r="D31" s="7"/>
      <c r="E31" s="2"/>
      <c r="F31" s="6">
        <f t="shared" si="12"/>
        <v>0</v>
      </c>
      <c r="G31" s="2"/>
      <c r="H31" s="7">
        <v>0</v>
      </c>
      <c r="I31" s="2"/>
      <c r="J31" s="6">
        <f t="shared" si="13"/>
        <v>0</v>
      </c>
      <c r="K31" s="2"/>
      <c r="L31" s="7">
        <f t="shared" si="14"/>
        <v>0</v>
      </c>
      <c r="M31" s="2"/>
      <c r="N31" s="6">
        <f t="shared" si="15"/>
        <v>0</v>
      </c>
      <c r="O31" s="11"/>
      <c r="P31" s="7"/>
      <c r="Q31" s="2"/>
      <c r="R31" s="6">
        <f t="shared" si="16"/>
        <v>0</v>
      </c>
      <c r="S31" s="2"/>
      <c r="T31" s="7">
        <v>0</v>
      </c>
      <c r="U31" s="2"/>
      <c r="V31" s="6">
        <f t="shared" si="17"/>
        <v>0</v>
      </c>
      <c r="W31" s="2"/>
      <c r="X31" s="7">
        <f t="shared" si="18"/>
        <v>0</v>
      </c>
      <c r="Y31" s="2"/>
      <c r="Z31" s="6">
        <f t="shared" si="19"/>
        <v>0</v>
      </c>
    </row>
    <row r="32" spans="1:26" s="24" customFormat="1" hidden="1" outlineLevel="2" x14ac:dyDescent="0.25">
      <c r="A32" s="25"/>
      <c r="B32" s="11" t="str">
        <f>CONCATENATE("          ", "6118", " - ", "VACATION")</f>
        <v xml:space="preserve">          6118 - VACATION</v>
      </c>
      <c r="C32" s="11"/>
      <c r="D32" s="7">
        <v>714.17</v>
      </c>
      <c r="E32" s="2"/>
      <c r="F32" s="6">
        <f t="shared" si="12"/>
        <v>6.7844550225505691E-3</v>
      </c>
      <c r="G32" s="2"/>
      <c r="H32" s="7">
        <v>434.18461538461503</v>
      </c>
      <c r="I32" s="2"/>
      <c r="J32" s="6">
        <f t="shared" si="13"/>
        <v>3.8542797637338218E-3</v>
      </c>
      <c r="K32" s="2"/>
      <c r="L32" s="7">
        <f t="shared" si="14"/>
        <v>279.98538461538493</v>
      </c>
      <c r="M32" s="2"/>
      <c r="N32" s="6">
        <f t="shared" si="15"/>
        <v>0.644853305931544</v>
      </c>
      <c r="O32" s="11"/>
      <c r="P32" s="7">
        <v>3317.97</v>
      </c>
      <c r="Q32" s="2"/>
      <c r="R32" s="6">
        <f t="shared" si="16"/>
        <v>1.9172258288826384E-2</v>
      </c>
      <c r="S32" s="2"/>
      <c r="T32" s="7">
        <v>1411.099999999999</v>
      </c>
      <c r="U32" s="2"/>
      <c r="V32" s="6">
        <f t="shared" si="17"/>
        <v>7.7939795636564431E-3</v>
      </c>
      <c r="W32" s="2"/>
      <c r="X32" s="7">
        <f t="shared" si="18"/>
        <v>1906.8700000000008</v>
      </c>
      <c r="Y32" s="2"/>
      <c r="Z32" s="6">
        <f t="shared" si="19"/>
        <v>1.351335837290059</v>
      </c>
    </row>
    <row r="33" spans="1:26" s="24" customFormat="1" hidden="1" outlineLevel="2" x14ac:dyDescent="0.25">
      <c r="A33" s="25"/>
      <c r="B33" s="11" t="str">
        <f>CONCATENATE("          ", "6119", " - ", "SICK LEAVE")</f>
        <v xml:space="preserve">          6119 - SICK LEAVE</v>
      </c>
      <c r="C33" s="11"/>
      <c r="D33" s="7">
        <v>392.9</v>
      </c>
      <c r="E33" s="2"/>
      <c r="F33" s="6">
        <f t="shared" si="12"/>
        <v>3.7324619885463102E-3</v>
      </c>
      <c r="G33" s="2"/>
      <c r="H33" s="7">
        <v>1104.2286153846201</v>
      </c>
      <c r="I33" s="2"/>
      <c r="J33" s="6">
        <f t="shared" si="13"/>
        <v>9.8022957424289403E-3</v>
      </c>
      <c r="K33" s="2"/>
      <c r="L33" s="7">
        <f t="shared" si="14"/>
        <v>-711.32861538462009</v>
      </c>
      <c r="M33" s="2"/>
      <c r="N33" s="6">
        <f t="shared" si="15"/>
        <v>-0.64418600050212715</v>
      </c>
      <c r="O33" s="11"/>
      <c r="P33" s="7">
        <v>4621.63</v>
      </c>
      <c r="Q33" s="2"/>
      <c r="R33" s="6">
        <f t="shared" si="16"/>
        <v>2.6705209533355843E-2</v>
      </c>
      <c r="S33" s="2"/>
      <c r="T33" s="7">
        <v>2705.669000000004</v>
      </c>
      <c r="U33" s="2"/>
      <c r="V33" s="6">
        <f t="shared" si="17"/>
        <v>1.4944319248826313E-2</v>
      </c>
      <c r="W33" s="2"/>
      <c r="X33" s="7">
        <f t="shared" si="18"/>
        <v>1915.9609999999961</v>
      </c>
      <c r="Y33" s="2"/>
      <c r="Z33" s="6">
        <f t="shared" si="19"/>
        <v>0.70812837786144323</v>
      </c>
    </row>
    <row r="34" spans="1:26" s="24" customFormat="1" hidden="1" outlineLevel="2" x14ac:dyDescent="0.25">
      <c r="A34" s="25"/>
      <c r="B34" s="11" t="str">
        <f>CONCATENATE("          ", "6156", " - ", "EMPLOYEE MEALS")</f>
        <v xml:space="preserve">          6156 - EMPLOYEE MEALS</v>
      </c>
      <c r="C34" s="11"/>
      <c r="D34" s="7">
        <v>343.59</v>
      </c>
      <c r="E34" s="2"/>
      <c r="F34" s="6">
        <f t="shared" si="12"/>
        <v>3.2640280342189532E-3</v>
      </c>
      <c r="G34" s="2"/>
      <c r="H34" s="7">
        <v>300</v>
      </c>
      <c r="I34" s="2"/>
      <c r="J34" s="6">
        <f t="shared" si="13"/>
        <v>2.6631158455392811E-3</v>
      </c>
      <c r="K34" s="2"/>
      <c r="L34" s="7">
        <f t="shared" si="14"/>
        <v>43.589999999999975</v>
      </c>
      <c r="M34" s="2"/>
      <c r="N34" s="6">
        <f t="shared" si="15"/>
        <v>0.14529999999999993</v>
      </c>
      <c r="O34" s="11"/>
      <c r="P34" s="7">
        <v>965.35</v>
      </c>
      <c r="Q34" s="2"/>
      <c r="R34" s="6">
        <f t="shared" si="16"/>
        <v>5.5780912844656675E-3</v>
      </c>
      <c r="S34" s="2"/>
      <c r="T34" s="7">
        <v>900</v>
      </c>
      <c r="U34" s="2"/>
      <c r="V34" s="6">
        <f t="shared" si="17"/>
        <v>4.9710024855012429E-3</v>
      </c>
      <c r="W34" s="2"/>
      <c r="X34" s="7">
        <f t="shared" si="18"/>
        <v>65.350000000000023</v>
      </c>
      <c r="Y34" s="2"/>
      <c r="Z34" s="6">
        <f t="shared" si="19"/>
        <v>7.261111111111114E-2</v>
      </c>
    </row>
    <row r="35" spans="1:26" s="26" customFormat="1" outlineLevel="1" collapsed="1" x14ac:dyDescent="0.25">
      <c r="A35" s="27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26914.43</v>
      </c>
      <c r="E35" s="1"/>
      <c r="F35" s="5">
        <f t="shared" ref="F35:F45" si="20">IF(D$12=0,0,D35/D$12)</f>
        <v>0.25568105604069857</v>
      </c>
      <c r="G35" s="1"/>
      <c r="H35" s="1">
        <f>SUM(OSRRefH22_1x_0)</f>
        <v>29480.079076923081</v>
      </c>
      <c r="I35" s="1"/>
      <c r="J35" s="5">
        <f t="shared" ref="J35:J45" si="21">IF(H$12=0,0,H35/H$12)</f>
        <v>0.26169621905834961</v>
      </c>
      <c r="K35" s="1"/>
      <c r="L35" s="1">
        <f t="shared" ref="L35:L45" si="22">+D35-H35</f>
        <v>-2565.6490769230804</v>
      </c>
      <c r="M35" s="1"/>
      <c r="N35" s="5">
        <f t="shared" ref="N35:N45" si="23">IF(H35=0,0,L35/H35)</f>
        <v>-8.7029925198927396E-2</v>
      </c>
      <c r="O35" s="13"/>
      <c r="P35" s="1">
        <f>SUM(OSRRefP22_1x_0)</f>
        <v>65479.59</v>
      </c>
      <c r="Q35" s="1"/>
      <c r="R35" s="5">
        <f t="shared" ref="R35:R45" si="24">IF(P$12=0,0,P35/P$12)</f>
        <v>0.37836135110517977</v>
      </c>
      <c r="S35" s="1"/>
      <c r="T35" s="1">
        <f>SUM(OSRRefT22_1x_0)</f>
        <v>67257.531000000017</v>
      </c>
      <c r="U35" s="1"/>
      <c r="V35" s="5">
        <f t="shared" ref="V35:V45" si="25">IF(T$12=0,0,T35/T$12)</f>
        <v>0.37148594863297441</v>
      </c>
      <c r="W35" s="1"/>
      <c r="X35" s="1">
        <f t="shared" ref="X35:X45" si="26">+P35-T35</f>
        <v>-1777.9410000000207</v>
      </c>
      <c r="Y35" s="1"/>
      <c r="Z35" s="5">
        <f t="shared" ref="Z35:Z45" si="27">IF(T35=0,0,X35/T35)</f>
        <v>-2.6434824079403396E-2</v>
      </c>
    </row>
    <row r="36" spans="1:26" s="24" customFormat="1" hidden="1" outlineLevel="2" x14ac:dyDescent="0.25">
      <c r="A36" s="25"/>
      <c r="B36" s="11" t="str">
        <f>CONCATENATE("          ", "6001", " - ", "ADMINISTRATIVE SALARIES")</f>
        <v xml:space="preserve">          6001 - ADMINISTRATIVE SALARIES</v>
      </c>
      <c r="C36" s="11"/>
      <c r="D36" s="7"/>
      <c r="E36" s="2"/>
      <c r="F36" s="6">
        <f t="shared" si="20"/>
        <v>0</v>
      </c>
      <c r="G36" s="2"/>
      <c r="H36" s="7">
        <v>0</v>
      </c>
      <c r="I36" s="2"/>
      <c r="J36" s="6">
        <f t="shared" si="21"/>
        <v>0</v>
      </c>
      <c r="K36" s="2"/>
      <c r="L36" s="7">
        <f t="shared" si="22"/>
        <v>0</v>
      </c>
      <c r="M36" s="2"/>
      <c r="N36" s="6">
        <f t="shared" si="23"/>
        <v>0</v>
      </c>
      <c r="O36" s="11"/>
      <c r="P36" s="7"/>
      <c r="Q36" s="2"/>
      <c r="R36" s="6">
        <f t="shared" si="24"/>
        <v>0</v>
      </c>
      <c r="S36" s="2"/>
      <c r="T36" s="7">
        <v>0</v>
      </c>
      <c r="U36" s="2"/>
      <c r="V36" s="6">
        <f t="shared" si="25"/>
        <v>0</v>
      </c>
      <c r="W36" s="2"/>
      <c r="X36" s="7">
        <f t="shared" si="26"/>
        <v>0</v>
      </c>
      <c r="Y36" s="2"/>
      <c r="Z36" s="6">
        <f t="shared" si="27"/>
        <v>0</v>
      </c>
    </row>
    <row r="37" spans="1:26" s="24" customFormat="1" hidden="1" outlineLevel="2" x14ac:dyDescent="0.25">
      <c r="A37" s="25"/>
      <c r="B37" s="11" t="str">
        <f>CONCATENATE("          ", "6002", " - ", "STAFF SALARIES")</f>
        <v xml:space="preserve">          6002 - STAFF SALARIES</v>
      </c>
      <c r="C37" s="11"/>
      <c r="D37" s="7">
        <v>4838.4399999999996</v>
      </c>
      <c r="E37" s="2"/>
      <c r="F37" s="6">
        <f t="shared" si="20"/>
        <v>4.5964096166612393E-2</v>
      </c>
      <c r="G37" s="2"/>
      <c r="H37" s="7">
        <v>4848.9230769230799</v>
      </c>
      <c r="I37" s="2"/>
      <c r="J37" s="6">
        <f t="shared" si="21"/>
        <v>4.3044146266516467E-2</v>
      </c>
      <c r="K37" s="2"/>
      <c r="L37" s="7">
        <f t="shared" si="22"/>
        <v>-10.483076923080262</v>
      </c>
      <c r="M37" s="2"/>
      <c r="N37" s="6">
        <f t="shared" si="23"/>
        <v>-2.1619392093413813E-3</v>
      </c>
      <c r="O37" s="11"/>
      <c r="P37" s="7">
        <v>15511.710000000001</v>
      </c>
      <c r="Q37" s="2"/>
      <c r="R37" s="6">
        <f t="shared" si="24"/>
        <v>8.9631464606784006E-2</v>
      </c>
      <c r="S37" s="2"/>
      <c r="T37" s="7">
        <v>15759.000000000009</v>
      </c>
      <c r="U37" s="2"/>
      <c r="V37" s="6">
        <f t="shared" si="25"/>
        <v>8.7042253521126808E-2</v>
      </c>
      <c r="W37" s="2"/>
      <c r="X37" s="7">
        <f t="shared" si="26"/>
        <v>-247.29000000000815</v>
      </c>
      <c r="Y37" s="2"/>
      <c r="Z37" s="6">
        <f t="shared" si="27"/>
        <v>-1.5691985532077415E-2</v>
      </c>
    </row>
    <row r="38" spans="1:26" s="24" customFormat="1" hidden="1" outlineLevel="2" x14ac:dyDescent="0.25">
      <c r="A38" s="25"/>
      <c r="B38" s="11" t="str">
        <f>CONCATENATE("          ", "6003", " - ", "STAFF HOURLY-9 MONTH")</f>
        <v xml:space="preserve">          6003 - STAFF HOURLY-9 MONTH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5"/>
      <c r="B39" s="11" t="str">
        <f>CONCATENATE("          ", "6004", " - ", "STAFF HOURLY")</f>
        <v xml:space="preserve">          6004 - STAFF HOURLY</v>
      </c>
      <c r="C39" s="11"/>
      <c r="D39" s="7">
        <v>3432.34</v>
      </c>
      <c r="E39" s="2"/>
      <c r="F39" s="6">
        <f t="shared" si="20"/>
        <v>3.2606461139646332E-2</v>
      </c>
      <c r="G39" s="2"/>
      <c r="H39" s="7">
        <v>2966.4</v>
      </c>
      <c r="I39" s="2"/>
      <c r="J39" s="6">
        <f t="shared" si="21"/>
        <v>2.6332889480692411E-2</v>
      </c>
      <c r="K39" s="2"/>
      <c r="L39" s="7">
        <f t="shared" si="22"/>
        <v>465.94000000000005</v>
      </c>
      <c r="M39" s="2"/>
      <c r="N39" s="6">
        <f t="shared" si="23"/>
        <v>0.15707254584681771</v>
      </c>
      <c r="O39" s="11"/>
      <c r="P39" s="7">
        <v>9620.6299999999992</v>
      </c>
      <c r="Q39" s="2"/>
      <c r="R39" s="6">
        <f t="shared" si="24"/>
        <v>5.5590979804287489E-2</v>
      </c>
      <c r="S39" s="2"/>
      <c r="T39" s="7">
        <v>9640.7999999999993</v>
      </c>
      <c r="U39" s="2"/>
      <c r="V39" s="6">
        <f t="shared" si="25"/>
        <v>5.3249378624689307E-2</v>
      </c>
      <c r="W39" s="2"/>
      <c r="X39" s="7">
        <f t="shared" si="26"/>
        <v>-20.170000000000073</v>
      </c>
      <c r="Y39" s="2"/>
      <c r="Z39" s="6">
        <f t="shared" si="27"/>
        <v>-2.0921500290432406E-3</v>
      </c>
    </row>
    <row r="40" spans="1:26" s="24" customFormat="1" hidden="1" outlineLevel="2" x14ac:dyDescent="0.25">
      <c r="A40" s="25"/>
      <c r="B40" s="11" t="str">
        <f>CONCATENATE("          ", "6005", " - ", "TEMPORARY WAGES-HOURLY")</f>
        <v xml:space="preserve">          6005 - TEMPORARY WAGES-HOURLY</v>
      </c>
      <c r="C40" s="11"/>
      <c r="D40" s="7">
        <v>8316.7099999999991</v>
      </c>
      <c r="E40" s="2"/>
      <c r="F40" s="6">
        <f t="shared" si="20"/>
        <v>7.9006882017722019E-2</v>
      </c>
      <c r="G40" s="2"/>
      <c r="H40" s="7">
        <v>10970.505999999999</v>
      </c>
      <c r="I40" s="2"/>
      <c r="J40" s="6">
        <f t="shared" si="21"/>
        <v>9.7385761207279181E-2</v>
      </c>
      <c r="K40" s="2"/>
      <c r="L40" s="7">
        <f t="shared" si="22"/>
        <v>-2653.7960000000003</v>
      </c>
      <c r="M40" s="2"/>
      <c r="N40" s="6">
        <f t="shared" si="23"/>
        <v>-0.24190278916943306</v>
      </c>
      <c r="O40" s="11"/>
      <c r="P40" s="7">
        <v>16313.809999999998</v>
      </c>
      <c r="Q40" s="2"/>
      <c r="R40" s="6">
        <f t="shared" si="24"/>
        <v>9.4266246830091507E-2</v>
      </c>
      <c r="S40" s="2"/>
      <c r="T40" s="7">
        <v>22637.181</v>
      </c>
      <c r="U40" s="2"/>
      <c r="V40" s="6">
        <f t="shared" si="25"/>
        <v>0.12503275890637947</v>
      </c>
      <c r="W40" s="2"/>
      <c r="X40" s="7">
        <f t="shared" si="26"/>
        <v>-6323.3710000000028</v>
      </c>
      <c r="Y40" s="2"/>
      <c r="Z40" s="6">
        <f t="shared" si="27"/>
        <v>-0.27933562045556831</v>
      </c>
    </row>
    <row r="41" spans="1:26" s="24" customFormat="1" hidden="1" outlineLevel="2" x14ac:dyDescent="0.25">
      <c r="A41" s="25"/>
      <c r="B41" s="11" t="str">
        <f>CONCATENATE("          ", "6006", " - ", "TEMPORARY PART TIME")</f>
        <v xml:space="preserve">          6006 - TEMPORARY PART TIME</v>
      </c>
      <c r="C41" s="11"/>
      <c r="D41" s="7"/>
      <c r="E41" s="2"/>
      <c r="F41" s="6">
        <f t="shared" si="20"/>
        <v>0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0</v>
      </c>
      <c r="M41" s="2"/>
      <c r="N41" s="6">
        <f t="shared" si="23"/>
        <v>0</v>
      </c>
      <c r="O41" s="11"/>
      <c r="P41" s="7">
        <v>200.5</v>
      </c>
      <c r="Q41" s="2"/>
      <c r="R41" s="6">
        <f t="shared" si="24"/>
        <v>1.1585510980839761E-3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200.5</v>
      </c>
      <c r="Y41" s="2"/>
      <c r="Z41" s="6">
        <f t="shared" si="27"/>
        <v>0</v>
      </c>
    </row>
    <row r="42" spans="1:26" s="24" customFormat="1" hidden="1" outlineLevel="2" x14ac:dyDescent="0.25">
      <c r="A42" s="25"/>
      <c r="B42" s="11" t="str">
        <f>CONCATENATE("          ", "6007", " - ", "STUDENT HOURLY")</f>
        <v xml:space="preserve">          6007 - STUDENT HOURLY</v>
      </c>
      <c r="C42" s="11"/>
      <c r="D42" s="7">
        <v>10326.94</v>
      </c>
      <c r="E42" s="2"/>
      <c r="F42" s="6">
        <f t="shared" si="20"/>
        <v>9.8103616716717842E-2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10326.94</v>
      </c>
      <c r="M42" s="2"/>
      <c r="N42" s="6">
        <f t="shared" si="23"/>
        <v>0</v>
      </c>
      <c r="O42" s="11"/>
      <c r="P42" s="7">
        <v>23832.94</v>
      </c>
      <c r="Q42" s="2"/>
      <c r="R42" s="6">
        <f t="shared" si="24"/>
        <v>0.13771410876593276</v>
      </c>
      <c r="S42" s="2"/>
      <c r="T42" s="7">
        <v>8526.2999999999993</v>
      </c>
      <c r="U42" s="2"/>
      <c r="V42" s="6">
        <f t="shared" si="25"/>
        <v>4.7093620546810266E-2</v>
      </c>
      <c r="W42" s="2"/>
      <c r="X42" s="7">
        <f t="shared" si="26"/>
        <v>15306.64</v>
      </c>
      <c r="Y42" s="2"/>
      <c r="Z42" s="6">
        <f t="shared" si="27"/>
        <v>1.7952265343701255</v>
      </c>
    </row>
    <row r="43" spans="1:26" s="24" customFormat="1" hidden="1" outlineLevel="2" x14ac:dyDescent="0.25">
      <c r="A43" s="25"/>
      <c r="B43" s="11" t="str">
        <f>CONCATENATE("          ", "6008", " - ", "STUDENT HOURLY-FICA EXEMPT")</f>
        <v xml:space="preserve">          6008 - STUDENT HOURLY-FICA EXEMPT</v>
      </c>
      <c r="C43" s="11"/>
      <c r="D43" s="7"/>
      <c r="E43" s="2"/>
      <c r="F43" s="6">
        <f t="shared" si="20"/>
        <v>0</v>
      </c>
      <c r="G43" s="2"/>
      <c r="H43" s="7">
        <v>10694.25</v>
      </c>
      <c r="I43" s="2"/>
      <c r="J43" s="6">
        <f t="shared" si="21"/>
        <v>9.493342210386152E-2</v>
      </c>
      <c r="K43" s="2"/>
      <c r="L43" s="7">
        <f t="shared" si="22"/>
        <v>-10694.25</v>
      </c>
      <c r="M43" s="2"/>
      <c r="N43" s="6">
        <f t="shared" si="23"/>
        <v>-1</v>
      </c>
      <c r="O43" s="11"/>
      <c r="P43" s="7"/>
      <c r="Q43" s="2"/>
      <c r="R43" s="6">
        <f t="shared" si="24"/>
        <v>0</v>
      </c>
      <c r="S43" s="2"/>
      <c r="T43" s="7">
        <v>10694.25</v>
      </c>
      <c r="U43" s="2"/>
      <c r="V43" s="6">
        <f t="shared" si="25"/>
        <v>5.9067937033968516E-2</v>
      </c>
      <c r="W43" s="2"/>
      <c r="X43" s="7">
        <f t="shared" si="26"/>
        <v>-10694.25</v>
      </c>
      <c r="Y43" s="2"/>
      <c r="Z43" s="6">
        <f t="shared" si="27"/>
        <v>-1</v>
      </c>
    </row>
    <row r="44" spans="1:26" s="24" customFormat="1" hidden="1" outlineLevel="2" x14ac:dyDescent="0.25">
      <c r="A44" s="25"/>
      <c r="B44" s="11" t="str">
        <f>CONCATENATE("          ", "6009", " - ", "TEMPORARY-SEASONAL")</f>
        <v xml:space="preserve">          6009 - TEMPORARY-SEASONAL</v>
      </c>
      <c r="C44" s="11"/>
      <c r="D44" s="7"/>
      <c r="E44" s="2"/>
      <c r="F44" s="6">
        <f t="shared" si="20"/>
        <v>0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0</v>
      </c>
      <c r="M44" s="2"/>
      <c r="N44" s="6">
        <f t="shared" si="23"/>
        <v>0</v>
      </c>
      <c r="O44" s="11"/>
      <c r="P44" s="7"/>
      <c r="Q44" s="2"/>
      <c r="R44" s="6">
        <f t="shared" si="24"/>
        <v>0</v>
      </c>
      <c r="S44" s="2"/>
      <c r="T44" s="7">
        <v>0</v>
      </c>
      <c r="U44" s="2"/>
      <c r="V44" s="6">
        <f t="shared" si="25"/>
        <v>0</v>
      </c>
      <c r="W44" s="2"/>
      <c r="X44" s="7">
        <f t="shared" si="26"/>
        <v>0</v>
      </c>
      <c r="Y44" s="2"/>
      <c r="Z44" s="6">
        <f t="shared" si="27"/>
        <v>0</v>
      </c>
    </row>
    <row r="45" spans="1:26" s="24" customFormat="1" hidden="1" outlineLevel="2" x14ac:dyDescent="0.25">
      <c r="A45" s="25"/>
      <c r="B45" s="11" t="str">
        <f>CONCATENATE("          ", "6010", " - ", "GRATUITY")</f>
        <v xml:space="preserve">          6010 - GRATUITY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26" customFormat="1" outlineLevel="1" collapsed="1" x14ac:dyDescent="0.25">
      <c r="A46" s="27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13.41</v>
      </c>
      <c r="E46" s="1"/>
      <c r="F46" s="5">
        <f t="shared" ref="F46:F54" si="28">IF(D$12=0,0,D46/D$12)</f>
        <v>1.2739199609673206E-4</v>
      </c>
      <c r="G46" s="1"/>
      <c r="H46" s="1">
        <f>SUM(OSRRefH22_2x_0)</f>
        <v>200</v>
      </c>
      <c r="I46" s="1"/>
      <c r="J46" s="5">
        <f t="shared" ref="J46:J54" si="29">IF(H$12=0,0,H46/H$12)</f>
        <v>1.7754105636928539E-3</v>
      </c>
      <c r="K46" s="1"/>
      <c r="L46" s="1">
        <f t="shared" ref="L46:L54" si="30">+D46-H46</f>
        <v>-186.59</v>
      </c>
      <c r="M46" s="1"/>
      <c r="N46" s="5">
        <f t="shared" ref="N46:N54" si="31">IF(H46=0,0,L46/H46)</f>
        <v>-0.93295000000000006</v>
      </c>
      <c r="O46" s="13"/>
      <c r="P46" s="1">
        <f>SUM(OSRRefP22_2x_0)</f>
        <v>2013.86</v>
      </c>
      <c r="Q46" s="1"/>
      <c r="R46" s="5">
        <f t="shared" ref="R46:R54" si="32">IF(P$12=0,0,P46/P$12)</f>
        <v>1.1636706804924669E-2</v>
      </c>
      <c r="S46" s="1"/>
      <c r="T46" s="1">
        <f>SUM(OSRRefT22_2x_0)</f>
        <v>1100</v>
      </c>
      <c r="U46" s="1"/>
      <c r="V46" s="5">
        <f t="shared" ref="V46:V54" si="33">IF(T$12=0,0,T46/T$12)</f>
        <v>6.0756697045015193E-3</v>
      </c>
      <c r="W46" s="1"/>
      <c r="X46" s="1">
        <f t="shared" ref="X46:X54" si="34">+P46-T46</f>
        <v>913.8599999999999</v>
      </c>
      <c r="Y46" s="1"/>
      <c r="Z46" s="5">
        <f t="shared" ref="Z46:Z54" si="35">IF(T46=0,0,X46/T46)</f>
        <v>0.83078181818181807</v>
      </c>
    </row>
    <row r="47" spans="1:26" s="24" customFormat="1" hidden="1" outlineLevel="2" x14ac:dyDescent="0.25">
      <c r="A47" s="25"/>
      <c r="B47" s="11" t="str">
        <f>CONCATENATE("          ", "6362", " - ", "ADVERTISING EXPENSE")</f>
        <v xml:space="preserve">          6362 - ADVERTISING EXPENSE</v>
      </c>
      <c r="C47" s="11"/>
      <c r="D47" s="7">
        <v>13.41</v>
      </c>
      <c r="E47" s="2"/>
      <c r="F47" s="6">
        <f t="shared" si="28"/>
        <v>1.2739199609673206E-4</v>
      </c>
      <c r="G47" s="2"/>
      <c r="H47" s="7">
        <v>200</v>
      </c>
      <c r="I47" s="2"/>
      <c r="J47" s="6">
        <f t="shared" si="29"/>
        <v>1.7754105636928539E-3</v>
      </c>
      <c r="K47" s="2"/>
      <c r="L47" s="7">
        <f t="shared" si="30"/>
        <v>-186.59</v>
      </c>
      <c r="M47" s="2"/>
      <c r="N47" s="6">
        <f t="shared" si="31"/>
        <v>-0.93295000000000006</v>
      </c>
      <c r="O47" s="11"/>
      <c r="P47" s="7">
        <v>2013.86</v>
      </c>
      <c r="Q47" s="2"/>
      <c r="R47" s="6">
        <f t="shared" si="32"/>
        <v>1.1636706804924669E-2</v>
      </c>
      <c r="S47" s="2"/>
      <c r="T47" s="7">
        <v>1100</v>
      </c>
      <c r="U47" s="2"/>
      <c r="V47" s="6">
        <f t="shared" si="33"/>
        <v>6.0756697045015193E-3</v>
      </c>
      <c r="W47" s="2"/>
      <c r="X47" s="7">
        <f t="shared" si="34"/>
        <v>913.8599999999999</v>
      </c>
      <c r="Y47" s="2"/>
      <c r="Z47" s="6">
        <f t="shared" si="35"/>
        <v>0.83078181818181807</v>
      </c>
    </row>
    <row r="48" spans="1:26" s="26" customFormat="1" outlineLevel="1" collapsed="1" x14ac:dyDescent="0.25">
      <c r="A48" s="27"/>
      <c r="B48" s="13" t="str">
        <f>CONCATENATE("     ","Bad Debts/Over/Short                              ")</f>
        <v xml:space="preserve">     Bad Debts/Over/Short                              </v>
      </c>
      <c r="C48" s="13"/>
      <c r="D48" s="1">
        <f>SUM(OSRRefD22_3x_0)</f>
        <v>20.239999999999998</v>
      </c>
      <c r="E48" s="1"/>
      <c r="F48" s="5">
        <f t="shared" si="28"/>
        <v>1.9227546614450833E-4</v>
      </c>
      <c r="G48" s="1"/>
      <c r="H48" s="1">
        <f>SUM(OSRRefH22_3x_0)</f>
        <v>10</v>
      </c>
      <c r="I48" s="1"/>
      <c r="J48" s="5">
        <f t="shared" si="29"/>
        <v>8.8770528184642703E-5</v>
      </c>
      <c r="K48" s="1"/>
      <c r="L48" s="1">
        <f t="shared" si="30"/>
        <v>10.239999999999998</v>
      </c>
      <c r="M48" s="1"/>
      <c r="N48" s="5">
        <f t="shared" si="31"/>
        <v>1.0239999999999998</v>
      </c>
      <c r="O48" s="13"/>
      <c r="P48" s="1">
        <f>SUM(OSRRefP22_3x_0)</f>
        <v>2.0299999999999998</v>
      </c>
      <c r="Q48" s="1"/>
      <c r="R48" s="5">
        <f t="shared" si="32"/>
        <v>1.1729968723742999E-5</v>
      </c>
      <c r="S48" s="1"/>
      <c r="T48" s="1">
        <f>SUM(OSRRefT22_3x_0)</f>
        <v>30</v>
      </c>
      <c r="U48" s="1"/>
      <c r="V48" s="5">
        <f t="shared" si="33"/>
        <v>1.6570008285004143E-4</v>
      </c>
      <c r="W48" s="1"/>
      <c r="X48" s="1">
        <f t="shared" si="34"/>
        <v>-27.97</v>
      </c>
      <c r="Y48" s="1"/>
      <c r="Z48" s="5">
        <f t="shared" si="35"/>
        <v>-0.93233333333333335</v>
      </c>
    </row>
    <row r="49" spans="1:26" s="24" customFormat="1" hidden="1" outlineLevel="2" x14ac:dyDescent="0.25">
      <c r="A49" s="25"/>
      <c r="B49" s="11" t="str">
        <f>CONCATENATE("          ", "6272", " - ", "CASH (OVER/SHORT)")</f>
        <v xml:space="preserve">          6272 - CASH (OVER/SHORT)</v>
      </c>
      <c r="C49" s="11"/>
      <c r="D49" s="7">
        <v>20.239999999999998</v>
      </c>
      <c r="E49" s="2"/>
      <c r="F49" s="6">
        <f t="shared" si="28"/>
        <v>1.9227546614450833E-4</v>
      </c>
      <c r="G49" s="2"/>
      <c r="H49" s="7">
        <v>10</v>
      </c>
      <c r="I49" s="2"/>
      <c r="J49" s="6">
        <f t="shared" si="29"/>
        <v>8.8770528184642703E-5</v>
      </c>
      <c r="K49" s="2"/>
      <c r="L49" s="7">
        <f t="shared" si="30"/>
        <v>10.239999999999998</v>
      </c>
      <c r="M49" s="2"/>
      <c r="N49" s="6">
        <f t="shared" si="31"/>
        <v>1.0239999999999998</v>
      </c>
      <c r="O49" s="11"/>
      <c r="P49" s="7">
        <v>2.0299999999999998</v>
      </c>
      <c r="Q49" s="2"/>
      <c r="R49" s="6">
        <f t="shared" si="32"/>
        <v>1.1729968723742999E-5</v>
      </c>
      <c r="S49" s="2"/>
      <c r="T49" s="7">
        <v>30</v>
      </c>
      <c r="U49" s="2"/>
      <c r="V49" s="6">
        <f t="shared" si="33"/>
        <v>1.6570008285004143E-4</v>
      </c>
      <c r="W49" s="2"/>
      <c r="X49" s="7">
        <f t="shared" si="34"/>
        <v>-27.97</v>
      </c>
      <c r="Y49" s="2"/>
      <c r="Z49" s="6">
        <f t="shared" si="35"/>
        <v>-0.93233333333333335</v>
      </c>
    </row>
    <row r="50" spans="1:26" s="26" customFormat="1" outlineLevel="1" collapsed="1" x14ac:dyDescent="0.25">
      <c r="A50" s="27"/>
      <c r="B50" s="13" t="str">
        <f>CONCATENATE("     ","Bank/card Fees                                    ")</f>
        <v xml:space="preserve">     Bank/card Fees                                    </v>
      </c>
      <c r="C50" s="13"/>
      <c r="D50" s="1">
        <f>SUM(OSRRefD22_4x_0)</f>
        <v>3924.28</v>
      </c>
      <c r="E50" s="1"/>
      <c r="F50" s="5">
        <f t="shared" si="28"/>
        <v>3.7279780942765378E-2</v>
      </c>
      <c r="G50" s="1"/>
      <c r="H50" s="1">
        <f>SUM(OSRRefH22_4x_0)</f>
        <v>0</v>
      </c>
      <c r="I50" s="1"/>
      <c r="J50" s="5">
        <f t="shared" si="29"/>
        <v>0</v>
      </c>
      <c r="K50" s="1"/>
      <c r="L50" s="1">
        <f t="shared" si="30"/>
        <v>3924.28</v>
      </c>
      <c r="M50" s="1"/>
      <c r="N50" s="5">
        <f t="shared" si="31"/>
        <v>0</v>
      </c>
      <c r="O50" s="13"/>
      <c r="P50" s="1">
        <f>SUM(OSRRefP22_4x_0)</f>
        <v>6392.84</v>
      </c>
      <c r="Q50" s="1"/>
      <c r="R50" s="5">
        <f t="shared" si="32"/>
        <v>3.6939809485661675E-2</v>
      </c>
      <c r="S50" s="1"/>
      <c r="T50" s="1">
        <f>SUM(OSRRefT22_4x_0)</f>
        <v>850</v>
      </c>
      <c r="U50" s="1"/>
      <c r="V50" s="5">
        <f t="shared" si="33"/>
        <v>4.6948356807511738E-3</v>
      </c>
      <c r="W50" s="1"/>
      <c r="X50" s="1">
        <f t="shared" si="34"/>
        <v>5542.84</v>
      </c>
      <c r="Y50" s="1"/>
      <c r="Z50" s="5">
        <f t="shared" si="35"/>
        <v>6.5209882352941175</v>
      </c>
    </row>
    <row r="51" spans="1:26" s="24" customFormat="1" hidden="1" outlineLevel="2" x14ac:dyDescent="0.25">
      <c r="A51" s="25"/>
      <c r="B51" s="11" t="str">
        <f>CONCATENATE("          ", "6381", " - ", "BANK/CREDIT CARD FEES")</f>
        <v xml:space="preserve">          6381 - BANK/CREDIT CARD FEES</v>
      </c>
      <c r="C51" s="11"/>
      <c r="D51" s="7">
        <v>3924.28</v>
      </c>
      <c r="E51" s="2"/>
      <c r="F51" s="6">
        <f t="shared" si="28"/>
        <v>3.7279780942765378E-2</v>
      </c>
      <c r="G51" s="2"/>
      <c r="H51" s="7"/>
      <c r="I51" s="2"/>
      <c r="J51" s="6">
        <f t="shared" si="29"/>
        <v>0</v>
      </c>
      <c r="K51" s="2"/>
      <c r="L51" s="7">
        <f t="shared" si="30"/>
        <v>3924.28</v>
      </c>
      <c r="M51" s="2"/>
      <c r="N51" s="6">
        <f t="shared" si="31"/>
        <v>0</v>
      </c>
      <c r="O51" s="11"/>
      <c r="P51" s="7">
        <v>6392.84</v>
      </c>
      <c r="Q51" s="2"/>
      <c r="R51" s="6">
        <f t="shared" si="32"/>
        <v>3.6939809485661675E-2</v>
      </c>
      <c r="S51" s="2"/>
      <c r="T51" s="7">
        <v>850</v>
      </c>
      <c r="U51" s="2"/>
      <c r="V51" s="6">
        <f t="shared" si="33"/>
        <v>4.6948356807511738E-3</v>
      </c>
      <c r="W51" s="2"/>
      <c r="X51" s="7">
        <f t="shared" si="34"/>
        <v>5542.84</v>
      </c>
      <c r="Y51" s="2"/>
      <c r="Z51" s="6">
        <f t="shared" si="35"/>
        <v>6.5209882352941175</v>
      </c>
    </row>
    <row r="52" spans="1:26" s="26" customFormat="1" outlineLevel="1" collapsed="1" x14ac:dyDescent="0.25">
      <c r="A52" s="27"/>
      <c r="B52" s="13" t="str">
        <f>CONCATENATE("     ","Depreciation                                      ")</f>
        <v xml:space="preserve">     Depreciation                                      </v>
      </c>
      <c r="C52" s="13"/>
      <c r="D52" s="1">
        <f>SUM(OSRRefD22_5x_0)</f>
        <v>13266.91</v>
      </c>
      <c r="E52" s="1"/>
      <c r="F52" s="5">
        <f t="shared" si="28"/>
        <v>0.12603267314956715</v>
      </c>
      <c r="G52" s="1"/>
      <c r="H52" s="1">
        <f>SUM(OSRRefH22_5x_0)</f>
        <v>13266</v>
      </c>
      <c r="I52" s="1"/>
      <c r="J52" s="5">
        <f t="shared" si="29"/>
        <v>0.117762982689747</v>
      </c>
      <c r="K52" s="1"/>
      <c r="L52" s="1">
        <f t="shared" si="30"/>
        <v>0.90999999999985448</v>
      </c>
      <c r="M52" s="1"/>
      <c r="N52" s="5">
        <f t="shared" si="31"/>
        <v>6.8596411879983006E-5</v>
      </c>
      <c r="O52" s="13"/>
      <c r="P52" s="1">
        <f>SUM(OSRRefP22_5x_0)</f>
        <v>39800.729999999996</v>
      </c>
      <c r="Q52" s="1"/>
      <c r="R52" s="5">
        <f t="shared" si="32"/>
        <v>0.2299809448680491</v>
      </c>
      <c r="S52" s="1"/>
      <c r="T52" s="1">
        <f>SUM(OSRRefT22_5x_0)</f>
        <v>39798</v>
      </c>
      <c r="U52" s="1"/>
      <c r="V52" s="5">
        <f t="shared" si="33"/>
        <v>0.21981772990886495</v>
      </c>
      <c r="W52" s="1"/>
      <c r="X52" s="1">
        <f t="shared" si="34"/>
        <v>2.7299999999959255</v>
      </c>
      <c r="Y52" s="1"/>
      <c r="Z52" s="5">
        <f t="shared" si="35"/>
        <v>6.8596411879891594E-5</v>
      </c>
    </row>
    <row r="53" spans="1:26" s="24" customFormat="1" hidden="1" outlineLevel="2" x14ac:dyDescent="0.25">
      <c r="A53" s="25"/>
      <c r="B53" s="11" t="str">
        <f>CONCATENATE("          ", "6321", " - ", "BUILDING DEPRECIATION")</f>
        <v xml:space="preserve">          6321 - BUILDING DEPRECIATION</v>
      </c>
      <c r="C53" s="11"/>
      <c r="D53" s="7">
        <v>10612.46</v>
      </c>
      <c r="E53" s="2"/>
      <c r="F53" s="6">
        <f t="shared" si="28"/>
        <v>0.10081599275889075</v>
      </c>
      <c r="G53" s="2"/>
      <c r="H53" s="7">
        <v>10612</v>
      </c>
      <c r="I53" s="2"/>
      <c r="J53" s="6">
        <f t="shared" si="29"/>
        <v>9.4203284509542837E-2</v>
      </c>
      <c r="K53" s="2"/>
      <c r="L53" s="7">
        <f t="shared" si="30"/>
        <v>0.45999999999912689</v>
      </c>
      <c r="M53" s="2"/>
      <c r="N53" s="6">
        <f t="shared" si="31"/>
        <v>4.3347154165013841E-5</v>
      </c>
      <c r="O53" s="11"/>
      <c r="P53" s="7">
        <v>31837.379999999997</v>
      </c>
      <c r="Q53" s="2"/>
      <c r="R53" s="6">
        <f t="shared" si="32"/>
        <v>0.18396624219010882</v>
      </c>
      <c r="S53" s="2"/>
      <c r="T53" s="7">
        <v>31836</v>
      </c>
      <c r="U53" s="2"/>
      <c r="V53" s="6">
        <f t="shared" si="33"/>
        <v>0.17584092792046396</v>
      </c>
      <c r="W53" s="2"/>
      <c r="X53" s="7">
        <f t="shared" si="34"/>
        <v>1.3799999999973807</v>
      </c>
      <c r="Y53" s="2"/>
      <c r="Z53" s="6">
        <f t="shared" si="35"/>
        <v>4.3347154165013841E-5</v>
      </c>
    </row>
    <row r="54" spans="1:26" s="24" customFormat="1" hidden="1" outlineLevel="2" x14ac:dyDescent="0.25">
      <c r="A54" s="25"/>
      <c r="B54" s="11" t="str">
        <f>CONCATENATE("          ", "6322", " - ", "EQUIPMENT DEPRECIATION EXPENSE")</f>
        <v xml:space="preserve">          6322 - EQUIPMENT DEPRECIATION EXPENSE</v>
      </c>
      <c r="C54" s="11"/>
      <c r="D54" s="7">
        <v>2654.45</v>
      </c>
      <c r="E54" s="2"/>
      <c r="F54" s="6">
        <f t="shared" si="28"/>
        <v>2.5216680390676389E-2</v>
      </c>
      <c r="G54" s="2"/>
      <c r="H54" s="7">
        <v>2654</v>
      </c>
      <c r="I54" s="2"/>
      <c r="J54" s="6">
        <f t="shared" si="29"/>
        <v>2.3559698180204171E-2</v>
      </c>
      <c r="K54" s="2"/>
      <c r="L54" s="7">
        <f t="shared" si="30"/>
        <v>0.4499999999998181</v>
      </c>
      <c r="M54" s="2"/>
      <c r="N54" s="6">
        <f t="shared" si="31"/>
        <v>1.6955538809337533E-4</v>
      </c>
      <c r="O54" s="11"/>
      <c r="P54" s="7">
        <v>7963.35</v>
      </c>
      <c r="Q54" s="2"/>
      <c r="R54" s="6">
        <f t="shared" si="32"/>
        <v>4.6014702677940306E-2</v>
      </c>
      <c r="S54" s="2"/>
      <c r="T54" s="7">
        <v>7962</v>
      </c>
      <c r="U54" s="2"/>
      <c r="V54" s="6">
        <f t="shared" si="33"/>
        <v>4.3976801988400996E-2</v>
      </c>
      <c r="W54" s="2"/>
      <c r="X54" s="7">
        <f t="shared" si="34"/>
        <v>1.3500000000003638</v>
      </c>
      <c r="Y54" s="2"/>
      <c r="Z54" s="6">
        <f t="shared" si="35"/>
        <v>1.6955538809348955E-4</v>
      </c>
    </row>
    <row r="55" spans="1:26" s="26" customFormat="1" outlineLevel="1" collapsed="1" x14ac:dyDescent="0.25">
      <c r="A55" s="27"/>
      <c r="B55" s="13" t="str">
        <f>CONCATENATE("     ","Employees' Appreciation                           ")</f>
        <v xml:space="preserve">     Employees' Appreciation                           </v>
      </c>
      <c r="C55" s="13"/>
      <c r="D55" s="1">
        <f>SUM(OSRRefD22_6x_0)</f>
        <v>0</v>
      </c>
      <c r="E55" s="1"/>
      <c r="F55" s="5">
        <f t="shared" ref="F55:F67" si="36">IF(D$12=0,0,D55/D$12)</f>
        <v>0</v>
      </c>
      <c r="G55" s="1"/>
      <c r="H55" s="1">
        <f>SUM(OSRRefH22_6x_0)</f>
        <v>25</v>
      </c>
      <c r="I55" s="1"/>
      <c r="J55" s="5">
        <f t="shared" ref="J55:J67" si="37">IF(H$12=0,0,H55/H$12)</f>
        <v>2.2192632046160674E-4</v>
      </c>
      <c r="K55" s="1"/>
      <c r="L55" s="1">
        <f t="shared" ref="L55:L67" si="38">+D55-H55</f>
        <v>-25</v>
      </c>
      <c r="M55" s="1"/>
      <c r="N55" s="5">
        <f t="shared" ref="N55:N67" si="39">IF(H55=0,0,L55/H55)</f>
        <v>-1</v>
      </c>
      <c r="O55" s="13"/>
      <c r="P55" s="1">
        <f>SUM(OSRRefP22_6x_0)</f>
        <v>15.35</v>
      </c>
      <c r="Q55" s="1"/>
      <c r="R55" s="5">
        <f t="shared" ref="R55:R67" si="40">IF(P$12=0,0,P55/P$12)</f>
        <v>8.8697054142588695E-5</v>
      </c>
      <c r="S55" s="1"/>
      <c r="T55" s="1">
        <f>SUM(OSRRefT22_6x_0)</f>
        <v>75</v>
      </c>
      <c r="U55" s="1"/>
      <c r="V55" s="5">
        <f t="shared" ref="V55:V67" si="41">IF(T$12=0,0,T55/T$12)</f>
        <v>4.1425020712510354E-4</v>
      </c>
      <c r="W55" s="1"/>
      <c r="X55" s="1">
        <f t="shared" ref="X55:X67" si="42">+P55-T55</f>
        <v>-59.65</v>
      </c>
      <c r="Y55" s="1"/>
      <c r="Z55" s="5">
        <f t="shared" ref="Z55:Z67" si="43">IF(T55=0,0,X55/T55)</f>
        <v>-0.79533333333333334</v>
      </c>
    </row>
    <row r="56" spans="1:26" s="24" customFormat="1" hidden="1" outlineLevel="2" x14ac:dyDescent="0.25">
      <c r="A56" s="25"/>
      <c r="B56" s="11" t="str">
        <f>CONCATENATE("          ", "6277", " - ", "EMPLOYEE APPRECIATION")</f>
        <v xml:space="preserve">          6277 - EMPLOYEE APPRECIATION</v>
      </c>
      <c r="C56" s="11"/>
      <c r="D56" s="7"/>
      <c r="E56" s="2"/>
      <c r="F56" s="6">
        <f t="shared" si="36"/>
        <v>0</v>
      </c>
      <c r="G56" s="2"/>
      <c r="H56" s="7">
        <v>25</v>
      </c>
      <c r="I56" s="2"/>
      <c r="J56" s="6">
        <f t="shared" si="37"/>
        <v>2.2192632046160674E-4</v>
      </c>
      <c r="K56" s="2"/>
      <c r="L56" s="7">
        <f t="shared" si="38"/>
        <v>-25</v>
      </c>
      <c r="M56" s="2"/>
      <c r="N56" s="6">
        <f t="shared" si="39"/>
        <v>-1</v>
      </c>
      <c r="O56" s="11"/>
      <c r="P56" s="7">
        <v>15.35</v>
      </c>
      <c r="Q56" s="2"/>
      <c r="R56" s="6">
        <f t="shared" si="40"/>
        <v>8.8697054142588695E-5</v>
      </c>
      <c r="S56" s="2"/>
      <c r="T56" s="7">
        <v>75</v>
      </c>
      <c r="U56" s="2"/>
      <c r="V56" s="6">
        <f t="shared" si="41"/>
        <v>4.1425020712510354E-4</v>
      </c>
      <c r="W56" s="2"/>
      <c r="X56" s="7">
        <f t="shared" si="42"/>
        <v>-59.65</v>
      </c>
      <c r="Y56" s="2"/>
      <c r="Z56" s="6">
        <f t="shared" si="43"/>
        <v>-0.79533333333333334</v>
      </c>
    </row>
    <row r="57" spans="1:26" s="26" customFormat="1" outlineLevel="1" collapsed="1" x14ac:dyDescent="0.25">
      <c r="A57" s="27"/>
      <c r="B57" s="13" t="str">
        <f>CONCATENATE("     ","Equipment Rental                                  ")</f>
        <v xml:space="preserve">     Equipment Rental                                  </v>
      </c>
      <c r="C57" s="13"/>
      <c r="D57" s="1">
        <f>SUM(OSRRefD22_7x_0)</f>
        <v>56.69</v>
      </c>
      <c r="E57" s="1"/>
      <c r="F57" s="5">
        <f t="shared" si="36"/>
        <v>5.3854230117253844E-4</v>
      </c>
      <c r="G57" s="1"/>
      <c r="H57" s="1">
        <f>SUM(OSRRefH22_7x_0)</f>
        <v>125</v>
      </c>
      <c r="I57" s="1"/>
      <c r="J57" s="5">
        <f t="shared" si="37"/>
        <v>1.1096316023080338E-3</v>
      </c>
      <c r="K57" s="1"/>
      <c r="L57" s="1">
        <f t="shared" si="38"/>
        <v>-68.31</v>
      </c>
      <c r="M57" s="1"/>
      <c r="N57" s="5">
        <f t="shared" si="39"/>
        <v>-0.54647999999999997</v>
      </c>
      <c r="O57" s="13"/>
      <c r="P57" s="1">
        <f>SUM(OSRRefP22_7x_0)</f>
        <v>349.2</v>
      </c>
      <c r="Q57" s="1"/>
      <c r="R57" s="5">
        <f t="shared" si="40"/>
        <v>2.0177857528724413E-3</v>
      </c>
      <c r="S57" s="1"/>
      <c r="T57" s="1">
        <f>SUM(OSRRefT22_7x_0)</f>
        <v>375</v>
      </c>
      <c r="U57" s="1"/>
      <c r="V57" s="5">
        <f t="shared" si="41"/>
        <v>2.0712510356255178E-3</v>
      </c>
      <c r="W57" s="1"/>
      <c r="X57" s="1">
        <f t="shared" si="42"/>
        <v>-25.800000000000011</v>
      </c>
      <c r="Y57" s="1"/>
      <c r="Z57" s="5">
        <f t="shared" si="43"/>
        <v>-6.8800000000000028E-2</v>
      </c>
    </row>
    <row r="58" spans="1:26" s="24" customFormat="1" hidden="1" outlineLevel="2" x14ac:dyDescent="0.25">
      <c r="A58" s="25"/>
      <c r="B58" s="11" t="str">
        <f>CONCATENATE("          ", "6351", " - ", "EQUIPMENT RENTAL")</f>
        <v xml:space="preserve">          6351 - EQUIPMENT RENTAL</v>
      </c>
      <c r="C58" s="11"/>
      <c r="D58" s="7">
        <v>56.69</v>
      </c>
      <c r="E58" s="2"/>
      <c r="F58" s="6">
        <f t="shared" si="36"/>
        <v>5.3854230117253844E-4</v>
      </c>
      <c r="G58" s="2"/>
      <c r="H58" s="7">
        <v>125</v>
      </c>
      <c r="I58" s="2"/>
      <c r="J58" s="6">
        <f t="shared" si="37"/>
        <v>1.1096316023080338E-3</v>
      </c>
      <c r="K58" s="2"/>
      <c r="L58" s="7">
        <f t="shared" si="38"/>
        <v>-68.31</v>
      </c>
      <c r="M58" s="2"/>
      <c r="N58" s="6">
        <f t="shared" si="39"/>
        <v>-0.54647999999999997</v>
      </c>
      <c r="O58" s="11"/>
      <c r="P58" s="7">
        <v>349.2</v>
      </c>
      <c r="Q58" s="2"/>
      <c r="R58" s="6">
        <f t="shared" si="40"/>
        <v>2.0177857528724413E-3</v>
      </c>
      <c r="S58" s="2"/>
      <c r="T58" s="7">
        <v>375</v>
      </c>
      <c r="U58" s="2"/>
      <c r="V58" s="6">
        <f t="shared" si="41"/>
        <v>2.0712510356255178E-3</v>
      </c>
      <c r="W58" s="2"/>
      <c r="X58" s="7">
        <f t="shared" si="42"/>
        <v>-25.800000000000011</v>
      </c>
      <c r="Y58" s="2"/>
      <c r="Z58" s="6">
        <f t="shared" si="43"/>
        <v>-6.8800000000000028E-2</v>
      </c>
    </row>
    <row r="59" spans="1:26" s="26" customFormat="1" outlineLevel="1" collapsed="1" x14ac:dyDescent="0.25">
      <c r="A59" s="27"/>
      <c r="B59" s="13" t="str">
        <f>CONCATENATE("     ","General                                           ")</f>
        <v xml:space="preserve">     General                                           </v>
      </c>
      <c r="C59" s="13"/>
      <c r="D59" s="1">
        <f>SUM(OSRRefD22_8x_0)</f>
        <v>0</v>
      </c>
      <c r="E59" s="1"/>
      <c r="F59" s="5">
        <f t="shared" si="36"/>
        <v>0</v>
      </c>
      <c r="G59" s="1"/>
      <c r="H59" s="1">
        <f>SUM(OSRRefH22_8x_0)</f>
        <v>0</v>
      </c>
      <c r="I59" s="1"/>
      <c r="J59" s="5">
        <f t="shared" si="37"/>
        <v>0</v>
      </c>
      <c r="K59" s="1"/>
      <c r="L59" s="1">
        <f t="shared" si="38"/>
        <v>0</v>
      </c>
      <c r="M59" s="1"/>
      <c r="N59" s="5">
        <f t="shared" si="39"/>
        <v>0</v>
      </c>
      <c r="O59" s="13"/>
      <c r="P59" s="1">
        <f>SUM(OSRRefP22_8x_0)</f>
        <v>1354.55</v>
      </c>
      <c r="Q59" s="1"/>
      <c r="R59" s="5">
        <f t="shared" si="40"/>
        <v>7.8270094259832914E-3</v>
      </c>
      <c r="S59" s="1"/>
      <c r="T59" s="1">
        <f>SUM(OSRRefT22_8x_0)</f>
        <v>1400</v>
      </c>
      <c r="U59" s="1"/>
      <c r="V59" s="5">
        <f t="shared" si="41"/>
        <v>7.732670533001933E-3</v>
      </c>
      <c r="W59" s="1"/>
      <c r="X59" s="1">
        <f t="shared" si="42"/>
        <v>-45.450000000000045</v>
      </c>
      <c r="Y59" s="1"/>
      <c r="Z59" s="5">
        <f t="shared" si="43"/>
        <v>-3.2464285714285744E-2</v>
      </c>
    </row>
    <row r="60" spans="1:26" s="24" customFormat="1" hidden="1" outlineLevel="2" x14ac:dyDescent="0.25">
      <c r="A60" s="25"/>
      <c r="B60" s="11" t="str">
        <f>CONCATENATE("          ", "6279", " - ", "GENERAL EXPENSE")</f>
        <v xml:space="preserve">          6279 - GENERAL EXPENSE</v>
      </c>
      <c r="C60" s="11"/>
      <c r="D60" s="7"/>
      <c r="E60" s="2"/>
      <c r="F60" s="6">
        <f t="shared" si="36"/>
        <v>0</v>
      </c>
      <c r="G60" s="2"/>
      <c r="H60" s="7"/>
      <c r="I60" s="2"/>
      <c r="J60" s="6">
        <f t="shared" si="37"/>
        <v>0</v>
      </c>
      <c r="K60" s="2"/>
      <c r="L60" s="7">
        <f t="shared" si="38"/>
        <v>0</v>
      </c>
      <c r="M60" s="2"/>
      <c r="N60" s="6">
        <f t="shared" si="39"/>
        <v>0</v>
      </c>
      <c r="O60" s="11"/>
      <c r="P60" s="7">
        <v>1354.55</v>
      </c>
      <c r="Q60" s="2"/>
      <c r="R60" s="6">
        <f t="shared" si="40"/>
        <v>7.8270094259832914E-3</v>
      </c>
      <c r="S60" s="2"/>
      <c r="T60" s="7">
        <v>1400</v>
      </c>
      <c r="U60" s="2"/>
      <c r="V60" s="6">
        <f t="shared" si="41"/>
        <v>7.732670533001933E-3</v>
      </c>
      <c r="W60" s="2"/>
      <c r="X60" s="7">
        <f t="shared" si="42"/>
        <v>-45.450000000000045</v>
      </c>
      <c r="Y60" s="2"/>
      <c r="Z60" s="6">
        <f t="shared" si="43"/>
        <v>-3.2464285714285744E-2</v>
      </c>
    </row>
    <row r="61" spans="1:26" s="26" customFormat="1" outlineLevel="1" collapsed="1" x14ac:dyDescent="0.25">
      <c r="A61" s="27"/>
      <c r="B61" s="13" t="str">
        <f>CONCATENATE("     ","Insurance                                         ")</f>
        <v xml:space="preserve">     Insurance                                         </v>
      </c>
      <c r="C61" s="13"/>
      <c r="D61" s="1">
        <f>SUM(OSRRefD22_9x_0)</f>
        <v>641.28</v>
      </c>
      <c r="E61" s="1"/>
      <c r="F61" s="5">
        <f t="shared" si="36"/>
        <v>6.0920163502544613E-3</v>
      </c>
      <c r="G61" s="1"/>
      <c r="H61" s="1">
        <f>SUM(OSRRefH22_9x_0)</f>
        <v>604</v>
      </c>
      <c r="I61" s="1"/>
      <c r="J61" s="5">
        <f t="shared" si="37"/>
        <v>5.3617399023524193E-3</v>
      </c>
      <c r="K61" s="1"/>
      <c r="L61" s="1">
        <f t="shared" si="38"/>
        <v>37.279999999999973</v>
      </c>
      <c r="M61" s="1"/>
      <c r="N61" s="5">
        <f t="shared" si="39"/>
        <v>6.1721854304635719E-2</v>
      </c>
      <c r="O61" s="13"/>
      <c r="P61" s="1">
        <f>SUM(OSRRefP22_9x_0)</f>
        <v>1923.84</v>
      </c>
      <c r="Q61" s="1"/>
      <c r="R61" s="5">
        <f t="shared" si="40"/>
        <v>1.1116543364278687E-2</v>
      </c>
      <c r="S61" s="1"/>
      <c r="T61" s="1">
        <f>SUM(OSRRefT22_9x_0)</f>
        <v>1812</v>
      </c>
      <c r="U61" s="1"/>
      <c r="V61" s="5">
        <f t="shared" si="41"/>
        <v>1.0008285004142503E-2</v>
      </c>
      <c r="W61" s="1"/>
      <c r="X61" s="1">
        <f t="shared" si="42"/>
        <v>111.83999999999992</v>
      </c>
      <c r="Y61" s="1"/>
      <c r="Z61" s="5">
        <f t="shared" si="43"/>
        <v>6.1721854304635719E-2</v>
      </c>
    </row>
    <row r="62" spans="1:26" s="24" customFormat="1" hidden="1" outlineLevel="2" x14ac:dyDescent="0.25">
      <c r="A62" s="25"/>
      <c r="B62" s="11" t="str">
        <f>CONCATENATE("          ", "6314", " - ", "LIABILITY INSURANCE")</f>
        <v xml:space="preserve">          6314 - LIABILITY INSURANCE</v>
      </c>
      <c r="C62" s="11"/>
      <c r="D62" s="7">
        <v>641.28</v>
      </c>
      <c r="E62" s="2"/>
      <c r="F62" s="6">
        <f t="shared" si="36"/>
        <v>6.0920163502544613E-3</v>
      </c>
      <c r="G62" s="2"/>
      <c r="H62" s="7">
        <v>604</v>
      </c>
      <c r="I62" s="2"/>
      <c r="J62" s="6">
        <f t="shared" si="37"/>
        <v>5.3617399023524193E-3</v>
      </c>
      <c r="K62" s="2"/>
      <c r="L62" s="7">
        <f t="shared" si="38"/>
        <v>37.279999999999973</v>
      </c>
      <c r="M62" s="2"/>
      <c r="N62" s="6">
        <f t="shared" si="39"/>
        <v>6.1721854304635719E-2</v>
      </c>
      <c r="O62" s="11"/>
      <c r="P62" s="7">
        <v>1923.84</v>
      </c>
      <c r="Q62" s="2"/>
      <c r="R62" s="6">
        <f t="shared" si="40"/>
        <v>1.1116543364278687E-2</v>
      </c>
      <c r="S62" s="2"/>
      <c r="T62" s="7">
        <v>1812</v>
      </c>
      <c r="U62" s="2"/>
      <c r="V62" s="6">
        <f t="shared" si="41"/>
        <v>1.0008285004142503E-2</v>
      </c>
      <c r="W62" s="2"/>
      <c r="X62" s="7">
        <f t="shared" si="42"/>
        <v>111.83999999999992</v>
      </c>
      <c r="Y62" s="2"/>
      <c r="Z62" s="6">
        <f t="shared" si="43"/>
        <v>6.1721854304635719E-2</v>
      </c>
    </row>
    <row r="63" spans="1:26" s="26" customFormat="1" outlineLevel="1" collapsed="1" x14ac:dyDescent="0.25">
      <c r="A63" s="27"/>
      <c r="B63" s="13" t="str">
        <f>CONCATENATE("     ","Interest                                          ")</f>
        <v xml:space="preserve">     Interest                                          </v>
      </c>
      <c r="C63" s="13"/>
      <c r="D63" s="1">
        <f>SUM(OSRRefD22_10x_0)</f>
        <v>7630</v>
      </c>
      <c r="E63" s="1"/>
      <c r="F63" s="5">
        <f t="shared" si="36"/>
        <v>7.2483290844001902E-2</v>
      </c>
      <c r="G63" s="1"/>
      <c r="H63" s="1">
        <f>SUM(OSRRefH22_10x_0)</f>
        <v>7754</v>
      </c>
      <c r="I63" s="1"/>
      <c r="J63" s="5">
        <f t="shared" si="37"/>
        <v>6.8832667554371951E-2</v>
      </c>
      <c r="K63" s="1"/>
      <c r="L63" s="1">
        <f t="shared" si="38"/>
        <v>-124</v>
      </c>
      <c r="M63" s="1"/>
      <c r="N63" s="5">
        <f t="shared" si="39"/>
        <v>-1.5991746195511993E-2</v>
      </c>
      <c r="O63" s="13"/>
      <c r="P63" s="1">
        <f>SUM(OSRRefP22_10x_0)</f>
        <v>22890</v>
      </c>
      <c r="Q63" s="1"/>
      <c r="R63" s="5">
        <f t="shared" si="40"/>
        <v>0.13226550940220555</v>
      </c>
      <c r="S63" s="1"/>
      <c r="T63" s="1">
        <f>SUM(OSRRefT22_10x_0)</f>
        <v>23262</v>
      </c>
      <c r="U63" s="1"/>
      <c r="V63" s="5">
        <f t="shared" si="41"/>
        <v>0.12848384424192211</v>
      </c>
      <c r="W63" s="1"/>
      <c r="X63" s="1">
        <f t="shared" si="42"/>
        <v>-372</v>
      </c>
      <c r="Y63" s="1"/>
      <c r="Z63" s="5">
        <f t="shared" si="43"/>
        <v>-1.5991746195511993E-2</v>
      </c>
    </row>
    <row r="64" spans="1:26" s="24" customFormat="1" hidden="1" outlineLevel="2" x14ac:dyDescent="0.25">
      <c r="A64" s="25"/>
      <c r="B64" s="11" t="str">
        <f>CONCATENATE("          ", "6401", " - ", "INTEREST EXPENSE")</f>
        <v xml:space="preserve">          6401 - INTEREST EXPENSE</v>
      </c>
      <c r="C64" s="11"/>
      <c r="D64" s="7">
        <v>7630</v>
      </c>
      <c r="E64" s="2"/>
      <c r="F64" s="6">
        <f t="shared" si="36"/>
        <v>7.2483290844001902E-2</v>
      </c>
      <c r="G64" s="2"/>
      <c r="H64" s="7">
        <v>7754</v>
      </c>
      <c r="I64" s="2"/>
      <c r="J64" s="6">
        <f t="shared" si="37"/>
        <v>6.8832667554371951E-2</v>
      </c>
      <c r="K64" s="2"/>
      <c r="L64" s="7">
        <f t="shared" si="38"/>
        <v>-124</v>
      </c>
      <c r="M64" s="2"/>
      <c r="N64" s="6">
        <f t="shared" si="39"/>
        <v>-1.5991746195511993E-2</v>
      </c>
      <c r="O64" s="11"/>
      <c r="P64" s="7">
        <v>22890</v>
      </c>
      <c r="Q64" s="2"/>
      <c r="R64" s="6">
        <f t="shared" si="40"/>
        <v>0.13226550940220555</v>
      </c>
      <c r="S64" s="2"/>
      <c r="T64" s="7">
        <v>23262</v>
      </c>
      <c r="U64" s="2"/>
      <c r="V64" s="6">
        <f t="shared" si="41"/>
        <v>0.12848384424192211</v>
      </c>
      <c r="W64" s="2"/>
      <c r="X64" s="7">
        <f t="shared" si="42"/>
        <v>-372</v>
      </c>
      <c r="Y64" s="2"/>
      <c r="Z64" s="6">
        <f t="shared" si="43"/>
        <v>-1.5991746195511993E-2</v>
      </c>
    </row>
    <row r="65" spans="1:26" s="26" customFormat="1" outlineLevel="1" collapsed="1" x14ac:dyDescent="0.25">
      <c r="A65" s="27"/>
      <c r="B65" s="13" t="str">
        <f>CONCATENATE("     ","Repair and Maintenance                            ")</f>
        <v xml:space="preserve">     Repair and Maintenance                            </v>
      </c>
      <c r="C65" s="13"/>
      <c r="D65" s="1">
        <f>SUM(OSRRefD22_11x_0)</f>
        <v>2956.1400000000003</v>
      </c>
      <c r="E65" s="1"/>
      <c r="F65" s="5">
        <f t="shared" si="36"/>
        <v>2.8082667810693032E-2</v>
      </c>
      <c r="G65" s="1"/>
      <c r="H65" s="1">
        <f>SUM(OSRRefH22_11x_0)</f>
        <v>1200</v>
      </c>
      <c r="I65" s="1"/>
      <c r="J65" s="5">
        <f t="shared" si="37"/>
        <v>1.0652463382157125E-2</v>
      </c>
      <c r="K65" s="1"/>
      <c r="L65" s="1">
        <f t="shared" si="38"/>
        <v>1756.1400000000003</v>
      </c>
      <c r="M65" s="1"/>
      <c r="N65" s="5">
        <f t="shared" si="39"/>
        <v>1.4634500000000004</v>
      </c>
      <c r="O65" s="13"/>
      <c r="P65" s="1">
        <f>SUM(OSRRefP22_11x_0)</f>
        <v>4454.1499999999996</v>
      </c>
      <c r="Q65" s="1"/>
      <c r="R65" s="5">
        <f t="shared" si="40"/>
        <v>2.5737458222098462E-2</v>
      </c>
      <c r="S65" s="1"/>
      <c r="T65" s="1">
        <f>SUM(OSRRefT22_11x_0)</f>
        <v>5400</v>
      </c>
      <c r="U65" s="1"/>
      <c r="V65" s="5">
        <f t="shared" si="41"/>
        <v>2.9826014913007456E-2</v>
      </c>
      <c r="W65" s="1"/>
      <c r="X65" s="1">
        <f t="shared" si="42"/>
        <v>-945.85000000000036</v>
      </c>
      <c r="Y65" s="1"/>
      <c r="Z65" s="5">
        <f t="shared" si="43"/>
        <v>-0.17515740740740748</v>
      </c>
    </row>
    <row r="66" spans="1:26" s="24" customFormat="1" hidden="1" outlineLevel="2" x14ac:dyDescent="0.25">
      <c r="A66" s="25"/>
      <c r="B66" s="11" t="str">
        <f>CONCATENATE("          ", "6371", " - ", "COMPUTER SOFTWARE MAINTENANCE")</f>
        <v xml:space="preserve">          6371 - COMPUTER SOFTWARE MAINTENANCE</v>
      </c>
      <c r="C66" s="11"/>
      <c r="D66" s="7">
        <v>2623.84</v>
      </c>
      <c r="E66" s="2"/>
      <c r="F66" s="6">
        <f t="shared" si="36"/>
        <v>2.492589224746081E-2</v>
      </c>
      <c r="G66" s="2"/>
      <c r="H66" s="7"/>
      <c r="I66" s="2"/>
      <c r="J66" s="6">
        <f t="shared" si="37"/>
        <v>0</v>
      </c>
      <c r="K66" s="2"/>
      <c r="L66" s="7">
        <f t="shared" si="38"/>
        <v>2623.84</v>
      </c>
      <c r="M66" s="2"/>
      <c r="N66" s="6">
        <f t="shared" si="39"/>
        <v>0</v>
      </c>
      <c r="O66" s="11"/>
      <c r="P66" s="7">
        <v>2623.84</v>
      </c>
      <c r="Q66" s="2"/>
      <c r="R66" s="6">
        <f t="shared" si="40"/>
        <v>1.5161360165569376E-2</v>
      </c>
      <c r="S66" s="2"/>
      <c r="T66" s="7"/>
      <c r="U66" s="2"/>
      <c r="V66" s="6">
        <f t="shared" si="41"/>
        <v>0</v>
      </c>
      <c r="W66" s="2"/>
      <c r="X66" s="7">
        <f t="shared" si="42"/>
        <v>2623.84</v>
      </c>
      <c r="Y66" s="2"/>
      <c r="Z66" s="6">
        <f t="shared" si="43"/>
        <v>0</v>
      </c>
    </row>
    <row r="67" spans="1:26" s="24" customFormat="1" hidden="1" outlineLevel="2" x14ac:dyDescent="0.25">
      <c r="A67" s="25"/>
      <c r="B67" s="11" t="str">
        <f>CONCATENATE("          ", "6375", " - ", "OUTSIDE REPAIRS &amp; MAINTENANCE")</f>
        <v xml:space="preserve">          6375 - OUTSIDE REPAIRS &amp; MAINTENANCE</v>
      </c>
      <c r="C67" s="11"/>
      <c r="D67" s="7">
        <v>332.3</v>
      </c>
      <c r="E67" s="2"/>
      <c r="F67" s="6">
        <f t="shared" si="36"/>
        <v>3.1567755632322197E-3</v>
      </c>
      <c r="G67" s="2"/>
      <c r="H67" s="7">
        <v>1200</v>
      </c>
      <c r="I67" s="2"/>
      <c r="J67" s="6">
        <f t="shared" si="37"/>
        <v>1.0652463382157125E-2</v>
      </c>
      <c r="K67" s="2"/>
      <c r="L67" s="7">
        <f t="shared" si="38"/>
        <v>-867.7</v>
      </c>
      <c r="M67" s="2"/>
      <c r="N67" s="6">
        <f t="shared" si="39"/>
        <v>-0.72308333333333341</v>
      </c>
      <c r="O67" s="11"/>
      <c r="P67" s="7">
        <v>1830.31</v>
      </c>
      <c r="Q67" s="2"/>
      <c r="R67" s="6">
        <f t="shared" si="40"/>
        <v>1.0576098056529089E-2</v>
      </c>
      <c r="S67" s="2"/>
      <c r="T67" s="7">
        <v>5400</v>
      </c>
      <c r="U67" s="2"/>
      <c r="V67" s="6">
        <f t="shared" si="41"/>
        <v>2.9826014913007456E-2</v>
      </c>
      <c r="W67" s="2"/>
      <c r="X67" s="7">
        <f t="shared" si="42"/>
        <v>-3569.69</v>
      </c>
      <c r="Y67" s="2"/>
      <c r="Z67" s="6">
        <f t="shared" si="43"/>
        <v>-0.66105370370370375</v>
      </c>
    </row>
    <row r="68" spans="1:26" s="26" customFormat="1" outlineLevel="1" collapsed="1" x14ac:dyDescent="0.25">
      <c r="A68" s="27"/>
      <c r="B68" s="13" t="str">
        <f>CONCATENATE("     ","Services                                          ")</f>
        <v xml:space="preserve">     Services                                          </v>
      </c>
      <c r="C68" s="13"/>
      <c r="D68" s="1">
        <f>SUM(OSRRefD22_12x_0)</f>
        <v>4299.68</v>
      </c>
      <c r="E68" s="1"/>
      <c r="F68" s="5">
        <f t="shared" ref="F68:F73" si="44">IF(D$12=0,0,D68/D$12)</f>
        <v>4.0845996851394256E-2</v>
      </c>
      <c r="G68" s="1"/>
      <c r="H68" s="1">
        <f>SUM(OSRRefH22_12x_0)</f>
        <v>4135</v>
      </c>
      <c r="I68" s="1"/>
      <c r="J68" s="5">
        <f t="shared" ref="J68:J73" si="45">IF(H$12=0,0,H68/H$12)</f>
        <v>3.6706613404349754E-2</v>
      </c>
      <c r="K68" s="1"/>
      <c r="L68" s="1">
        <f t="shared" ref="L68:L73" si="46">+D68-H68</f>
        <v>164.68000000000029</v>
      </c>
      <c r="M68" s="1"/>
      <c r="N68" s="5">
        <f t="shared" ref="N68:N73" si="47">IF(H68=0,0,L68/H68)</f>
        <v>3.9825876662636102E-2</v>
      </c>
      <c r="O68" s="13"/>
      <c r="P68" s="1">
        <f>SUM(OSRRefP22_12x_0)</f>
        <v>12257.34</v>
      </c>
      <c r="Q68" s="1"/>
      <c r="R68" s="5">
        <f t="shared" ref="R68:R73" si="48">IF(P$12=0,0,P68/P$12)</f>
        <v>7.0826706815903459E-2</v>
      </c>
      <c r="S68" s="1"/>
      <c r="T68" s="1">
        <f>SUM(OSRRefT22_12x_0)</f>
        <v>12205</v>
      </c>
      <c r="U68" s="1"/>
      <c r="V68" s="5">
        <f t="shared" ref="V68:V73" si="49">IF(T$12=0,0,T68/T$12)</f>
        <v>6.7412317039491854E-2</v>
      </c>
      <c r="W68" s="1"/>
      <c r="X68" s="1">
        <f t="shared" ref="X68:X73" si="50">+P68-T68</f>
        <v>52.340000000000146</v>
      </c>
      <c r="Y68" s="1"/>
      <c r="Z68" s="5">
        <f t="shared" ref="Z68:Z73" si="51">IF(T68=0,0,X68/T68)</f>
        <v>4.2884063908234446E-3</v>
      </c>
    </row>
    <row r="69" spans="1:26" s="24" customFormat="1" hidden="1" outlineLevel="2" x14ac:dyDescent="0.25">
      <c r="A69" s="25"/>
      <c r="B69" s="11" t="str">
        <f>CONCATENATE("          ", "6282", " - ", "JANITORIAL/EXTERMINATOR EXPENS")</f>
        <v xml:space="preserve">          6282 - JANITORIAL/EXTERMINATOR EXPENS</v>
      </c>
      <c r="C69" s="11"/>
      <c r="D69" s="7">
        <v>328.54</v>
      </c>
      <c r="E69" s="2"/>
      <c r="F69" s="6">
        <f t="shared" si="44"/>
        <v>3.121056405489959E-3</v>
      </c>
      <c r="G69" s="2"/>
      <c r="H69" s="7">
        <v>350</v>
      </c>
      <c r="I69" s="2"/>
      <c r="J69" s="6">
        <f t="shared" si="45"/>
        <v>3.1069684864624943E-3</v>
      </c>
      <c r="K69" s="2"/>
      <c r="L69" s="7">
        <f t="shared" si="46"/>
        <v>-21.45999999999998</v>
      </c>
      <c r="M69" s="2"/>
      <c r="N69" s="6">
        <f t="shared" si="47"/>
        <v>-6.1314285714285655E-2</v>
      </c>
      <c r="O69" s="11"/>
      <c r="P69" s="7">
        <v>985.62</v>
      </c>
      <c r="Q69" s="2"/>
      <c r="R69" s="6">
        <f t="shared" si="48"/>
        <v>5.6952176224116134E-3</v>
      </c>
      <c r="S69" s="2"/>
      <c r="T69" s="7">
        <v>1050</v>
      </c>
      <c r="U69" s="2"/>
      <c r="V69" s="6">
        <f t="shared" si="49"/>
        <v>5.7995028997514502E-3</v>
      </c>
      <c r="W69" s="2"/>
      <c r="X69" s="7">
        <f t="shared" si="50"/>
        <v>-64.38</v>
      </c>
      <c r="Y69" s="2"/>
      <c r="Z69" s="6">
        <f t="shared" si="51"/>
        <v>-6.131428571428571E-2</v>
      </c>
    </row>
    <row r="70" spans="1:26" s="24" customFormat="1" hidden="1" outlineLevel="2" x14ac:dyDescent="0.25">
      <c r="A70" s="25"/>
      <c r="B70" s="11" t="str">
        <f>CONCATENATE("          ", "6283", " - ", "PLANT SERVICE")</f>
        <v xml:space="preserve">          6283 - PLANT SERVICE</v>
      </c>
      <c r="C70" s="11"/>
      <c r="D70" s="7">
        <v>61.55</v>
      </c>
      <c r="E70" s="2"/>
      <c r="F70" s="6">
        <f t="shared" si="44"/>
        <v>5.8471121250960911E-4</v>
      </c>
      <c r="G70" s="2"/>
      <c r="H70" s="7">
        <v>60</v>
      </c>
      <c r="I70" s="2"/>
      <c r="J70" s="6">
        <f t="shared" si="45"/>
        <v>5.3262316910785616E-4</v>
      </c>
      <c r="K70" s="2"/>
      <c r="L70" s="7">
        <f t="shared" si="46"/>
        <v>1.5499999999999972</v>
      </c>
      <c r="M70" s="2"/>
      <c r="N70" s="6">
        <f t="shared" si="47"/>
        <v>2.5833333333333285E-2</v>
      </c>
      <c r="O70" s="11"/>
      <c r="P70" s="7">
        <v>184.65</v>
      </c>
      <c r="Q70" s="2"/>
      <c r="R70" s="6">
        <f t="shared" si="48"/>
        <v>1.0669648890833227E-3</v>
      </c>
      <c r="S70" s="2"/>
      <c r="T70" s="7">
        <v>180</v>
      </c>
      <c r="U70" s="2"/>
      <c r="V70" s="6">
        <f t="shared" si="49"/>
        <v>9.9420049710024854E-4</v>
      </c>
      <c r="W70" s="2"/>
      <c r="X70" s="7">
        <f t="shared" si="50"/>
        <v>4.6500000000000057</v>
      </c>
      <c r="Y70" s="2"/>
      <c r="Z70" s="6">
        <f t="shared" si="51"/>
        <v>2.5833333333333364E-2</v>
      </c>
    </row>
    <row r="71" spans="1:26" s="24" customFormat="1" hidden="1" outlineLevel="2" x14ac:dyDescent="0.25">
      <c r="A71" s="25"/>
      <c r="B71" s="11" t="str">
        <f>CONCATENATE("          ", "6284", " - ", "TRASH REMOVAL EXPENSE")</f>
        <v xml:space="preserve">          6284 - TRASH REMOVAL EXPENSE</v>
      </c>
      <c r="C71" s="11"/>
      <c r="D71" s="7">
        <v>623</v>
      </c>
      <c r="E71" s="2"/>
      <c r="F71" s="6">
        <f t="shared" si="44"/>
        <v>5.9183604450607063E-3</v>
      </c>
      <c r="G71" s="2"/>
      <c r="H71" s="7">
        <v>475</v>
      </c>
      <c r="I71" s="2"/>
      <c r="J71" s="6">
        <f t="shared" si="45"/>
        <v>4.2166000887705283E-3</v>
      </c>
      <c r="K71" s="2"/>
      <c r="L71" s="7">
        <f t="shared" si="46"/>
        <v>148</v>
      </c>
      <c r="M71" s="2"/>
      <c r="N71" s="6">
        <f t="shared" si="47"/>
        <v>0.31157894736842107</v>
      </c>
      <c r="O71" s="11"/>
      <c r="P71" s="7">
        <v>1246</v>
      </c>
      <c r="Q71" s="2"/>
      <c r="R71" s="6">
        <f t="shared" si="48"/>
        <v>7.1997739062974273E-3</v>
      </c>
      <c r="S71" s="2"/>
      <c r="T71" s="7">
        <v>1425</v>
      </c>
      <c r="U71" s="2"/>
      <c r="V71" s="6">
        <f t="shared" si="49"/>
        <v>7.870753935376968E-3</v>
      </c>
      <c r="W71" s="2"/>
      <c r="X71" s="7">
        <f t="shared" si="50"/>
        <v>-179</v>
      </c>
      <c r="Y71" s="2"/>
      <c r="Z71" s="6">
        <f t="shared" si="51"/>
        <v>-0.12561403508771929</v>
      </c>
    </row>
    <row r="72" spans="1:26" s="24" customFormat="1" hidden="1" outlineLevel="2" x14ac:dyDescent="0.25">
      <c r="A72" s="25"/>
      <c r="B72" s="11" t="str">
        <f>CONCATENATE("          ", "6285", " - ", "JANITORIAL SERVICES")</f>
        <v xml:space="preserve">          6285 - JANITORIAL SERVICES</v>
      </c>
      <c r="C72" s="11"/>
      <c r="D72" s="7">
        <v>3040.95</v>
      </c>
      <c r="E72" s="2"/>
      <c r="F72" s="6">
        <f t="shared" si="44"/>
        <v>2.8888343812852896E-2</v>
      </c>
      <c r="G72" s="2"/>
      <c r="H72" s="7">
        <v>3000</v>
      </c>
      <c r="I72" s="2"/>
      <c r="J72" s="6">
        <f t="shared" si="45"/>
        <v>2.6631158455392809E-2</v>
      </c>
      <c r="K72" s="2"/>
      <c r="L72" s="7">
        <f t="shared" si="46"/>
        <v>40.949999999999818</v>
      </c>
      <c r="M72" s="2"/>
      <c r="N72" s="6">
        <f t="shared" si="47"/>
        <v>1.364999999999994E-2</v>
      </c>
      <c r="O72" s="11"/>
      <c r="P72" s="7">
        <v>9122.85</v>
      </c>
      <c r="Q72" s="2"/>
      <c r="R72" s="6">
        <f t="shared" si="48"/>
        <v>5.2714652793792525E-2</v>
      </c>
      <c r="S72" s="2"/>
      <c r="T72" s="7">
        <v>9000</v>
      </c>
      <c r="U72" s="2"/>
      <c r="V72" s="6">
        <f t="shared" si="49"/>
        <v>4.9710024855012427E-2</v>
      </c>
      <c r="W72" s="2"/>
      <c r="X72" s="7">
        <f t="shared" si="50"/>
        <v>122.85000000000036</v>
      </c>
      <c r="Y72" s="2"/>
      <c r="Z72" s="6">
        <f t="shared" si="51"/>
        <v>1.3650000000000041E-2</v>
      </c>
    </row>
    <row r="73" spans="1:26" s="24" customFormat="1" hidden="1" outlineLevel="2" x14ac:dyDescent="0.25">
      <c r="A73" s="25"/>
      <c r="B73" s="11" t="str">
        <f>CONCATENATE("          ", "6286", " - ", "LAUNDRY EXPENSE")</f>
        <v xml:space="preserve">          6286 - LAUNDRY EXPENSE</v>
      </c>
      <c r="C73" s="11"/>
      <c r="D73" s="7">
        <v>245.64</v>
      </c>
      <c r="E73" s="2"/>
      <c r="F73" s="6">
        <f t="shared" si="44"/>
        <v>2.3335249754810783E-3</v>
      </c>
      <c r="G73" s="2"/>
      <c r="H73" s="7">
        <v>250</v>
      </c>
      <c r="I73" s="2"/>
      <c r="J73" s="6">
        <f t="shared" si="45"/>
        <v>2.2192632046160675E-3</v>
      </c>
      <c r="K73" s="2"/>
      <c r="L73" s="7">
        <f t="shared" si="46"/>
        <v>-4.3600000000000136</v>
      </c>
      <c r="M73" s="2"/>
      <c r="N73" s="6">
        <f t="shared" si="47"/>
        <v>-1.7440000000000056E-2</v>
      </c>
      <c r="O73" s="11"/>
      <c r="P73" s="7">
        <v>718.22</v>
      </c>
      <c r="Q73" s="2"/>
      <c r="R73" s="6">
        <f t="shared" si="48"/>
        <v>4.1500976043185702E-3</v>
      </c>
      <c r="S73" s="2"/>
      <c r="T73" s="7">
        <v>550</v>
      </c>
      <c r="U73" s="2"/>
      <c r="V73" s="6">
        <f t="shared" si="49"/>
        <v>3.0378348522507597E-3</v>
      </c>
      <c r="W73" s="2"/>
      <c r="X73" s="7">
        <f t="shared" si="50"/>
        <v>168.22000000000003</v>
      </c>
      <c r="Y73" s="2"/>
      <c r="Z73" s="6">
        <f t="shared" si="51"/>
        <v>0.30585454545454549</v>
      </c>
    </row>
    <row r="74" spans="1:26" s="26" customFormat="1" outlineLevel="1" collapsed="1" x14ac:dyDescent="0.25">
      <c r="A74" s="27"/>
      <c r="B74" s="13" t="str">
        <f>CONCATENATE("     ","Subscriptions &amp; Dues                              ")</f>
        <v xml:space="preserve">     Subscriptions &amp; Dues                              </v>
      </c>
      <c r="C74" s="13"/>
      <c r="D74" s="1">
        <f>SUM(OSRRefD22_13x_0)</f>
        <v>196.71</v>
      </c>
      <c r="E74" s="1"/>
      <c r="F74" s="5">
        <f t="shared" ref="F74:F84" si="52">IF(D$12=0,0,D74/D$12)</f>
        <v>1.8687009360319287E-3</v>
      </c>
      <c r="G74" s="1"/>
      <c r="H74" s="1">
        <f>SUM(OSRRefH22_13x_0)</f>
        <v>200</v>
      </c>
      <c r="I74" s="1"/>
      <c r="J74" s="5">
        <f t="shared" ref="J74:J84" si="53">IF(H$12=0,0,H74/H$12)</f>
        <v>1.7754105636928539E-3</v>
      </c>
      <c r="K74" s="1"/>
      <c r="L74" s="1">
        <f t="shared" ref="L74:L84" si="54">+D74-H74</f>
        <v>-3.289999999999992</v>
      </c>
      <c r="M74" s="1"/>
      <c r="N74" s="5">
        <f t="shared" ref="N74:N84" si="55">IF(H74=0,0,L74/H74)</f>
        <v>-1.6449999999999961E-2</v>
      </c>
      <c r="O74" s="13"/>
      <c r="P74" s="1">
        <f>SUM(OSRRefP22_13x_0)</f>
        <v>590.13</v>
      </c>
      <c r="Q74" s="1"/>
      <c r="R74" s="5">
        <f t="shared" ref="R74:R84" si="56">IF(P$12=0,0,P74/P$12)</f>
        <v>3.4099539127795354E-3</v>
      </c>
      <c r="S74" s="1"/>
      <c r="T74" s="1">
        <f>SUM(OSRRefT22_13x_0)</f>
        <v>600</v>
      </c>
      <c r="U74" s="1"/>
      <c r="V74" s="5">
        <f t="shared" ref="V74:V84" si="57">IF(T$12=0,0,T74/T$12)</f>
        <v>3.3140016570008283E-3</v>
      </c>
      <c r="W74" s="1"/>
      <c r="X74" s="1">
        <f t="shared" ref="X74:X84" si="58">+P74-T74</f>
        <v>-9.8700000000000045</v>
      </c>
      <c r="Y74" s="1"/>
      <c r="Z74" s="5">
        <f t="shared" ref="Z74:Z84" si="59">IF(T74=0,0,X74/T74)</f>
        <v>-1.6450000000000006E-2</v>
      </c>
    </row>
    <row r="75" spans="1:26" s="24" customFormat="1" hidden="1" outlineLevel="2" x14ac:dyDescent="0.25">
      <c r="A75" s="25"/>
      <c r="B75" s="11" t="str">
        <f>CONCATENATE("          ", "6275", " - ", "SUBSCRIPTIONS")</f>
        <v xml:space="preserve">          6275 - SUBSCRIPTIONS</v>
      </c>
      <c r="C75" s="11"/>
      <c r="D75" s="7">
        <v>196.71</v>
      </c>
      <c r="E75" s="2"/>
      <c r="F75" s="6">
        <f t="shared" si="52"/>
        <v>1.8687009360319287E-3</v>
      </c>
      <c r="G75" s="2"/>
      <c r="H75" s="7">
        <v>200</v>
      </c>
      <c r="I75" s="2"/>
      <c r="J75" s="6">
        <f t="shared" si="53"/>
        <v>1.7754105636928539E-3</v>
      </c>
      <c r="K75" s="2"/>
      <c r="L75" s="7">
        <f t="shared" si="54"/>
        <v>-3.289999999999992</v>
      </c>
      <c r="M75" s="2"/>
      <c r="N75" s="6">
        <f t="shared" si="55"/>
        <v>-1.6449999999999961E-2</v>
      </c>
      <c r="O75" s="11"/>
      <c r="P75" s="7">
        <v>590.13</v>
      </c>
      <c r="Q75" s="2"/>
      <c r="R75" s="6">
        <f t="shared" si="56"/>
        <v>3.4099539127795354E-3</v>
      </c>
      <c r="S75" s="2"/>
      <c r="T75" s="7">
        <v>600</v>
      </c>
      <c r="U75" s="2"/>
      <c r="V75" s="6">
        <f t="shared" si="57"/>
        <v>3.3140016570008283E-3</v>
      </c>
      <c r="W75" s="2"/>
      <c r="X75" s="7">
        <f t="shared" si="58"/>
        <v>-9.8700000000000045</v>
      </c>
      <c r="Y75" s="2"/>
      <c r="Z75" s="6">
        <f t="shared" si="59"/>
        <v>-1.6450000000000006E-2</v>
      </c>
    </row>
    <row r="76" spans="1:26" s="26" customFormat="1" outlineLevel="1" collapsed="1" x14ac:dyDescent="0.25">
      <c r="A76" s="27"/>
      <c r="B76" s="13" t="str">
        <f>CONCATENATE("     ","Supplies                                          ")</f>
        <v xml:space="preserve">     Supplies                                          </v>
      </c>
      <c r="C76" s="13"/>
      <c r="D76" s="1">
        <f>SUM(OSRRefD22_14x_0)</f>
        <v>1179.5899999999999</v>
      </c>
      <c r="E76" s="1"/>
      <c r="F76" s="5">
        <f t="shared" si="52"/>
        <v>1.1205840766274733E-2</v>
      </c>
      <c r="G76" s="1"/>
      <c r="H76" s="1">
        <f>SUM(OSRRefH22_14x_0)</f>
        <v>1610</v>
      </c>
      <c r="I76" s="1"/>
      <c r="J76" s="5">
        <f t="shared" si="53"/>
        <v>1.4292055037727474E-2</v>
      </c>
      <c r="K76" s="1"/>
      <c r="L76" s="1">
        <f t="shared" si="54"/>
        <v>-430.41000000000008</v>
      </c>
      <c r="M76" s="1"/>
      <c r="N76" s="5">
        <f t="shared" si="55"/>
        <v>-0.26733540372670811</v>
      </c>
      <c r="O76" s="13"/>
      <c r="P76" s="1">
        <f>SUM(OSRRefP22_14x_0)</f>
        <v>8610.84</v>
      </c>
      <c r="Q76" s="1"/>
      <c r="R76" s="5">
        <f t="shared" si="56"/>
        <v>4.975610043603703E-2</v>
      </c>
      <c r="S76" s="1"/>
      <c r="T76" s="1">
        <f>SUM(OSRRefT22_14x_0)</f>
        <v>5630</v>
      </c>
      <c r="U76" s="1"/>
      <c r="V76" s="5">
        <f t="shared" si="57"/>
        <v>3.1096382214857773E-2</v>
      </c>
      <c r="W76" s="1"/>
      <c r="X76" s="1">
        <f t="shared" si="58"/>
        <v>2980.84</v>
      </c>
      <c r="Y76" s="1"/>
      <c r="Z76" s="5">
        <f t="shared" si="59"/>
        <v>0.52945648312611016</v>
      </c>
    </row>
    <row r="77" spans="1:26" s="24" customFormat="1" hidden="1" outlineLevel="2" x14ac:dyDescent="0.25">
      <c r="A77" s="25"/>
      <c r="B77" s="11" t="str">
        <f>CONCATENATE("          ", "6234", " - ", "EXPENDABLE SUPPLIES &amp; EQUIPMEN")</f>
        <v xml:space="preserve">          6234 - EXPENDABLE SUPPLIES &amp; EQUIPMEN</v>
      </c>
      <c r="C77" s="11"/>
      <c r="D77" s="7"/>
      <c r="E77" s="2"/>
      <c r="F77" s="6">
        <f t="shared" si="52"/>
        <v>0</v>
      </c>
      <c r="G77" s="2"/>
      <c r="H77" s="7"/>
      <c r="I77" s="2"/>
      <c r="J77" s="6">
        <f t="shared" si="53"/>
        <v>0</v>
      </c>
      <c r="K77" s="2"/>
      <c r="L77" s="7">
        <f t="shared" si="54"/>
        <v>0</v>
      </c>
      <c r="M77" s="2"/>
      <c r="N77" s="6">
        <f t="shared" si="55"/>
        <v>0</v>
      </c>
      <c r="O77" s="11"/>
      <c r="P77" s="7"/>
      <c r="Q77" s="2"/>
      <c r="R77" s="6">
        <f t="shared" si="56"/>
        <v>0</v>
      </c>
      <c r="S77" s="2"/>
      <c r="T77" s="7">
        <v>400</v>
      </c>
      <c r="U77" s="2"/>
      <c r="V77" s="6">
        <f t="shared" si="57"/>
        <v>2.2093344380005524E-3</v>
      </c>
      <c r="W77" s="2"/>
      <c r="X77" s="7">
        <f t="shared" si="58"/>
        <v>-400</v>
      </c>
      <c r="Y77" s="2"/>
      <c r="Z77" s="6">
        <f t="shared" si="59"/>
        <v>-1</v>
      </c>
    </row>
    <row r="78" spans="1:26" s="24" customFormat="1" hidden="1" outlineLevel="2" x14ac:dyDescent="0.25">
      <c r="A78" s="25"/>
      <c r="B78" s="11" t="str">
        <f>CONCATENATE("          ", "6237", " - ", "JANITORIAL SUPPLIES")</f>
        <v xml:space="preserve">          6237 - JANITORIAL SUPPLIES</v>
      </c>
      <c r="C78" s="11"/>
      <c r="D78" s="7">
        <v>261.43</v>
      </c>
      <c r="E78" s="2"/>
      <c r="F78" s="6">
        <f t="shared" si="52"/>
        <v>2.4835264384465818E-3</v>
      </c>
      <c r="G78" s="2"/>
      <c r="H78" s="7">
        <v>400</v>
      </c>
      <c r="I78" s="2"/>
      <c r="J78" s="6">
        <f t="shared" si="53"/>
        <v>3.5508211273857079E-3</v>
      </c>
      <c r="K78" s="2"/>
      <c r="L78" s="7">
        <f t="shared" si="54"/>
        <v>-138.57</v>
      </c>
      <c r="M78" s="2"/>
      <c r="N78" s="6">
        <f t="shared" si="55"/>
        <v>-0.34642499999999998</v>
      </c>
      <c r="O78" s="11"/>
      <c r="P78" s="7">
        <v>1502.95</v>
      </c>
      <c r="Q78" s="2"/>
      <c r="R78" s="6">
        <f t="shared" si="56"/>
        <v>8.6845105878569171E-3</v>
      </c>
      <c r="S78" s="2"/>
      <c r="T78" s="7">
        <v>1050</v>
      </c>
      <c r="U78" s="2"/>
      <c r="V78" s="6">
        <f t="shared" si="57"/>
        <v>5.7995028997514502E-3</v>
      </c>
      <c r="W78" s="2"/>
      <c r="X78" s="7">
        <f t="shared" si="58"/>
        <v>452.95000000000005</v>
      </c>
      <c r="Y78" s="2"/>
      <c r="Z78" s="6">
        <f t="shared" si="59"/>
        <v>0.43138095238095242</v>
      </c>
    </row>
    <row r="79" spans="1:26" s="24" customFormat="1" hidden="1" outlineLevel="2" x14ac:dyDescent="0.25">
      <c r="A79" s="25"/>
      <c r="B79" s="11" t="str">
        <f>CONCATENATE("          ", "6239", " - ", "KITCHEN SUPPLIES")</f>
        <v xml:space="preserve">          6239 - KITCHEN SUPPLIES</v>
      </c>
      <c r="C79" s="11"/>
      <c r="D79" s="7">
        <v>12.69</v>
      </c>
      <c r="E79" s="2"/>
      <c r="F79" s="6">
        <f t="shared" si="52"/>
        <v>1.2055215738012898E-4</v>
      </c>
      <c r="G79" s="2"/>
      <c r="H79" s="7"/>
      <c r="I79" s="2"/>
      <c r="J79" s="6">
        <f t="shared" si="53"/>
        <v>0</v>
      </c>
      <c r="K79" s="2"/>
      <c r="L79" s="7">
        <f t="shared" si="54"/>
        <v>12.69</v>
      </c>
      <c r="M79" s="2"/>
      <c r="N79" s="6">
        <f t="shared" si="55"/>
        <v>0</v>
      </c>
      <c r="O79" s="11"/>
      <c r="P79" s="7">
        <v>148.44999999999999</v>
      </c>
      <c r="Q79" s="2"/>
      <c r="R79" s="6">
        <f t="shared" si="56"/>
        <v>8.5779007735943265E-4</v>
      </c>
      <c r="S79" s="2"/>
      <c r="T79" s="7">
        <v>450</v>
      </c>
      <c r="U79" s="2"/>
      <c r="V79" s="6">
        <f t="shared" si="57"/>
        <v>2.4855012427506215E-3</v>
      </c>
      <c r="W79" s="2"/>
      <c r="X79" s="7">
        <f t="shared" si="58"/>
        <v>-301.55</v>
      </c>
      <c r="Y79" s="2"/>
      <c r="Z79" s="6">
        <f t="shared" si="59"/>
        <v>-0.6701111111111111</v>
      </c>
    </row>
    <row r="80" spans="1:26" s="24" customFormat="1" hidden="1" outlineLevel="2" x14ac:dyDescent="0.25">
      <c r="A80" s="25"/>
      <c r="B80" s="11" t="str">
        <f>CONCATENATE("          ", "6241", " - ", "OFFICE EXPENSE")</f>
        <v xml:space="preserve">          6241 - OFFICE EXPENSE</v>
      </c>
      <c r="C80" s="11"/>
      <c r="D80" s="7">
        <v>282.94</v>
      </c>
      <c r="E80" s="2"/>
      <c r="F80" s="6">
        <f t="shared" si="52"/>
        <v>2.6878666201050985E-3</v>
      </c>
      <c r="G80" s="2"/>
      <c r="H80" s="7">
        <v>150</v>
      </c>
      <c r="I80" s="2"/>
      <c r="J80" s="6">
        <f t="shared" si="53"/>
        <v>1.3315579227696406E-3</v>
      </c>
      <c r="K80" s="2"/>
      <c r="L80" s="7">
        <f t="shared" si="54"/>
        <v>132.94</v>
      </c>
      <c r="M80" s="2"/>
      <c r="N80" s="6">
        <f t="shared" si="55"/>
        <v>0.88626666666666665</v>
      </c>
      <c r="O80" s="11"/>
      <c r="P80" s="7">
        <v>5066.95</v>
      </c>
      <c r="Q80" s="2"/>
      <c r="R80" s="6">
        <f t="shared" si="56"/>
        <v>2.9278406416142655E-2</v>
      </c>
      <c r="S80" s="2"/>
      <c r="T80" s="7">
        <v>400</v>
      </c>
      <c r="U80" s="2"/>
      <c r="V80" s="6">
        <f t="shared" si="57"/>
        <v>2.2093344380005524E-3</v>
      </c>
      <c r="W80" s="2"/>
      <c r="X80" s="7">
        <f t="shared" si="58"/>
        <v>4666.95</v>
      </c>
      <c r="Y80" s="2"/>
      <c r="Z80" s="6">
        <f t="shared" si="59"/>
        <v>11.667375</v>
      </c>
    </row>
    <row r="81" spans="1:26" s="24" customFormat="1" hidden="1" outlineLevel="2" x14ac:dyDescent="0.25">
      <c r="A81" s="25"/>
      <c r="B81" s="11" t="str">
        <f>CONCATENATE("          ", "6243", " - ", "PAPER SUPPLIES")</f>
        <v xml:space="preserve">          6243 - PAPER SUPPLIES</v>
      </c>
      <c r="C81" s="11"/>
      <c r="D81" s="7">
        <v>622.53</v>
      </c>
      <c r="E81" s="2"/>
      <c r="F81" s="6">
        <f t="shared" si="52"/>
        <v>5.9138955503429238E-3</v>
      </c>
      <c r="G81" s="2"/>
      <c r="H81" s="7">
        <v>1000</v>
      </c>
      <c r="I81" s="2"/>
      <c r="J81" s="6">
        <f t="shared" si="53"/>
        <v>8.8770528184642702E-3</v>
      </c>
      <c r="K81" s="2"/>
      <c r="L81" s="7">
        <f t="shared" si="54"/>
        <v>-377.47</v>
      </c>
      <c r="M81" s="2"/>
      <c r="N81" s="6">
        <f t="shared" si="55"/>
        <v>-0.37747000000000003</v>
      </c>
      <c r="O81" s="11"/>
      <c r="P81" s="7">
        <v>1481.93</v>
      </c>
      <c r="Q81" s="2"/>
      <c r="R81" s="6">
        <f t="shared" si="56"/>
        <v>8.5630505176238752E-3</v>
      </c>
      <c r="S81" s="2"/>
      <c r="T81" s="7">
        <v>2250</v>
      </c>
      <c r="U81" s="2"/>
      <c r="V81" s="6">
        <f t="shared" si="57"/>
        <v>1.2427506213753107E-2</v>
      </c>
      <c r="W81" s="2"/>
      <c r="X81" s="7">
        <f t="shared" si="58"/>
        <v>-768.06999999999994</v>
      </c>
      <c r="Y81" s="2"/>
      <c r="Z81" s="6">
        <f t="shared" si="59"/>
        <v>-0.34136444444444441</v>
      </c>
    </row>
    <row r="82" spans="1:26" s="24" customFormat="1" hidden="1" outlineLevel="2" x14ac:dyDescent="0.25">
      <c r="A82" s="25"/>
      <c r="B82" s="11" t="str">
        <f>CONCATENATE("          ", "6244", " - ", "SAFETY SUPPLY EXPENSE")</f>
        <v xml:space="preserve">          6244 - SAFETY SUPPLY EXPENSE</v>
      </c>
      <c r="C82" s="11"/>
      <c r="D82" s="7"/>
      <c r="E82" s="2"/>
      <c r="F82" s="6">
        <f t="shared" si="52"/>
        <v>0</v>
      </c>
      <c r="G82" s="2"/>
      <c r="H82" s="7">
        <v>60</v>
      </c>
      <c r="I82" s="2"/>
      <c r="J82" s="6">
        <f t="shared" si="53"/>
        <v>5.3262316910785616E-4</v>
      </c>
      <c r="K82" s="2"/>
      <c r="L82" s="7">
        <f t="shared" si="54"/>
        <v>-60</v>
      </c>
      <c r="M82" s="2"/>
      <c r="N82" s="6">
        <f t="shared" si="55"/>
        <v>-1</v>
      </c>
      <c r="O82" s="11"/>
      <c r="P82" s="7"/>
      <c r="Q82" s="2"/>
      <c r="R82" s="6">
        <f t="shared" si="56"/>
        <v>0</v>
      </c>
      <c r="S82" s="2"/>
      <c r="T82" s="7">
        <v>180</v>
      </c>
      <c r="U82" s="2"/>
      <c r="V82" s="6">
        <f t="shared" si="57"/>
        <v>9.9420049710024854E-4</v>
      </c>
      <c r="W82" s="2"/>
      <c r="X82" s="7">
        <f t="shared" si="58"/>
        <v>-180</v>
      </c>
      <c r="Y82" s="2"/>
      <c r="Z82" s="6">
        <f t="shared" si="59"/>
        <v>-1</v>
      </c>
    </row>
    <row r="83" spans="1:26" s="24" customFormat="1" hidden="1" outlineLevel="2" x14ac:dyDescent="0.25">
      <c r="A83" s="25"/>
      <c r="B83" s="11" t="str">
        <f>CONCATENATE("          ", "6247", " - ", "STORE SUPPLIES")</f>
        <v xml:space="preserve">          6247 - STORE SUPPLIES</v>
      </c>
      <c r="C83" s="11"/>
      <c r="D83" s="7"/>
      <c r="E83" s="2"/>
      <c r="F83" s="6">
        <f t="shared" si="52"/>
        <v>0</v>
      </c>
      <c r="G83" s="2"/>
      <c r="H83" s="7"/>
      <c r="I83" s="2"/>
      <c r="J83" s="6">
        <f t="shared" si="53"/>
        <v>0</v>
      </c>
      <c r="K83" s="2"/>
      <c r="L83" s="7">
        <f t="shared" si="54"/>
        <v>0</v>
      </c>
      <c r="M83" s="2"/>
      <c r="N83" s="6">
        <f t="shared" si="55"/>
        <v>0</v>
      </c>
      <c r="O83" s="11"/>
      <c r="P83" s="7">
        <v>410.56</v>
      </c>
      <c r="Q83" s="2"/>
      <c r="R83" s="6">
        <f t="shared" si="56"/>
        <v>2.3723428370541508E-3</v>
      </c>
      <c r="S83" s="2"/>
      <c r="T83" s="7">
        <v>100</v>
      </c>
      <c r="U83" s="2"/>
      <c r="V83" s="6">
        <f t="shared" si="57"/>
        <v>5.5233360950013809E-4</v>
      </c>
      <c r="W83" s="2"/>
      <c r="X83" s="7">
        <f t="shared" si="58"/>
        <v>310.56</v>
      </c>
      <c r="Y83" s="2"/>
      <c r="Z83" s="6">
        <f t="shared" si="59"/>
        <v>3.1055999999999999</v>
      </c>
    </row>
    <row r="84" spans="1:26" s="24" customFormat="1" hidden="1" outlineLevel="2" x14ac:dyDescent="0.25">
      <c r="A84" s="25"/>
      <c r="B84" s="11" t="str">
        <f>CONCATENATE("          ", "6248", " - ", "UNIFORMS")</f>
        <v xml:space="preserve">          6248 - UNIFORMS</v>
      </c>
      <c r="C84" s="11"/>
      <c r="D84" s="7"/>
      <c r="E84" s="2"/>
      <c r="F84" s="6">
        <f t="shared" si="52"/>
        <v>0</v>
      </c>
      <c r="G84" s="2"/>
      <c r="H84" s="7"/>
      <c r="I84" s="2"/>
      <c r="J84" s="6">
        <f t="shared" si="53"/>
        <v>0</v>
      </c>
      <c r="K84" s="2"/>
      <c r="L84" s="7">
        <f t="shared" si="54"/>
        <v>0</v>
      </c>
      <c r="M84" s="2"/>
      <c r="N84" s="6">
        <f t="shared" si="55"/>
        <v>0</v>
      </c>
      <c r="O84" s="11"/>
      <c r="P84" s="7"/>
      <c r="Q84" s="2"/>
      <c r="R84" s="6">
        <f t="shared" si="56"/>
        <v>0</v>
      </c>
      <c r="S84" s="2"/>
      <c r="T84" s="7">
        <v>800</v>
      </c>
      <c r="U84" s="2"/>
      <c r="V84" s="6">
        <f t="shared" si="57"/>
        <v>4.4186688760011047E-3</v>
      </c>
      <c r="W84" s="2"/>
      <c r="X84" s="7">
        <f t="shared" si="58"/>
        <v>-800</v>
      </c>
      <c r="Y84" s="2"/>
      <c r="Z84" s="6">
        <f t="shared" si="59"/>
        <v>-1</v>
      </c>
    </row>
    <row r="85" spans="1:26" s="26" customFormat="1" outlineLevel="1" collapsed="1" x14ac:dyDescent="0.25">
      <c r="A85" s="27"/>
      <c r="B85" s="13" t="str">
        <f>CONCATENATE("     ","Telephone/Data Lines                              ")</f>
        <v xml:space="preserve">     Telephone/Data Lines                              </v>
      </c>
      <c r="C85" s="13"/>
      <c r="D85" s="1">
        <f>SUM(OSRRefD22_15x_0)</f>
        <v>200</v>
      </c>
      <c r="E85" s="1"/>
      <c r="F85" s="5">
        <f t="shared" ref="F85:F91" si="60">IF(D$12=0,0,D85/D$12)</f>
        <v>1.8999551990564066E-3</v>
      </c>
      <c r="G85" s="1"/>
      <c r="H85" s="1">
        <f>SUM(OSRRefH22_15x_0)</f>
        <v>150</v>
      </c>
      <c r="I85" s="1"/>
      <c r="J85" s="5">
        <f t="shared" ref="J85:J91" si="61">IF(H$12=0,0,H85/H$12)</f>
        <v>1.3315579227696406E-3</v>
      </c>
      <c r="K85" s="1"/>
      <c r="L85" s="1">
        <f t="shared" ref="L85:L91" si="62">+D85-H85</f>
        <v>50</v>
      </c>
      <c r="M85" s="1"/>
      <c r="N85" s="5">
        <f t="shared" ref="N85:N91" si="63">IF(H85=0,0,L85/H85)</f>
        <v>0.33333333333333331</v>
      </c>
      <c r="O85" s="13"/>
      <c r="P85" s="1">
        <f>SUM(OSRRefP22_15x_0)</f>
        <v>442.5</v>
      </c>
      <c r="Q85" s="1"/>
      <c r="R85" s="5">
        <f t="shared" ref="R85:R91" si="64">IF(P$12=0,0,P85/P$12)</f>
        <v>2.5569020493873286E-3</v>
      </c>
      <c r="S85" s="1"/>
      <c r="T85" s="1">
        <f>SUM(OSRRefT22_15x_0)</f>
        <v>450</v>
      </c>
      <c r="U85" s="1"/>
      <c r="V85" s="5">
        <f t="shared" ref="V85:V91" si="65">IF(T$12=0,0,T85/T$12)</f>
        <v>2.4855012427506215E-3</v>
      </c>
      <c r="W85" s="1"/>
      <c r="X85" s="1">
        <f t="shared" ref="X85:X91" si="66">+P85-T85</f>
        <v>-7.5</v>
      </c>
      <c r="Y85" s="1"/>
      <c r="Z85" s="5">
        <f t="shared" ref="Z85:Z91" si="67">IF(T85=0,0,X85/T85)</f>
        <v>-1.6666666666666666E-2</v>
      </c>
    </row>
    <row r="86" spans="1:26" s="24" customFormat="1" hidden="1" outlineLevel="2" x14ac:dyDescent="0.25">
      <c r="A86" s="25"/>
      <c r="B86" s="11" t="str">
        <f>CONCATENATE("          ", "6309", " - ", "TELEPHONE")</f>
        <v xml:space="preserve">          6309 - TELEPHONE</v>
      </c>
      <c r="C86" s="11"/>
      <c r="D86" s="7">
        <v>200</v>
      </c>
      <c r="E86" s="2"/>
      <c r="F86" s="6">
        <f t="shared" si="60"/>
        <v>1.8999551990564066E-3</v>
      </c>
      <c r="G86" s="2"/>
      <c r="H86" s="7">
        <v>150</v>
      </c>
      <c r="I86" s="2"/>
      <c r="J86" s="6">
        <f t="shared" si="61"/>
        <v>1.3315579227696406E-3</v>
      </c>
      <c r="K86" s="2"/>
      <c r="L86" s="7">
        <f t="shared" si="62"/>
        <v>50</v>
      </c>
      <c r="M86" s="2"/>
      <c r="N86" s="6">
        <f t="shared" si="63"/>
        <v>0.33333333333333331</v>
      </c>
      <c r="O86" s="11"/>
      <c r="P86" s="7">
        <v>442.5</v>
      </c>
      <c r="Q86" s="2"/>
      <c r="R86" s="6">
        <f t="shared" si="64"/>
        <v>2.5569020493873286E-3</v>
      </c>
      <c r="S86" s="2"/>
      <c r="T86" s="7">
        <v>450</v>
      </c>
      <c r="U86" s="2"/>
      <c r="V86" s="6">
        <f t="shared" si="65"/>
        <v>2.4855012427506215E-3</v>
      </c>
      <c r="W86" s="2"/>
      <c r="X86" s="7">
        <f t="shared" si="66"/>
        <v>-7.5</v>
      </c>
      <c r="Y86" s="2"/>
      <c r="Z86" s="6">
        <f t="shared" si="67"/>
        <v>-1.6666666666666666E-2</v>
      </c>
    </row>
    <row r="87" spans="1:26" s="26" customFormat="1" outlineLevel="1" collapsed="1" x14ac:dyDescent="0.25">
      <c r="A87" s="27"/>
      <c r="B87" s="13" t="str">
        <f>CONCATENATE("     ","Training                                          ")</f>
        <v xml:space="preserve">     Training                                          </v>
      </c>
      <c r="C87" s="13"/>
      <c r="D87" s="1">
        <f>SUM(OSRRefD22_16x_0)</f>
        <v>96</v>
      </c>
      <c r="E87" s="1"/>
      <c r="F87" s="5">
        <f t="shared" si="60"/>
        <v>9.1197849554707508E-4</v>
      </c>
      <c r="G87" s="1"/>
      <c r="H87" s="1">
        <f>SUM(OSRRefH22_16x_0)</f>
        <v>0</v>
      </c>
      <c r="I87" s="1"/>
      <c r="J87" s="5">
        <f t="shared" si="61"/>
        <v>0</v>
      </c>
      <c r="K87" s="1"/>
      <c r="L87" s="1">
        <f t="shared" si="62"/>
        <v>96</v>
      </c>
      <c r="M87" s="1"/>
      <c r="N87" s="5">
        <f t="shared" si="63"/>
        <v>0</v>
      </c>
      <c r="O87" s="13"/>
      <c r="P87" s="1">
        <f>SUM(OSRRefP22_16x_0)</f>
        <v>96</v>
      </c>
      <c r="Q87" s="1"/>
      <c r="R87" s="5">
        <f t="shared" si="64"/>
        <v>5.5471773274843748E-4</v>
      </c>
      <c r="S87" s="1"/>
      <c r="T87" s="1">
        <f>SUM(OSRRefT22_16x_0)</f>
        <v>0</v>
      </c>
      <c r="U87" s="1"/>
      <c r="V87" s="5">
        <f t="shared" si="65"/>
        <v>0</v>
      </c>
      <c r="W87" s="1"/>
      <c r="X87" s="1">
        <f t="shared" si="66"/>
        <v>96</v>
      </c>
      <c r="Y87" s="1"/>
      <c r="Z87" s="5">
        <f t="shared" si="67"/>
        <v>0</v>
      </c>
    </row>
    <row r="88" spans="1:26" s="24" customFormat="1" hidden="1" outlineLevel="2" x14ac:dyDescent="0.25">
      <c r="A88" s="25"/>
      <c r="B88" s="11" t="str">
        <f>CONCATENATE("          ", "6376", " - ", "TRAINING")</f>
        <v xml:space="preserve">          6376 - TRAINING</v>
      </c>
      <c r="C88" s="11"/>
      <c r="D88" s="7">
        <v>96</v>
      </c>
      <c r="E88" s="2"/>
      <c r="F88" s="6">
        <f t="shared" si="60"/>
        <v>9.1197849554707508E-4</v>
      </c>
      <c r="G88" s="2"/>
      <c r="H88" s="7"/>
      <c r="I88" s="2"/>
      <c r="J88" s="6">
        <f t="shared" si="61"/>
        <v>0</v>
      </c>
      <c r="K88" s="2"/>
      <c r="L88" s="7">
        <f t="shared" si="62"/>
        <v>96</v>
      </c>
      <c r="M88" s="2"/>
      <c r="N88" s="6">
        <f t="shared" si="63"/>
        <v>0</v>
      </c>
      <c r="O88" s="11"/>
      <c r="P88" s="7">
        <v>96</v>
      </c>
      <c r="Q88" s="2"/>
      <c r="R88" s="6">
        <f t="shared" si="64"/>
        <v>5.5471773274843748E-4</v>
      </c>
      <c r="S88" s="2"/>
      <c r="T88" s="7"/>
      <c r="U88" s="2"/>
      <c r="V88" s="6">
        <f t="shared" si="65"/>
        <v>0</v>
      </c>
      <c r="W88" s="2"/>
      <c r="X88" s="7">
        <f t="shared" si="66"/>
        <v>96</v>
      </c>
      <c r="Y88" s="2"/>
      <c r="Z88" s="6">
        <f t="shared" si="67"/>
        <v>0</v>
      </c>
    </row>
    <row r="89" spans="1:26" s="26" customFormat="1" outlineLevel="1" collapsed="1" x14ac:dyDescent="0.25">
      <c r="A89" s="27"/>
      <c r="B89" s="13" t="str">
        <f>CONCATENATE("     ","Travel                                            ")</f>
        <v xml:space="preserve">     Travel                                            </v>
      </c>
      <c r="C89" s="13"/>
      <c r="D89" s="1">
        <f>SUM(OSRRefD22_17x_0)</f>
        <v>0</v>
      </c>
      <c r="E89" s="1"/>
      <c r="F89" s="5">
        <f t="shared" si="60"/>
        <v>0</v>
      </c>
      <c r="G89" s="1"/>
      <c r="H89" s="1">
        <f>SUM(OSRRefH22_17x_0)</f>
        <v>0</v>
      </c>
      <c r="I89" s="1"/>
      <c r="J89" s="5">
        <f t="shared" si="61"/>
        <v>0</v>
      </c>
      <c r="K89" s="1"/>
      <c r="L89" s="1">
        <f t="shared" si="62"/>
        <v>0</v>
      </c>
      <c r="M89" s="1"/>
      <c r="N89" s="5">
        <f t="shared" si="63"/>
        <v>0</v>
      </c>
      <c r="O89" s="13"/>
      <c r="P89" s="1">
        <f>SUM(OSRRefP22_17x_0)</f>
        <v>0</v>
      </c>
      <c r="Q89" s="1"/>
      <c r="R89" s="5">
        <f t="shared" si="64"/>
        <v>0</v>
      </c>
      <c r="S89" s="1"/>
      <c r="T89" s="1">
        <f>SUM(OSRRefT22_17x_0)</f>
        <v>1200</v>
      </c>
      <c r="U89" s="1"/>
      <c r="V89" s="5">
        <f t="shared" si="65"/>
        <v>6.6280033140016566E-3</v>
      </c>
      <c r="W89" s="1"/>
      <c r="X89" s="1">
        <f t="shared" si="66"/>
        <v>-1200</v>
      </c>
      <c r="Y89" s="1"/>
      <c r="Z89" s="5">
        <f t="shared" si="67"/>
        <v>-1</v>
      </c>
    </row>
    <row r="90" spans="1:26" s="24" customFormat="1" hidden="1" outlineLevel="2" x14ac:dyDescent="0.25">
      <c r="A90" s="25"/>
      <c r="B90" s="11" t="str">
        <f>CONCATENATE("          ", "6292", " - ", "TRAVEL/CONFERENCE")</f>
        <v xml:space="preserve">          6292 - TRAVEL/CONFERENCE</v>
      </c>
      <c r="C90" s="11"/>
      <c r="D90" s="7"/>
      <c r="E90" s="2"/>
      <c r="F90" s="6">
        <f t="shared" si="60"/>
        <v>0</v>
      </c>
      <c r="G90" s="2"/>
      <c r="H90" s="7"/>
      <c r="I90" s="2"/>
      <c r="J90" s="6">
        <f t="shared" si="61"/>
        <v>0</v>
      </c>
      <c r="K90" s="2"/>
      <c r="L90" s="7">
        <f t="shared" si="62"/>
        <v>0</v>
      </c>
      <c r="M90" s="2"/>
      <c r="N90" s="6">
        <f t="shared" si="63"/>
        <v>0</v>
      </c>
      <c r="O90" s="11"/>
      <c r="P90" s="7"/>
      <c r="Q90" s="2"/>
      <c r="R90" s="6">
        <f t="shared" si="64"/>
        <v>0</v>
      </c>
      <c r="S90" s="2"/>
      <c r="T90" s="7">
        <v>1200</v>
      </c>
      <c r="U90" s="2"/>
      <c r="V90" s="6">
        <f t="shared" si="65"/>
        <v>6.6280033140016566E-3</v>
      </c>
      <c r="W90" s="2"/>
      <c r="X90" s="7">
        <f t="shared" si="66"/>
        <v>-1200</v>
      </c>
      <c r="Y90" s="2"/>
      <c r="Z90" s="6">
        <f t="shared" si="67"/>
        <v>-1</v>
      </c>
    </row>
    <row r="91" spans="1:26" s="24" customFormat="1" hidden="1" outlineLevel="2" x14ac:dyDescent="0.25">
      <c r="A91" s="25"/>
      <c r="B91" s="11" t="str">
        <f>CONCATENATE("          ", "6298", " - ", "VEHICLE MILEAGE")</f>
        <v xml:space="preserve">          6298 - VEHICLE MILEAGE</v>
      </c>
      <c r="C91" s="11"/>
      <c r="D91" s="7"/>
      <c r="E91" s="2"/>
      <c r="F91" s="6">
        <f t="shared" si="60"/>
        <v>0</v>
      </c>
      <c r="G91" s="2"/>
      <c r="H91" s="7"/>
      <c r="I91" s="2"/>
      <c r="J91" s="6">
        <f t="shared" si="61"/>
        <v>0</v>
      </c>
      <c r="K91" s="2"/>
      <c r="L91" s="7">
        <f t="shared" si="62"/>
        <v>0</v>
      </c>
      <c r="M91" s="2"/>
      <c r="N91" s="6">
        <f t="shared" si="63"/>
        <v>0</v>
      </c>
      <c r="O91" s="11"/>
      <c r="P91" s="7"/>
      <c r="Q91" s="2"/>
      <c r="R91" s="6">
        <f t="shared" si="64"/>
        <v>0</v>
      </c>
      <c r="S91" s="2"/>
      <c r="T91" s="7">
        <v>0</v>
      </c>
      <c r="U91" s="2"/>
      <c r="V91" s="6">
        <f t="shared" si="65"/>
        <v>0</v>
      </c>
      <c r="W91" s="2"/>
      <c r="X91" s="7">
        <f t="shared" si="66"/>
        <v>0</v>
      </c>
      <c r="Y91" s="2"/>
      <c r="Z91" s="6">
        <f t="shared" si="67"/>
        <v>0</v>
      </c>
    </row>
    <row r="92" spans="1:26" s="26" customFormat="1" outlineLevel="1" collapsed="1" x14ac:dyDescent="0.25">
      <c r="A92" s="27"/>
      <c r="B92" s="13" t="str">
        <f>CONCATENATE("     ","Utilities                                         ")</f>
        <v xml:space="preserve">     Utilities                                         </v>
      </c>
      <c r="C92" s="13"/>
      <c r="D92" s="1">
        <f>SUM(OSRRefD22_18x_0)</f>
        <v>2031</v>
      </c>
      <c r="E92" s="1"/>
      <c r="F92" s="5">
        <f t="shared" ref="F92:F93" si="68">IF(D$12=0,0,D92/D$12)</f>
        <v>1.929404504641781E-2</v>
      </c>
      <c r="G92" s="1"/>
      <c r="H92" s="1">
        <f>SUM(OSRRefH22_18x_0)</f>
        <v>2100</v>
      </c>
      <c r="I92" s="1"/>
      <c r="J92" s="5">
        <f t="shared" ref="J92:J93" si="69">IF(H$12=0,0,H92/H$12)</f>
        <v>1.8641810918774968E-2</v>
      </c>
      <c r="K92" s="1"/>
      <c r="L92" s="1">
        <f t="shared" ref="L92:L93" si="70">+D92-H92</f>
        <v>-69</v>
      </c>
      <c r="M92" s="1"/>
      <c r="N92" s="5">
        <f t="shared" ref="N92:N93" si="71">IF(H92=0,0,L92/H92)</f>
        <v>-3.2857142857142856E-2</v>
      </c>
      <c r="O92" s="13"/>
      <c r="P92" s="1">
        <f>SUM(OSRRefP22_18x_0)</f>
        <v>4062</v>
      </c>
      <c r="Q92" s="1"/>
      <c r="R92" s="5">
        <f t="shared" ref="R92:R93" si="72">IF(P$12=0,0,P92/P$12)</f>
        <v>2.3471494066918258E-2</v>
      </c>
      <c r="S92" s="1"/>
      <c r="T92" s="1">
        <f>SUM(OSRRefT22_18x_0)</f>
        <v>6300</v>
      </c>
      <c r="U92" s="1"/>
      <c r="V92" s="5">
        <f t="shared" ref="V92:V93" si="73">IF(T$12=0,0,T92/T$12)</f>
        <v>3.4797017398508698E-2</v>
      </c>
      <c r="W92" s="1"/>
      <c r="X92" s="1">
        <f t="shared" ref="X92:X93" si="74">+P92-T92</f>
        <v>-2238</v>
      </c>
      <c r="Y92" s="1"/>
      <c r="Z92" s="5">
        <f t="shared" ref="Z92:Z93" si="75">IF(T92=0,0,X92/T92)</f>
        <v>-0.35523809523809524</v>
      </c>
    </row>
    <row r="93" spans="1:26" s="24" customFormat="1" hidden="1" outlineLevel="2" x14ac:dyDescent="0.25">
      <c r="A93" s="25"/>
      <c r="B93" s="11" t="str">
        <f>CONCATENATE("          ", "6274", " - ", "UTILITIES")</f>
        <v xml:space="preserve">          6274 - UTILITIES</v>
      </c>
      <c r="C93" s="11"/>
      <c r="D93" s="7">
        <v>2031</v>
      </c>
      <c r="E93" s="2"/>
      <c r="F93" s="6">
        <f t="shared" si="68"/>
        <v>1.929404504641781E-2</v>
      </c>
      <c r="G93" s="2"/>
      <c r="H93" s="7">
        <v>2100</v>
      </c>
      <c r="I93" s="2"/>
      <c r="J93" s="6">
        <f t="shared" si="69"/>
        <v>1.8641810918774968E-2</v>
      </c>
      <c r="K93" s="2"/>
      <c r="L93" s="7">
        <f t="shared" si="70"/>
        <v>-69</v>
      </c>
      <c r="M93" s="2"/>
      <c r="N93" s="6">
        <f t="shared" si="71"/>
        <v>-3.2857142857142856E-2</v>
      </c>
      <c r="O93" s="11"/>
      <c r="P93" s="7">
        <v>4062</v>
      </c>
      <c r="Q93" s="2"/>
      <c r="R93" s="6">
        <f t="shared" si="72"/>
        <v>2.3471494066918258E-2</v>
      </c>
      <c r="S93" s="2"/>
      <c r="T93" s="7">
        <v>6300</v>
      </c>
      <c r="U93" s="2"/>
      <c r="V93" s="6">
        <f t="shared" si="73"/>
        <v>3.4797017398508698E-2</v>
      </c>
      <c r="W93" s="2"/>
      <c r="X93" s="7">
        <f t="shared" si="74"/>
        <v>-2238</v>
      </c>
      <c r="Y93" s="2"/>
      <c r="Z93" s="6">
        <f t="shared" si="75"/>
        <v>-0.35523809523809524</v>
      </c>
    </row>
    <row r="94" spans="1:26" s="63" customFormat="1" x14ac:dyDescent="0.25">
      <c r="A94" s="36"/>
      <c r="B94" s="36"/>
      <c r="C94" s="36"/>
      <c r="D94" s="1"/>
      <c r="E94" s="1"/>
      <c r="F94" s="5"/>
      <c r="G94" s="1"/>
      <c r="H94" s="1"/>
      <c r="I94" s="1"/>
      <c r="J94" s="5"/>
      <c r="K94" s="1"/>
      <c r="L94" s="1"/>
      <c r="M94" s="1"/>
      <c r="N94" s="5"/>
      <c r="O94" s="36"/>
      <c r="P94" s="1"/>
      <c r="Q94" s="1"/>
      <c r="R94" s="5"/>
      <c r="S94" s="1"/>
      <c r="T94" s="1"/>
      <c r="U94" s="1"/>
      <c r="V94" s="5"/>
      <c r="W94" s="1"/>
      <c r="X94" s="1"/>
      <c r="Y94" s="1"/>
      <c r="Z94" s="5"/>
    </row>
    <row r="95" spans="1:26" s="23" customFormat="1" x14ac:dyDescent="0.25">
      <c r="A95" s="10"/>
      <c r="B95" s="28" t="s">
        <v>0</v>
      </c>
      <c r="C95" s="10"/>
      <c r="D95" s="4">
        <f>SUM(0)</f>
        <v>0</v>
      </c>
      <c r="E95" s="4"/>
      <c r="F95" s="12">
        <f>IF(D$12=0,0,D95/D$12)</f>
        <v>0</v>
      </c>
      <c r="G95" s="4"/>
      <c r="H95" s="4">
        <f>SUM(0)</f>
        <v>0</v>
      </c>
      <c r="I95" s="4"/>
      <c r="J95" s="12">
        <f>IF(H$12=0,0,H95/H$12)</f>
        <v>0</v>
      </c>
      <c r="K95" s="4"/>
      <c r="L95" s="4">
        <f>+D95-H95</f>
        <v>0</v>
      </c>
      <c r="M95" s="4"/>
      <c r="N95" s="12">
        <f>IF(H95=0,0,L95/H95)</f>
        <v>0</v>
      </c>
      <c r="O95" s="10"/>
      <c r="P95" s="4">
        <f>SUM(0)</f>
        <v>0</v>
      </c>
      <c r="Q95" s="4"/>
      <c r="R95" s="12">
        <f>IF(P$12=0,0,P95/P$12)</f>
        <v>0</v>
      </c>
      <c r="S95" s="4"/>
      <c r="T95" s="4">
        <f>SUM(0)</f>
        <v>0</v>
      </c>
      <c r="U95" s="4"/>
      <c r="V95" s="12">
        <f>IF(T$12=0,0,T95/T$12)</f>
        <v>0</v>
      </c>
      <c r="W95" s="4"/>
      <c r="X95" s="4">
        <f>+P95-T95</f>
        <v>0</v>
      </c>
      <c r="Y95" s="4"/>
      <c r="Z95" s="12">
        <f>IF(T95=0,0,X95/T95)</f>
        <v>0</v>
      </c>
    </row>
    <row r="96" spans="1:26" x14ac:dyDescent="0.25">
      <c r="A96" s="9"/>
      <c r="B96" s="10"/>
      <c r="C96" s="10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O96" s="10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x14ac:dyDescent="0.25">
      <c r="A97" s="10"/>
      <c r="B97" s="29" t="s">
        <v>3</v>
      </c>
      <c r="C97" s="29"/>
      <c r="D97" s="22">
        <f>+D22-D24+D95</f>
        <v>-4482.390000000014</v>
      </c>
      <c r="E97" s="14"/>
      <c r="F97" s="20">
        <f>IF(D$12=0,0,D97/D$12)</f>
        <v>-4.2581700923492366E-2</v>
      </c>
      <c r="G97" s="14"/>
      <c r="H97" s="22">
        <f>+H22-H24+H95</f>
        <v>8334.5145230769122</v>
      </c>
      <c r="I97" s="14"/>
      <c r="J97" s="20">
        <f>IF(H$12=0,0,H97/H$12)</f>
        <v>7.3985925637611291E-2</v>
      </c>
      <c r="K97" s="15"/>
      <c r="L97" s="22">
        <f>+D97-H97</f>
        <v>-12816.904523076926</v>
      </c>
      <c r="M97" s="15"/>
      <c r="N97" s="20">
        <f>IF(H97=0,0,L97/H97)</f>
        <v>-1.5378105692405966</v>
      </c>
      <c r="O97" s="28"/>
      <c r="P97" s="22">
        <f>+P22-P24+P95</f>
        <v>-85341.670000000027</v>
      </c>
      <c r="Q97" s="14"/>
      <c r="R97" s="20">
        <f>IF(P$12=0,0,P97/P$12)</f>
        <v>-0.49313060095172245</v>
      </c>
      <c r="S97" s="14"/>
      <c r="T97" s="22">
        <f>+T22-T24+T95</f>
        <v>-67618.584380000015</v>
      </c>
      <c r="U97" s="14"/>
      <c r="V97" s="20">
        <f>IF(T$12=0,0,T97/T$12)</f>
        <v>-0.37348016779895066</v>
      </c>
      <c r="W97" s="15"/>
      <c r="X97" s="22">
        <f>+P97-T97</f>
        <v>-17723.085620000013</v>
      </c>
      <c r="Y97" s="15"/>
      <c r="Z97" s="20">
        <f>IF(T97=0,0,X97/T97)</f>
        <v>0.26210376603568891</v>
      </c>
    </row>
    <row r="98" spans="1:26" x14ac:dyDescent="0.25">
      <c r="A98" s="9"/>
      <c r="B98" s="10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x14ac:dyDescent="0.25">
      <c r="A99" s="52"/>
      <c r="B99" s="10" t="s">
        <v>14</v>
      </c>
      <c r="C99" s="10"/>
      <c r="D99" s="4">
        <v>10136.200000000001</v>
      </c>
      <c r="E99" s="4"/>
      <c r="F99" s="12">
        <f>IF(D$12=0,0,D99/D$12)</f>
        <v>9.6291629443377741E-2</v>
      </c>
      <c r="G99" s="4"/>
      <c r="H99" s="4">
        <v>11792</v>
      </c>
      <c r="I99" s="4"/>
      <c r="J99" s="12">
        <f>IF(H$12=0,0,H99/H$12)</f>
        <v>0.10467820683533068</v>
      </c>
      <c r="K99" s="4"/>
      <c r="L99" s="4">
        <f>+D99-H99</f>
        <v>-1655.7999999999993</v>
      </c>
      <c r="M99" s="4"/>
      <c r="N99" s="12">
        <f>IF(H99=0,0,L99/H99)</f>
        <v>-0.14041723202170958</v>
      </c>
      <c r="O99" s="10"/>
      <c r="P99" s="4">
        <v>18589.04</v>
      </c>
      <c r="Q99" s="4"/>
      <c r="R99" s="12">
        <f>IF(P$12=0,0,P99/P$12)</f>
        <v>0.10741323044552098</v>
      </c>
      <c r="S99" s="4"/>
      <c r="T99" s="4">
        <v>22900</v>
      </c>
      <c r="U99" s="4"/>
      <c r="V99" s="12">
        <f>IF(T$12=0,0,T99/T$12)</f>
        <v>0.12648439657553162</v>
      </c>
      <c r="W99" s="4"/>
      <c r="X99" s="4">
        <f>+P99-T99</f>
        <v>-4310.9599999999991</v>
      </c>
      <c r="Y99" s="4"/>
      <c r="Z99" s="12">
        <f>IF(T99=0,0,X99/T99)</f>
        <v>-0.18825152838427944</v>
      </c>
    </row>
    <row r="100" spans="1:26" x14ac:dyDescent="0.25">
      <c r="A100" s="9"/>
      <c r="B100" s="10"/>
      <c r="C100" s="10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O100" s="10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ht="15.75" thickBot="1" x14ac:dyDescent="0.3">
      <c r="A101" s="10"/>
      <c r="B101" s="29" t="s">
        <v>4</v>
      </c>
      <c r="C101" s="29"/>
      <c r="D101" s="35">
        <f>+D97-D99</f>
        <v>-14618.590000000015</v>
      </c>
      <c r="E101" s="14"/>
      <c r="F101" s="32">
        <f>IF(D$12=0,0,D101/D$12)</f>
        <v>-0.13887333036687011</v>
      </c>
      <c r="G101" s="14"/>
      <c r="H101" s="35">
        <f>+H97-H99</f>
        <v>-3457.4854769230878</v>
      </c>
      <c r="I101" s="14"/>
      <c r="J101" s="32">
        <f>IF(H$12=0,0,H101/H$12)</f>
        <v>-3.0692281197719377E-2</v>
      </c>
      <c r="K101" s="15"/>
      <c r="L101" s="35">
        <f>D101-H101</f>
        <v>-11161.104523076927</v>
      </c>
      <c r="M101" s="15"/>
      <c r="N101" s="32">
        <f>IF(H101=0,0,L101/H101)</f>
        <v>3.2280987433125832</v>
      </c>
      <c r="O101" s="28"/>
      <c r="P101" s="35">
        <f>+P97-P99</f>
        <v>-103930.71000000002</v>
      </c>
      <c r="Q101" s="14"/>
      <c r="R101" s="32">
        <f>IF(P$12=0,0,P101/P$12)</f>
        <v>-0.60054383139724343</v>
      </c>
      <c r="S101" s="14"/>
      <c r="T101" s="35">
        <f>+T97-T99</f>
        <v>-90518.584380000015</v>
      </c>
      <c r="U101" s="14"/>
      <c r="V101" s="32">
        <f>IF(T$12=0,0,T101/T$12)</f>
        <v>-0.49996456437448228</v>
      </c>
      <c r="W101" s="15"/>
      <c r="X101" s="35">
        <f>P101-T101</f>
        <v>-13412.125620000006</v>
      </c>
      <c r="Y101" s="15"/>
      <c r="Z101" s="32">
        <f>IF(T101=0,0,X101/T101)</f>
        <v>0.14816985607834363</v>
      </c>
    </row>
    <row r="102" spans="1:26" ht="15.75" thickTop="1" x14ac:dyDescent="0.25">
      <c r="A102" s="9"/>
      <c r="B102" s="9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x14ac:dyDescent="0.25">
      <c r="A103" s="9"/>
      <c r="B103" s="9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ht="15.75" thickBot="1" x14ac:dyDescent="0.3">
      <c r="A104" s="10"/>
      <c r="B104" s="29" t="s">
        <v>5</v>
      </c>
      <c r="C104" s="29"/>
      <c r="D104" s="30">
        <f>SUM(D101:D103)</f>
        <v>-14618.590000000015</v>
      </c>
      <c r="E104" s="14"/>
      <c r="F104" s="31">
        <f>IF(D$12=0,0,D104/D$12)</f>
        <v>-0.13887333036687011</v>
      </c>
      <c r="G104" s="14"/>
      <c r="H104" s="30">
        <f>SUM(H101:H103)</f>
        <v>-3457.4854769230878</v>
      </c>
      <c r="I104" s="14"/>
      <c r="J104" s="31">
        <f>IF(H$12=0,0,H104/H$12)</f>
        <v>-3.0692281197719377E-2</v>
      </c>
      <c r="K104" s="15"/>
      <c r="L104" s="30">
        <f>+D104-H104</f>
        <v>-11161.104523076927</v>
      </c>
      <c r="M104" s="15"/>
      <c r="N104" s="31">
        <f>IF(H104=0,0,L104/H104)</f>
        <v>3.2280987433125832</v>
      </c>
      <c r="O104" s="28"/>
      <c r="P104" s="30">
        <f>SUM(P101:P103)</f>
        <v>-103930.71000000002</v>
      </c>
      <c r="Q104" s="14"/>
      <c r="R104" s="31">
        <f>IF(P$12=0,0,P104/P$12)</f>
        <v>-0.60054383139724343</v>
      </c>
      <c r="S104" s="14"/>
      <c r="T104" s="30">
        <f>SUM(T101:T103)</f>
        <v>-90518.584380000015</v>
      </c>
      <c r="U104" s="14"/>
      <c r="V104" s="31">
        <f>IF(T$12=0,0,T104/T$12)</f>
        <v>-0.49996456437448228</v>
      </c>
      <c r="W104" s="15"/>
      <c r="X104" s="30">
        <f>+P104-T104</f>
        <v>-13412.125620000006</v>
      </c>
      <c r="Y104" s="15"/>
      <c r="Z104" s="31">
        <f>IF(T104=0,0,X104/T104)</f>
        <v>0.14816985607834363</v>
      </c>
    </row>
    <row r="105" spans="1:26" ht="15.75" thickTop="1" x14ac:dyDescent="0.25">
      <c r="A105" s="9"/>
      <c r="C105" s="9"/>
      <c r="D105" s="18"/>
      <c r="E105" s="18"/>
      <c r="G105" s="18"/>
      <c r="H105" s="18"/>
      <c r="I105" s="18"/>
      <c r="J105" s="43"/>
      <c r="K105" s="18"/>
      <c r="L105" s="18"/>
      <c r="M105" s="18"/>
      <c r="P105" s="18"/>
      <c r="Q105" s="18"/>
      <c r="R105" s="43"/>
      <c r="S105" s="18"/>
      <c r="T105" s="18"/>
      <c r="U105" s="18"/>
      <c r="V105" s="43"/>
      <c r="W105" s="18"/>
      <c r="X105" s="18"/>
    </row>
    <row r="106" spans="1:26" x14ac:dyDescent="0.25">
      <c r="A106" s="9"/>
      <c r="B106" s="53">
        <v>43756.452679594906</v>
      </c>
      <c r="D106" s="18"/>
      <c r="E106" s="18"/>
      <c r="G106" s="18"/>
      <c r="H106" s="18"/>
      <c r="I106" s="18"/>
      <c r="J106" s="43"/>
      <c r="K106" s="18"/>
      <c r="L106" s="18"/>
      <c r="M106" s="18"/>
      <c r="P106" s="18"/>
      <c r="Q106" s="18"/>
      <c r="R106" s="43"/>
      <c r="S106" s="18"/>
      <c r="T106" s="18"/>
      <c r="U106" s="18"/>
      <c r="V106" s="43"/>
      <c r="W106" s="18"/>
      <c r="X106" s="18"/>
    </row>
    <row r="107" spans="1:26" x14ac:dyDescent="0.25">
      <c r="A107" s="9"/>
      <c r="B107" s="55" t="s">
        <v>314</v>
      </c>
      <c r="D107" s="18"/>
      <c r="E107" s="18"/>
      <c r="G107" s="18"/>
      <c r="H107" s="18"/>
      <c r="I107" s="18"/>
      <c r="J107" s="43"/>
      <c r="K107" s="18"/>
      <c r="L107" s="18"/>
      <c r="M107" s="18"/>
      <c r="P107" s="18"/>
      <c r="Q107" s="18"/>
      <c r="R107" s="43"/>
      <c r="S107" s="18"/>
      <c r="T107" s="18"/>
      <c r="U107" s="18"/>
      <c r="V107" s="43"/>
      <c r="W107" s="18"/>
      <c r="X107" s="18"/>
    </row>
    <row r="108" spans="1:26" x14ac:dyDescent="0.25">
      <c r="A108" s="9"/>
      <c r="B108" s="56"/>
      <c r="D108" s="18"/>
      <c r="E108" s="18"/>
      <c r="G108" s="18"/>
      <c r="H108" s="18"/>
      <c r="I108" s="18"/>
      <c r="J108" s="43"/>
      <c r="K108" s="18"/>
      <c r="L108" s="18"/>
      <c r="M108" s="18"/>
      <c r="P108" s="18"/>
      <c r="Q108" s="18"/>
      <c r="R108" s="43"/>
      <c r="S108" s="18"/>
      <c r="T108" s="18"/>
      <c r="U108" s="18"/>
      <c r="V108" s="43"/>
      <c r="W108" s="18"/>
      <c r="X108" s="18"/>
    </row>
    <row r="109" spans="1:26" x14ac:dyDescent="0.25">
      <c r="D109" s="18"/>
      <c r="E109" s="18"/>
      <c r="G109" s="18"/>
      <c r="H109" s="18"/>
      <c r="I109" s="18"/>
      <c r="J109" s="43"/>
      <c r="K109" s="18"/>
      <c r="L109" s="18"/>
      <c r="M109" s="18"/>
      <c r="P109" s="18"/>
      <c r="Q109" s="18"/>
      <c r="R109" s="43"/>
      <c r="S109" s="18"/>
      <c r="T109" s="18"/>
      <c r="U109" s="18"/>
      <c r="V109" s="43"/>
      <c r="W109" s="18"/>
      <c r="X109" s="18"/>
    </row>
  </sheetData>
  <pageMargins left="0.25" right="0.25" top="0.75" bottom="0.75" header="0.3" footer="0.3"/>
  <pageSetup scale="55" fitToWidth="2" orientation="landscape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str">
        <f>CONCATENATE("Period ",RIGHT(202003,2),", ",2020)</f>
        <v>Period 03, 2020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43736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tr">
        <f>CONCATENATE("Department ","418", " - ", "Nugget")</f>
        <v>Department 418 - Nugget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179228.1</v>
      </c>
      <c r="E12" s="4"/>
      <c r="F12" s="12"/>
      <c r="G12" s="4"/>
      <c r="H12" s="4">
        <f>SUM(OSRRefH13x_0)</f>
        <v>188300</v>
      </c>
      <c r="I12" s="4"/>
      <c r="J12" s="12"/>
      <c r="K12" s="4"/>
      <c r="L12" s="4">
        <f t="shared" ref="L12:L16" si="0">+D12-H12</f>
        <v>-9071.8999999999942</v>
      </c>
      <c r="M12" s="4"/>
      <c r="N12" s="12">
        <f t="shared" ref="N12:N16" si="1">IF(H12=0,0,L12/H12)</f>
        <v>-4.8177907594264442E-2</v>
      </c>
      <c r="O12" s="10"/>
      <c r="P12" s="4">
        <f>SUM(OSRRefP13x_0)</f>
        <v>293890.21999999997</v>
      </c>
      <c r="Q12" s="4"/>
      <c r="R12" s="12"/>
      <c r="S12" s="4"/>
      <c r="T12" s="4">
        <f>SUM(OSRRefT13x_0)</f>
        <v>311300</v>
      </c>
      <c r="U12" s="4"/>
      <c r="V12" s="12"/>
      <c r="W12" s="4"/>
      <c r="X12" s="4">
        <f t="shared" ref="X12:X16" si="2">+P12-T12</f>
        <v>-17409.780000000028</v>
      </c>
      <c r="Y12" s="4"/>
      <c r="Z12" s="12">
        <f t="shared" ref="Z12:Z16" si="3">IF(T12=0,0,X12/T12)</f>
        <v>-5.592605203983305E-2</v>
      </c>
    </row>
    <row r="13" spans="1:26" s="24" customFormat="1" hidden="1" outlineLevel="1" x14ac:dyDescent="0.25">
      <c r="A13" s="46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74120</v>
      </c>
      <c r="I13" s="2"/>
      <c r="J13" s="19"/>
      <c r="K13" s="2"/>
      <c r="L13" s="2">
        <f t="shared" si="0"/>
        <v>-74120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122120</v>
      </c>
      <c r="U13" s="2"/>
      <c r="V13" s="19"/>
      <c r="W13" s="2"/>
      <c r="X13" s="2">
        <f t="shared" si="2"/>
        <v>-122120</v>
      </c>
      <c r="Y13" s="2"/>
      <c r="Z13" s="19">
        <f t="shared" si="3"/>
        <v>-1</v>
      </c>
    </row>
    <row r="14" spans="1:26" s="24" customFormat="1" hidden="1" outlineLevel="1" x14ac:dyDescent="0.25">
      <c r="A14" s="46"/>
      <c r="B14" s="11" t="str">
        <f>CONCATENATE("          ", "4055", " - ", "TAXABLE SALES-FOOD")</f>
        <v xml:space="preserve">          4055 - TAXABLE SALES-FOOD</v>
      </c>
      <c r="C14" s="11"/>
      <c r="D14" s="2">
        <f>--66898.61</f>
        <v>66898.61</v>
      </c>
      <c r="E14" s="2"/>
      <c r="F14" s="19"/>
      <c r="G14" s="2"/>
      <c r="H14" s="2"/>
      <c r="I14" s="2"/>
      <c r="J14" s="19"/>
      <c r="K14" s="2"/>
      <c r="L14" s="2">
        <f t="shared" si="0"/>
        <v>66898.61</v>
      </c>
      <c r="M14" s="2"/>
      <c r="N14" s="19">
        <f t="shared" si="1"/>
        <v>0</v>
      </c>
      <c r="O14" s="11"/>
      <c r="P14" s="2">
        <f>--110835.68</f>
        <v>110835.68</v>
      </c>
      <c r="Q14" s="2"/>
      <c r="R14" s="19"/>
      <c r="S14" s="2"/>
      <c r="T14" s="2"/>
      <c r="U14" s="2"/>
      <c r="V14" s="19"/>
      <c r="W14" s="2"/>
      <c r="X14" s="2">
        <f t="shared" si="2"/>
        <v>110835.68</v>
      </c>
      <c r="Y14" s="2"/>
      <c r="Z14" s="19">
        <f t="shared" si="3"/>
        <v>0</v>
      </c>
    </row>
    <row r="15" spans="1:26" s="24" customFormat="1" hidden="1" outlineLevel="1" x14ac:dyDescent="0.25">
      <c r="A15" s="46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114180</v>
      </c>
      <c r="I15" s="2"/>
      <c r="J15" s="19"/>
      <c r="K15" s="2"/>
      <c r="L15" s="2">
        <f t="shared" si="0"/>
        <v>-114180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189180</v>
      </c>
      <c r="U15" s="2"/>
      <c r="V15" s="19"/>
      <c r="W15" s="2"/>
      <c r="X15" s="2">
        <f t="shared" si="2"/>
        <v>-189180</v>
      </c>
      <c r="Y15" s="2"/>
      <c r="Z15" s="19">
        <f t="shared" si="3"/>
        <v>-1</v>
      </c>
    </row>
    <row r="16" spans="1:26" s="24" customFormat="1" hidden="1" outlineLevel="1" x14ac:dyDescent="0.25">
      <c r="A16" s="46"/>
      <c r="B16" s="11" t="str">
        <f>CONCATENATE("          ", "4155", " - ", "NON-TAXABLE SALES-FOOD")</f>
        <v xml:space="preserve">          4155 - NON-TAXABLE SALES-FOOD</v>
      </c>
      <c r="C16" s="11"/>
      <c r="D16" s="2">
        <f>--112329.49</f>
        <v>112329.49</v>
      </c>
      <c r="E16" s="2"/>
      <c r="F16" s="19"/>
      <c r="G16" s="2"/>
      <c r="H16" s="2"/>
      <c r="I16" s="2"/>
      <c r="J16" s="19"/>
      <c r="K16" s="2"/>
      <c r="L16" s="2">
        <f t="shared" si="0"/>
        <v>112329.49</v>
      </c>
      <c r="M16" s="2"/>
      <c r="N16" s="19">
        <f t="shared" si="1"/>
        <v>0</v>
      </c>
      <c r="O16" s="11"/>
      <c r="P16" s="2">
        <f>--183054.54</f>
        <v>183054.54</v>
      </c>
      <c r="Q16" s="2"/>
      <c r="R16" s="19"/>
      <c r="S16" s="2"/>
      <c r="T16" s="2"/>
      <c r="U16" s="2"/>
      <c r="V16" s="19"/>
      <c r="W16" s="2"/>
      <c r="X16" s="2">
        <f t="shared" si="2"/>
        <v>183054.54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69869.72</v>
      </c>
      <c r="E18" s="4"/>
      <c r="F18" s="12">
        <f t="shared" ref="F18:F21" si="4">IF(D$12=0,0,D18/D$12)</f>
        <v>0.38983686151892477</v>
      </c>
      <c r="G18" s="4"/>
      <c r="H18" s="4">
        <f>SUM(OSRRefH16x_0)</f>
        <v>58184</v>
      </c>
      <c r="I18" s="4"/>
      <c r="J18" s="12">
        <f t="shared" ref="J18:J21" si="5">IF(H$12=0,0,H18/H$12)</f>
        <v>0.30899628252788103</v>
      </c>
      <c r="K18" s="4"/>
      <c r="L18" s="4">
        <f t="shared" ref="L18:L21" si="6">+D18-H18</f>
        <v>11685.720000000001</v>
      </c>
      <c r="M18" s="4"/>
      <c r="N18" s="12">
        <f t="shared" ref="N18:N21" si="7">IF(H18=0,0,L18/H18)</f>
        <v>0.20084078097071362</v>
      </c>
      <c r="O18" s="10"/>
      <c r="P18" s="4">
        <f>SUM(OSRRefP16x_0)</f>
        <v>108485.49</v>
      </c>
      <c r="Q18" s="4"/>
      <c r="R18" s="12">
        <f t="shared" ref="R18:R21" si="8">IF(P$12=0,0,P18/P$12)</f>
        <v>0.36913610122854723</v>
      </c>
      <c r="S18" s="4"/>
      <c r="T18" s="4">
        <f>SUM(OSRRefT16x_0)</f>
        <v>95864</v>
      </c>
      <c r="U18" s="4"/>
      <c r="V18" s="12">
        <f t="shared" ref="V18:V21" si="9">IF(T$12=0,0,T18/T$12)</f>
        <v>0.30794731769996786</v>
      </c>
      <c r="W18" s="4"/>
      <c r="X18" s="4">
        <f t="shared" ref="X18:X21" si="10">+P18-T18</f>
        <v>12621.490000000005</v>
      </c>
      <c r="Y18" s="4"/>
      <c r="Z18" s="12">
        <f t="shared" ref="Z18:Z21" si="11">IF(T18=0,0,X18/T18)</f>
        <v>0.13166037302845704</v>
      </c>
    </row>
    <row r="19" spans="1:26" s="24" customFormat="1" hidden="1" outlineLevel="1" x14ac:dyDescent="0.25">
      <c r="A19" s="46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58184</v>
      </c>
      <c r="I19" s="2"/>
      <c r="J19" s="19">
        <f t="shared" si="5"/>
        <v>0.30899628252788103</v>
      </c>
      <c r="K19" s="2"/>
      <c r="L19" s="2">
        <f t="shared" si="6"/>
        <v>-58184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95864</v>
      </c>
      <c r="U19" s="2"/>
      <c r="V19" s="19">
        <f t="shared" si="9"/>
        <v>0.30794731769996786</v>
      </c>
      <c r="W19" s="2"/>
      <c r="X19" s="2">
        <f t="shared" si="10"/>
        <v>-95864</v>
      </c>
      <c r="Y19" s="2"/>
      <c r="Z19" s="19">
        <f t="shared" si="11"/>
        <v>-1</v>
      </c>
    </row>
    <row r="20" spans="1:26" s="24" customFormat="1" hidden="1" outlineLevel="1" x14ac:dyDescent="0.25">
      <c r="A20" s="46"/>
      <c r="B20" s="11" t="str">
        <f>CONCATENATE("          ", "5053", " - ", "PURCHASES @ COST-FOOD")</f>
        <v xml:space="preserve">          5053 - PURCHASES @ COST-FOOD</v>
      </c>
      <c r="C20" s="11"/>
      <c r="D20" s="2">
        <v>57667.72</v>
      </c>
      <c r="E20" s="2"/>
      <c r="F20" s="19">
        <f t="shared" si="4"/>
        <v>0.32175601928492237</v>
      </c>
      <c r="G20" s="2"/>
      <c r="H20" s="2"/>
      <c r="I20" s="2"/>
      <c r="J20" s="19">
        <f t="shared" si="5"/>
        <v>0</v>
      </c>
      <c r="K20" s="2"/>
      <c r="L20" s="2">
        <f t="shared" si="6"/>
        <v>57667.72</v>
      </c>
      <c r="M20" s="2"/>
      <c r="N20" s="19">
        <f t="shared" si="7"/>
        <v>0</v>
      </c>
      <c r="O20" s="11"/>
      <c r="P20" s="2">
        <v>109407.49</v>
      </c>
      <c r="Q20" s="2"/>
      <c r="R20" s="19">
        <f t="shared" si="8"/>
        <v>0.37227332709472272</v>
      </c>
      <c r="S20" s="2"/>
      <c r="T20" s="2"/>
      <c r="U20" s="2"/>
      <c r="V20" s="19">
        <f t="shared" si="9"/>
        <v>0</v>
      </c>
      <c r="W20" s="2"/>
      <c r="X20" s="2">
        <f t="shared" si="10"/>
        <v>109407.49</v>
      </c>
      <c r="Y20" s="2"/>
      <c r="Z20" s="19">
        <f t="shared" si="11"/>
        <v>0</v>
      </c>
    </row>
    <row r="21" spans="1:26" s="24" customFormat="1" hidden="1" outlineLevel="1" x14ac:dyDescent="0.25">
      <c r="A21" s="46"/>
      <c r="B21" s="11" t="str">
        <f>CONCATENATE("          ", "5059", " - ", "PURCHASES @ COST-FOOD")</f>
        <v xml:space="preserve">          5059 - PURCHASES @ COST-FOOD</v>
      </c>
      <c r="C21" s="11"/>
      <c r="D21" s="2">
        <v>12202</v>
      </c>
      <c r="E21" s="2"/>
      <c r="F21" s="19">
        <f t="shared" si="4"/>
        <v>6.8080842234002362E-2</v>
      </c>
      <c r="G21" s="2"/>
      <c r="H21" s="2"/>
      <c r="I21" s="2"/>
      <c r="J21" s="19">
        <f t="shared" si="5"/>
        <v>0</v>
      </c>
      <c r="K21" s="2"/>
      <c r="L21" s="2">
        <f t="shared" si="6"/>
        <v>12202</v>
      </c>
      <c r="M21" s="2"/>
      <c r="N21" s="19">
        <f t="shared" si="7"/>
        <v>0</v>
      </c>
      <c r="O21" s="11"/>
      <c r="P21" s="2">
        <v>-922</v>
      </c>
      <c r="Q21" s="2"/>
      <c r="R21" s="19">
        <f t="shared" si="8"/>
        <v>-3.1372258661754721E-3</v>
      </c>
      <c r="S21" s="2"/>
      <c r="T21" s="2"/>
      <c r="U21" s="2"/>
      <c r="V21" s="19">
        <f t="shared" si="9"/>
        <v>0</v>
      </c>
      <c r="W21" s="2"/>
      <c r="X21" s="2">
        <f t="shared" si="10"/>
        <v>-922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2">
        <f>D12-D18</f>
        <v>109358.38</v>
      </c>
      <c r="E23" s="14"/>
      <c r="F23" s="20">
        <f>IF(D$12=0,0,D23/D$12)</f>
        <v>0.61016313848107528</v>
      </c>
      <c r="G23" s="14"/>
      <c r="H23" s="22">
        <f>H12-H18</f>
        <v>130116</v>
      </c>
      <c r="I23" s="14"/>
      <c r="J23" s="20">
        <f>IF(H$12=0,0,H23/H$12)</f>
        <v>0.69100371747211897</v>
      </c>
      <c r="K23" s="15"/>
      <c r="L23" s="22">
        <f>+D23-H23</f>
        <v>-20757.619999999995</v>
      </c>
      <c r="M23" s="15"/>
      <c r="N23" s="20">
        <f>IF(H23=0,0,L23/H23)</f>
        <v>-0.15953164868271386</v>
      </c>
      <c r="O23" s="28"/>
      <c r="P23" s="22">
        <f>P12-P18</f>
        <v>185404.72999999998</v>
      </c>
      <c r="Q23" s="14"/>
      <c r="R23" s="20">
        <f>IF(P$12=0,0,P23/P$12)</f>
        <v>0.63086389877145277</v>
      </c>
      <c r="S23" s="14"/>
      <c r="T23" s="22">
        <f>T12-T18</f>
        <v>215436</v>
      </c>
      <c r="U23" s="14"/>
      <c r="V23" s="20">
        <f>IF(T$12=0,0,T23/T$12)</f>
        <v>0.69205268230003214</v>
      </c>
      <c r="W23" s="15"/>
      <c r="X23" s="22">
        <f>+P23-T23</f>
        <v>-30031.270000000019</v>
      </c>
      <c r="Y23" s="15"/>
      <c r="Z23" s="20">
        <f>IF(T23=0,0,X23/T23)</f>
        <v>-0.13939764013442515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21">
        <f>SUM(OSRRefD22x_0)</f>
        <v>71915.180000000022</v>
      </c>
      <c r="E25" s="21"/>
      <c r="F25" s="33">
        <f t="shared" ref="F25:F35" si="12">IF(D$12=0,0,D25/D$12)</f>
        <v>0.40124946925175248</v>
      </c>
      <c r="G25" s="21"/>
      <c r="H25" s="21">
        <f>SUM(OSRRefH22x_0)</f>
        <v>73926.598965476922</v>
      </c>
      <c r="I25" s="21"/>
      <c r="J25" s="33">
        <f t="shared" ref="J25:J35" si="13">IF(H$12=0,0,H25/H$12)</f>
        <v>0.39260010071947382</v>
      </c>
      <c r="K25" s="4"/>
      <c r="L25" s="21">
        <f t="shared" ref="L25:L35" si="14">+D25-H25</f>
        <v>-2011.4189654768998</v>
      </c>
      <c r="M25" s="4"/>
      <c r="N25" s="33">
        <f t="shared" ref="N25:N35" si="15">IF(H25=0,0,L25/H25)</f>
        <v>-2.7208325469107741E-2</v>
      </c>
      <c r="O25" s="10"/>
      <c r="P25" s="21">
        <f>SUM(OSRRefP22x_0)</f>
        <v>154236.71999999997</v>
      </c>
      <c r="Q25" s="21"/>
      <c r="R25" s="33">
        <f t="shared" ref="R25:R35" si="16">IF(P$12=0,0,P25/P$12)</f>
        <v>0.52481065889160916</v>
      </c>
      <c r="S25" s="21"/>
      <c r="T25" s="21">
        <f>SUM(OSRRefT22x_0)</f>
        <v>168624.38010163081</v>
      </c>
      <c r="U25" s="21"/>
      <c r="V25" s="33">
        <f t="shared" ref="V25:V35" si="17">IF(T$12=0,0,T25/T$12)</f>
        <v>0.54167806007591013</v>
      </c>
      <c r="W25" s="4"/>
      <c r="X25" s="21">
        <f t="shared" ref="X25:X35" si="18">+P25-T25</f>
        <v>-14387.660101630841</v>
      </c>
      <c r="Y25" s="4"/>
      <c r="Z25" s="33">
        <f t="shared" ref="Z25:Z35" si="19">IF(T25=0,0,X25/T25)</f>
        <v>-8.532372420262907E-2</v>
      </c>
    </row>
    <row r="26" spans="1:26" s="26" customFormat="1" outlineLevel="1" collapsed="1" x14ac:dyDescent="0.25">
      <c r="A26" s="27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7911.23</v>
      </c>
      <c r="E26" s="1"/>
      <c r="F26" s="5">
        <f t="shared" si="12"/>
        <v>4.4140567243640919E-2</v>
      </c>
      <c r="G26" s="1"/>
      <c r="H26" s="1">
        <f>SUM(OSRRefH22_0x_0)</f>
        <v>10795.410042399997</v>
      </c>
      <c r="I26" s="1"/>
      <c r="J26" s="5">
        <f t="shared" si="13"/>
        <v>5.73309083505045E-2</v>
      </c>
      <c r="K26" s="1"/>
      <c r="L26" s="1">
        <f t="shared" si="14"/>
        <v>-2884.1800423999975</v>
      </c>
      <c r="M26" s="1"/>
      <c r="N26" s="5">
        <f t="shared" si="15"/>
        <v>-0.26716725266313246</v>
      </c>
      <c r="O26" s="13"/>
      <c r="P26" s="1">
        <f>SUM(OSRRefP22_0x_0)</f>
        <v>18820.34</v>
      </c>
      <c r="Q26" s="1"/>
      <c r="R26" s="5">
        <f t="shared" si="16"/>
        <v>6.4038674032773191E-2</v>
      </c>
      <c r="S26" s="1"/>
      <c r="T26" s="1">
        <f>SUM(OSRRefT22_0x_0)</f>
        <v>28682.568101630768</v>
      </c>
      <c r="U26" s="1"/>
      <c r="V26" s="5">
        <f t="shared" si="17"/>
        <v>9.2138027952556267E-2</v>
      </c>
      <c r="W26" s="1"/>
      <c r="X26" s="1">
        <f t="shared" si="18"/>
        <v>-9862.2281016307679</v>
      </c>
      <c r="Y26" s="1"/>
      <c r="Z26" s="5">
        <f t="shared" si="19"/>
        <v>-0.34384048411167351</v>
      </c>
    </row>
    <row r="27" spans="1:26" s="24" customFormat="1" hidden="1" outlineLevel="2" x14ac:dyDescent="0.25">
      <c r="A27" s="25"/>
      <c r="B27" s="11" t="str">
        <f>CONCATENATE("          ", "6111", " - ", "F.I.C.A.")</f>
        <v xml:space="preserve">          6111 - F.I.C.A.</v>
      </c>
      <c r="C27" s="11"/>
      <c r="D27" s="7">
        <v>1758.55</v>
      </c>
      <c r="E27" s="2"/>
      <c r="F27" s="6">
        <f t="shared" si="12"/>
        <v>9.8117984847242139E-3</v>
      </c>
      <c r="G27" s="2"/>
      <c r="H27" s="7">
        <v>1005.4501980923101</v>
      </c>
      <c r="I27" s="2"/>
      <c r="J27" s="6">
        <f t="shared" si="13"/>
        <v>5.3396186834429636E-3</v>
      </c>
      <c r="K27" s="2"/>
      <c r="L27" s="7">
        <f t="shared" si="14"/>
        <v>753.09980190768988</v>
      </c>
      <c r="M27" s="2"/>
      <c r="N27" s="6">
        <f t="shared" si="15"/>
        <v>0.74901750811386092</v>
      </c>
      <c r="O27" s="11"/>
      <c r="P27" s="7">
        <v>4088.84</v>
      </c>
      <c r="Q27" s="2"/>
      <c r="R27" s="6">
        <f t="shared" si="16"/>
        <v>1.3912814111337221E-2</v>
      </c>
      <c r="S27" s="2"/>
      <c r="T27" s="7">
        <v>3076.4049803999978</v>
      </c>
      <c r="U27" s="2"/>
      <c r="V27" s="6">
        <f t="shared" si="17"/>
        <v>9.8824445242531259E-3</v>
      </c>
      <c r="W27" s="2"/>
      <c r="X27" s="7">
        <f t="shared" si="18"/>
        <v>1012.4350196000023</v>
      </c>
      <c r="Y27" s="2"/>
      <c r="Z27" s="6">
        <f t="shared" si="19"/>
        <v>0.32909679513922913</v>
      </c>
    </row>
    <row r="28" spans="1:26" s="24" customFormat="1" hidden="1" outlineLevel="2" x14ac:dyDescent="0.25">
      <c r="A28" s="25"/>
      <c r="B28" s="11" t="str">
        <f>CONCATENATE("          ", "6112", " - ", "COMPENSATION INSURANCE")</f>
        <v xml:space="preserve">          6112 - COMPENSATION INSURANCE</v>
      </c>
      <c r="C28" s="11"/>
      <c r="D28" s="7">
        <v>1565.06</v>
      </c>
      <c r="E28" s="2"/>
      <c r="F28" s="6">
        <f t="shared" si="12"/>
        <v>8.7322244670339083E-3</v>
      </c>
      <c r="G28" s="2"/>
      <c r="H28" s="7">
        <v>1605.65992246154</v>
      </c>
      <c r="I28" s="2"/>
      <c r="J28" s="6">
        <f t="shared" si="13"/>
        <v>8.527137134686882E-3</v>
      </c>
      <c r="K28" s="2"/>
      <c r="L28" s="7">
        <f t="shared" si="14"/>
        <v>-40.599922461540018</v>
      </c>
      <c r="M28" s="2"/>
      <c r="N28" s="6">
        <f t="shared" si="15"/>
        <v>-2.5285505288877571E-2</v>
      </c>
      <c r="O28" s="11"/>
      <c r="P28" s="7">
        <v>2667.77</v>
      </c>
      <c r="Q28" s="2"/>
      <c r="R28" s="6">
        <f t="shared" si="16"/>
        <v>9.077437146428351E-3</v>
      </c>
      <c r="S28" s="2"/>
      <c r="T28" s="7">
        <v>3293.486784000002</v>
      </c>
      <c r="U28" s="2"/>
      <c r="V28" s="6">
        <f t="shared" si="17"/>
        <v>1.0579784079665923E-2</v>
      </c>
      <c r="W28" s="2"/>
      <c r="X28" s="7">
        <f t="shared" si="18"/>
        <v>-625.71678400000201</v>
      </c>
      <c r="Y28" s="2"/>
      <c r="Z28" s="6">
        <f t="shared" si="19"/>
        <v>-0.18998612262231615</v>
      </c>
    </row>
    <row r="29" spans="1:26" s="24" customFormat="1" hidden="1" outlineLevel="2" x14ac:dyDescent="0.25">
      <c r="A29" s="25"/>
      <c r="B29" s="11" t="str">
        <f>CONCATENATE("          ", "6113", " - ", "GROUP INSURANCE")</f>
        <v xml:space="preserve">          6113 - GROUP INSURANCE</v>
      </c>
      <c r="C29" s="11"/>
      <c r="D29" s="7">
        <v>2573.2800000000002</v>
      </c>
      <c r="E29" s="2"/>
      <c r="F29" s="6">
        <f t="shared" si="12"/>
        <v>1.4357570046214851E-2</v>
      </c>
      <c r="G29" s="2"/>
      <c r="H29" s="7">
        <v>5091.6769230769205</v>
      </c>
      <c r="I29" s="2"/>
      <c r="J29" s="6">
        <f t="shared" si="13"/>
        <v>2.7040238571837072E-2</v>
      </c>
      <c r="K29" s="2"/>
      <c r="L29" s="7">
        <f t="shared" si="14"/>
        <v>-2518.3969230769203</v>
      </c>
      <c r="M29" s="2"/>
      <c r="N29" s="6">
        <f t="shared" si="15"/>
        <v>-0.49461051066748418</v>
      </c>
      <c r="O29" s="11"/>
      <c r="P29" s="7">
        <v>7640.08</v>
      </c>
      <c r="Q29" s="2"/>
      <c r="R29" s="6">
        <f t="shared" si="16"/>
        <v>2.5996373747993386E-2</v>
      </c>
      <c r="S29" s="2"/>
      <c r="T29" s="7">
        <v>14088.83076923077</v>
      </c>
      <c r="U29" s="2"/>
      <c r="V29" s="6">
        <f t="shared" si="17"/>
        <v>4.5258049371123578E-2</v>
      </c>
      <c r="W29" s="2"/>
      <c r="X29" s="7">
        <f t="shared" si="18"/>
        <v>-6448.7507692307699</v>
      </c>
      <c r="Y29" s="2"/>
      <c r="Z29" s="6">
        <f t="shared" si="19"/>
        <v>-0.45772079137429106</v>
      </c>
    </row>
    <row r="30" spans="1:26" s="24" customFormat="1" hidden="1" outlineLevel="2" x14ac:dyDescent="0.25">
      <c r="A30" s="25"/>
      <c r="B30" s="11" t="str">
        <f>CONCATENATE("          ", "6114", " - ", "STATE UNEMPLOYMENT INSURANCE")</f>
        <v xml:space="preserve">          6114 - STATE UNEMPLOYMENT INSURANCE</v>
      </c>
      <c r="C30" s="11"/>
      <c r="D30" s="7">
        <v>104.87</v>
      </c>
      <c r="E30" s="2"/>
      <c r="F30" s="6">
        <f t="shared" si="12"/>
        <v>5.8512030200621448E-4</v>
      </c>
      <c r="G30" s="2"/>
      <c r="H30" s="7">
        <v>107.59576800000001</v>
      </c>
      <c r="I30" s="2"/>
      <c r="J30" s="6">
        <f t="shared" si="13"/>
        <v>5.7140609665427508E-4</v>
      </c>
      <c r="K30" s="2"/>
      <c r="L30" s="7">
        <f t="shared" si="14"/>
        <v>-2.7257680000000022</v>
      </c>
      <c r="M30" s="2"/>
      <c r="N30" s="6">
        <f t="shared" si="15"/>
        <v>-2.533341274166101E-2</v>
      </c>
      <c r="O30" s="11"/>
      <c r="P30" s="7">
        <v>178.76</v>
      </c>
      <c r="Q30" s="2"/>
      <c r="R30" s="6">
        <f t="shared" si="16"/>
        <v>6.0825433388018155E-4</v>
      </c>
      <c r="S30" s="2"/>
      <c r="T30" s="7">
        <v>220.69756799999999</v>
      </c>
      <c r="U30" s="2"/>
      <c r="V30" s="6">
        <f t="shared" si="17"/>
        <v>7.0895460327658204E-4</v>
      </c>
      <c r="W30" s="2"/>
      <c r="X30" s="7">
        <f t="shared" si="18"/>
        <v>-41.937567999999999</v>
      </c>
      <c r="Y30" s="2"/>
      <c r="Z30" s="6">
        <f t="shared" si="19"/>
        <v>-0.19002279173280243</v>
      </c>
    </row>
    <row r="31" spans="1:26" s="24" customFormat="1" hidden="1" outlineLevel="2" x14ac:dyDescent="0.25">
      <c r="A31" s="25"/>
      <c r="B31" s="11" t="str">
        <f>CONCATENATE("          ", "6115", " - ", "P.E.R.S.")</f>
        <v xml:space="preserve">          6115 - P.E.R.S.</v>
      </c>
      <c r="C31" s="11"/>
      <c r="D31" s="7">
        <v>512.70000000000005</v>
      </c>
      <c r="E31" s="2"/>
      <c r="F31" s="6">
        <f t="shared" si="12"/>
        <v>2.8606005419909044E-3</v>
      </c>
      <c r="G31" s="2"/>
      <c r="H31" s="7">
        <v>776.77846153846201</v>
      </c>
      <c r="I31" s="2"/>
      <c r="J31" s="6">
        <f t="shared" si="13"/>
        <v>4.1252175333959746E-3</v>
      </c>
      <c r="K31" s="2"/>
      <c r="L31" s="7">
        <f t="shared" si="14"/>
        <v>-264.07846153846197</v>
      </c>
      <c r="M31" s="2"/>
      <c r="N31" s="6">
        <f t="shared" si="15"/>
        <v>-0.3399662511437776</v>
      </c>
      <c r="O31" s="11"/>
      <c r="P31" s="7">
        <v>1049.1400000000001</v>
      </c>
      <c r="Q31" s="2"/>
      <c r="R31" s="6">
        <f t="shared" si="16"/>
        <v>3.5698363831229234E-3</v>
      </c>
      <c r="S31" s="2"/>
      <c r="T31" s="7">
        <v>2524.5300000000007</v>
      </c>
      <c r="U31" s="2"/>
      <c r="V31" s="6">
        <f t="shared" si="17"/>
        <v>8.1096370061034401E-3</v>
      </c>
      <c r="W31" s="2"/>
      <c r="X31" s="7">
        <f t="shared" si="18"/>
        <v>-1475.3900000000006</v>
      </c>
      <c r="Y31" s="2"/>
      <c r="Z31" s="6">
        <f t="shared" si="19"/>
        <v>-0.58442165472384966</v>
      </c>
    </row>
    <row r="32" spans="1:26" s="24" customFormat="1" hidden="1" outlineLevel="2" x14ac:dyDescent="0.25">
      <c r="A32" s="25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25">
      <c r="A33" s="25"/>
      <c r="B33" s="11" t="str">
        <f>CONCATENATE("          ", "6118", " - ", "VACATION")</f>
        <v xml:space="preserve">          6118 - VACATION</v>
      </c>
      <c r="C33" s="11"/>
      <c r="D33" s="7">
        <v>521.64</v>
      </c>
      <c r="E33" s="2"/>
      <c r="F33" s="6">
        <f t="shared" si="12"/>
        <v>2.9104811131736596E-3</v>
      </c>
      <c r="G33" s="2"/>
      <c r="H33" s="7">
        <v>583.39938461538497</v>
      </c>
      <c r="I33" s="2"/>
      <c r="J33" s="6">
        <f t="shared" si="13"/>
        <v>3.0982442093222783E-3</v>
      </c>
      <c r="K33" s="2"/>
      <c r="L33" s="7">
        <f t="shared" si="14"/>
        <v>-61.759384615384988</v>
      </c>
      <c r="M33" s="2"/>
      <c r="N33" s="6">
        <f t="shared" si="15"/>
        <v>-0.10586124401913934</v>
      </c>
      <c r="O33" s="11"/>
      <c r="P33" s="7">
        <v>1218.29</v>
      </c>
      <c r="Q33" s="2"/>
      <c r="R33" s="6">
        <f t="shared" si="16"/>
        <v>4.1453914322157441E-3</v>
      </c>
      <c r="S33" s="2"/>
      <c r="T33" s="7">
        <v>1772.9340000000011</v>
      </c>
      <c r="U33" s="2"/>
      <c r="V33" s="6">
        <f t="shared" si="17"/>
        <v>5.6952585929971123E-3</v>
      </c>
      <c r="W33" s="2"/>
      <c r="X33" s="7">
        <f t="shared" si="18"/>
        <v>-554.64400000000114</v>
      </c>
      <c r="Y33" s="2"/>
      <c r="Z33" s="6">
        <f t="shared" si="19"/>
        <v>-0.31283962065141779</v>
      </c>
    </row>
    <row r="34" spans="1:26" s="24" customFormat="1" hidden="1" outlineLevel="2" x14ac:dyDescent="0.25">
      <c r="A34" s="25"/>
      <c r="B34" s="11" t="str">
        <f>CONCATENATE("          ", "6119", " - ", "SICK LEAVE")</f>
        <v xml:space="preserve">          6119 - SICK LEAVE</v>
      </c>
      <c r="C34" s="11"/>
      <c r="D34" s="7">
        <v>536.96</v>
      </c>
      <c r="E34" s="2"/>
      <c r="F34" s="6">
        <f t="shared" si="12"/>
        <v>2.9959587810170392E-3</v>
      </c>
      <c r="G34" s="2"/>
      <c r="H34" s="7">
        <v>1474.8493846153799</v>
      </c>
      <c r="I34" s="2"/>
      <c r="J34" s="6">
        <f t="shared" si="13"/>
        <v>7.8324449528166754E-3</v>
      </c>
      <c r="K34" s="2"/>
      <c r="L34" s="7">
        <f t="shared" si="14"/>
        <v>-937.88938461537987</v>
      </c>
      <c r="M34" s="2"/>
      <c r="N34" s="6">
        <f t="shared" si="15"/>
        <v>-0.6359221452704259</v>
      </c>
      <c r="O34" s="11"/>
      <c r="P34" s="7">
        <v>1169.04</v>
      </c>
      <c r="Q34" s="2"/>
      <c r="R34" s="6">
        <f t="shared" si="16"/>
        <v>3.9778118509693856E-3</v>
      </c>
      <c r="S34" s="2"/>
      <c r="T34" s="7">
        <v>3255.6839999999961</v>
      </c>
      <c r="U34" s="2"/>
      <c r="V34" s="6">
        <f t="shared" si="17"/>
        <v>1.0458348859620933E-2</v>
      </c>
      <c r="W34" s="2"/>
      <c r="X34" s="7">
        <f t="shared" si="18"/>
        <v>-2086.6439999999961</v>
      </c>
      <c r="Y34" s="2"/>
      <c r="Z34" s="6">
        <f t="shared" si="19"/>
        <v>-0.64092338199898968</v>
      </c>
    </row>
    <row r="35" spans="1:26" s="24" customFormat="1" hidden="1" outlineLevel="2" x14ac:dyDescent="0.25">
      <c r="A35" s="25"/>
      <c r="B35" s="11" t="str">
        <f>CONCATENATE("          ", "6156", " - ", "EMPLOYEE MEALS")</f>
        <v xml:space="preserve">          6156 - EMPLOYEE MEALS</v>
      </c>
      <c r="C35" s="11"/>
      <c r="D35" s="7">
        <v>338.17</v>
      </c>
      <c r="E35" s="2"/>
      <c r="F35" s="6">
        <f t="shared" si="12"/>
        <v>1.886813507480133E-3</v>
      </c>
      <c r="G35" s="2"/>
      <c r="H35" s="7">
        <v>150</v>
      </c>
      <c r="I35" s="2"/>
      <c r="J35" s="6">
        <f t="shared" si="13"/>
        <v>7.9660116834838024E-4</v>
      </c>
      <c r="K35" s="2"/>
      <c r="L35" s="7">
        <f t="shared" si="14"/>
        <v>188.17000000000002</v>
      </c>
      <c r="M35" s="2"/>
      <c r="N35" s="6">
        <f t="shared" si="15"/>
        <v>1.2544666666666668</v>
      </c>
      <c r="O35" s="11"/>
      <c r="P35" s="7">
        <v>808.42</v>
      </c>
      <c r="Q35" s="2"/>
      <c r="R35" s="6">
        <f t="shared" si="16"/>
        <v>2.7507550268260034E-3</v>
      </c>
      <c r="S35" s="2"/>
      <c r="T35" s="7">
        <v>450</v>
      </c>
      <c r="U35" s="2"/>
      <c r="V35" s="6">
        <f t="shared" si="17"/>
        <v>1.4455509155155799E-3</v>
      </c>
      <c r="W35" s="2"/>
      <c r="X35" s="7">
        <f t="shared" si="18"/>
        <v>358.41999999999996</v>
      </c>
      <c r="Y35" s="2"/>
      <c r="Z35" s="6">
        <f t="shared" si="19"/>
        <v>0.7964888888888888</v>
      </c>
    </row>
    <row r="36" spans="1:26" s="26" customFormat="1" outlineLevel="1" collapsed="1" x14ac:dyDescent="0.25">
      <c r="A36" s="27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41784.789999999994</v>
      </c>
      <c r="E36" s="1"/>
      <c r="F36" s="5">
        <f t="shared" ref="F36:F46" si="20">IF(D$12=0,0,D36/D$12)</f>
        <v>0.23313749350687751</v>
      </c>
      <c r="G36" s="1"/>
      <c r="H36" s="1">
        <f>SUM(OSRRefH22_1x_0)</f>
        <v>40216.188923076916</v>
      </c>
      <c r="I36" s="1"/>
      <c r="J36" s="5">
        <f t="shared" ref="J36:J46" si="21">IF(H$12=0,0,H36/H$12)</f>
        <v>0.21357508721761506</v>
      </c>
      <c r="K36" s="1"/>
      <c r="L36" s="1">
        <f t="shared" ref="L36:L46" si="22">+D36-H36</f>
        <v>1568.6010769230779</v>
      </c>
      <c r="M36" s="1"/>
      <c r="N36" s="5">
        <f t="shared" ref="N36:N46" si="23">IF(H36=0,0,L36/H36)</f>
        <v>3.9004219915601719E-2</v>
      </c>
      <c r="O36" s="13"/>
      <c r="P36" s="1">
        <f>SUM(OSRRefP22_1x_0)</f>
        <v>78564.38</v>
      </c>
      <c r="Q36" s="1"/>
      <c r="R36" s="5">
        <f t="shared" ref="R36:R46" si="24">IF(P$12=0,0,P36/P$12)</f>
        <v>0.2673256020564414</v>
      </c>
      <c r="S36" s="1"/>
      <c r="T36" s="1">
        <f>SUM(OSRRefT22_1x_0)</f>
        <v>81337.812000000034</v>
      </c>
      <c r="U36" s="1"/>
      <c r="V36" s="5">
        <f t="shared" ref="V36:V46" si="25">IF(T$12=0,0,T36/T$12)</f>
        <v>0.2612843302280759</v>
      </c>
      <c r="W36" s="1"/>
      <c r="X36" s="1">
        <f t="shared" ref="X36:X46" si="26">+P36-T36</f>
        <v>-2773.4320000000298</v>
      </c>
      <c r="Y36" s="1"/>
      <c r="Z36" s="5">
        <f t="shared" ref="Z36:Z46" si="27">IF(T36=0,0,X36/T36)</f>
        <v>-3.4097696161288785E-2</v>
      </c>
    </row>
    <row r="37" spans="1:26" s="24" customFormat="1" hidden="1" outlineLevel="2" x14ac:dyDescent="0.25">
      <c r="A37" s="25"/>
      <c r="B37" s="11" t="str">
        <f>CONCATENATE("          ", "6001", " - ", "ADMINISTRATIVE SALARIES")</f>
        <v xml:space="preserve">          6001 - ADMINISTRATIVE SALARIES</v>
      </c>
      <c r="C37" s="11"/>
      <c r="D37" s="7"/>
      <c r="E37" s="2"/>
      <c r="F37" s="6">
        <f t="shared" si="20"/>
        <v>0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0</v>
      </c>
      <c r="Y37" s="2"/>
      <c r="Z37" s="6">
        <f t="shared" si="27"/>
        <v>0</v>
      </c>
    </row>
    <row r="38" spans="1:26" s="24" customFormat="1" hidden="1" outlineLevel="2" x14ac:dyDescent="0.25">
      <c r="A38" s="25"/>
      <c r="B38" s="11" t="str">
        <f>CONCATENATE("          ", "6002", " - ", "STAFF SALARIES")</f>
        <v xml:space="preserve">          6002 - STAFF SALARIES</v>
      </c>
      <c r="C38" s="11"/>
      <c r="D38" s="7">
        <v>8590</v>
      </c>
      <c r="E38" s="2"/>
      <c r="F38" s="6">
        <f t="shared" si="20"/>
        <v>4.7927752400432747E-2</v>
      </c>
      <c r="G38" s="2"/>
      <c r="H38" s="7">
        <v>8129.0769230769192</v>
      </c>
      <c r="I38" s="2"/>
      <c r="J38" s="6">
        <f t="shared" si="21"/>
        <v>4.3170881163446195E-2</v>
      </c>
      <c r="K38" s="2"/>
      <c r="L38" s="7">
        <f t="shared" si="22"/>
        <v>460.92307692308077</v>
      </c>
      <c r="M38" s="2"/>
      <c r="N38" s="6">
        <f t="shared" si="23"/>
        <v>5.670054315940927E-2</v>
      </c>
      <c r="O38" s="11"/>
      <c r="P38" s="7">
        <v>16078</v>
      </c>
      <c r="Q38" s="2"/>
      <c r="R38" s="6">
        <f t="shared" si="24"/>
        <v>5.4707502685866854E-2</v>
      </c>
      <c r="S38" s="2"/>
      <c r="T38" s="7">
        <v>26419.50000000004</v>
      </c>
      <c r="U38" s="2"/>
      <c r="V38" s="6">
        <f t="shared" si="25"/>
        <v>8.4868294249919818E-2</v>
      </c>
      <c r="W38" s="2"/>
      <c r="X38" s="7">
        <f t="shared" si="26"/>
        <v>-10341.50000000004</v>
      </c>
      <c r="Y38" s="2"/>
      <c r="Z38" s="6">
        <f t="shared" si="27"/>
        <v>-0.39143435719828251</v>
      </c>
    </row>
    <row r="39" spans="1:26" s="24" customFormat="1" hidden="1" outlineLevel="2" x14ac:dyDescent="0.25">
      <c r="A39" s="25"/>
      <c r="B39" s="11" t="str">
        <f>CONCATENATE("          ", "6003", " - ", "STAFF HOURLY-9 MONTH")</f>
        <v xml:space="preserve">          6003 - STAFF HOURLY-9 MONTH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5"/>
      <c r="B40" s="11" t="str">
        <f>CONCATENATE("          ", "6004", " - ", "STAFF HOURLY")</f>
        <v xml:space="preserve">          6004 - STAFF HOURLY</v>
      </c>
      <c r="C40" s="11"/>
      <c r="D40" s="7">
        <v>2766.59</v>
      </c>
      <c r="E40" s="2"/>
      <c r="F40" s="6">
        <f t="shared" si="20"/>
        <v>1.5436139757102821E-2</v>
      </c>
      <c r="G40" s="2"/>
      <c r="H40" s="7">
        <v>3842.1120000000001</v>
      </c>
      <c r="I40" s="2"/>
      <c r="J40" s="6">
        <f t="shared" si="21"/>
        <v>2.0404206054168879E-2</v>
      </c>
      <c r="K40" s="2"/>
      <c r="L40" s="7">
        <f t="shared" si="22"/>
        <v>-1075.5219999999999</v>
      </c>
      <c r="M40" s="2"/>
      <c r="N40" s="6">
        <f t="shared" si="23"/>
        <v>-0.27992989272566754</v>
      </c>
      <c r="O40" s="11"/>
      <c r="P40" s="7">
        <v>4653.29</v>
      </c>
      <c r="Q40" s="2"/>
      <c r="R40" s="6">
        <f t="shared" si="24"/>
        <v>1.5833429230819592E-2</v>
      </c>
      <c r="S40" s="2"/>
      <c r="T40" s="7">
        <v>7698.3119999999999</v>
      </c>
      <c r="U40" s="2"/>
      <c r="V40" s="6">
        <f t="shared" si="25"/>
        <v>2.472955991005461E-2</v>
      </c>
      <c r="W40" s="2"/>
      <c r="X40" s="7">
        <f t="shared" si="26"/>
        <v>-3045.0219999999999</v>
      </c>
      <c r="Y40" s="2"/>
      <c r="Z40" s="6">
        <f t="shared" si="27"/>
        <v>-0.3955441140863088</v>
      </c>
    </row>
    <row r="41" spans="1:26" s="24" customFormat="1" hidden="1" outlineLevel="2" x14ac:dyDescent="0.25">
      <c r="A41" s="25"/>
      <c r="B41" s="11" t="str">
        <f>CONCATENATE("          ", "6005", " - ", "TEMPORARY WAGES-HOURLY")</f>
        <v xml:space="preserve">          6005 - TEMPORARY WAGES-HOURLY</v>
      </c>
      <c r="C41" s="11"/>
      <c r="D41" s="7">
        <v>11362.97</v>
      </c>
      <c r="E41" s="2"/>
      <c r="F41" s="6">
        <f t="shared" si="20"/>
        <v>6.3399489254196181E-2</v>
      </c>
      <c r="G41" s="2"/>
      <c r="H41" s="7">
        <v>10695</v>
      </c>
      <c r="I41" s="2"/>
      <c r="J41" s="6">
        <f t="shared" si="21"/>
        <v>5.6797663303239508E-2</v>
      </c>
      <c r="K41" s="2"/>
      <c r="L41" s="7">
        <f t="shared" si="22"/>
        <v>667.96999999999935</v>
      </c>
      <c r="M41" s="2"/>
      <c r="N41" s="6">
        <f t="shared" si="23"/>
        <v>6.2456287985039674E-2</v>
      </c>
      <c r="O41" s="11"/>
      <c r="P41" s="7">
        <v>23063.79</v>
      </c>
      <c r="Q41" s="2"/>
      <c r="R41" s="6">
        <f t="shared" si="24"/>
        <v>7.8477568937135783E-2</v>
      </c>
      <c r="S41" s="2"/>
      <c r="T41" s="7">
        <v>20375</v>
      </c>
      <c r="U41" s="2"/>
      <c r="V41" s="6">
        <f t="shared" si="25"/>
        <v>6.545133311917764E-2</v>
      </c>
      <c r="W41" s="2"/>
      <c r="X41" s="7">
        <f t="shared" si="26"/>
        <v>2688.7900000000009</v>
      </c>
      <c r="Y41" s="2"/>
      <c r="Z41" s="6">
        <f t="shared" si="27"/>
        <v>0.13196515337423317</v>
      </c>
    </row>
    <row r="42" spans="1:26" s="24" customFormat="1" hidden="1" outlineLevel="2" x14ac:dyDescent="0.25">
      <c r="A42" s="25"/>
      <c r="B42" s="11" t="str">
        <f>CONCATENATE("          ", "6006", " - ", "TEMPORARY PART TIME")</f>
        <v xml:space="preserve">          6006 - TEMPORARY PART TIME</v>
      </c>
      <c r="C42" s="11"/>
      <c r="D42" s="7">
        <v>1517.75</v>
      </c>
      <c r="E42" s="2"/>
      <c r="F42" s="6">
        <f t="shared" si="20"/>
        <v>8.4682591624862386E-3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1517.75</v>
      </c>
      <c r="M42" s="2"/>
      <c r="N42" s="6">
        <f t="shared" si="23"/>
        <v>0</v>
      </c>
      <c r="O42" s="11"/>
      <c r="P42" s="7">
        <v>3462.88</v>
      </c>
      <c r="Q42" s="2"/>
      <c r="R42" s="6">
        <f t="shared" si="24"/>
        <v>1.1782903153429197E-2</v>
      </c>
      <c r="S42" s="2"/>
      <c r="T42" s="7">
        <v>0</v>
      </c>
      <c r="U42" s="2"/>
      <c r="V42" s="6">
        <f t="shared" si="25"/>
        <v>0</v>
      </c>
      <c r="W42" s="2"/>
      <c r="X42" s="7">
        <f t="shared" si="26"/>
        <v>3462.88</v>
      </c>
      <c r="Y42" s="2"/>
      <c r="Z42" s="6">
        <f t="shared" si="27"/>
        <v>0</v>
      </c>
    </row>
    <row r="43" spans="1:26" s="24" customFormat="1" hidden="1" outlineLevel="2" x14ac:dyDescent="0.25">
      <c r="A43" s="25"/>
      <c r="B43" s="11" t="str">
        <f>CONCATENATE("          ", "6007", " - ", "STUDENT HOURLY")</f>
        <v xml:space="preserve">          6007 - STUDENT HOURLY</v>
      </c>
      <c r="C43" s="11"/>
      <c r="D43" s="7">
        <v>16767.48</v>
      </c>
      <c r="E43" s="2"/>
      <c r="F43" s="6">
        <f t="shared" si="20"/>
        <v>9.355385678919767E-2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16767.48</v>
      </c>
      <c r="M43" s="2"/>
      <c r="N43" s="6">
        <f t="shared" si="23"/>
        <v>0</v>
      </c>
      <c r="O43" s="11"/>
      <c r="P43" s="7">
        <v>30526.42</v>
      </c>
      <c r="Q43" s="2"/>
      <c r="R43" s="6">
        <f t="shared" si="24"/>
        <v>0.10387014579797858</v>
      </c>
      <c r="S43" s="2"/>
      <c r="T43" s="7">
        <v>2535</v>
      </c>
      <c r="U43" s="2"/>
      <c r="V43" s="6">
        <f t="shared" si="25"/>
        <v>8.1432701574044326E-3</v>
      </c>
      <c r="W43" s="2"/>
      <c r="X43" s="7">
        <f t="shared" si="26"/>
        <v>27991.42</v>
      </c>
      <c r="Y43" s="2"/>
      <c r="Z43" s="6">
        <f t="shared" si="27"/>
        <v>11.041980276134122</v>
      </c>
    </row>
    <row r="44" spans="1:26" s="24" customFormat="1" hidden="1" outlineLevel="2" x14ac:dyDescent="0.25">
      <c r="A44" s="25"/>
      <c r="B44" s="11" t="str">
        <f>CONCATENATE("          ", "6008", " - ", "STUDENT HOURLY-FICA EXEMPT")</f>
        <v xml:space="preserve">          6008 - STUDENT HOURLY-FICA EXEMPT</v>
      </c>
      <c r="C44" s="11"/>
      <c r="D44" s="7">
        <v>780</v>
      </c>
      <c r="E44" s="2"/>
      <c r="F44" s="6">
        <f t="shared" si="20"/>
        <v>4.351996143461879E-3</v>
      </c>
      <c r="G44" s="2"/>
      <c r="H44" s="7">
        <v>17550</v>
      </c>
      <c r="I44" s="2"/>
      <c r="J44" s="6">
        <f t="shared" si="21"/>
        <v>9.3202336696760493E-2</v>
      </c>
      <c r="K44" s="2"/>
      <c r="L44" s="7">
        <f t="shared" si="22"/>
        <v>-16770</v>
      </c>
      <c r="M44" s="2"/>
      <c r="N44" s="6">
        <f t="shared" si="23"/>
        <v>-0.9555555555555556</v>
      </c>
      <c r="O44" s="11"/>
      <c r="P44" s="7">
        <v>780</v>
      </c>
      <c r="Q44" s="2"/>
      <c r="R44" s="6">
        <f t="shared" si="24"/>
        <v>2.6540522512113539E-3</v>
      </c>
      <c r="S44" s="2"/>
      <c r="T44" s="7">
        <v>24310</v>
      </c>
      <c r="U44" s="2"/>
      <c r="V44" s="6">
        <f t="shared" si="25"/>
        <v>7.809187279151944E-2</v>
      </c>
      <c r="W44" s="2"/>
      <c r="X44" s="7">
        <f t="shared" si="26"/>
        <v>-23530</v>
      </c>
      <c r="Y44" s="2"/>
      <c r="Z44" s="6">
        <f t="shared" si="27"/>
        <v>-0.96791443850267378</v>
      </c>
    </row>
    <row r="45" spans="1:26" s="24" customFormat="1" hidden="1" outlineLevel="2" x14ac:dyDescent="0.25">
      <c r="A45" s="25"/>
      <c r="B45" s="11" t="str">
        <f>CONCATENATE("          ", "6009", " - ", "TEMPORARY-SEASONAL")</f>
        <v xml:space="preserve">          6009 - TEMPORARY-SEASONAL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24" customFormat="1" hidden="1" outlineLevel="2" x14ac:dyDescent="0.25">
      <c r="A46" s="25"/>
      <c r="B46" s="11" t="str">
        <f>CONCATENATE("          ", "6010", " - ", "GRATUITY")</f>
        <v xml:space="preserve">          6010 - GRATUITY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6" customFormat="1" outlineLevel="1" collapsed="1" x14ac:dyDescent="0.25">
      <c r="A47" s="27"/>
      <c r="B47" s="13" t="str">
        <f>CONCATENATE("     ","Advertising/Promo                                 ")</f>
        <v xml:space="preserve">     Advertising/Promo                                 </v>
      </c>
      <c r="C47" s="13"/>
      <c r="D47" s="1">
        <f>SUM(OSRRefD22_2x_0)</f>
        <v>67.03</v>
      </c>
      <c r="E47" s="1"/>
      <c r="F47" s="5">
        <f t="shared" ref="F47:F56" si="28">IF(D$12=0,0,D47/D$12)</f>
        <v>3.7399269422596119E-4</v>
      </c>
      <c r="G47" s="1"/>
      <c r="H47" s="1">
        <f>SUM(OSRRefH22_2x_0)</f>
        <v>450</v>
      </c>
      <c r="I47" s="1"/>
      <c r="J47" s="5">
        <f t="shared" ref="J47:J56" si="29">IF(H$12=0,0,H47/H$12)</f>
        <v>2.3898035050451409E-3</v>
      </c>
      <c r="K47" s="1"/>
      <c r="L47" s="1">
        <f t="shared" ref="L47:L56" si="30">+D47-H47</f>
        <v>-382.97</v>
      </c>
      <c r="M47" s="1"/>
      <c r="N47" s="5">
        <f t="shared" ref="N47:N56" si="31">IF(H47=0,0,L47/H47)</f>
        <v>-0.85104444444444449</v>
      </c>
      <c r="O47" s="13"/>
      <c r="P47" s="1">
        <f>SUM(OSRRefP22_2x_0)</f>
        <v>1503.93</v>
      </c>
      <c r="Q47" s="1"/>
      <c r="R47" s="5">
        <f t="shared" ref="R47:R56" si="32">IF(P$12=0,0,P47/P$12)</f>
        <v>5.1173189771337073E-3</v>
      </c>
      <c r="S47" s="1"/>
      <c r="T47" s="1">
        <f>SUM(OSRRefT22_2x_0)</f>
        <v>2650</v>
      </c>
      <c r="U47" s="1"/>
      <c r="V47" s="5">
        <f t="shared" ref="V47:V56" si="33">IF(T$12=0,0,T47/T$12)</f>
        <v>8.5126887247028594E-3</v>
      </c>
      <c r="W47" s="1"/>
      <c r="X47" s="1">
        <f t="shared" ref="X47:X56" si="34">+P47-T47</f>
        <v>-1146.07</v>
      </c>
      <c r="Y47" s="1"/>
      <c r="Z47" s="5">
        <f t="shared" ref="Z47:Z56" si="35">IF(T47=0,0,X47/T47)</f>
        <v>-0.43247924528301884</v>
      </c>
    </row>
    <row r="48" spans="1:26" s="24" customFormat="1" hidden="1" outlineLevel="2" x14ac:dyDescent="0.25">
      <c r="A48" s="25"/>
      <c r="B48" s="11" t="str">
        <f>CONCATENATE("          ", "6362", " - ", "ADVERTISING EXPENSE")</f>
        <v xml:space="preserve">          6362 - ADVERTISING EXPENSE</v>
      </c>
      <c r="C48" s="11"/>
      <c r="D48" s="7">
        <v>67.03</v>
      </c>
      <c r="E48" s="2"/>
      <c r="F48" s="6">
        <f t="shared" si="28"/>
        <v>3.7399269422596119E-4</v>
      </c>
      <c r="G48" s="2"/>
      <c r="H48" s="7">
        <v>450</v>
      </c>
      <c r="I48" s="2"/>
      <c r="J48" s="6">
        <f t="shared" si="29"/>
        <v>2.3898035050451409E-3</v>
      </c>
      <c r="K48" s="2"/>
      <c r="L48" s="7">
        <f t="shared" si="30"/>
        <v>-382.97</v>
      </c>
      <c r="M48" s="2"/>
      <c r="N48" s="6">
        <f t="shared" si="31"/>
        <v>-0.85104444444444449</v>
      </c>
      <c r="O48" s="11"/>
      <c r="P48" s="7">
        <v>1503.93</v>
      </c>
      <c r="Q48" s="2"/>
      <c r="R48" s="6">
        <f t="shared" si="32"/>
        <v>5.1173189771337073E-3</v>
      </c>
      <c r="S48" s="2"/>
      <c r="T48" s="7">
        <v>2650</v>
      </c>
      <c r="U48" s="2"/>
      <c r="V48" s="6">
        <f t="shared" si="33"/>
        <v>8.5126887247028594E-3</v>
      </c>
      <c r="W48" s="2"/>
      <c r="X48" s="7">
        <f t="shared" si="34"/>
        <v>-1146.07</v>
      </c>
      <c r="Y48" s="2"/>
      <c r="Z48" s="6">
        <f t="shared" si="35"/>
        <v>-0.43247924528301884</v>
      </c>
    </row>
    <row r="49" spans="1:26" s="26" customFormat="1" outlineLevel="1" collapsed="1" x14ac:dyDescent="0.25">
      <c r="A49" s="27"/>
      <c r="B49" s="13" t="str">
        <f>CONCATENATE("     ","Bad Debts/Over/Short                              ")</f>
        <v xml:space="preserve">     Bad Debts/Over/Short                              </v>
      </c>
      <c r="C49" s="13"/>
      <c r="D49" s="1">
        <f>SUM(OSRRefD22_3x_0)</f>
        <v>4.92</v>
      </c>
      <c r="E49" s="1"/>
      <c r="F49" s="5">
        <f t="shared" si="28"/>
        <v>2.7451052597221082E-5</v>
      </c>
      <c r="G49" s="1"/>
      <c r="H49" s="1">
        <f>SUM(OSRRefH22_3x_0)</f>
        <v>10</v>
      </c>
      <c r="I49" s="1"/>
      <c r="J49" s="5">
        <f t="shared" si="29"/>
        <v>5.3106744556558683E-5</v>
      </c>
      <c r="K49" s="1"/>
      <c r="L49" s="1">
        <f t="shared" si="30"/>
        <v>-5.08</v>
      </c>
      <c r="M49" s="1"/>
      <c r="N49" s="5">
        <f t="shared" si="31"/>
        <v>-0.50800000000000001</v>
      </c>
      <c r="O49" s="13"/>
      <c r="P49" s="1">
        <f>SUM(OSRRefP22_3x_0)</f>
        <v>19.45</v>
      </c>
      <c r="Q49" s="1"/>
      <c r="R49" s="5">
        <f t="shared" si="32"/>
        <v>6.618117472571901E-5</v>
      </c>
      <c r="S49" s="1"/>
      <c r="T49" s="1">
        <f>SUM(OSRRefT22_3x_0)</f>
        <v>30</v>
      </c>
      <c r="U49" s="1"/>
      <c r="V49" s="5">
        <f t="shared" si="33"/>
        <v>9.6370061034371988E-5</v>
      </c>
      <c r="W49" s="1"/>
      <c r="X49" s="1">
        <f t="shared" si="34"/>
        <v>-10.55</v>
      </c>
      <c r="Y49" s="1"/>
      <c r="Z49" s="5">
        <f t="shared" si="35"/>
        <v>-0.35166666666666668</v>
      </c>
    </row>
    <row r="50" spans="1:26" s="24" customFormat="1" hidden="1" outlineLevel="2" x14ac:dyDescent="0.25">
      <c r="A50" s="25"/>
      <c r="B50" s="11" t="str">
        <f>CONCATENATE("          ", "6272", " - ", "CASH (OVER/SHORT)")</f>
        <v xml:space="preserve">          6272 - CASH (OVER/SHORT)</v>
      </c>
      <c r="C50" s="11"/>
      <c r="D50" s="7">
        <v>4.92</v>
      </c>
      <c r="E50" s="2"/>
      <c r="F50" s="6">
        <f t="shared" si="28"/>
        <v>2.7451052597221082E-5</v>
      </c>
      <c r="G50" s="2"/>
      <c r="H50" s="7">
        <v>10</v>
      </c>
      <c r="I50" s="2"/>
      <c r="J50" s="6">
        <f t="shared" si="29"/>
        <v>5.3106744556558683E-5</v>
      </c>
      <c r="K50" s="2"/>
      <c r="L50" s="7">
        <f t="shared" si="30"/>
        <v>-5.08</v>
      </c>
      <c r="M50" s="2"/>
      <c r="N50" s="6">
        <f t="shared" si="31"/>
        <v>-0.50800000000000001</v>
      </c>
      <c r="O50" s="11"/>
      <c r="P50" s="7">
        <v>19.45</v>
      </c>
      <c r="Q50" s="2"/>
      <c r="R50" s="6">
        <f t="shared" si="32"/>
        <v>6.618117472571901E-5</v>
      </c>
      <c r="S50" s="2"/>
      <c r="T50" s="7">
        <v>30</v>
      </c>
      <c r="U50" s="2"/>
      <c r="V50" s="6">
        <f t="shared" si="33"/>
        <v>9.6370061034371988E-5</v>
      </c>
      <c r="W50" s="2"/>
      <c r="X50" s="7">
        <f t="shared" si="34"/>
        <v>-10.55</v>
      </c>
      <c r="Y50" s="2"/>
      <c r="Z50" s="6">
        <f t="shared" si="35"/>
        <v>-0.35166666666666668</v>
      </c>
    </row>
    <row r="51" spans="1:26" s="26" customFormat="1" outlineLevel="1" collapsed="1" x14ac:dyDescent="0.25">
      <c r="A51" s="27"/>
      <c r="B51" s="13" t="str">
        <f>CONCATENATE("     ","Bank/card Fees                                    ")</f>
        <v xml:space="preserve">     Bank/card Fees                                    </v>
      </c>
      <c r="C51" s="13"/>
      <c r="D51" s="1">
        <f>SUM(OSRRefD22_4x_0)</f>
        <v>6277.96</v>
      </c>
      <c r="E51" s="1"/>
      <c r="F51" s="5">
        <f t="shared" si="28"/>
        <v>3.5027766293343511E-2</v>
      </c>
      <c r="G51" s="1"/>
      <c r="H51" s="1">
        <f>SUM(OSRRefH22_4x_0)</f>
        <v>6950</v>
      </c>
      <c r="I51" s="1"/>
      <c r="J51" s="5">
        <f t="shared" si="29"/>
        <v>3.6909187466808283E-2</v>
      </c>
      <c r="K51" s="1"/>
      <c r="L51" s="1">
        <f t="shared" si="30"/>
        <v>-672.04</v>
      </c>
      <c r="M51" s="1"/>
      <c r="N51" s="5">
        <f t="shared" si="31"/>
        <v>-9.6696402877697832E-2</v>
      </c>
      <c r="O51" s="13"/>
      <c r="P51" s="1">
        <f>SUM(OSRRefP22_4x_0)</f>
        <v>10105.370000000001</v>
      </c>
      <c r="Q51" s="1"/>
      <c r="R51" s="5">
        <f t="shared" si="32"/>
        <v>3.4384846151056005E-2</v>
      </c>
      <c r="S51" s="1"/>
      <c r="T51" s="1">
        <f>SUM(OSRRefT22_4x_0)</f>
        <v>11450</v>
      </c>
      <c r="U51" s="1"/>
      <c r="V51" s="5">
        <f t="shared" si="33"/>
        <v>3.6781239961451974E-2</v>
      </c>
      <c r="W51" s="1"/>
      <c r="X51" s="1">
        <f t="shared" si="34"/>
        <v>-1344.6299999999992</v>
      </c>
      <c r="Y51" s="1"/>
      <c r="Z51" s="5">
        <f t="shared" si="35"/>
        <v>-0.11743493449781653</v>
      </c>
    </row>
    <row r="52" spans="1:26" s="24" customFormat="1" hidden="1" outlineLevel="2" x14ac:dyDescent="0.25">
      <c r="A52" s="25"/>
      <c r="B52" s="11" t="str">
        <f>CONCATENATE("          ", "6381", " - ", "BANK/CREDIT CARD FEES")</f>
        <v xml:space="preserve">          6381 - BANK/CREDIT CARD FEES</v>
      </c>
      <c r="C52" s="11"/>
      <c r="D52" s="7">
        <v>6277.96</v>
      </c>
      <c r="E52" s="2"/>
      <c r="F52" s="6">
        <f t="shared" si="28"/>
        <v>3.5027766293343511E-2</v>
      </c>
      <c r="G52" s="2"/>
      <c r="H52" s="7">
        <v>6950</v>
      </c>
      <c r="I52" s="2"/>
      <c r="J52" s="6">
        <f t="shared" si="29"/>
        <v>3.6909187466808283E-2</v>
      </c>
      <c r="K52" s="2"/>
      <c r="L52" s="7">
        <f t="shared" si="30"/>
        <v>-672.04</v>
      </c>
      <c r="M52" s="2"/>
      <c r="N52" s="6">
        <f t="shared" si="31"/>
        <v>-9.6696402877697832E-2</v>
      </c>
      <c r="O52" s="11"/>
      <c r="P52" s="7">
        <v>10105.370000000001</v>
      </c>
      <c r="Q52" s="2"/>
      <c r="R52" s="6">
        <f t="shared" si="32"/>
        <v>3.4384846151056005E-2</v>
      </c>
      <c r="S52" s="2"/>
      <c r="T52" s="7">
        <v>11450</v>
      </c>
      <c r="U52" s="2"/>
      <c r="V52" s="6">
        <f t="shared" si="33"/>
        <v>3.6781239961451974E-2</v>
      </c>
      <c r="W52" s="2"/>
      <c r="X52" s="7">
        <f t="shared" si="34"/>
        <v>-1344.6299999999992</v>
      </c>
      <c r="Y52" s="2"/>
      <c r="Z52" s="6">
        <f t="shared" si="35"/>
        <v>-0.11743493449781653</v>
      </c>
    </row>
    <row r="53" spans="1:26" s="26" customFormat="1" outlineLevel="1" collapsed="1" x14ac:dyDescent="0.25">
      <c r="A53" s="27"/>
      <c r="B53" s="13" t="str">
        <f>CONCATENATE("     ","Depreciation                                      ")</f>
        <v xml:space="preserve">     Depreciation                                      </v>
      </c>
      <c r="C53" s="13"/>
      <c r="D53" s="1">
        <f>SUM(OSRRefD22_5x_0)</f>
        <v>8263.4700000000012</v>
      </c>
      <c r="E53" s="1"/>
      <c r="F53" s="5">
        <f t="shared" si="28"/>
        <v>4.610588406617043E-2</v>
      </c>
      <c r="G53" s="1"/>
      <c r="H53" s="1">
        <f>SUM(OSRRefH22_5x_0)</f>
        <v>8780</v>
      </c>
      <c r="I53" s="1"/>
      <c r="J53" s="5">
        <f t="shared" si="29"/>
        <v>4.6627721720658523E-2</v>
      </c>
      <c r="K53" s="1"/>
      <c r="L53" s="1">
        <f t="shared" si="30"/>
        <v>-516.52999999999884</v>
      </c>
      <c r="M53" s="1"/>
      <c r="N53" s="5">
        <f t="shared" si="31"/>
        <v>-5.8830296127562506E-2</v>
      </c>
      <c r="O53" s="13"/>
      <c r="P53" s="1">
        <f>SUM(OSRRefP22_5x_0)</f>
        <v>24790.410000000003</v>
      </c>
      <c r="Q53" s="1"/>
      <c r="R53" s="5">
        <f t="shared" si="32"/>
        <v>8.4352619831990341E-2</v>
      </c>
      <c r="S53" s="1"/>
      <c r="T53" s="1">
        <f>SUM(OSRRefT22_5x_0)</f>
        <v>25872</v>
      </c>
      <c r="U53" s="1"/>
      <c r="V53" s="5">
        <f t="shared" si="33"/>
        <v>8.3109540636042409E-2</v>
      </c>
      <c r="W53" s="1"/>
      <c r="X53" s="1">
        <f t="shared" si="34"/>
        <v>-1081.5899999999965</v>
      </c>
      <c r="Y53" s="1"/>
      <c r="Z53" s="5">
        <f t="shared" si="35"/>
        <v>-4.1805426716140869E-2</v>
      </c>
    </row>
    <row r="54" spans="1:26" s="24" customFormat="1" hidden="1" outlineLevel="2" x14ac:dyDescent="0.25">
      <c r="A54" s="25"/>
      <c r="B54" s="11" t="str">
        <f>CONCATENATE("          ", "6321", " - ", "BUILDING DEPRECIATION")</f>
        <v xml:space="preserve">          6321 - BUILDING DEPRECIATION</v>
      </c>
      <c r="C54" s="11"/>
      <c r="D54" s="7">
        <v>6537.05</v>
      </c>
      <c r="E54" s="2"/>
      <c r="F54" s="6">
        <f t="shared" si="28"/>
        <v>3.6473354345663428E-2</v>
      </c>
      <c r="G54" s="2"/>
      <c r="H54" s="7">
        <v>6537</v>
      </c>
      <c r="I54" s="2"/>
      <c r="J54" s="6">
        <f t="shared" si="29"/>
        <v>3.4715878916622409E-2</v>
      </c>
      <c r="K54" s="2"/>
      <c r="L54" s="7">
        <f t="shared" si="30"/>
        <v>5.0000000000181899E-2</v>
      </c>
      <c r="M54" s="2"/>
      <c r="N54" s="6">
        <f t="shared" si="31"/>
        <v>7.6487685482915549E-6</v>
      </c>
      <c r="O54" s="11"/>
      <c r="P54" s="7">
        <v>19611.150000000001</v>
      </c>
      <c r="Q54" s="2"/>
      <c r="R54" s="6">
        <f t="shared" si="32"/>
        <v>6.6729508726081466E-2</v>
      </c>
      <c r="S54" s="2"/>
      <c r="T54" s="7">
        <v>19611</v>
      </c>
      <c r="U54" s="2"/>
      <c r="V54" s="6">
        <f t="shared" si="33"/>
        <v>6.2997108898168966E-2</v>
      </c>
      <c r="W54" s="2"/>
      <c r="X54" s="7">
        <f t="shared" si="34"/>
        <v>0.15000000000145519</v>
      </c>
      <c r="Y54" s="2"/>
      <c r="Z54" s="6">
        <f t="shared" si="35"/>
        <v>7.6487685483379316E-6</v>
      </c>
    </row>
    <row r="55" spans="1:26" s="24" customFormat="1" hidden="1" outlineLevel="2" x14ac:dyDescent="0.25">
      <c r="A55" s="25"/>
      <c r="B55" s="11" t="str">
        <f>CONCATENATE("          ", "6322", " - ", "EQUIPMENT DEPRECIATION EXPENSE")</f>
        <v xml:space="preserve">          6322 - EQUIPMENT DEPRECIATION EXPENSE</v>
      </c>
      <c r="C55" s="11"/>
      <c r="D55" s="7">
        <v>1726.42</v>
      </c>
      <c r="E55" s="2"/>
      <c r="F55" s="6">
        <f t="shared" si="28"/>
        <v>9.6325297205069969E-3</v>
      </c>
      <c r="G55" s="2"/>
      <c r="H55" s="7">
        <v>1726</v>
      </c>
      <c r="I55" s="2"/>
      <c r="J55" s="6">
        <f t="shared" si="29"/>
        <v>9.166224110462029E-3</v>
      </c>
      <c r="K55" s="2"/>
      <c r="L55" s="7">
        <f t="shared" si="30"/>
        <v>0.42000000000007276</v>
      </c>
      <c r="M55" s="2"/>
      <c r="N55" s="6">
        <f t="shared" si="31"/>
        <v>2.4333719582854738E-4</v>
      </c>
      <c r="O55" s="11"/>
      <c r="P55" s="7">
        <v>5179.26</v>
      </c>
      <c r="Q55" s="2"/>
      <c r="R55" s="6">
        <f t="shared" si="32"/>
        <v>1.7623111105908869E-2</v>
      </c>
      <c r="S55" s="2"/>
      <c r="T55" s="7">
        <v>5178</v>
      </c>
      <c r="U55" s="2"/>
      <c r="V55" s="6">
        <f t="shared" si="33"/>
        <v>1.6633472534532606E-2</v>
      </c>
      <c r="W55" s="2"/>
      <c r="X55" s="7">
        <f t="shared" si="34"/>
        <v>1.2600000000002183</v>
      </c>
      <c r="Y55" s="2"/>
      <c r="Z55" s="6">
        <f t="shared" si="35"/>
        <v>2.4333719582854738E-4</v>
      </c>
    </row>
    <row r="56" spans="1:26" s="24" customFormat="1" hidden="1" outlineLevel="2" x14ac:dyDescent="0.25">
      <c r="A56" s="25"/>
      <c r="B56" s="11" t="str">
        <f>CONCATENATE("          ", "6324", " - ", "FURNITURE + FIXT DEPRECIATION")</f>
        <v xml:space="preserve">          6324 - FURNITURE + FIXT DEPRECIATION</v>
      </c>
      <c r="C56" s="11"/>
      <c r="D56" s="7"/>
      <c r="E56" s="2"/>
      <c r="F56" s="6">
        <f t="shared" si="28"/>
        <v>0</v>
      </c>
      <c r="G56" s="2"/>
      <c r="H56" s="7">
        <v>517</v>
      </c>
      <c r="I56" s="2"/>
      <c r="J56" s="6">
        <f t="shared" si="29"/>
        <v>2.745618693574084E-3</v>
      </c>
      <c r="K56" s="2"/>
      <c r="L56" s="7">
        <f t="shared" si="30"/>
        <v>-517</v>
      </c>
      <c r="M56" s="2"/>
      <c r="N56" s="6">
        <f t="shared" si="31"/>
        <v>-1</v>
      </c>
      <c r="O56" s="11"/>
      <c r="P56" s="7"/>
      <c r="Q56" s="2"/>
      <c r="R56" s="6">
        <f t="shared" si="32"/>
        <v>0</v>
      </c>
      <c r="S56" s="2"/>
      <c r="T56" s="7">
        <v>1083</v>
      </c>
      <c r="U56" s="2"/>
      <c r="V56" s="6">
        <f t="shared" si="33"/>
        <v>3.4789592033408288E-3</v>
      </c>
      <c r="W56" s="2"/>
      <c r="X56" s="7">
        <f t="shared" si="34"/>
        <v>-1083</v>
      </c>
      <c r="Y56" s="2"/>
      <c r="Z56" s="6">
        <f t="shared" si="35"/>
        <v>-1</v>
      </c>
    </row>
    <row r="57" spans="1:26" s="26" customFormat="1" outlineLevel="1" collapsed="1" x14ac:dyDescent="0.25">
      <c r="A57" s="27"/>
      <c r="B57" s="13" t="str">
        <f>CONCATENATE("     ","Employees' Appreciation                           ")</f>
        <v xml:space="preserve">     Employees' Appreciation                           </v>
      </c>
      <c r="C57" s="13"/>
      <c r="D57" s="1">
        <f>SUM(OSRRefD22_6x_0)</f>
        <v>0</v>
      </c>
      <c r="E57" s="1"/>
      <c r="F57" s="5">
        <f t="shared" ref="F57:F63" si="36">IF(D$12=0,0,D57/D$12)</f>
        <v>0</v>
      </c>
      <c r="G57" s="1"/>
      <c r="H57" s="1">
        <f>SUM(OSRRefH22_6x_0)</f>
        <v>75</v>
      </c>
      <c r="I57" s="1"/>
      <c r="J57" s="5">
        <f t="shared" ref="J57:J63" si="37">IF(H$12=0,0,H57/H$12)</f>
        <v>3.9830058417419012E-4</v>
      </c>
      <c r="K57" s="1"/>
      <c r="L57" s="1">
        <f t="shared" ref="L57:L63" si="38">+D57-H57</f>
        <v>-75</v>
      </c>
      <c r="M57" s="1"/>
      <c r="N57" s="5">
        <f t="shared" ref="N57:N63" si="39">IF(H57=0,0,L57/H57)</f>
        <v>-1</v>
      </c>
      <c r="O57" s="13"/>
      <c r="P57" s="1">
        <f>SUM(OSRRefP22_6x_0)</f>
        <v>8.25</v>
      </c>
      <c r="Q57" s="1"/>
      <c r="R57" s="5">
        <f t="shared" ref="R57:R63" si="40">IF(P$12=0,0,P57/P$12)</f>
        <v>2.8071706503197013E-5</v>
      </c>
      <c r="S57" s="1"/>
      <c r="T57" s="1">
        <f>SUM(OSRRefT22_6x_0)</f>
        <v>200</v>
      </c>
      <c r="U57" s="1"/>
      <c r="V57" s="5">
        <f t="shared" ref="V57:V63" si="41">IF(T$12=0,0,T57/T$12)</f>
        <v>6.4246707356247997E-4</v>
      </c>
      <c r="W57" s="1"/>
      <c r="X57" s="1">
        <f t="shared" ref="X57:X63" si="42">+P57-T57</f>
        <v>-191.75</v>
      </c>
      <c r="Y57" s="1"/>
      <c r="Z57" s="5">
        <f t="shared" ref="Z57:Z63" si="43">IF(T57=0,0,X57/T57)</f>
        <v>-0.95874999999999999</v>
      </c>
    </row>
    <row r="58" spans="1:26" s="24" customFormat="1" hidden="1" outlineLevel="2" x14ac:dyDescent="0.25">
      <c r="A58" s="25"/>
      <c r="B58" s="11" t="str">
        <f>CONCATENATE("          ", "6277", " - ", "EMPLOYEE APPRECIATION")</f>
        <v xml:space="preserve">          6277 - EMPLOYEE APPRECIATION</v>
      </c>
      <c r="C58" s="11"/>
      <c r="D58" s="7"/>
      <c r="E58" s="2"/>
      <c r="F58" s="6">
        <f t="shared" si="36"/>
        <v>0</v>
      </c>
      <c r="G58" s="2"/>
      <c r="H58" s="7">
        <v>75</v>
      </c>
      <c r="I58" s="2"/>
      <c r="J58" s="6">
        <f t="shared" si="37"/>
        <v>3.9830058417419012E-4</v>
      </c>
      <c r="K58" s="2"/>
      <c r="L58" s="7">
        <f t="shared" si="38"/>
        <v>-75</v>
      </c>
      <c r="M58" s="2"/>
      <c r="N58" s="6">
        <f t="shared" si="39"/>
        <v>-1</v>
      </c>
      <c r="O58" s="11"/>
      <c r="P58" s="7">
        <v>8.25</v>
      </c>
      <c r="Q58" s="2"/>
      <c r="R58" s="6">
        <f t="shared" si="40"/>
        <v>2.8071706503197013E-5</v>
      </c>
      <c r="S58" s="2"/>
      <c r="T58" s="7">
        <v>200</v>
      </c>
      <c r="U58" s="2"/>
      <c r="V58" s="6">
        <f t="shared" si="41"/>
        <v>6.4246707356247997E-4</v>
      </c>
      <c r="W58" s="2"/>
      <c r="X58" s="7">
        <f t="shared" si="42"/>
        <v>-191.75</v>
      </c>
      <c r="Y58" s="2"/>
      <c r="Z58" s="6">
        <f t="shared" si="43"/>
        <v>-0.95874999999999999</v>
      </c>
    </row>
    <row r="59" spans="1:26" s="26" customFormat="1" outlineLevel="1" collapsed="1" x14ac:dyDescent="0.25">
      <c r="A59" s="27"/>
      <c r="B59" s="13" t="str">
        <f>CONCATENATE("     ","Equipment Rental                                  ")</f>
        <v xml:space="preserve">     Equipment Rental                                  </v>
      </c>
      <c r="C59" s="13"/>
      <c r="D59" s="1">
        <f>SUM(OSRRefD22_7x_0)</f>
        <v>465.64</v>
      </c>
      <c r="E59" s="1"/>
      <c r="F59" s="5">
        <f t="shared" si="36"/>
        <v>2.5980301080020373E-3</v>
      </c>
      <c r="G59" s="1"/>
      <c r="H59" s="1">
        <f>SUM(OSRRefH22_7x_0)</f>
        <v>60</v>
      </c>
      <c r="I59" s="1"/>
      <c r="J59" s="5">
        <f t="shared" si="37"/>
        <v>3.1864046733935208E-4</v>
      </c>
      <c r="K59" s="1"/>
      <c r="L59" s="1">
        <f t="shared" si="38"/>
        <v>405.64</v>
      </c>
      <c r="M59" s="1"/>
      <c r="N59" s="5">
        <f t="shared" si="39"/>
        <v>6.7606666666666664</v>
      </c>
      <c r="O59" s="13"/>
      <c r="P59" s="1">
        <f>SUM(OSRRefP22_7x_0)</f>
        <v>918.93</v>
      </c>
      <c r="Q59" s="1"/>
      <c r="R59" s="5">
        <f t="shared" si="40"/>
        <v>3.1267797887251916E-3</v>
      </c>
      <c r="S59" s="1"/>
      <c r="T59" s="1">
        <f>SUM(OSRRefT22_7x_0)</f>
        <v>275</v>
      </c>
      <c r="U59" s="1"/>
      <c r="V59" s="5">
        <f t="shared" si="41"/>
        <v>8.8339222614840988E-4</v>
      </c>
      <c r="W59" s="1"/>
      <c r="X59" s="1">
        <f t="shared" si="42"/>
        <v>643.92999999999995</v>
      </c>
      <c r="Y59" s="1"/>
      <c r="Z59" s="5">
        <f t="shared" si="43"/>
        <v>2.3415636363636363</v>
      </c>
    </row>
    <row r="60" spans="1:26" s="24" customFormat="1" hidden="1" outlineLevel="2" x14ac:dyDescent="0.25">
      <c r="A60" s="25"/>
      <c r="B60" s="11" t="str">
        <f>CONCATENATE("          ", "6351", " - ", "EQUIPMENT RENTAL")</f>
        <v xml:space="preserve">          6351 - EQUIPMENT RENTAL</v>
      </c>
      <c r="C60" s="11"/>
      <c r="D60" s="7">
        <v>465.64</v>
      </c>
      <c r="E60" s="2"/>
      <c r="F60" s="6">
        <f t="shared" si="36"/>
        <v>2.5980301080020373E-3</v>
      </c>
      <c r="G60" s="2"/>
      <c r="H60" s="7">
        <v>60</v>
      </c>
      <c r="I60" s="2"/>
      <c r="J60" s="6">
        <f t="shared" si="37"/>
        <v>3.1864046733935208E-4</v>
      </c>
      <c r="K60" s="2"/>
      <c r="L60" s="7">
        <f t="shared" si="38"/>
        <v>405.64</v>
      </c>
      <c r="M60" s="2"/>
      <c r="N60" s="6">
        <f t="shared" si="39"/>
        <v>6.7606666666666664</v>
      </c>
      <c r="O60" s="11"/>
      <c r="P60" s="7">
        <v>918.93</v>
      </c>
      <c r="Q60" s="2"/>
      <c r="R60" s="6">
        <f t="shared" si="40"/>
        <v>3.1267797887251916E-3</v>
      </c>
      <c r="S60" s="2"/>
      <c r="T60" s="7">
        <v>275</v>
      </c>
      <c r="U60" s="2"/>
      <c r="V60" s="6">
        <f t="shared" si="41"/>
        <v>8.8339222614840988E-4</v>
      </c>
      <c r="W60" s="2"/>
      <c r="X60" s="7">
        <f t="shared" si="42"/>
        <v>643.92999999999995</v>
      </c>
      <c r="Y60" s="2"/>
      <c r="Z60" s="6">
        <f t="shared" si="43"/>
        <v>2.3415636363636363</v>
      </c>
    </row>
    <row r="61" spans="1:26" s="26" customFormat="1" outlineLevel="1" collapsed="1" x14ac:dyDescent="0.25">
      <c r="A61" s="27"/>
      <c r="B61" s="13" t="str">
        <f>CONCATENATE("     ","General                                           ")</f>
        <v xml:space="preserve">     General                                           </v>
      </c>
      <c r="C61" s="13"/>
      <c r="D61" s="1">
        <f>SUM(OSRRefD22_8x_0)</f>
        <v>1050</v>
      </c>
      <c r="E61" s="1"/>
      <c r="F61" s="5">
        <f t="shared" si="36"/>
        <v>5.8584563469679142E-3</v>
      </c>
      <c r="G61" s="1"/>
      <c r="H61" s="1">
        <f>SUM(OSRRefH22_8x_0)</f>
        <v>900</v>
      </c>
      <c r="I61" s="1"/>
      <c r="J61" s="5">
        <f t="shared" si="37"/>
        <v>4.7796070100902819E-3</v>
      </c>
      <c r="K61" s="1"/>
      <c r="L61" s="1">
        <f t="shared" si="38"/>
        <v>150</v>
      </c>
      <c r="M61" s="1"/>
      <c r="N61" s="5">
        <f t="shared" si="39"/>
        <v>0.16666666666666666</v>
      </c>
      <c r="O61" s="13"/>
      <c r="P61" s="1">
        <f>SUM(OSRRefP22_8x_0)</f>
        <v>4889.55</v>
      </c>
      <c r="Q61" s="1"/>
      <c r="R61" s="5">
        <f t="shared" si="40"/>
        <v>1.663733485244933E-2</v>
      </c>
      <c r="S61" s="1"/>
      <c r="T61" s="1">
        <f>SUM(OSRRefT22_8x_0)</f>
        <v>2400</v>
      </c>
      <c r="U61" s="1"/>
      <c r="V61" s="5">
        <f t="shared" si="41"/>
        <v>7.7096048827497588E-3</v>
      </c>
      <c r="W61" s="1"/>
      <c r="X61" s="1">
        <f t="shared" si="42"/>
        <v>2489.5500000000002</v>
      </c>
      <c r="Y61" s="1"/>
      <c r="Z61" s="5">
        <f t="shared" si="43"/>
        <v>1.0373125000000001</v>
      </c>
    </row>
    <row r="62" spans="1:26" s="24" customFormat="1" hidden="1" outlineLevel="2" x14ac:dyDescent="0.25">
      <c r="A62" s="25"/>
      <c r="B62" s="11" t="str">
        <f>CONCATENATE("          ", "6269", " - ", "ENTERTAINMENT")</f>
        <v xml:space="preserve">          6269 - ENTERTAINMENT</v>
      </c>
      <c r="C62" s="11"/>
      <c r="D62" s="7">
        <v>1050</v>
      </c>
      <c r="E62" s="2"/>
      <c r="F62" s="6">
        <f t="shared" si="36"/>
        <v>5.8584563469679142E-3</v>
      </c>
      <c r="G62" s="2"/>
      <c r="H62" s="7">
        <v>900</v>
      </c>
      <c r="I62" s="2"/>
      <c r="J62" s="6">
        <f t="shared" si="37"/>
        <v>4.7796070100902819E-3</v>
      </c>
      <c r="K62" s="2"/>
      <c r="L62" s="7">
        <f t="shared" si="38"/>
        <v>150</v>
      </c>
      <c r="M62" s="2"/>
      <c r="N62" s="6">
        <f t="shared" si="39"/>
        <v>0.16666666666666666</v>
      </c>
      <c r="O62" s="11"/>
      <c r="P62" s="7">
        <v>3650</v>
      </c>
      <c r="Q62" s="2"/>
      <c r="R62" s="6">
        <f t="shared" si="40"/>
        <v>1.2419603483232618E-2</v>
      </c>
      <c r="S62" s="2"/>
      <c r="T62" s="7">
        <v>2400</v>
      </c>
      <c r="U62" s="2"/>
      <c r="V62" s="6">
        <f t="shared" si="41"/>
        <v>7.7096048827497588E-3</v>
      </c>
      <c r="W62" s="2"/>
      <c r="X62" s="7">
        <f t="shared" si="42"/>
        <v>1250</v>
      </c>
      <c r="Y62" s="2"/>
      <c r="Z62" s="6">
        <f t="shared" si="43"/>
        <v>0.52083333333333337</v>
      </c>
    </row>
    <row r="63" spans="1:26" s="24" customFormat="1" hidden="1" outlineLevel="2" x14ac:dyDescent="0.25">
      <c r="A63" s="25"/>
      <c r="B63" s="11" t="str">
        <f>CONCATENATE("          ", "6279", " - ", "GENERAL EXPENSE")</f>
        <v xml:space="preserve">          6279 - GENERAL EXPENSE</v>
      </c>
      <c r="C63" s="11"/>
      <c r="D63" s="7"/>
      <c r="E63" s="2"/>
      <c r="F63" s="6">
        <f t="shared" si="36"/>
        <v>0</v>
      </c>
      <c r="G63" s="2"/>
      <c r="H63" s="7"/>
      <c r="I63" s="2"/>
      <c r="J63" s="6">
        <f t="shared" si="37"/>
        <v>0</v>
      </c>
      <c r="K63" s="2"/>
      <c r="L63" s="7">
        <f t="shared" si="38"/>
        <v>0</v>
      </c>
      <c r="M63" s="2"/>
      <c r="N63" s="6">
        <f t="shared" si="39"/>
        <v>0</v>
      </c>
      <c r="O63" s="11"/>
      <c r="P63" s="7">
        <v>1239.55</v>
      </c>
      <c r="Q63" s="2"/>
      <c r="R63" s="6">
        <f t="shared" si="40"/>
        <v>4.2177313692167099E-3</v>
      </c>
      <c r="S63" s="2"/>
      <c r="T63" s="7"/>
      <c r="U63" s="2"/>
      <c r="V63" s="6">
        <f t="shared" si="41"/>
        <v>0</v>
      </c>
      <c r="W63" s="2"/>
      <c r="X63" s="7">
        <f t="shared" si="42"/>
        <v>1239.55</v>
      </c>
      <c r="Y63" s="2"/>
      <c r="Z63" s="6">
        <f t="shared" si="43"/>
        <v>0</v>
      </c>
    </row>
    <row r="64" spans="1:26" s="26" customFormat="1" outlineLevel="1" collapsed="1" x14ac:dyDescent="0.25">
      <c r="A64" s="27"/>
      <c r="B64" s="13" t="str">
        <f>CONCATENATE("     ","Repair and Maintenance                            ")</f>
        <v xml:space="preserve">     Repair and Maintenance                            </v>
      </c>
      <c r="C64" s="13"/>
      <c r="D64" s="1">
        <f>SUM(OSRRefD22_9x_0)</f>
        <v>4279.26</v>
      </c>
      <c r="E64" s="1"/>
      <c r="F64" s="5">
        <f t="shared" ref="F64:F67" si="44">IF(D$12=0,0,D64/D$12)</f>
        <v>2.3876055149834208E-2</v>
      </c>
      <c r="G64" s="1"/>
      <c r="H64" s="1">
        <f>SUM(OSRRefH22_9x_0)</f>
        <v>2088</v>
      </c>
      <c r="I64" s="1"/>
      <c r="J64" s="5">
        <f t="shared" ref="J64:J67" si="45">IF(H$12=0,0,H64/H$12)</f>
        <v>1.1088688263409453E-2</v>
      </c>
      <c r="K64" s="1"/>
      <c r="L64" s="1">
        <f t="shared" ref="L64:L67" si="46">+D64-H64</f>
        <v>2191.2600000000002</v>
      </c>
      <c r="M64" s="1"/>
      <c r="N64" s="5">
        <f t="shared" ref="N64:N67" si="47">IF(H64=0,0,L64/H64)</f>
        <v>1.0494540229885059</v>
      </c>
      <c r="O64" s="13"/>
      <c r="P64" s="1">
        <f>SUM(OSRRefP22_9x_0)</f>
        <v>8024.4699999999993</v>
      </c>
      <c r="Q64" s="1"/>
      <c r="R64" s="5">
        <f t="shared" ref="R64:R67" si="48">IF(P$12=0,0,P64/P$12)</f>
        <v>2.7304311113176886E-2</v>
      </c>
      <c r="S64" s="1"/>
      <c r="T64" s="1">
        <f>SUM(OSRRefT22_9x_0)</f>
        <v>3313</v>
      </c>
      <c r="U64" s="1"/>
      <c r="V64" s="5">
        <f t="shared" ref="V64:V67" si="49">IF(T$12=0,0,T64/T$12)</f>
        <v>1.064246707356248E-2</v>
      </c>
      <c r="W64" s="1"/>
      <c r="X64" s="1">
        <f t="shared" ref="X64:X67" si="50">+P64-T64</f>
        <v>4711.4699999999993</v>
      </c>
      <c r="Y64" s="1"/>
      <c r="Z64" s="5">
        <f t="shared" ref="Z64:Z67" si="51">IF(T64=0,0,X64/T64)</f>
        <v>1.4221159070329006</v>
      </c>
    </row>
    <row r="65" spans="1:26" s="24" customFormat="1" hidden="1" outlineLevel="2" x14ac:dyDescent="0.25">
      <c r="A65" s="25"/>
      <c r="B65" s="11" t="str">
        <f>CONCATENATE("          ", "6371", " - ", "COMPUTER SOFTWARE MAINTENANCE")</f>
        <v xml:space="preserve">          6371 - COMPUTER SOFTWARE MAINTENANCE</v>
      </c>
      <c r="C65" s="11"/>
      <c r="D65" s="7">
        <v>2623.85</v>
      </c>
      <c r="E65" s="2"/>
      <c r="F65" s="6">
        <f t="shared" si="44"/>
        <v>1.4639724462849295E-2</v>
      </c>
      <c r="G65" s="2"/>
      <c r="H65" s="7"/>
      <c r="I65" s="2"/>
      <c r="J65" s="6">
        <f t="shared" si="45"/>
        <v>0</v>
      </c>
      <c r="K65" s="2"/>
      <c r="L65" s="7">
        <f t="shared" si="46"/>
        <v>2623.85</v>
      </c>
      <c r="M65" s="2"/>
      <c r="N65" s="6">
        <f t="shared" si="47"/>
        <v>0</v>
      </c>
      <c r="O65" s="11"/>
      <c r="P65" s="7">
        <v>2623.85</v>
      </c>
      <c r="Q65" s="2"/>
      <c r="R65" s="6">
        <f t="shared" si="48"/>
        <v>8.9279935888986039E-3</v>
      </c>
      <c r="S65" s="2"/>
      <c r="T65" s="7"/>
      <c r="U65" s="2"/>
      <c r="V65" s="6">
        <f t="shared" si="49"/>
        <v>0</v>
      </c>
      <c r="W65" s="2"/>
      <c r="X65" s="7">
        <f t="shared" si="50"/>
        <v>2623.85</v>
      </c>
      <c r="Y65" s="2"/>
      <c r="Z65" s="6">
        <f t="shared" si="51"/>
        <v>0</v>
      </c>
    </row>
    <row r="66" spans="1:26" s="24" customFormat="1" hidden="1" outlineLevel="2" x14ac:dyDescent="0.25">
      <c r="A66" s="25"/>
      <c r="B66" s="11" t="str">
        <f>CONCATENATE("          ", "6373", " - ", "MAINTENANCE CONTRACTS")</f>
        <v xml:space="preserve">          6373 - MAINTENANCE CONTRACTS</v>
      </c>
      <c r="C66" s="11"/>
      <c r="D66" s="7"/>
      <c r="E66" s="2"/>
      <c r="F66" s="6">
        <f t="shared" si="44"/>
        <v>0</v>
      </c>
      <c r="G66" s="2"/>
      <c r="H66" s="7">
        <v>188</v>
      </c>
      <c r="I66" s="2"/>
      <c r="J66" s="6">
        <f t="shared" si="45"/>
        <v>9.9840679766330332E-4</v>
      </c>
      <c r="K66" s="2"/>
      <c r="L66" s="7">
        <f t="shared" si="46"/>
        <v>-188</v>
      </c>
      <c r="M66" s="2"/>
      <c r="N66" s="6">
        <f t="shared" si="47"/>
        <v>-1</v>
      </c>
      <c r="O66" s="11"/>
      <c r="P66" s="7"/>
      <c r="Q66" s="2"/>
      <c r="R66" s="6">
        <f t="shared" si="48"/>
        <v>0</v>
      </c>
      <c r="S66" s="2"/>
      <c r="T66" s="7">
        <v>188</v>
      </c>
      <c r="U66" s="2"/>
      <c r="V66" s="6">
        <f t="shared" si="49"/>
        <v>6.0391904914873116E-4</v>
      </c>
      <c r="W66" s="2"/>
      <c r="X66" s="7">
        <f t="shared" si="50"/>
        <v>-188</v>
      </c>
      <c r="Y66" s="2"/>
      <c r="Z66" s="6">
        <f t="shared" si="51"/>
        <v>-1</v>
      </c>
    </row>
    <row r="67" spans="1:26" s="24" customFormat="1" hidden="1" outlineLevel="2" x14ac:dyDescent="0.25">
      <c r="A67" s="25"/>
      <c r="B67" s="11" t="str">
        <f>CONCATENATE("          ", "6375", " - ", "OUTSIDE REPAIRS &amp; MAINTENANCE")</f>
        <v xml:space="preserve">          6375 - OUTSIDE REPAIRS &amp; MAINTENANCE</v>
      </c>
      <c r="C67" s="11"/>
      <c r="D67" s="7">
        <v>1655.41</v>
      </c>
      <c r="E67" s="2"/>
      <c r="F67" s="6">
        <f t="shared" si="44"/>
        <v>9.2363306869849091E-3</v>
      </c>
      <c r="G67" s="2"/>
      <c r="H67" s="7">
        <v>1900</v>
      </c>
      <c r="I67" s="2"/>
      <c r="J67" s="6">
        <f t="shared" si="45"/>
        <v>1.009028146574615E-2</v>
      </c>
      <c r="K67" s="2"/>
      <c r="L67" s="7">
        <f t="shared" si="46"/>
        <v>-244.58999999999992</v>
      </c>
      <c r="M67" s="2"/>
      <c r="N67" s="6">
        <f t="shared" si="47"/>
        <v>-0.12873157894736839</v>
      </c>
      <c r="O67" s="11"/>
      <c r="P67" s="7">
        <v>5400.62</v>
      </c>
      <c r="Q67" s="2"/>
      <c r="R67" s="6">
        <f t="shared" si="48"/>
        <v>1.8376317524278284E-2</v>
      </c>
      <c r="S67" s="2"/>
      <c r="T67" s="7">
        <v>3125</v>
      </c>
      <c r="U67" s="2"/>
      <c r="V67" s="6">
        <f t="shared" si="49"/>
        <v>1.0038548024413748E-2</v>
      </c>
      <c r="W67" s="2"/>
      <c r="X67" s="7">
        <f t="shared" si="50"/>
        <v>2275.62</v>
      </c>
      <c r="Y67" s="2"/>
      <c r="Z67" s="6">
        <f t="shared" si="51"/>
        <v>0.72819839999999991</v>
      </c>
    </row>
    <row r="68" spans="1:26" s="26" customFormat="1" outlineLevel="1" collapsed="1" x14ac:dyDescent="0.25">
      <c r="A68" s="27"/>
      <c r="B68" s="13" t="str">
        <f>CONCATENATE("     ","Services                                          ")</f>
        <v xml:space="preserve">     Services                                          </v>
      </c>
      <c r="C68" s="13"/>
      <c r="D68" s="1">
        <f>SUM(OSRRefD22_10x_0)</f>
        <v>39.75</v>
      </c>
      <c r="E68" s="1"/>
      <c r="F68" s="5">
        <f t="shared" ref="F68:F71" si="52">IF(D$12=0,0,D68/D$12)</f>
        <v>2.2178441884949959E-4</v>
      </c>
      <c r="G68" s="1"/>
      <c r="H68" s="1">
        <f>SUM(OSRRefH22_10x_0)</f>
        <v>688</v>
      </c>
      <c r="I68" s="1"/>
      <c r="J68" s="5">
        <f t="shared" ref="J68:J71" si="53">IF(H$12=0,0,H68/H$12)</f>
        <v>3.6537440254912376E-3</v>
      </c>
      <c r="K68" s="1"/>
      <c r="L68" s="1">
        <f t="shared" ref="L68:L71" si="54">+D68-H68</f>
        <v>-648.25</v>
      </c>
      <c r="M68" s="1"/>
      <c r="N68" s="5">
        <f t="shared" ref="N68:N71" si="55">IF(H68=0,0,L68/H68)</f>
        <v>-0.94222383720930236</v>
      </c>
      <c r="O68" s="13"/>
      <c r="P68" s="1">
        <f>SUM(OSRRefP22_10x_0)</f>
        <v>862.75</v>
      </c>
      <c r="Q68" s="1"/>
      <c r="R68" s="5">
        <f t="shared" ref="R68:R71" si="56">IF(P$12=0,0,P68/P$12)</f>
        <v>2.9356199740161481E-3</v>
      </c>
      <c r="S68" s="1"/>
      <c r="T68" s="1">
        <f>SUM(OSRRefT22_10x_0)</f>
        <v>1642</v>
      </c>
      <c r="U68" s="1"/>
      <c r="V68" s="5">
        <f t="shared" ref="V68:V71" si="57">IF(T$12=0,0,T68/T$12)</f>
        <v>5.2746546739479601E-3</v>
      </c>
      <c r="W68" s="1"/>
      <c r="X68" s="1">
        <f t="shared" ref="X68:X71" si="58">+P68-T68</f>
        <v>-779.25</v>
      </c>
      <c r="Y68" s="1"/>
      <c r="Z68" s="5">
        <f t="shared" ref="Z68:Z71" si="59">IF(T68=0,0,X68/T68)</f>
        <v>-0.47457369062119364</v>
      </c>
    </row>
    <row r="69" spans="1:26" s="24" customFormat="1" hidden="1" outlineLevel="2" x14ac:dyDescent="0.25">
      <c r="A69" s="25"/>
      <c r="B69" s="11" t="str">
        <f>CONCATENATE("          ", "6283", " - ", "PLANT SERVICE")</f>
        <v xml:space="preserve">          6283 - PLANT SERVICE</v>
      </c>
      <c r="C69" s="11"/>
      <c r="D69" s="7">
        <v>39.75</v>
      </c>
      <c r="E69" s="2"/>
      <c r="F69" s="6">
        <f t="shared" si="52"/>
        <v>2.2178441884949959E-4</v>
      </c>
      <c r="G69" s="2"/>
      <c r="H69" s="7">
        <v>30</v>
      </c>
      <c r="I69" s="2"/>
      <c r="J69" s="6">
        <f t="shared" si="53"/>
        <v>1.5932023366967604E-4</v>
      </c>
      <c r="K69" s="2"/>
      <c r="L69" s="7">
        <f t="shared" si="54"/>
        <v>9.75</v>
      </c>
      <c r="M69" s="2"/>
      <c r="N69" s="6">
        <f t="shared" si="55"/>
        <v>0.32500000000000001</v>
      </c>
      <c r="O69" s="11"/>
      <c r="P69" s="7">
        <v>119.25</v>
      </c>
      <c r="Q69" s="2"/>
      <c r="R69" s="6">
        <f t="shared" si="56"/>
        <v>4.0576375763712048E-4</v>
      </c>
      <c r="S69" s="2"/>
      <c r="T69" s="7">
        <v>90</v>
      </c>
      <c r="U69" s="2"/>
      <c r="V69" s="6">
        <f t="shared" si="57"/>
        <v>2.8911018310311598E-4</v>
      </c>
      <c r="W69" s="2"/>
      <c r="X69" s="7">
        <f t="shared" si="58"/>
        <v>29.25</v>
      </c>
      <c r="Y69" s="2"/>
      <c r="Z69" s="6">
        <f t="shared" si="59"/>
        <v>0.32500000000000001</v>
      </c>
    </row>
    <row r="70" spans="1:26" s="24" customFormat="1" hidden="1" outlineLevel="2" x14ac:dyDescent="0.25">
      <c r="A70" s="25"/>
      <c r="B70" s="11" t="str">
        <f>CONCATENATE("          ", "6285", " - ", "JANITORIAL SERVICES")</f>
        <v xml:space="preserve">          6285 - JANITORIAL SERVICES</v>
      </c>
      <c r="C70" s="11"/>
      <c r="D70" s="7"/>
      <c r="E70" s="2"/>
      <c r="F70" s="6">
        <f t="shared" si="52"/>
        <v>0</v>
      </c>
      <c r="G70" s="2"/>
      <c r="H70" s="7">
        <v>288</v>
      </c>
      <c r="I70" s="2"/>
      <c r="J70" s="6">
        <f t="shared" si="53"/>
        <v>1.52947424322889E-3</v>
      </c>
      <c r="K70" s="2"/>
      <c r="L70" s="7">
        <f t="shared" si="54"/>
        <v>-288</v>
      </c>
      <c r="M70" s="2"/>
      <c r="N70" s="6">
        <f t="shared" si="55"/>
        <v>-1</v>
      </c>
      <c r="O70" s="11"/>
      <c r="P70" s="7">
        <v>350</v>
      </c>
      <c r="Q70" s="2"/>
      <c r="R70" s="6">
        <f t="shared" si="56"/>
        <v>1.1909208819538128E-3</v>
      </c>
      <c r="S70" s="2"/>
      <c r="T70" s="7">
        <v>936</v>
      </c>
      <c r="U70" s="2"/>
      <c r="V70" s="6">
        <f t="shared" si="57"/>
        <v>3.006745904272406E-3</v>
      </c>
      <c r="W70" s="2"/>
      <c r="X70" s="7">
        <f t="shared" si="58"/>
        <v>-586</v>
      </c>
      <c r="Y70" s="2"/>
      <c r="Z70" s="6">
        <f t="shared" si="59"/>
        <v>-0.62606837606837606</v>
      </c>
    </row>
    <row r="71" spans="1:26" s="24" customFormat="1" hidden="1" outlineLevel="2" x14ac:dyDescent="0.25">
      <c r="A71" s="25"/>
      <c r="B71" s="11" t="str">
        <f>CONCATENATE("          ", "6286", " - ", "LAUNDRY EXPENSE")</f>
        <v xml:space="preserve">          6286 - LAUNDRY EXPENSE</v>
      </c>
      <c r="C71" s="11"/>
      <c r="D71" s="7"/>
      <c r="E71" s="2"/>
      <c r="F71" s="6">
        <f t="shared" si="52"/>
        <v>0</v>
      </c>
      <c r="G71" s="2"/>
      <c r="H71" s="7">
        <v>370</v>
      </c>
      <c r="I71" s="2"/>
      <c r="J71" s="6">
        <f t="shared" si="53"/>
        <v>1.9649495485926714E-3</v>
      </c>
      <c r="K71" s="2"/>
      <c r="L71" s="7">
        <f t="shared" si="54"/>
        <v>-370</v>
      </c>
      <c r="M71" s="2"/>
      <c r="N71" s="6">
        <f t="shared" si="55"/>
        <v>-1</v>
      </c>
      <c r="O71" s="11"/>
      <c r="P71" s="7">
        <v>393.5</v>
      </c>
      <c r="Q71" s="2"/>
      <c r="R71" s="6">
        <f t="shared" si="56"/>
        <v>1.338935334425215E-3</v>
      </c>
      <c r="S71" s="2"/>
      <c r="T71" s="7">
        <v>616</v>
      </c>
      <c r="U71" s="2"/>
      <c r="V71" s="6">
        <f t="shared" si="57"/>
        <v>1.9787985865724381E-3</v>
      </c>
      <c r="W71" s="2"/>
      <c r="X71" s="7">
        <f t="shared" si="58"/>
        <v>-222.5</v>
      </c>
      <c r="Y71" s="2"/>
      <c r="Z71" s="6">
        <f t="shared" si="59"/>
        <v>-0.36120129870129869</v>
      </c>
    </row>
    <row r="72" spans="1:26" s="26" customFormat="1" outlineLevel="1" collapsed="1" x14ac:dyDescent="0.25">
      <c r="A72" s="27"/>
      <c r="B72" s="13" t="str">
        <f>CONCATENATE("     ","Subscriptions &amp; Dues                              ")</f>
        <v xml:space="preserve">     Subscriptions &amp; Dues                              </v>
      </c>
      <c r="C72" s="13"/>
      <c r="D72" s="1">
        <f>SUM(OSRRefD22_11x_0)</f>
        <v>196.71</v>
      </c>
      <c r="E72" s="1"/>
      <c r="F72" s="5">
        <f t="shared" ref="F72:F81" si="60">IF(D$12=0,0,D72/D$12)</f>
        <v>1.0975399504876747E-3</v>
      </c>
      <c r="G72" s="1"/>
      <c r="H72" s="1">
        <f>SUM(OSRRefH22_11x_0)</f>
        <v>194</v>
      </c>
      <c r="I72" s="1"/>
      <c r="J72" s="5">
        <f t="shared" ref="J72:J81" si="61">IF(H$12=0,0,H72/H$12)</f>
        <v>1.0302708443972383E-3</v>
      </c>
      <c r="K72" s="1"/>
      <c r="L72" s="1">
        <f t="shared" ref="L72:L81" si="62">+D72-H72</f>
        <v>2.710000000000008</v>
      </c>
      <c r="M72" s="1"/>
      <c r="N72" s="5">
        <f t="shared" ref="N72:N81" si="63">IF(H72=0,0,L72/H72)</f>
        <v>1.3969072164948495E-2</v>
      </c>
      <c r="O72" s="13"/>
      <c r="P72" s="1">
        <f>SUM(OSRRefP22_11x_0)</f>
        <v>590.13</v>
      </c>
      <c r="Q72" s="1"/>
      <c r="R72" s="5">
        <f t="shared" ref="R72:R81" si="64">IF(P$12=0,0,P72/P$12)</f>
        <v>2.0079946859068668E-3</v>
      </c>
      <c r="S72" s="1"/>
      <c r="T72" s="1">
        <f>SUM(OSRRefT22_11x_0)</f>
        <v>582</v>
      </c>
      <c r="U72" s="1"/>
      <c r="V72" s="5">
        <f t="shared" ref="V72:V81" si="65">IF(T$12=0,0,T72/T$12)</f>
        <v>1.8695791840668166E-3</v>
      </c>
      <c r="W72" s="1"/>
      <c r="X72" s="1">
        <f t="shared" ref="X72:X81" si="66">+P72-T72</f>
        <v>8.1299999999999955</v>
      </c>
      <c r="Y72" s="1"/>
      <c r="Z72" s="5">
        <f t="shared" ref="Z72:Z81" si="67">IF(T72=0,0,X72/T72)</f>
        <v>1.3969072164948446E-2</v>
      </c>
    </row>
    <row r="73" spans="1:26" s="24" customFormat="1" hidden="1" outlineLevel="2" x14ac:dyDescent="0.25">
      <c r="A73" s="25"/>
      <c r="B73" s="11" t="str">
        <f>CONCATENATE("          ", "6275", " - ", "SUBSCRIPTIONS")</f>
        <v xml:space="preserve">          6275 - SUBSCRIPTIONS</v>
      </c>
      <c r="C73" s="11"/>
      <c r="D73" s="7">
        <v>196.71</v>
      </c>
      <c r="E73" s="2"/>
      <c r="F73" s="6">
        <f t="shared" si="60"/>
        <v>1.0975399504876747E-3</v>
      </c>
      <c r="G73" s="2"/>
      <c r="H73" s="7">
        <v>194</v>
      </c>
      <c r="I73" s="2"/>
      <c r="J73" s="6">
        <f t="shared" si="61"/>
        <v>1.0302708443972383E-3</v>
      </c>
      <c r="K73" s="2"/>
      <c r="L73" s="7">
        <f t="shared" si="62"/>
        <v>2.710000000000008</v>
      </c>
      <c r="M73" s="2"/>
      <c r="N73" s="6">
        <f t="shared" si="63"/>
        <v>1.3969072164948495E-2</v>
      </c>
      <c r="O73" s="11"/>
      <c r="P73" s="7">
        <v>590.13</v>
      </c>
      <c r="Q73" s="2"/>
      <c r="R73" s="6">
        <f t="shared" si="64"/>
        <v>2.0079946859068668E-3</v>
      </c>
      <c r="S73" s="2"/>
      <c r="T73" s="7">
        <v>582</v>
      </c>
      <c r="U73" s="2"/>
      <c r="V73" s="6">
        <f t="shared" si="65"/>
        <v>1.8695791840668166E-3</v>
      </c>
      <c r="W73" s="2"/>
      <c r="X73" s="7">
        <f t="shared" si="66"/>
        <v>8.1299999999999955</v>
      </c>
      <c r="Y73" s="2"/>
      <c r="Z73" s="6">
        <f t="shared" si="67"/>
        <v>1.3969072164948446E-2</v>
      </c>
    </row>
    <row r="74" spans="1:26" s="26" customFormat="1" outlineLevel="1" collapsed="1" x14ac:dyDescent="0.25">
      <c r="A74" s="27"/>
      <c r="B74" s="13" t="str">
        <f>CONCATENATE("     ","Supplies                                          ")</f>
        <v xml:space="preserve">     Supplies                                          </v>
      </c>
      <c r="C74" s="13"/>
      <c r="D74" s="1">
        <f>SUM(OSRRefD22_12x_0)</f>
        <v>1414.4199999999998</v>
      </c>
      <c r="E74" s="1"/>
      <c r="F74" s="5">
        <f t="shared" si="60"/>
        <v>7.8917312631222435E-3</v>
      </c>
      <c r="G74" s="1"/>
      <c r="H74" s="1">
        <f>SUM(OSRRefH22_12x_0)</f>
        <v>2400</v>
      </c>
      <c r="I74" s="1"/>
      <c r="J74" s="5">
        <f t="shared" si="61"/>
        <v>1.2745618693574084E-2</v>
      </c>
      <c r="K74" s="1"/>
      <c r="L74" s="1">
        <f t="shared" si="62"/>
        <v>-985.58000000000015</v>
      </c>
      <c r="M74" s="1"/>
      <c r="N74" s="5">
        <f t="shared" si="63"/>
        <v>-0.4106583333333334</v>
      </c>
      <c r="O74" s="13"/>
      <c r="P74" s="1">
        <f>SUM(OSRRefP22_12x_0)</f>
        <v>4671.8599999999997</v>
      </c>
      <c r="Q74" s="1"/>
      <c r="R74" s="5">
        <f t="shared" si="64"/>
        <v>1.5896616090184969E-2</v>
      </c>
      <c r="S74" s="1"/>
      <c r="T74" s="1">
        <f>SUM(OSRRefT22_12x_0)</f>
        <v>7550</v>
      </c>
      <c r="U74" s="1"/>
      <c r="V74" s="5">
        <f t="shared" si="65"/>
        <v>2.4253132026983617E-2</v>
      </c>
      <c r="W74" s="1"/>
      <c r="X74" s="1">
        <f t="shared" si="66"/>
        <v>-2878.1400000000003</v>
      </c>
      <c r="Y74" s="1"/>
      <c r="Z74" s="5">
        <f t="shared" si="67"/>
        <v>-0.3812105960264901</v>
      </c>
    </row>
    <row r="75" spans="1:26" s="24" customFormat="1" hidden="1" outlineLevel="2" x14ac:dyDescent="0.25">
      <c r="A75" s="25"/>
      <c r="B75" s="11" t="str">
        <f>CONCATENATE("          ", "6237", " - ", "JANITORIAL SUPPLIES")</f>
        <v xml:space="preserve">          6237 - JANITORIAL SUPPLIES</v>
      </c>
      <c r="C75" s="11"/>
      <c r="D75" s="7"/>
      <c r="E75" s="2"/>
      <c r="F75" s="6">
        <f t="shared" si="60"/>
        <v>0</v>
      </c>
      <c r="G75" s="2"/>
      <c r="H75" s="7">
        <v>750</v>
      </c>
      <c r="I75" s="2"/>
      <c r="J75" s="6">
        <f t="shared" si="61"/>
        <v>3.9830058417419014E-3</v>
      </c>
      <c r="K75" s="2"/>
      <c r="L75" s="7">
        <f t="shared" si="62"/>
        <v>-750</v>
      </c>
      <c r="M75" s="2"/>
      <c r="N75" s="6">
        <f t="shared" si="63"/>
        <v>-1</v>
      </c>
      <c r="O75" s="11"/>
      <c r="P75" s="7"/>
      <c r="Q75" s="2"/>
      <c r="R75" s="6">
        <f t="shared" si="64"/>
        <v>0</v>
      </c>
      <c r="S75" s="2"/>
      <c r="T75" s="7">
        <v>2600</v>
      </c>
      <c r="U75" s="2"/>
      <c r="V75" s="6">
        <f t="shared" si="65"/>
        <v>8.3520719563122386E-3</v>
      </c>
      <c r="W75" s="2"/>
      <c r="X75" s="7">
        <f t="shared" si="66"/>
        <v>-2600</v>
      </c>
      <c r="Y75" s="2"/>
      <c r="Z75" s="6">
        <f t="shared" si="67"/>
        <v>-1</v>
      </c>
    </row>
    <row r="76" spans="1:26" s="24" customFormat="1" hidden="1" outlineLevel="2" x14ac:dyDescent="0.25">
      <c r="A76" s="25"/>
      <c r="B76" s="11" t="str">
        <f>CONCATENATE("          ", "6239", " - ", "KITCHEN SUPPLIES")</f>
        <v xml:space="preserve">          6239 - KITCHEN SUPPLIES</v>
      </c>
      <c r="C76" s="11"/>
      <c r="D76" s="7">
        <v>363.54</v>
      </c>
      <c r="E76" s="2"/>
      <c r="F76" s="6">
        <f t="shared" si="60"/>
        <v>2.028364971787348E-3</v>
      </c>
      <c r="G76" s="2"/>
      <c r="H76" s="7">
        <v>100</v>
      </c>
      <c r="I76" s="2"/>
      <c r="J76" s="6">
        <f t="shared" si="61"/>
        <v>5.3106744556558679E-4</v>
      </c>
      <c r="K76" s="2"/>
      <c r="L76" s="7">
        <f t="shared" si="62"/>
        <v>263.54000000000002</v>
      </c>
      <c r="M76" s="2"/>
      <c r="N76" s="6">
        <f t="shared" si="63"/>
        <v>2.6354000000000002</v>
      </c>
      <c r="O76" s="11"/>
      <c r="P76" s="7">
        <v>363.54</v>
      </c>
      <c r="Q76" s="2"/>
      <c r="R76" s="6">
        <f t="shared" si="64"/>
        <v>1.2369925069299688E-3</v>
      </c>
      <c r="S76" s="2"/>
      <c r="T76" s="7">
        <v>100</v>
      </c>
      <c r="U76" s="2"/>
      <c r="V76" s="6">
        <f t="shared" si="65"/>
        <v>3.2123353678123999E-4</v>
      </c>
      <c r="W76" s="2"/>
      <c r="X76" s="7">
        <f t="shared" si="66"/>
        <v>263.54000000000002</v>
      </c>
      <c r="Y76" s="2"/>
      <c r="Z76" s="6">
        <f t="shared" si="67"/>
        <v>2.6354000000000002</v>
      </c>
    </row>
    <row r="77" spans="1:26" s="24" customFormat="1" hidden="1" outlineLevel="2" x14ac:dyDescent="0.25">
      <c r="A77" s="25"/>
      <c r="B77" s="11" t="str">
        <f>CONCATENATE("          ", "6241", " - ", "OFFICE EXPENSE")</f>
        <v xml:space="preserve">          6241 - OFFICE EXPENSE</v>
      </c>
      <c r="C77" s="11"/>
      <c r="D77" s="7">
        <v>65.31</v>
      </c>
      <c r="E77" s="2"/>
      <c r="F77" s="6">
        <f t="shared" si="60"/>
        <v>3.6439598478140426E-4</v>
      </c>
      <c r="G77" s="2"/>
      <c r="H77" s="7">
        <v>350</v>
      </c>
      <c r="I77" s="2"/>
      <c r="J77" s="6">
        <f t="shared" si="61"/>
        <v>1.8587360594795538E-3</v>
      </c>
      <c r="K77" s="2"/>
      <c r="L77" s="7">
        <f t="shared" si="62"/>
        <v>-284.69</v>
      </c>
      <c r="M77" s="2"/>
      <c r="N77" s="6">
        <f t="shared" si="63"/>
        <v>-0.81340000000000001</v>
      </c>
      <c r="O77" s="11"/>
      <c r="P77" s="7">
        <v>1468.9</v>
      </c>
      <c r="Q77" s="2"/>
      <c r="R77" s="6">
        <f t="shared" si="64"/>
        <v>4.9981248100055874E-3</v>
      </c>
      <c r="S77" s="2"/>
      <c r="T77" s="7">
        <v>725</v>
      </c>
      <c r="U77" s="2"/>
      <c r="V77" s="6">
        <f t="shared" si="65"/>
        <v>2.3289431416639896E-3</v>
      </c>
      <c r="W77" s="2"/>
      <c r="X77" s="7">
        <f t="shared" si="66"/>
        <v>743.90000000000009</v>
      </c>
      <c r="Y77" s="2"/>
      <c r="Z77" s="6">
        <f t="shared" si="67"/>
        <v>1.0260689655172415</v>
      </c>
    </row>
    <row r="78" spans="1:26" s="24" customFormat="1" hidden="1" outlineLevel="2" x14ac:dyDescent="0.25">
      <c r="A78" s="25"/>
      <c r="B78" s="11" t="str">
        <f>CONCATENATE("          ", "6243", " - ", "PAPER SUPPLIES")</f>
        <v xml:space="preserve">          6243 - PAPER SUPPLIES</v>
      </c>
      <c r="C78" s="11"/>
      <c r="D78" s="7">
        <v>963.52</v>
      </c>
      <c r="E78" s="2"/>
      <c r="F78" s="6">
        <f t="shared" si="60"/>
        <v>5.3759427232671657E-3</v>
      </c>
      <c r="G78" s="2"/>
      <c r="H78" s="7">
        <v>1200</v>
      </c>
      <c r="I78" s="2"/>
      <c r="J78" s="6">
        <f t="shared" si="61"/>
        <v>6.3728093467870419E-3</v>
      </c>
      <c r="K78" s="2"/>
      <c r="L78" s="7">
        <f t="shared" si="62"/>
        <v>-236.48000000000002</v>
      </c>
      <c r="M78" s="2"/>
      <c r="N78" s="6">
        <f t="shared" si="63"/>
        <v>-0.1970666666666667</v>
      </c>
      <c r="O78" s="11"/>
      <c r="P78" s="7">
        <v>1523.93</v>
      </c>
      <c r="Q78" s="2"/>
      <c r="R78" s="6">
        <f t="shared" si="64"/>
        <v>5.1853715989596391E-3</v>
      </c>
      <c r="S78" s="2"/>
      <c r="T78" s="7">
        <v>2325</v>
      </c>
      <c r="U78" s="2"/>
      <c r="V78" s="6">
        <f t="shared" si="65"/>
        <v>7.4686797301638293E-3</v>
      </c>
      <c r="W78" s="2"/>
      <c r="X78" s="7">
        <f t="shared" si="66"/>
        <v>-801.06999999999994</v>
      </c>
      <c r="Y78" s="2"/>
      <c r="Z78" s="6">
        <f t="shared" si="67"/>
        <v>-0.34454623655913974</v>
      </c>
    </row>
    <row r="79" spans="1:26" s="24" customFormat="1" hidden="1" outlineLevel="2" x14ac:dyDescent="0.25">
      <c r="A79" s="25"/>
      <c r="B79" s="11" t="str">
        <f>CONCATENATE("          ", "6245", " - ", "PRINTING")</f>
        <v xml:space="preserve">          6245 - PRINTING</v>
      </c>
      <c r="C79" s="11"/>
      <c r="D79" s="7">
        <v>22.05</v>
      </c>
      <c r="E79" s="2"/>
      <c r="F79" s="6">
        <f t="shared" si="60"/>
        <v>1.2302758328632619E-4</v>
      </c>
      <c r="G79" s="2"/>
      <c r="H79" s="7"/>
      <c r="I79" s="2"/>
      <c r="J79" s="6">
        <f t="shared" si="61"/>
        <v>0</v>
      </c>
      <c r="K79" s="2"/>
      <c r="L79" s="7">
        <f t="shared" si="62"/>
        <v>22.05</v>
      </c>
      <c r="M79" s="2"/>
      <c r="N79" s="6">
        <f t="shared" si="63"/>
        <v>0</v>
      </c>
      <c r="O79" s="11"/>
      <c r="P79" s="7">
        <v>22.05</v>
      </c>
      <c r="Q79" s="2"/>
      <c r="R79" s="6">
        <f t="shared" si="64"/>
        <v>7.5028015563090205E-5</v>
      </c>
      <c r="S79" s="2"/>
      <c r="T79" s="7"/>
      <c r="U79" s="2"/>
      <c r="V79" s="6">
        <f t="shared" si="65"/>
        <v>0</v>
      </c>
      <c r="W79" s="2"/>
      <c r="X79" s="7">
        <f t="shared" si="66"/>
        <v>22.05</v>
      </c>
      <c r="Y79" s="2"/>
      <c r="Z79" s="6">
        <f t="shared" si="67"/>
        <v>0</v>
      </c>
    </row>
    <row r="80" spans="1:26" s="24" customFormat="1" hidden="1" outlineLevel="2" x14ac:dyDescent="0.25">
      <c r="A80" s="25"/>
      <c r="B80" s="11" t="str">
        <f>CONCATENATE("          ", "6247", " - ", "STORE SUPPLIES")</f>
        <v xml:space="preserve">          6247 - STORE SUPPLIES</v>
      </c>
      <c r="C80" s="11"/>
      <c r="D80" s="7"/>
      <c r="E80" s="2"/>
      <c r="F80" s="6">
        <f t="shared" si="60"/>
        <v>0</v>
      </c>
      <c r="G80" s="2"/>
      <c r="H80" s="7"/>
      <c r="I80" s="2"/>
      <c r="J80" s="6">
        <f t="shared" si="61"/>
        <v>0</v>
      </c>
      <c r="K80" s="2"/>
      <c r="L80" s="7">
        <f t="shared" si="62"/>
        <v>0</v>
      </c>
      <c r="M80" s="2"/>
      <c r="N80" s="6">
        <f t="shared" si="63"/>
        <v>0</v>
      </c>
      <c r="O80" s="11"/>
      <c r="P80" s="7">
        <v>513.20000000000005</v>
      </c>
      <c r="Q80" s="2"/>
      <c r="R80" s="6">
        <f t="shared" si="64"/>
        <v>1.7462302760534191E-3</v>
      </c>
      <c r="S80" s="2"/>
      <c r="T80" s="7">
        <v>1000</v>
      </c>
      <c r="U80" s="2"/>
      <c r="V80" s="6">
        <f t="shared" si="65"/>
        <v>3.2123353678123997E-3</v>
      </c>
      <c r="W80" s="2"/>
      <c r="X80" s="7">
        <f t="shared" si="66"/>
        <v>-486.79999999999995</v>
      </c>
      <c r="Y80" s="2"/>
      <c r="Z80" s="6">
        <f t="shared" si="67"/>
        <v>-0.48679999999999995</v>
      </c>
    </row>
    <row r="81" spans="1:26" s="24" customFormat="1" hidden="1" outlineLevel="2" x14ac:dyDescent="0.25">
      <c r="A81" s="25"/>
      <c r="B81" s="11" t="str">
        <f>CONCATENATE("          ", "6248", " - ", "UNIFORMS")</f>
        <v xml:space="preserve">          6248 - UNIFORMS</v>
      </c>
      <c r="C81" s="11"/>
      <c r="D81" s="7"/>
      <c r="E81" s="2"/>
      <c r="F81" s="6">
        <f t="shared" si="60"/>
        <v>0</v>
      </c>
      <c r="G81" s="2"/>
      <c r="H81" s="7"/>
      <c r="I81" s="2"/>
      <c r="J81" s="6">
        <f t="shared" si="61"/>
        <v>0</v>
      </c>
      <c r="K81" s="2"/>
      <c r="L81" s="7">
        <f t="shared" si="62"/>
        <v>0</v>
      </c>
      <c r="M81" s="2"/>
      <c r="N81" s="6">
        <f t="shared" si="63"/>
        <v>0</v>
      </c>
      <c r="O81" s="11"/>
      <c r="P81" s="7">
        <v>780.24</v>
      </c>
      <c r="Q81" s="2"/>
      <c r="R81" s="6">
        <f t="shared" si="64"/>
        <v>2.6548688826732651E-3</v>
      </c>
      <c r="S81" s="2"/>
      <c r="T81" s="7">
        <v>800</v>
      </c>
      <c r="U81" s="2"/>
      <c r="V81" s="6">
        <f t="shared" si="65"/>
        <v>2.5698682942499199E-3</v>
      </c>
      <c r="W81" s="2"/>
      <c r="X81" s="7">
        <f t="shared" si="66"/>
        <v>-19.759999999999991</v>
      </c>
      <c r="Y81" s="2"/>
      <c r="Z81" s="6">
        <f t="shared" si="67"/>
        <v>-2.4699999999999989E-2</v>
      </c>
    </row>
    <row r="82" spans="1:26" s="26" customFormat="1" outlineLevel="1" collapsed="1" x14ac:dyDescent="0.25">
      <c r="A82" s="27"/>
      <c r="B82" s="13" t="str">
        <f>CONCATENATE("     ","Telephone/Data Lines                              ")</f>
        <v xml:space="preserve">     Telephone/Data Lines                              </v>
      </c>
      <c r="C82" s="13"/>
      <c r="D82" s="1">
        <f>SUM(OSRRefD22_13x_0)</f>
        <v>160</v>
      </c>
      <c r="E82" s="1"/>
      <c r="F82" s="5">
        <f t="shared" ref="F82:F87" si="68">IF(D$12=0,0,D82/D$12)</f>
        <v>8.9271715763320598E-4</v>
      </c>
      <c r="G82" s="1"/>
      <c r="H82" s="1">
        <f>SUM(OSRRefH22_13x_0)</f>
        <v>160</v>
      </c>
      <c r="I82" s="1"/>
      <c r="J82" s="5">
        <f t="shared" ref="J82:J87" si="69">IF(H$12=0,0,H82/H$12)</f>
        <v>8.4970791290493893E-4</v>
      </c>
      <c r="K82" s="1"/>
      <c r="L82" s="1">
        <f t="shared" ref="L82:L87" si="70">+D82-H82</f>
        <v>0</v>
      </c>
      <c r="M82" s="1"/>
      <c r="N82" s="5">
        <f t="shared" ref="N82:N87" si="71">IF(H82=0,0,L82/H82)</f>
        <v>0</v>
      </c>
      <c r="O82" s="13"/>
      <c r="P82" s="1">
        <f>SUM(OSRRefP22_13x_0)</f>
        <v>381.9</v>
      </c>
      <c r="Q82" s="1"/>
      <c r="R82" s="5">
        <f t="shared" ref="R82:R87" si="72">IF(P$12=0,0,P82/P$12)</f>
        <v>1.2994648137661744E-3</v>
      </c>
      <c r="S82" s="1"/>
      <c r="T82" s="1">
        <f>SUM(OSRRefT22_13x_0)</f>
        <v>480</v>
      </c>
      <c r="U82" s="1"/>
      <c r="V82" s="5">
        <f t="shared" ref="V82:V87" si="73">IF(T$12=0,0,T82/T$12)</f>
        <v>1.5419209765499518E-3</v>
      </c>
      <c r="W82" s="1"/>
      <c r="X82" s="1">
        <f t="shared" ref="X82:X87" si="74">+P82-T82</f>
        <v>-98.100000000000023</v>
      </c>
      <c r="Y82" s="1"/>
      <c r="Z82" s="5">
        <f t="shared" ref="Z82:Z87" si="75">IF(T82=0,0,X82/T82)</f>
        <v>-0.20437500000000006</v>
      </c>
    </row>
    <row r="83" spans="1:26" s="24" customFormat="1" hidden="1" outlineLevel="2" x14ac:dyDescent="0.25">
      <c r="A83" s="25"/>
      <c r="B83" s="11" t="str">
        <f>CONCATENATE("          ", "6309", " - ", "TELEPHONE")</f>
        <v xml:space="preserve">          6309 - TELEPHONE</v>
      </c>
      <c r="C83" s="11"/>
      <c r="D83" s="7">
        <v>160</v>
      </c>
      <c r="E83" s="2"/>
      <c r="F83" s="6">
        <f t="shared" si="68"/>
        <v>8.9271715763320598E-4</v>
      </c>
      <c r="G83" s="2"/>
      <c r="H83" s="7">
        <v>160</v>
      </c>
      <c r="I83" s="2"/>
      <c r="J83" s="6">
        <f t="shared" si="69"/>
        <v>8.4970791290493893E-4</v>
      </c>
      <c r="K83" s="2"/>
      <c r="L83" s="7">
        <f t="shared" si="70"/>
        <v>0</v>
      </c>
      <c r="M83" s="2"/>
      <c r="N83" s="6">
        <f t="shared" si="71"/>
        <v>0</v>
      </c>
      <c r="O83" s="11"/>
      <c r="P83" s="7">
        <v>381.9</v>
      </c>
      <c r="Q83" s="2"/>
      <c r="R83" s="6">
        <f t="shared" si="72"/>
        <v>1.2994648137661744E-3</v>
      </c>
      <c r="S83" s="2"/>
      <c r="T83" s="7">
        <v>480</v>
      </c>
      <c r="U83" s="2"/>
      <c r="V83" s="6">
        <f t="shared" si="73"/>
        <v>1.5419209765499518E-3</v>
      </c>
      <c r="W83" s="2"/>
      <c r="X83" s="7">
        <f t="shared" si="74"/>
        <v>-98.100000000000023</v>
      </c>
      <c r="Y83" s="2"/>
      <c r="Z83" s="6">
        <f t="shared" si="75"/>
        <v>-0.20437500000000006</v>
      </c>
    </row>
    <row r="84" spans="1:26" s="26" customFormat="1" outlineLevel="1" collapsed="1" x14ac:dyDescent="0.25">
      <c r="A84" s="27"/>
      <c r="B84" s="13" t="str">
        <f>CONCATENATE("     ","Training                                          ")</f>
        <v xml:space="preserve">     Training                                          </v>
      </c>
      <c r="C84" s="13"/>
      <c r="D84" s="1">
        <f>SUM(OSRRefD22_14x_0)</f>
        <v>0</v>
      </c>
      <c r="E84" s="1"/>
      <c r="F84" s="5">
        <f t="shared" si="68"/>
        <v>0</v>
      </c>
      <c r="G84" s="1"/>
      <c r="H84" s="1">
        <f>SUM(OSRRefH22_14x_0)</f>
        <v>160</v>
      </c>
      <c r="I84" s="1"/>
      <c r="J84" s="5">
        <f t="shared" si="69"/>
        <v>8.4970791290493893E-4</v>
      </c>
      <c r="K84" s="1"/>
      <c r="L84" s="1">
        <f t="shared" si="70"/>
        <v>-160</v>
      </c>
      <c r="M84" s="1"/>
      <c r="N84" s="5">
        <f t="shared" si="71"/>
        <v>-1</v>
      </c>
      <c r="O84" s="13"/>
      <c r="P84" s="1">
        <f>SUM(OSRRefP22_14x_0)</f>
        <v>85</v>
      </c>
      <c r="Q84" s="1"/>
      <c r="R84" s="5">
        <f t="shared" si="72"/>
        <v>2.8922364276021167E-4</v>
      </c>
      <c r="S84" s="1"/>
      <c r="T84" s="1">
        <f>SUM(OSRRefT22_14x_0)</f>
        <v>160</v>
      </c>
      <c r="U84" s="1"/>
      <c r="V84" s="5">
        <f t="shared" si="73"/>
        <v>5.1397365884998394E-4</v>
      </c>
      <c r="W84" s="1"/>
      <c r="X84" s="1">
        <f t="shared" si="74"/>
        <v>-75</v>
      </c>
      <c r="Y84" s="1"/>
      <c r="Z84" s="5">
        <f t="shared" si="75"/>
        <v>-0.46875</v>
      </c>
    </row>
    <row r="85" spans="1:26" s="24" customFormat="1" hidden="1" outlineLevel="2" x14ac:dyDescent="0.25">
      <c r="A85" s="25"/>
      <c r="B85" s="11" t="str">
        <f>CONCATENATE("          ", "6376", " - ", "TRAINING")</f>
        <v xml:space="preserve">          6376 - TRAINING</v>
      </c>
      <c r="C85" s="11"/>
      <c r="D85" s="7"/>
      <c r="E85" s="2"/>
      <c r="F85" s="6">
        <f t="shared" si="68"/>
        <v>0</v>
      </c>
      <c r="G85" s="2"/>
      <c r="H85" s="7">
        <v>160</v>
      </c>
      <c r="I85" s="2"/>
      <c r="J85" s="6">
        <f t="shared" si="69"/>
        <v>8.4970791290493893E-4</v>
      </c>
      <c r="K85" s="2"/>
      <c r="L85" s="7">
        <f t="shared" si="70"/>
        <v>-160</v>
      </c>
      <c r="M85" s="2"/>
      <c r="N85" s="6">
        <f t="shared" si="71"/>
        <v>-1</v>
      </c>
      <c r="O85" s="11"/>
      <c r="P85" s="7">
        <v>85</v>
      </c>
      <c r="Q85" s="2"/>
      <c r="R85" s="6">
        <f t="shared" si="72"/>
        <v>2.8922364276021167E-4</v>
      </c>
      <c r="S85" s="2"/>
      <c r="T85" s="7">
        <v>160</v>
      </c>
      <c r="U85" s="2"/>
      <c r="V85" s="6">
        <f t="shared" si="73"/>
        <v>5.1397365884998394E-4</v>
      </c>
      <c r="W85" s="2"/>
      <c r="X85" s="7">
        <f t="shared" si="74"/>
        <v>-75</v>
      </c>
      <c r="Y85" s="2"/>
      <c r="Z85" s="6">
        <f t="shared" si="75"/>
        <v>-0.46875</v>
      </c>
    </row>
    <row r="86" spans="1:26" s="26" customFormat="1" outlineLevel="1" collapsed="1" x14ac:dyDescent="0.25">
      <c r="A86" s="27"/>
      <c r="B86" s="13" t="str">
        <f>CONCATENATE("     ","Travel                                            ")</f>
        <v xml:space="preserve">     Travel                                            </v>
      </c>
      <c r="C86" s="13"/>
      <c r="D86" s="1">
        <f>SUM(OSRRefD22_15x_0)</f>
        <v>0</v>
      </c>
      <c r="E86" s="1"/>
      <c r="F86" s="5">
        <f t="shared" si="68"/>
        <v>0</v>
      </c>
      <c r="G86" s="1"/>
      <c r="H86" s="1">
        <f>SUM(OSRRefH22_15x_0)</f>
        <v>0</v>
      </c>
      <c r="I86" s="1"/>
      <c r="J86" s="5">
        <f t="shared" si="69"/>
        <v>0</v>
      </c>
      <c r="K86" s="1"/>
      <c r="L86" s="1">
        <f t="shared" si="70"/>
        <v>0</v>
      </c>
      <c r="M86" s="1"/>
      <c r="N86" s="5">
        <f t="shared" si="71"/>
        <v>0</v>
      </c>
      <c r="O86" s="13"/>
      <c r="P86" s="1">
        <f>SUM(OSRRefP22_15x_0)</f>
        <v>0</v>
      </c>
      <c r="Q86" s="1"/>
      <c r="R86" s="5">
        <f t="shared" si="72"/>
        <v>0</v>
      </c>
      <c r="S86" s="1"/>
      <c r="T86" s="1">
        <f>SUM(OSRRefT22_15x_0)</f>
        <v>2000</v>
      </c>
      <c r="U86" s="1"/>
      <c r="V86" s="5">
        <f t="shared" si="73"/>
        <v>6.4246707356247993E-3</v>
      </c>
      <c r="W86" s="1"/>
      <c r="X86" s="1">
        <f t="shared" si="74"/>
        <v>-2000</v>
      </c>
      <c r="Y86" s="1"/>
      <c r="Z86" s="5">
        <f t="shared" si="75"/>
        <v>-1</v>
      </c>
    </row>
    <row r="87" spans="1:26" s="24" customFormat="1" hidden="1" outlineLevel="2" x14ac:dyDescent="0.25">
      <c r="A87" s="25"/>
      <c r="B87" s="11" t="str">
        <f>CONCATENATE("          ", "6292", " - ", "TRAVEL/CONFERENCE")</f>
        <v xml:space="preserve">          6292 - TRAVEL/CONFERENCE</v>
      </c>
      <c r="C87" s="11"/>
      <c r="D87" s="7"/>
      <c r="E87" s="2"/>
      <c r="F87" s="6">
        <f t="shared" si="68"/>
        <v>0</v>
      </c>
      <c r="G87" s="2"/>
      <c r="H87" s="7"/>
      <c r="I87" s="2"/>
      <c r="J87" s="6">
        <f t="shared" si="69"/>
        <v>0</v>
      </c>
      <c r="K87" s="2"/>
      <c r="L87" s="7">
        <f t="shared" si="70"/>
        <v>0</v>
      </c>
      <c r="M87" s="2"/>
      <c r="N87" s="6">
        <f t="shared" si="71"/>
        <v>0</v>
      </c>
      <c r="O87" s="11"/>
      <c r="P87" s="7"/>
      <c r="Q87" s="2"/>
      <c r="R87" s="6">
        <f t="shared" si="72"/>
        <v>0</v>
      </c>
      <c r="S87" s="2"/>
      <c r="T87" s="7">
        <v>2000</v>
      </c>
      <c r="U87" s="2"/>
      <c r="V87" s="6">
        <f t="shared" si="73"/>
        <v>6.4246707356247993E-3</v>
      </c>
      <c r="W87" s="2"/>
      <c r="X87" s="7">
        <f t="shared" si="74"/>
        <v>-2000</v>
      </c>
      <c r="Y87" s="2"/>
      <c r="Z87" s="6">
        <f t="shared" si="75"/>
        <v>-1</v>
      </c>
    </row>
    <row r="88" spans="1:26" s="63" customFormat="1" x14ac:dyDescent="0.25">
      <c r="A88" s="36"/>
      <c r="B88" s="36"/>
      <c r="C88" s="36"/>
      <c r="D88" s="1"/>
      <c r="E88" s="1"/>
      <c r="F88" s="5"/>
      <c r="G88" s="1"/>
      <c r="H88" s="1"/>
      <c r="I88" s="1"/>
      <c r="J88" s="5"/>
      <c r="K88" s="1"/>
      <c r="L88" s="1"/>
      <c r="M88" s="1"/>
      <c r="N88" s="5"/>
      <c r="O88" s="36"/>
      <c r="P88" s="1"/>
      <c r="Q88" s="1"/>
      <c r="R88" s="5"/>
      <c r="S88" s="1"/>
      <c r="T88" s="1"/>
      <c r="U88" s="1"/>
      <c r="V88" s="5"/>
      <c r="W88" s="1"/>
      <c r="X88" s="1"/>
      <c r="Y88" s="1"/>
      <c r="Z88" s="5"/>
    </row>
    <row r="89" spans="1:26" s="23" customFormat="1" x14ac:dyDescent="0.25">
      <c r="A89" s="10"/>
      <c r="B89" s="28" t="s">
        <v>0</v>
      </c>
      <c r="C89" s="10"/>
      <c r="D89" s="4">
        <f>SUM(0)</f>
        <v>0</v>
      </c>
      <c r="E89" s="4"/>
      <c r="F89" s="12">
        <f>IF(D$12=0,0,D89/D$12)</f>
        <v>0</v>
      </c>
      <c r="G89" s="4"/>
      <c r="H89" s="4">
        <f>SUM(0)</f>
        <v>0</v>
      </c>
      <c r="I89" s="4"/>
      <c r="J89" s="12">
        <f>IF(H$12=0,0,H89/H$12)</f>
        <v>0</v>
      </c>
      <c r="K89" s="4"/>
      <c r="L89" s="4">
        <f>+D89-H89</f>
        <v>0</v>
      </c>
      <c r="M89" s="4"/>
      <c r="N89" s="12">
        <f>IF(H89=0,0,L89/H89)</f>
        <v>0</v>
      </c>
      <c r="O89" s="10"/>
      <c r="P89" s="4">
        <f>SUM(0)</f>
        <v>0</v>
      </c>
      <c r="Q89" s="4"/>
      <c r="R89" s="12">
        <f>IF(P$12=0,0,P89/P$12)</f>
        <v>0</v>
      </c>
      <c r="S89" s="4"/>
      <c r="T89" s="4">
        <f>SUM(0)</f>
        <v>0</v>
      </c>
      <c r="U89" s="4"/>
      <c r="V89" s="12">
        <f>IF(T$12=0,0,T89/T$12)</f>
        <v>0</v>
      </c>
      <c r="W89" s="4"/>
      <c r="X89" s="4">
        <f>+P89-T89</f>
        <v>0</v>
      </c>
      <c r="Y89" s="4"/>
      <c r="Z89" s="12">
        <f>IF(T89=0,0,X89/T89)</f>
        <v>0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25">
      <c r="A91" s="10"/>
      <c r="B91" s="29" t="s">
        <v>3</v>
      </c>
      <c r="C91" s="29"/>
      <c r="D91" s="22">
        <f>+D23-D25+D89</f>
        <v>37443.199999999983</v>
      </c>
      <c r="E91" s="14"/>
      <c r="F91" s="20">
        <f>IF(D$12=0,0,D91/D$12)</f>
        <v>0.20891366922932275</v>
      </c>
      <c r="G91" s="14"/>
      <c r="H91" s="22">
        <f>+H23-H25+H89</f>
        <v>56189.401034523078</v>
      </c>
      <c r="I91" s="14"/>
      <c r="J91" s="20">
        <f>IF(H$12=0,0,H91/H$12)</f>
        <v>0.29840361675264515</v>
      </c>
      <c r="K91" s="15"/>
      <c r="L91" s="22">
        <f>+D91-H91</f>
        <v>-18746.201034523096</v>
      </c>
      <c r="M91" s="15"/>
      <c r="N91" s="20">
        <f>IF(H91=0,0,L91/H91)</f>
        <v>-0.33362521559902952</v>
      </c>
      <c r="O91" s="28"/>
      <c r="P91" s="22">
        <f>+P23-P25+P89</f>
        <v>31168.010000000009</v>
      </c>
      <c r="Q91" s="14"/>
      <c r="R91" s="20">
        <f>IF(P$12=0,0,P91/P$12)</f>
        <v>0.10605323987984361</v>
      </c>
      <c r="S91" s="14"/>
      <c r="T91" s="22">
        <f>+T23-T25+T89</f>
        <v>46811.619898369187</v>
      </c>
      <c r="U91" s="14"/>
      <c r="V91" s="20">
        <f>IF(T$12=0,0,T91/T$12)</f>
        <v>0.15037462222412201</v>
      </c>
      <c r="W91" s="15"/>
      <c r="X91" s="22">
        <f>+P91-T91</f>
        <v>-15643.609898369177</v>
      </c>
      <c r="Y91" s="15"/>
      <c r="Z91" s="20">
        <f>IF(T91=0,0,X91/T91)</f>
        <v>-0.33418219519709819</v>
      </c>
    </row>
    <row r="92" spans="1:26" x14ac:dyDescent="0.25">
      <c r="A92" s="9"/>
      <c r="B92" s="10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52"/>
      <c r="B93" s="10" t="s">
        <v>14</v>
      </c>
      <c r="C93" s="10"/>
      <c r="D93" s="4">
        <v>17271.43</v>
      </c>
      <c r="E93" s="4"/>
      <c r="F93" s="12">
        <f>IF(D$12=0,0,D93/D$12)</f>
        <v>9.6365636861630508E-2</v>
      </c>
      <c r="G93" s="4"/>
      <c r="H93" s="4">
        <v>19399</v>
      </c>
      <c r="I93" s="4"/>
      <c r="J93" s="12">
        <f>IF(H$12=0,0,H93/H$12)</f>
        <v>0.10302177376526819</v>
      </c>
      <c r="K93" s="4"/>
      <c r="L93" s="4">
        <f>+D93-H93</f>
        <v>-2127.5699999999997</v>
      </c>
      <c r="M93" s="4"/>
      <c r="N93" s="12">
        <f>IF(H93=0,0,L93/H93)</f>
        <v>-0.10967421001082528</v>
      </c>
      <c r="O93" s="10"/>
      <c r="P93" s="4">
        <v>31567.699999999997</v>
      </c>
      <c r="Q93" s="4"/>
      <c r="R93" s="12">
        <f>IF(P$12=0,0,P93/P$12)</f>
        <v>0.10741323750072392</v>
      </c>
      <c r="S93" s="4"/>
      <c r="T93" s="4">
        <v>39375</v>
      </c>
      <c r="U93" s="4"/>
      <c r="V93" s="12">
        <f>IF(T$12=0,0,T93/T$12)</f>
        <v>0.12648570510761323</v>
      </c>
      <c r="W93" s="4"/>
      <c r="X93" s="4">
        <f>+P93-T93</f>
        <v>-7807.3000000000029</v>
      </c>
      <c r="Y93" s="4"/>
      <c r="Z93" s="12">
        <f>IF(T93=0,0,X93/T93)</f>
        <v>-0.198280634920635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.75" thickBot="1" x14ac:dyDescent="0.3">
      <c r="A95" s="10"/>
      <c r="B95" s="29" t="s">
        <v>4</v>
      </c>
      <c r="C95" s="29"/>
      <c r="D95" s="35">
        <f>+D91-D93</f>
        <v>20171.769999999982</v>
      </c>
      <c r="E95" s="14"/>
      <c r="F95" s="32">
        <f>IF(D$12=0,0,D95/D$12)</f>
        <v>0.11254803236769224</v>
      </c>
      <c r="G95" s="14"/>
      <c r="H95" s="35">
        <f>+H91-H93</f>
        <v>36790.401034523078</v>
      </c>
      <c r="I95" s="14"/>
      <c r="J95" s="32">
        <f>IF(H$12=0,0,H95/H$12)</f>
        <v>0.19538184298737693</v>
      </c>
      <c r="K95" s="15"/>
      <c r="L95" s="35">
        <f>D95-H95</f>
        <v>-16618.631034523096</v>
      </c>
      <c r="M95" s="15"/>
      <c r="N95" s="32">
        <f>IF(H95=0,0,L95/H95)</f>
        <v>-0.45171105960298286</v>
      </c>
      <c r="O95" s="28"/>
      <c r="P95" s="35">
        <f>+P91-P93</f>
        <v>-399.68999999998778</v>
      </c>
      <c r="Q95" s="14"/>
      <c r="R95" s="32">
        <f>IF(P$12=0,0,P95/P$12)</f>
        <v>-1.3599976208802996E-3</v>
      </c>
      <c r="S95" s="14"/>
      <c r="T95" s="35">
        <f>+T91-T93</f>
        <v>7436.6198983691866</v>
      </c>
      <c r="U95" s="14"/>
      <c r="V95" s="32">
        <f>IF(T$12=0,0,T95/T$12)</f>
        <v>2.3888917116508791E-2</v>
      </c>
      <c r="W95" s="15"/>
      <c r="X95" s="35">
        <f>P95-T95</f>
        <v>-7836.3098983691743</v>
      </c>
      <c r="Y95" s="15"/>
      <c r="Z95" s="32">
        <f>IF(T95=0,0,X95/T95)</f>
        <v>-1.0537461918804856</v>
      </c>
    </row>
    <row r="96" spans="1:26" ht="15.75" thickTop="1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ht="15.75" thickBot="1" x14ac:dyDescent="0.3">
      <c r="A98" s="10"/>
      <c r="B98" s="29" t="s">
        <v>5</v>
      </c>
      <c r="C98" s="29"/>
      <c r="D98" s="30">
        <f>SUM(D95:D97)</f>
        <v>20171.769999999982</v>
      </c>
      <c r="E98" s="14"/>
      <c r="F98" s="31">
        <f>IF(D$12=0,0,D98/D$12)</f>
        <v>0.11254803236769224</v>
      </c>
      <c r="G98" s="14"/>
      <c r="H98" s="30">
        <f>SUM(H95:H97)</f>
        <v>36790.401034523078</v>
      </c>
      <c r="I98" s="14"/>
      <c r="J98" s="31">
        <f>IF(H$12=0,0,H98/H$12)</f>
        <v>0.19538184298737693</v>
      </c>
      <c r="K98" s="15"/>
      <c r="L98" s="30">
        <f>+D98-H98</f>
        <v>-16618.631034523096</v>
      </c>
      <c r="M98" s="15"/>
      <c r="N98" s="31">
        <f>IF(H98=0,0,L98/H98)</f>
        <v>-0.45171105960298286</v>
      </c>
      <c r="O98" s="28"/>
      <c r="P98" s="30">
        <f>SUM(P95:P97)</f>
        <v>-399.68999999998778</v>
      </c>
      <c r="Q98" s="14"/>
      <c r="R98" s="31">
        <f>IF(P$12=0,0,P98/P$12)</f>
        <v>-1.3599976208802996E-3</v>
      </c>
      <c r="S98" s="14"/>
      <c r="T98" s="30">
        <f>SUM(T95:T97)</f>
        <v>7436.6198983691866</v>
      </c>
      <c r="U98" s="14"/>
      <c r="V98" s="31">
        <f>IF(T$12=0,0,T98/T$12)</f>
        <v>2.3888917116508791E-2</v>
      </c>
      <c r="W98" s="15"/>
      <c r="X98" s="30">
        <f>+P98-T98</f>
        <v>-7836.3098983691743</v>
      </c>
      <c r="Y98" s="15"/>
      <c r="Z98" s="31">
        <f>IF(T98=0,0,X98/T98)</f>
        <v>-1.0537461918804856</v>
      </c>
    </row>
    <row r="99" spans="1:26" ht="15.75" thickTop="1" x14ac:dyDescent="0.25">
      <c r="A99" s="9"/>
      <c r="C99" s="9"/>
      <c r="D99" s="18"/>
      <c r="E99" s="18"/>
      <c r="G99" s="18"/>
      <c r="H99" s="18"/>
      <c r="I99" s="18"/>
      <c r="J99" s="43"/>
      <c r="K99" s="18"/>
      <c r="L99" s="18"/>
      <c r="M99" s="18"/>
      <c r="P99" s="18"/>
      <c r="Q99" s="18"/>
      <c r="R99" s="43"/>
      <c r="S99" s="18"/>
      <c r="T99" s="18"/>
      <c r="U99" s="18"/>
      <c r="V99" s="43"/>
      <c r="W99" s="18"/>
      <c r="X99" s="18"/>
    </row>
    <row r="100" spans="1:26" x14ac:dyDescent="0.25">
      <c r="A100" s="9"/>
      <c r="B100" s="53">
        <v>43756.452709108795</v>
      </c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6" x14ac:dyDescent="0.25">
      <c r="A101" s="9"/>
      <c r="B101" s="55" t="s">
        <v>314</v>
      </c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  <row r="102" spans="1:26" x14ac:dyDescent="0.25">
      <c r="A102" s="9"/>
      <c r="B102" s="56"/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  <row r="103" spans="1:26" x14ac:dyDescent="0.25">
      <c r="D103" s="18"/>
      <c r="E103" s="18"/>
      <c r="G103" s="18"/>
      <c r="H103" s="18"/>
      <c r="I103" s="18"/>
      <c r="J103" s="43"/>
      <c r="K103" s="18"/>
      <c r="L103" s="18"/>
      <c r="M103" s="18"/>
      <c r="P103" s="18"/>
      <c r="Q103" s="18"/>
      <c r="R103" s="43"/>
      <c r="S103" s="18"/>
      <c r="T103" s="18"/>
      <c r="U103" s="18"/>
      <c r="V103" s="43"/>
      <c r="W103" s="18"/>
      <c r="X103" s="18"/>
    </row>
  </sheetData>
  <pageMargins left="0.25" right="0.25" top="0.75" bottom="0.75" header="0.3" footer="0.3"/>
  <pageSetup scale="55" fitToWidth="2" orientation="landscape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str">
        <f>CONCATENATE("Period ",RIGHT(202003,2),", ",2020)</f>
        <v>Period 03, 2020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43736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tr">
        <f>CONCATENATE("Department ","420", " - ", "Catering")</f>
        <v>Department 420 - Catering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8047.21</v>
      </c>
      <c r="E18" s="21"/>
      <c r="F18" s="33">
        <f t="shared" ref="F18:F21" si="0">IF(D$12=0,0,D18/D$12)</f>
        <v>0</v>
      </c>
      <c r="G18" s="21"/>
      <c r="H18" s="21">
        <f>SUM(OSRRefH22x_0)</f>
        <v>0</v>
      </c>
      <c r="I18" s="21"/>
      <c r="J18" s="33">
        <f t="shared" ref="J18:J21" si="1">IF(H$12=0,0,H18/H$12)</f>
        <v>0</v>
      </c>
      <c r="K18" s="4"/>
      <c r="L18" s="21">
        <f t="shared" ref="L18:L21" si="2">+D18-H18</f>
        <v>8047.21</v>
      </c>
      <c r="M18" s="4"/>
      <c r="N18" s="33">
        <f t="shared" ref="N18:N21" si="3">IF(H18=0,0,L18/H18)</f>
        <v>0</v>
      </c>
      <c r="O18" s="10"/>
      <c r="P18" s="21">
        <f>SUM(OSRRefP22x_0)</f>
        <v>8047.21</v>
      </c>
      <c r="Q18" s="21"/>
      <c r="R18" s="33">
        <f t="shared" ref="R18:R21" si="4">IF(P$12=0,0,P18/P$12)</f>
        <v>0</v>
      </c>
      <c r="S18" s="21"/>
      <c r="T18" s="21">
        <f>SUM(OSRRefT22x_0)</f>
        <v>0</v>
      </c>
      <c r="U18" s="21"/>
      <c r="V18" s="33">
        <f t="shared" ref="V18:V21" si="5">IF(T$12=0,0,T18/T$12)</f>
        <v>0</v>
      </c>
      <c r="W18" s="4"/>
      <c r="X18" s="21">
        <f t="shared" ref="X18:X21" si="6">+P18-T18</f>
        <v>8047.21</v>
      </c>
      <c r="Y18" s="4"/>
      <c r="Z18" s="33">
        <f t="shared" ref="Z18:Z21" si="7">IF(T18=0,0,X18/T18)</f>
        <v>0</v>
      </c>
    </row>
    <row r="19" spans="1:26" s="26" customFormat="1" outlineLevel="1" collapsed="1" x14ac:dyDescent="0.25">
      <c r="A19" s="27"/>
      <c r="B19" s="13" t="str">
        <f>CONCATENATE("     ","*Payroll                                          ")</f>
        <v xml:space="preserve">     *Payroll                                          </v>
      </c>
      <c r="C19" s="13"/>
      <c r="D19" s="1">
        <f>SUM(OSRRefD22_0x_0)</f>
        <v>6896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6896</v>
      </c>
      <c r="M19" s="1"/>
      <c r="N19" s="5">
        <f t="shared" si="3"/>
        <v>0</v>
      </c>
      <c r="O19" s="13"/>
      <c r="P19" s="1">
        <f>SUM(OSRRefP22_0x_0)</f>
        <v>6896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6896</v>
      </c>
      <c r="Y19" s="1"/>
      <c r="Z19" s="5">
        <f t="shared" si="7"/>
        <v>0</v>
      </c>
    </row>
    <row r="20" spans="1:26" s="24" customFormat="1" hidden="1" outlineLevel="2" x14ac:dyDescent="0.25">
      <c r="A20" s="25"/>
      <c r="B20" s="11" t="str">
        <f>CONCATENATE("          ", "6002", " - ", "STAFF SALARIES")</f>
        <v xml:space="preserve">          6002 - STAFF SALARIES</v>
      </c>
      <c r="C20" s="11"/>
      <c r="D20" s="7">
        <v>4625</v>
      </c>
      <c r="E20" s="2"/>
      <c r="F20" s="6">
        <f t="shared" si="0"/>
        <v>0</v>
      </c>
      <c r="G20" s="2"/>
      <c r="H20" s="7"/>
      <c r="I20" s="2"/>
      <c r="J20" s="6">
        <f t="shared" si="1"/>
        <v>0</v>
      </c>
      <c r="K20" s="2"/>
      <c r="L20" s="7">
        <f t="shared" si="2"/>
        <v>4625</v>
      </c>
      <c r="M20" s="2"/>
      <c r="N20" s="6">
        <f t="shared" si="3"/>
        <v>0</v>
      </c>
      <c r="O20" s="11"/>
      <c r="P20" s="7">
        <v>4625</v>
      </c>
      <c r="Q20" s="2"/>
      <c r="R20" s="6">
        <f t="shared" si="4"/>
        <v>0</v>
      </c>
      <c r="S20" s="2"/>
      <c r="T20" s="7"/>
      <c r="U20" s="2"/>
      <c r="V20" s="6">
        <f t="shared" si="5"/>
        <v>0</v>
      </c>
      <c r="W20" s="2"/>
      <c r="X20" s="7">
        <f t="shared" si="6"/>
        <v>4625</v>
      </c>
      <c r="Y20" s="2"/>
      <c r="Z20" s="6">
        <f t="shared" si="7"/>
        <v>0</v>
      </c>
    </row>
    <row r="21" spans="1:26" s="24" customFormat="1" hidden="1" outlineLevel="2" x14ac:dyDescent="0.25">
      <c r="A21" s="25"/>
      <c r="B21" s="11" t="str">
        <f>CONCATENATE("          ", "6007", " - ", "STUDENT HOURLY")</f>
        <v xml:space="preserve">          6007 - STUDENT HOURLY</v>
      </c>
      <c r="C21" s="11"/>
      <c r="D21" s="7">
        <v>2271</v>
      </c>
      <c r="E21" s="2"/>
      <c r="F21" s="6">
        <f t="shared" si="0"/>
        <v>0</v>
      </c>
      <c r="G21" s="2"/>
      <c r="H21" s="7"/>
      <c r="I21" s="2"/>
      <c r="J21" s="6">
        <f t="shared" si="1"/>
        <v>0</v>
      </c>
      <c r="K21" s="2"/>
      <c r="L21" s="7">
        <f t="shared" si="2"/>
        <v>2271</v>
      </c>
      <c r="M21" s="2"/>
      <c r="N21" s="6">
        <f t="shared" si="3"/>
        <v>0</v>
      </c>
      <c r="O21" s="11"/>
      <c r="P21" s="7">
        <v>2271</v>
      </c>
      <c r="Q21" s="2"/>
      <c r="R21" s="6">
        <f t="shared" si="4"/>
        <v>0</v>
      </c>
      <c r="S21" s="2"/>
      <c r="T21" s="7"/>
      <c r="U21" s="2"/>
      <c r="V21" s="6">
        <f t="shared" si="5"/>
        <v>0</v>
      </c>
      <c r="W21" s="2"/>
      <c r="X21" s="7">
        <f t="shared" si="6"/>
        <v>2271</v>
      </c>
      <c r="Y21" s="2"/>
      <c r="Z21" s="6">
        <f t="shared" si="7"/>
        <v>0</v>
      </c>
    </row>
    <row r="22" spans="1:26" s="26" customFormat="1" outlineLevel="1" collapsed="1" x14ac:dyDescent="0.25">
      <c r="A22" s="27"/>
      <c r="B22" s="13" t="str">
        <f>CONCATENATE("     ","Repair and Maintenance                            ")</f>
        <v xml:space="preserve">     Repair and Maintenance                            </v>
      </c>
      <c r="C22" s="13"/>
      <c r="D22" s="1">
        <f>SUM(OSRRefD22_1x_0)</f>
        <v>1151.21</v>
      </c>
      <c r="E22" s="1"/>
      <c r="F22" s="5">
        <f t="shared" ref="F22:F23" si="8">IF(D$12=0,0,D22/D$12)</f>
        <v>0</v>
      </c>
      <c r="G22" s="1"/>
      <c r="H22" s="1">
        <f>SUM(OSRRefH22_1x_0)</f>
        <v>0</v>
      </c>
      <c r="I22" s="1"/>
      <c r="J22" s="5">
        <f t="shared" ref="J22:J23" si="9">IF(H$12=0,0,H22/H$12)</f>
        <v>0</v>
      </c>
      <c r="K22" s="1"/>
      <c r="L22" s="1">
        <f t="shared" ref="L22:L23" si="10">+D22-H22</f>
        <v>1151.21</v>
      </c>
      <c r="M22" s="1"/>
      <c r="N22" s="5">
        <f t="shared" ref="N22:N23" si="11">IF(H22=0,0,L22/H22)</f>
        <v>0</v>
      </c>
      <c r="O22" s="13"/>
      <c r="P22" s="1">
        <f>SUM(OSRRefP22_1x_0)</f>
        <v>1151.21</v>
      </c>
      <c r="Q22" s="1"/>
      <c r="R22" s="5">
        <f t="shared" ref="R22:R23" si="12">IF(P$12=0,0,P22/P$12)</f>
        <v>0</v>
      </c>
      <c r="S22" s="1"/>
      <c r="T22" s="1">
        <f>SUM(OSRRefT22_1x_0)</f>
        <v>0</v>
      </c>
      <c r="U22" s="1"/>
      <c r="V22" s="5">
        <f t="shared" ref="V22:V23" si="13">IF(T$12=0,0,T22/T$12)</f>
        <v>0</v>
      </c>
      <c r="W22" s="1"/>
      <c r="X22" s="1">
        <f t="shared" ref="X22:X23" si="14">+P22-T22</f>
        <v>1151.21</v>
      </c>
      <c r="Y22" s="1"/>
      <c r="Z22" s="5">
        <f t="shared" ref="Z22:Z23" si="15">IF(T22=0,0,X22/T22)</f>
        <v>0</v>
      </c>
    </row>
    <row r="23" spans="1:26" s="24" customFormat="1" hidden="1" outlineLevel="2" x14ac:dyDescent="0.25">
      <c r="A23" s="25"/>
      <c r="B23" s="11" t="str">
        <f>CONCATENATE("          ", "6375", " - ", "OUTSIDE REPAIRS &amp; MAINTENANCE")</f>
        <v xml:space="preserve">          6375 - OUTSIDE REPAIRS &amp; MAINTENANCE</v>
      </c>
      <c r="C23" s="11"/>
      <c r="D23" s="7">
        <v>1151.21</v>
      </c>
      <c r="E23" s="2"/>
      <c r="F23" s="6">
        <f t="shared" si="8"/>
        <v>0</v>
      </c>
      <c r="G23" s="2"/>
      <c r="H23" s="7"/>
      <c r="I23" s="2"/>
      <c r="J23" s="6">
        <f t="shared" si="9"/>
        <v>0</v>
      </c>
      <c r="K23" s="2"/>
      <c r="L23" s="7">
        <f t="shared" si="10"/>
        <v>1151.21</v>
      </c>
      <c r="M23" s="2"/>
      <c r="N23" s="6">
        <f t="shared" si="11"/>
        <v>0</v>
      </c>
      <c r="O23" s="11"/>
      <c r="P23" s="7">
        <v>1151.21</v>
      </c>
      <c r="Q23" s="2"/>
      <c r="R23" s="6">
        <f t="shared" si="12"/>
        <v>0</v>
      </c>
      <c r="S23" s="2"/>
      <c r="T23" s="7"/>
      <c r="U23" s="2"/>
      <c r="V23" s="6">
        <f t="shared" si="13"/>
        <v>0</v>
      </c>
      <c r="W23" s="2"/>
      <c r="X23" s="7">
        <f t="shared" si="14"/>
        <v>1151.21</v>
      </c>
      <c r="Y23" s="2"/>
      <c r="Z23" s="6">
        <f t="shared" si="15"/>
        <v>0</v>
      </c>
    </row>
    <row r="24" spans="1:26" s="63" customFormat="1" x14ac:dyDescent="0.25">
      <c r="A24" s="36"/>
      <c r="B24" s="36"/>
      <c r="C24" s="36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0</v>
      </c>
      <c r="C25" s="10"/>
      <c r="D25" s="4">
        <f>SUM(0)</f>
        <v>0</v>
      </c>
      <c r="E25" s="4"/>
      <c r="F25" s="12">
        <f>IF(D$12=0,0,D25/D$12)</f>
        <v>0</v>
      </c>
      <c r="G25" s="4"/>
      <c r="H25" s="4">
        <f>SUM(0)</f>
        <v>0</v>
      </c>
      <c r="I25" s="4"/>
      <c r="J25" s="12">
        <f>IF(H$12=0,0,H25/H$12)</f>
        <v>0</v>
      </c>
      <c r="K25" s="4"/>
      <c r="L25" s="4">
        <f>+D25-H25</f>
        <v>0</v>
      </c>
      <c r="M25" s="4"/>
      <c r="N25" s="12">
        <f>IF(H25=0,0,L25/H25)</f>
        <v>0</v>
      </c>
      <c r="O25" s="10"/>
      <c r="P25" s="4">
        <f>SUM(0)</f>
        <v>0</v>
      </c>
      <c r="Q25" s="4"/>
      <c r="R25" s="12">
        <f>IF(P$12=0,0,P25/P$12)</f>
        <v>0</v>
      </c>
      <c r="S25" s="4"/>
      <c r="T25" s="4">
        <f>SUM(0)</f>
        <v>0</v>
      </c>
      <c r="U25" s="4"/>
      <c r="V25" s="12">
        <f>IF(T$12=0,0,T25/T$12)</f>
        <v>0</v>
      </c>
      <c r="W25" s="4"/>
      <c r="X25" s="4">
        <f>+P25-T25</f>
        <v>0</v>
      </c>
      <c r="Y25" s="4"/>
      <c r="Z25" s="12">
        <f>IF(T25=0,0,X25/T25)</f>
        <v>0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>
        <f>+D16-D18+D25</f>
        <v>-8047.21</v>
      </c>
      <c r="E27" s="14"/>
      <c r="F27" s="20">
        <f>IF(D$12=0,0,D27/D$12)</f>
        <v>0</v>
      </c>
      <c r="G27" s="14"/>
      <c r="H27" s="22">
        <f>+H16-H18+H25</f>
        <v>0</v>
      </c>
      <c r="I27" s="14"/>
      <c r="J27" s="20">
        <f>IF(H$12=0,0,H27/H$12)</f>
        <v>0</v>
      </c>
      <c r="K27" s="15"/>
      <c r="L27" s="22">
        <f>+D27-H27</f>
        <v>-8047.21</v>
      </c>
      <c r="M27" s="15"/>
      <c r="N27" s="20">
        <f>IF(H27=0,0,L27/H27)</f>
        <v>0</v>
      </c>
      <c r="O27" s="28"/>
      <c r="P27" s="22">
        <f>+P16-P18+P25</f>
        <v>-8047.21</v>
      </c>
      <c r="Q27" s="14"/>
      <c r="R27" s="20">
        <f>IF(P$12=0,0,P27/P$12)</f>
        <v>0</v>
      </c>
      <c r="S27" s="14"/>
      <c r="T27" s="22">
        <f>+T16-T18+T25</f>
        <v>0</v>
      </c>
      <c r="U27" s="14"/>
      <c r="V27" s="20">
        <f>IF(T$12=0,0,T27/T$12)</f>
        <v>0</v>
      </c>
      <c r="W27" s="15"/>
      <c r="X27" s="22">
        <f>+P27-T27</f>
        <v>-8047.21</v>
      </c>
      <c r="Y27" s="15"/>
      <c r="Z27" s="20">
        <f>IF(T27=0,0,X27/T27)</f>
        <v>0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/>
      <c r="E29" s="4"/>
      <c r="F29" s="12">
        <f>IF(D$12=0,0,D29/D$12)</f>
        <v>0</v>
      </c>
      <c r="G29" s="4"/>
      <c r="H29" s="4"/>
      <c r="I29" s="4"/>
      <c r="J29" s="12">
        <f>IF(H$12=0,0,H29/H$12)</f>
        <v>0</v>
      </c>
      <c r="K29" s="4"/>
      <c r="L29" s="4">
        <f>+D29-H29</f>
        <v>0</v>
      </c>
      <c r="M29" s="4"/>
      <c r="N29" s="12">
        <f>IF(H29=0,0,L29/H29)</f>
        <v>0</v>
      </c>
      <c r="O29" s="10"/>
      <c r="P29" s="4"/>
      <c r="Q29" s="4"/>
      <c r="R29" s="12">
        <f>IF(P$12=0,0,P29/P$12)</f>
        <v>0</v>
      </c>
      <c r="S29" s="4"/>
      <c r="T29" s="4"/>
      <c r="U29" s="4"/>
      <c r="V29" s="12">
        <f>IF(T$12=0,0,T29/T$12)</f>
        <v>0</v>
      </c>
      <c r="W29" s="4"/>
      <c r="X29" s="4">
        <f>+P29-T29</f>
        <v>0</v>
      </c>
      <c r="Y29" s="4"/>
      <c r="Z29" s="12">
        <f>IF(T29=0,0,X29/T29)</f>
        <v>0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>
        <f>+D27-D29</f>
        <v>-8047.21</v>
      </c>
      <c r="E31" s="14"/>
      <c r="F31" s="32">
        <f>IF(D$12=0,0,D31/D$12)</f>
        <v>0</v>
      </c>
      <c r="G31" s="14"/>
      <c r="H31" s="35">
        <f>+H27-H29</f>
        <v>0</v>
      </c>
      <c r="I31" s="14"/>
      <c r="J31" s="32">
        <f>IF(H$12=0,0,H31/H$12)</f>
        <v>0</v>
      </c>
      <c r="K31" s="15"/>
      <c r="L31" s="35">
        <f>D31-H31</f>
        <v>-8047.21</v>
      </c>
      <c r="M31" s="15"/>
      <c r="N31" s="32">
        <f>IF(H31=0,0,L31/H31)</f>
        <v>0</v>
      </c>
      <c r="O31" s="28"/>
      <c r="P31" s="35">
        <f>+P27-P29</f>
        <v>-8047.21</v>
      </c>
      <c r="Q31" s="14"/>
      <c r="R31" s="32">
        <f>IF(P$12=0,0,P31/P$12)</f>
        <v>0</v>
      </c>
      <c r="S31" s="14"/>
      <c r="T31" s="35">
        <f>+T27-T29</f>
        <v>0</v>
      </c>
      <c r="U31" s="14"/>
      <c r="V31" s="32">
        <f>IF(T$12=0,0,T31/T$12)</f>
        <v>0</v>
      </c>
      <c r="W31" s="15"/>
      <c r="X31" s="35">
        <f>P31-T31</f>
        <v>-8047.21</v>
      </c>
      <c r="Y31" s="15"/>
      <c r="Z31" s="32">
        <f>IF(T31=0,0,X31/T31)</f>
        <v>0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x14ac:dyDescent="0.25">
      <c r="A33" s="9"/>
      <c r="B33" s="9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ht="15.75" thickBot="1" x14ac:dyDescent="0.3">
      <c r="A34" s="10"/>
      <c r="B34" s="29" t="s">
        <v>5</v>
      </c>
      <c r="C34" s="29"/>
      <c r="D34" s="30">
        <f>SUM(D31:D33)</f>
        <v>-8047.21</v>
      </c>
      <c r="E34" s="14"/>
      <c r="F34" s="31">
        <f>IF(D$12=0,0,D34/D$12)</f>
        <v>0</v>
      </c>
      <c r="G34" s="14"/>
      <c r="H34" s="30">
        <f>SUM(H31:H33)</f>
        <v>0</v>
      </c>
      <c r="I34" s="14"/>
      <c r="J34" s="31">
        <f>IF(H$12=0,0,H34/H$12)</f>
        <v>0</v>
      </c>
      <c r="K34" s="15"/>
      <c r="L34" s="30">
        <f>+D34-H34</f>
        <v>-8047.21</v>
      </c>
      <c r="M34" s="15"/>
      <c r="N34" s="31">
        <f>IF(H34=0,0,L34/H34)</f>
        <v>0</v>
      </c>
      <c r="O34" s="28"/>
      <c r="P34" s="30">
        <f>SUM(P31:P33)</f>
        <v>-8047.21</v>
      </c>
      <c r="Q34" s="14"/>
      <c r="R34" s="31">
        <f>IF(P$12=0,0,P34/P$12)</f>
        <v>0</v>
      </c>
      <c r="S34" s="14"/>
      <c r="T34" s="30">
        <f>SUM(T31:T33)</f>
        <v>0</v>
      </c>
      <c r="U34" s="14"/>
      <c r="V34" s="31">
        <f>IF(T$12=0,0,T34/T$12)</f>
        <v>0</v>
      </c>
      <c r="W34" s="15"/>
      <c r="X34" s="30">
        <f>+P34-T34</f>
        <v>-8047.21</v>
      </c>
      <c r="Y34" s="15"/>
      <c r="Z34" s="31">
        <f>IF(T34=0,0,X34/T34)</f>
        <v>0</v>
      </c>
    </row>
    <row r="35" spans="1:26" ht="15.75" thickTop="1" x14ac:dyDescent="0.25">
      <c r="A35" s="9"/>
      <c r="C35" s="9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6" x14ac:dyDescent="0.25">
      <c r="A36" s="9"/>
      <c r="B36" s="53">
        <v>43756.452725810188</v>
      </c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  <row r="37" spans="1:26" x14ac:dyDescent="0.25">
      <c r="A37" s="9"/>
      <c r="B37" s="55" t="s">
        <v>314</v>
      </c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/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</sheetData>
  <pageMargins left="0.25" right="0.25" top="0.75" bottom="0.75" header="0.3" footer="0.3"/>
  <pageSetup scale="55" fitToWidth="2" orientation="landscape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str">
        <f>CONCATENATE("Period ",RIGHT(202003,2),", ",2020)</f>
        <v>Period 03, 2020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43736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tr">
        <f>CONCATENATE("Department ","423", " - ", "Contract Revenue")</f>
        <v>Department 423 - Contract Revenue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25">
      <c r="A14" s="10"/>
      <c r="B14" s="28" t="s">
        <v>8</v>
      </c>
      <c r="C14" s="10"/>
      <c r="D14" s="4">
        <f>SUM(OSRRefD16x_0)</f>
        <v>0</v>
      </c>
      <c r="E14" s="4"/>
      <c r="F14" s="12">
        <f t="shared" ref="F14:F15" si="0">IF(D$12=0,0,D14/D$12)</f>
        <v>0</v>
      </c>
      <c r="G14" s="4"/>
      <c r="H14" s="4">
        <f>SUM(OSRRefH16x_0)</f>
        <v>0</v>
      </c>
      <c r="I14" s="4"/>
      <c r="J14" s="12">
        <f t="shared" ref="J14:J15" si="1">IF(H$12=0,0,H14/H$12)</f>
        <v>0</v>
      </c>
      <c r="K14" s="4"/>
      <c r="L14" s="4">
        <f t="shared" ref="L14:L15" si="2">+D14-H14</f>
        <v>0</v>
      </c>
      <c r="M14" s="4"/>
      <c r="N14" s="12">
        <f t="shared" ref="N14:N15" si="3">IF(H14=0,0,L14/H14)</f>
        <v>0</v>
      </c>
      <c r="O14" s="10"/>
      <c r="P14" s="4">
        <f>SUM(OSRRefP16x_0)</f>
        <v>-805.48</v>
      </c>
      <c r="Q14" s="4"/>
      <c r="R14" s="12">
        <f t="shared" ref="R14:R15" si="4">IF(P$12=0,0,P14/P$12)</f>
        <v>0</v>
      </c>
      <c r="S14" s="4"/>
      <c r="T14" s="4">
        <f>SUM(OSRRefT16x_0)</f>
        <v>0</v>
      </c>
      <c r="U14" s="4"/>
      <c r="V14" s="12">
        <f t="shared" ref="V14:V15" si="5">IF(T$12=0,0,T14/T$12)</f>
        <v>0</v>
      </c>
      <c r="W14" s="4"/>
      <c r="X14" s="4">
        <f t="shared" ref="X14:X15" si="6">+P14-T14</f>
        <v>-805.48</v>
      </c>
      <c r="Y14" s="4"/>
      <c r="Z14" s="12">
        <f t="shared" ref="Z14:Z15" si="7">IF(T14=0,0,X14/T14)</f>
        <v>0</v>
      </c>
    </row>
    <row r="15" spans="1:26" s="24" customFormat="1" hidden="1" outlineLevel="1" x14ac:dyDescent="0.25">
      <c r="A15" s="46"/>
      <c r="B15" s="11" t="str">
        <f>CONCATENATE("          ", "5053", " - ", "PURCHASES @ COST-FOOD")</f>
        <v xml:space="preserve">          5053 - PURCHASES @ COST-FOOD</v>
      </c>
      <c r="C15" s="11"/>
      <c r="D15" s="2"/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0</v>
      </c>
      <c r="M15" s="2"/>
      <c r="N15" s="19">
        <f t="shared" si="3"/>
        <v>0</v>
      </c>
      <c r="O15" s="11"/>
      <c r="P15" s="2">
        <v>-805.48</v>
      </c>
      <c r="Q15" s="2"/>
      <c r="R15" s="19">
        <f t="shared" si="4"/>
        <v>0</v>
      </c>
      <c r="S15" s="2"/>
      <c r="T15" s="2"/>
      <c r="U15" s="2"/>
      <c r="V15" s="19">
        <f t="shared" si="5"/>
        <v>0</v>
      </c>
      <c r="W15" s="2"/>
      <c r="X15" s="2">
        <f t="shared" si="6"/>
        <v>-805.48</v>
      </c>
      <c r="Y15" s="2"/>
      <c r="Z15" s="19">
        <f t="shared" si="7"/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9" t="s">
        <v>6</v>
      </c>
      <c r="C17" s="29"/>
      <c r="D17" s="22">
        <f>D12-D14</f>
        <v>0</v>
      </c>
      <c r="E17" s="14"/>
      <c r="F17" s="20">
        <f>IF(D$12=0,0,D17/D$12)</f>
        <v>0</v>
      </c>
      <c r="G17" s="14"/>
      <c r="H17" s="22">
        <f>H12-H14</f>
        <v>0</v>
      </c>
      <c r="I17" s="14"/>
      <c r="J17" s="20">
        <f>IF(H$12=0,0,H17/H$12)</f>
        <v>0</v>
      </c>
      <c r="K17" s="15"/>
      <c r="L17" s="22">
        <f>+D17-H17</f>
        <v>0</v>
      </c>
      <c r="M17" s="15"/>
      <c r="N17" s="20">
        <f>IF(H17=0,0,L17/H17)</f>
        <v>0</v>
      </c>
      <c r="O17" s="28"/>
      <c r="P17" s="22">
        <f>P12-P14</f>
        <v>805.48</v>
      </c>
      <c r="Q17" s="14"/>
      <c r="R17" s="20">
        <f>IF(P$12=0,0,P17/P$12)</f>
        <v>0</v>
      </c>
      <c r="S17" s="14"/>
      <c r="T17" s="22">
        <f>T12-T14</f>
        <v>0</v>
      </c>
      <c r="U17" s="14"/>
      <c r="V17" s="20">
        <f>IF(T$12=0,0,T17/T$12)</f>
        <v>0</v>
      </c>
      <c r="W17" s="15"/>
      <c r="X17" s="22">
        <f>+P17-T17</f>
        <v>805.48</v>
      </c>
      <c r="Y17" s="15"/>
      <c r="Z17" s="20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8" t="s">
        <v>9</v>
      </c>
      <c r="C19" s="10"/>
      <c r="D19" s="21">
        <f>SUM(OSRRefD22x_0)</f>
        <v>13333.1</v>
      </c>
      <c r="E19" s="21"/>
      <c r="F19" s="33">
        <f t="shared" ref="F19:F29" si="8">IF(D$12=0,0,D19/D$12)</f>
        <v>0</v>
      </c>
      <c r="G19" s="21"/>
      <c r="H19" s="21">
        <f>SUM(OSRRefH22x_0)</f>
        <v>6331.7953308384567</v>
      </c>
      <c r="I19" s="21"/>
      <c r="J19" s="33">
        <f t="shared" ref="J19:J29" si="9">IF(H$12=0,0,H19/H$12)</f>
        <v>0</v>
      </c>
      <c r="K19" s="4"/>
      <c r="L19" s="21">
        <f t="shared" ref="L19:L29" si="10">+D19-H19</f>
        <v>7001.3046691615436</v>
      </c>
      <c r="M19" s="4"/>
      <c r="N19" s="33">
        <f t="shared" ref="N19:N29" si="11">IF(H19=0,0,L19/H19)</f>
        <v>1.1057376783899346</v>
      </c>
      <c r="O19" s="10"/>
      <c r="P19" s="21">
        <f>SUM(OSRRefP22x_0)</f>
        <v>39922.620000000003</v>
      </c>
      <c r="Q19" s="21"/>
      <c r="R19" s="33">
        <f t="shared" ref="R19:R29" si="12">IF(P$12=0,0,P19/P$12)</f>
        <v>0</v>
      </c>
      <c r="S19" s="21"/>
      <c r="T19" s="21">
        <f>SUM(OSRRefT22x_0)</f>
        <v>24116.459825224993</v>
      </c>
      <c r="U19" s="21"/>
      <c r="V19" s="33">
        <f t="shared" ref="V19:V29" si="13">IF(T$12=0,0,T19/T$12)</f>
        <v>0</v>
      </c>
      <c r="W19" s="4"/>
      <c r="X19" s="21">
        <f t="shared" ref="X19:X29" si="14">+P19-T19</f>
        <v>15806.16017477501</v>
      </c>
      <c r="Y19" s="4"/>
      <c r="Z19" s="33">
        <f t="shared" ref="Z19:Z29" si="15">IF(T19=0,0,X19/T19)</f>
        <v>0.65540963679264019</v>
      </c>
    </row>
    <row r="20" spans="1:26" s="26" customFormat="1" outlineLevel="1" collapsed="1" x14ac:dyDescent="0.25">
      <c r="A20" s="27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9059.09</v>
      </c>
      <c r="E20" s="1"/>
      <c r="F20" s="5">
        <f t="shared" si="8"/>
        <v>0</v>
      </c>
      <c r="G20" s="1"/>
      <c r="H20" s="1">
        <f>SUM(OSRRefH22_0x_0)</f>
        <v>2140.130946223077</v>
      </c>
      <c r="I20" s="1"/>
      <c r="J20" s="5">
        <f t="shared" si="9"/>
        <v>0</v>
      </c>
      <c r="K20" s="1"/>
      <c r="L20" s="1">
        <f t="shared" si="10"/>
        <v>6918.9590537769236</v>
      </c>
      <c r="M20" s="1"/>
      <c r="N20" s="5">
        <f t="shared" si="11"/>
        <v>3.232960612053934</v>
      </c>
      <c r="O20" s="13"/>
      <c r="P20" s="1">
        <f>SUM(OSRRefP22_0x_0)</f>
        <v>16473.14</v>
      </c>
      <c r="Q20" s="1"/>
      <c r="R20" s="5">
        <f t="shared" si="12"/>
        <v>0</v>
      </c>
      <c r="S20" s="1"/>
      <c r="T20" s="1">
        <f>SUM(OSRRefT22_0x_0)</f>
        <v>6745.300575225001</v>
      </c>
      <c r="U20" s="1"/>
      <c r="V20" s="5">
        <f t="shared" si="13"/>
        <v>0</v>
      </c>
      <c r="W20" s="1"/>
      <c r="X20" s="1">
        <f t="shared" si="14"/>
        <v>9727.8394247749984</v>
      </c>
      <c r="Y20" s="1"/>
      <c r="Z20" s="5">
        <f t="shared" si="15"/>
        <v>1.4421654478237258</v>
      </c>
    </row>
    <row r="21" spans="1:26" s="24" customFormat="1" hidden="1" outlineLevel="2" x14ac:dyDescent="0.25">
      <c r="A21" s="25"/>
      <c r="B21" s="11" t="str">
        <f>CONCATENATE("          ", "6111", " - ", "F.I.C.A.")</f>
        <v xml:space="preserve">          6111 - F.I.C.A.</v>
      </c>
      <c r="C21" s="11"/>
      <c r="D21" s="7">
        <v>384.92</v>
      </c>
      <c r="E21" s="2"/>
      <c r="F21" s="6">
        <f t="shared" si="8"/>
        <v>0</v>
      </c>
      <c r="G21" s="2"/>
      <c r="H21" s="7">
        <v>350.05369483846198</v>
      </c>
      <c r="I21" s="2"/>
      <c r="J21" s="6">
        <f t="shared" si="9"/>
        <v>0</v>
      </c>
      <c r="K21" s="2"/>
      <c r="L21" s="7">
        <f t="shared" si="10"/>
        <v>34.866305161538037</v>
      </c>
      <c r="M21" s="2"/>
      <c r="N21" s="6">
        <f t="shared" si="11"/>
        <v>9.9602734310882401E-2</v>
      </c>
      <c r="O21" s="11"/>
      <c r="P21" s="7">
        <v>1084.76</v>
      </c>
      <c r="Q21" s="2"/>
      <c r="R21" s="6">
        <f t="shared" si="12"/>
        <v>0</v>
      </c>
      <c r="S21" s="2"/>
      <c r="T21" s="7">
        <v>1137.6745082250011</v>
      </c>
      <c r="U21" s="2"/>
      <c r="V21" s="6">
        <f t="shared" si="13"/>
        <v>0</v>
      </c>
      <c r="W21" s="2"/>
      <c r="X21" s="7">
        <f t="shared" si="14"/>
        <v>-52.9145082250011</v>
      </c>
      <c r="Y21" s="2"/>
      <c r="Z21" s="6">
        <f t="shared" si="15"/>
        <v>-4.6511113541216877E-2</v>
      </c>
    </row>
    <row r="22" spans="1:26" s="24" customFormat="1" hidden="1" outlineLevel="2" x14ac:dyDescent="0.25">
      <c r="A22" s="25"/>
      <c r="B22" s="11" t="str">
        <f>CONCATENATE("          ", "6112", " - ", "COMPENSATION INSURANCE")</f>
        <v xml:space="preserve">          6112 - COMPENSATION INSURANCE</v>
      </c>
      <c r="C22" s="11"/>
      <c r="D22" s="7">
        <v>17.11</v>
      </c>
      <c r="E22" s="2"/>
      <c r="F22" s="6">
        <f t="shared" si="8"/>
        <v>0</v>
      </c>
      <c r="G22" s="2"/>
      <c r="H22" s="7">
        <v>86.907359230769202</v>
      </c>
      <c r="I22" s="2"/>
      <c r="J22" s="6">
        <f t="shared" si="9"/>
        <v>0</v>
      </c>
      <c r="K22" s="2"/>
      <c r="L22" s="7">
        <f t="shared" si="10"/>
        <v>-69.797359230769203</v>
      </c>
      <c r="M22" s="2"/>
      <c r="N22" s="6">
        <f t="shared" si="11"/>
        <v>-0.80312369226906311</v>
      </c>
      <c r="O22" s="11"/>
      <c r="P22" s="7">
        <v>372.05</v>
      </c>
      <c r="Q22" s="2"/>
      <c r="R22" s="6">
        <f t="shared" si="12"/>
        <v>0</v>
      </c>
      <c r="S22" s="2"/>
      <c r="T22" s="7">
        <v>282.44891750000039</v>
      </c>
      <c r="U22" s="2"/>
      <c r="V22" s="6">
        <f t="shared" si="13"/>
        <v>0</v>
      </c>
      <c r="W22" s="2"/>
      <c r="X22" s="7">
        <f t="shared" si="14"/>
        <v>89.60108249999962</v>
      </c>
      <c r="Y22" s="2"/>
      <c r="Z22" s="6">
        <f t="shared" si="15"/>
        <v>0.31722933581432294</v>
      </c>
    </row>
    <row r="23" spans="1:26" s="24" customFormat="1" hidden="1" outlineLevel="2" x14ac:dyDescent="0.25">
      <c r="A23" s="25"/>
      <c r="B23" s="11" t="str">
        <f>CONCATENATE("          ", "6113", " - ", "GROUP INSURANCE")</f>
        <v xml:space="preserve">          6113 - GROUP INSURANCE</v>
      </c>
      <c r="C23" s="11"/>
      <c r="D23" s="7">
        <v>1011.43</v>
      </c>
      <c r="E23" s="2"/>
      <c r="F23" s="6">
        <f t="shared" si="8"/>
        <v>0</v>
      </c>
      <c r="G23" s="2"/>
      <c r="H23" s="7">
        <v>690.5</v>
      </c>
      <c r="I23" s="2"/>
      <c r="J23" s="6">
        <f t="shared" si="9"/>
        <v>0</v>
      </c>
      <c r="K23" s="2"/>
      <c r="L23" s="7">
        <f t="shared" si="10"/>
        <v>320.92999999999995</v>
      </c>
      <c r="M23" s="2"/>
      <c r="N23" s="6">
        <f t="shared" si="11"/>
        <v>0.46477914554670524</v>
      </c>
      <c r="O23" s="11"/>
      <c r="P23" s="7">
        <v>3034.29</v>
      </c>
      <c r="Q23" s="2"/>
      <c r="R23" s="6">
        <f t="shared" si="12"/>
        <v>0</v>
      </c>
      <c r="S23" s="2"/>
      <c r="T23" s="7">
        <v>2071.5</v>
      </c>
      <c r="U23" s="2"/>
      <c r="V23" s="6">
        <f t="shared" si="13"/>
        <v>0</v>
      </c>
      <c r="W23" s="2"/>
      <c r="X23" s="7">
        <f t="shared" si="14"/>
        <v>962.79</v>
      </c>
      <c r="Y23" s="2"/>
      <c r="Z23" s="6">
        <f t="shared" si="15"/>
        <v>0.46477914554670524</v>
      </c>
    </row>
    <row r="24" spans="1:26" s="24" customFormat="1" hidden="1" outlineLevel="2" x14ac:dyDescent="0.25">
      <c r="A24" s="25"/>
      <c r="B24" s="11" t="str">
        <f>CONCATENATE("          ", "6114", " - ", "STATE UNEMPLOYMENT INSURANCE")</f>
        <v xml:space="preserve">          6114 - STATE UNEMPLOYMENT INSURANCE</v>
      </c>
      <c r="C24" s="11"/>
      <c r="D24" s="7">
        <v>13.08</v>
      </c>
      <c r="E24" s="2"/>
      <c r="F24" s="6">
        <f t="shared" si="8"/>
        <v>0</v>
      </c>
      <c r="G24" s="2"/>
      <c r="H24" s="7">
        <v>11.892586</v>
      </c>
      <c r="I24" s="2"/>
      <c r="J24" s="6">
        <f t="shared" si="9"/>
        <v>0</v>
      </c>
      <c r="K24" s="2"/>
      <c r="L24" s="7">
        <f t="shared" si="10"/>
        <v>1.1874140000000004</v>
      </c>
      <c r="M24" s="2"/>
      <c r="N24" s="6">
        <f t="shared" si="11"/>
        <v>9.9844894962289987E-2</v>
      </c>
      <c r="O24" s="11"/>
      <c r="P24" s="7">
        <v>36.86</v>
      </c>
      <c r="Q24" s="2"/>
      <c r="R24" s="6">
        <f t="shared" si="12"/>
        <v>0</v>
      </c>
      <c r="S24" s="2"/>
      <c r="T24" s="7">
        <v>38.650904500000003</v>
      </c>
      <c r="U24" s="2"/>
      <c r="V24" s="6">
        <f t="shared" si="13"/>
        <v>0</v>
      </c>
      <c r="W24" s="2"/>
      <c r="X24" s="7">
        <f t="shared" si="14"/>
        <v>-1.7909045000000035</v>
      </c>
      <c r="Y24" s="2"/>
      <c r="Z24" s="6">
        <f t="shared" si="15"/>
        <v>-4.6335383949423575E-2</v>
      </c>
    </row>
    <row r="25" spans="1:26" s="24" customFormat="1" hidden="1" outlineLevel="2" x14ac:dyDescent="0.25">
      <c r="A25" s="25"/>
      <c r="B25" s="11" t="str">
        <f>CONCATENATE("          ", "6115", " - ", "P.E.R.S.")</f>
        <v xml:space="preserve">          6115 - P.E.R.S.</v>
      </c>
      <c r="C25" s="11"/>
      <c r="D25" s="7">
        <v>514.27</v>
      </c>
      <c r="E25" s="2"/>
      <c r="F25" s="6">
        <f t="shared" si="8"/>
        <v>0</v>
      </c>
      <c r="G25" s="2"/>
      <c r="H25" s="7">
        <v>393.37015230769197</v>
      </c>
      <c r="I25" s="2"/>
      <c r="J25" s="6">
        <f t="shared" si="9"/>
        <v>0</v>
      </c>
      <c r="K25" s="2"/>
      <c r="L25" s="7">
        <f t="shared" si="10"/>
        <v>120.89984769230801</v>
      </c>
      <c r="M25" s="2"/>
      <c r="N25" s="6">
        <f t="shared" si="11"/>
        <v>0.3073437244362679</v>
      </c>
      <c r="O25" s="11"/>
      <c r="P25" s="7">
        <v>1449.31</v>
      </c>
      <c r="Q25" s="2"/>
      <c r="R25" s="6">
        <f t="shared" si="12"/>
        <v>0</v>
      </c>
      <c r="S25" s="2"/>
      <c r="T25" s="7">
        <v>1278.452994999999</v>
      </c>
      <c r="U25" s="2"/>
      <c r="V25" s="6">
        <f t="shared" si="13"/>
        <v>0</v>
      </c>
      <c r="W25" s="2"/>
      <c r="X25" s="7">
        <f t="shared" si="14"/>
        <v>170.85700500000098</v>
      </c>
      <c r="Y25" s="2"/>
      <c r="Z25" s="6">
        <f t="shared" si="15"/>
        <v>0.13364355644534362</v>
      </c>
    </row>
    <row r="26" spans="1:26" s="24" customFormat="1" hidden="1" outlineLevel="2" x14ac:dyDescent="0.25">
      <c r="A26" s="25"/>
      <c r="B26" s="11" t="str">
        <f>CONCATENATE("          ", "6116", " - ", "EDUCATIONAL BENEFITS")</f>
        <v xml:space="preserve">          6116 - EDUCATIONAL BENEFITS</v>
      </c>
      <c r="C26" s="11"/>
      <c r="D26" s="7"/>
      <c r="E26" s="2"/>
      <c r="F26" s="6">
        <f t="shared" si="8"/>
        <v>0</v>
      </c>
      <c r="G26" s="2"/>
      <c r="H26" s="7">
        <v>0</v>
      </c>
      <c r="I26" s="2"/>
      <c r="J26" s="6">
        <f t="shared" si="9"/>
        <v>0</v>
      </c>
      <c r="K26" s="2"/>
      <c r="L26" s="7">
        <f t="shared" si="10"/>
        <v>0</v>
      </c>
      <c r="M26" s="2"/>
      <c r="N26" s="6">
        <f t="shared" si="11"/>
        <v>0</v>
      </c>
      <c r="O26" s="11"/>
      <c r="P26" s="7"/>
      <c r="Q26" s="2"/>
      <c r="R26" s="6">
        <f t="shared" si="12"/>
        <v>0</v>
      </c>
      <c r="S26" s="2"/>
      <c r="T26" s="7">
        <v>0</v>
      </c>
      <c r="U26" s="2"/>
      <c r="V26" s="6">
        <f t="shared" si="13"/>
        <v>0</v>
      </c>
      <c r="W26" s="2"/>
      <c r="X26" s="7">
        <f t="shared" si="14"/>
        <v>0</v>
      </c>
      <c r="Y26" s="2"/>
      <c r="Z26" s="6">
        <f t="shared" si="15"/>
        <v>0</v>
      </c>
    </row>
    <row r="27" spans="1:26" s="24" customFormat="1" hidden="1" outlineLevel="2" x14ac:dyDescent="0.25">
      <c r="A27" s="25"/>
      <c r="B27" s="11" t="str">
        <f>CONCATENATE("          ", "6118", " - ", "VACATION")</f>
        <v xml:space="preserve">          6118 - VACATION</v>
      </c>
      <c r="C27" s="11"/>
      <c r="D27" s="7">
        <v>1578.83</v>
      </c>
      <c r="E27" s="2"/>
      <c r="F27" s="6">
        <f t="shared" si="8"/>
        <v>0</v>
      </c>
      <c r="G27" s="2"/>
      <c r="H27" s="7">
        <v>457.40715384615396</v>
      </c>
      <c r="I27" s="2"/>
      <c r="J27" s="6">
        <f t="shared" si="9"/>
        <v>0</v>
      </c>
      <c r="K27" s="2"/>
      <c r="L27" s="7">
        <f t="shared" si="10"/>
        <v>1121.422846153846</v>
      </c>
      <c r="M27" s="2"/>
      <c r="N27" s="6">
        <f t="shared" si="11"/>
        <v>2.4516950308368584</v>
      </c>
      <c r="O27" s="11"/>
      <c r="P27" s="7">
        <v>2757.08</v>
      </c>
      <c r="Q27" s="2"/>
      <c r="R27" s="6">
        <f t="shared" si="12"/>
        <v>0</v>
      </c>
      <c r="S27" s="2"/>
      <c r="T27" s="7">
        <v>1486.5732499999999</v>
      </c>
      <c r="U27" s="2"/>
      <c r="V27" s="6">
        <f t="shared" si="13"/>
        <v>0</v>
      </c>
      <c r="W27" s="2"/>
      <c r="X27" s="7">
        <f t="shared" si="14"/>
        <v>1270.50675</v>
      </c>
      <c r="Y27" s="2"/>
      <c r="Z27" s="6">
        <f t="shared" si="15"/>
        <v>0.85465465627072201</v>
      </c>
    </row>
    <row r="28" spans="1:26" s="24" customFormat="1" hidden="1" outlineLevel="2" x14ac:dyDescent="0.25">
      <c r="A28" s="25"/>
      <c r="B28" s="11" t="str">
        <f>CONCATENATE("          ", "6119", " - ", "SICK LEAVE")</f>
        <v xml:space="preserve">          6119 - SICK LEAVE</v>
      </c>
      <c r="C28" s="11"/>
      <c r="D28" s="7">
        <v>5394.36</v>
      </c>
      <c r="E28" s="2"/>
      <c r="F28" s="6">
        <f t="shared" si="8"/>
        <v>0</v>
      </c>
      <c r="G28" s="2"/>
      <c r="H28" s="7">
        <v>0</v>
      </c>
      <c r="I28" s="2"/>
      <c r="J28" s="6">
        <f t="shared" si="9"/>
        <v>0</v>
      </c>
      <c r="K28" s="2"/>
      <c r="L28" s="7">
        <f t="shared" si="10"/>
        <v>5394.36</v>
      </c>
      <c r="M28" s="2"/>
      <c r="N28" s="6">
        <f t="shared" si="11"/>
        <v>0</v>
      </c>
      <c r="O28" s="11"/>
      <c r="P28" s="7">
        <v>7307.68</v>
      </c>
      <c r="Q28" s="2"/>
      <c r="R28" s="6">
        <f t="shared" si="12"/>
        <v>0</v>
      </c>
      <c r="S28" s="2"/>
      <c r="T28" s="7">
        <v>0</v>
      </c>
      <c r="U28" s="2"/>
      <c r="V28" s="6">
        <f t="shared" si="13"/>
        <v>0</v>
      </c>
      <c r="W28" s="2"/>
      <c r="X28" s="7">
        <f t="shared" si="14"/>
        <v>7307.68</v>
      </c>
      <c r="Y28" s="2"/>
      <c r="Z28" s="6">
        <f t="shared" si="15"/>
        <v>0</v>
      </c>
    </row>
    <row r="29" spans="1:26" s="24" customFormat="1" hidden="1" outlineLevel="2" x14ac:dyDescent="0.25">
      <c r="A29" s="25"/>
      <c r="B29" s="11" t="str">
        <f>CONCATENATE("          ", "6156", " - ", "EMPLOYEE MEALS")</f>
        <v xml:space="preserve">          6156 - EMPLOYEE MEALS</v>
      </c>
      <c r="C29" s="11"/>
      <c r="D29" s="7">
        <v>145.09</v>
      </c>
      <c r="E29" s="2"/>
      <c r="F29" s="6">
        <f t="shared" si="8"/>
        <v>0</v>
      </c>
      <c r="G29" s="2"/>
      <c r="H29" s="7">
        <v>150</v>
      </c>
      <c r="I29" s="2"/>
      <c r="J29" s="6">
        <f t="shared" si="9"/>
        <v>0</v>
      </c>
      <c r="K29" s="2"/>
      <c r="L29" s="7">
        <f t="shared" si="10"/>
        <v>-4.9099999999999966</v>
      </c>
      <c r="M29" s="2"/>
      <c r="N29" s="6">
        <f t="shared" si="11"/>
        <v>-3.2733333333333309E-2</v>
      </c>
      <c r="O29" s="11"/>
      <c r="P29" s="7">
        <v>431.11</v>
      </c>
      <c r="Q29" s="2"/>
      <c r="R29" s="6">
        <f t="shared" si="12"/>
        <v>0</v>
      </c>
      <c r="S29" s="2"/>
      <c r="T29" s="7">
        <v>450</v>
      </c>
      <c r="U29" s="2"/>
      <c r="V29" s="6">
        <f t="shared" si="13"/>
        <v>0</v>
      </c>
      <c r="W29" s="2"/>
      <c r="X29" s="7">
        <f t="shared" si="14"/>
        <v>-18.889999999999986</v>
      </c>
      <c r="Y29" s="2"/>
      <c r="Z29" s="6">
        <f t="shared" si="15"/>
        <v>-4.1977777777777746E-2</v>
      </c>
    </row>
    <row r="30" spans="1:26" s="26" customFormat="1" outlineLevel="1" collapsed="1" x14ac:dyDescent="0.25">
      <c r="A30" s="27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4140.2</v>
      </c>
      <c r="E30" s="1"/>
      <c r="F30" s="5">
        <f t="shared" ref="F30:F40" si="16">IF(D$12=0,0,D30/D$12)</f>
        <v>0</v>
      </c>
      <c r="G30" s="1"/>
      <c r="H30" s="1">
        <f>SUM(OSRRefH22_1x_0)</f>
        <v>4116.6643846153802</v>
      </c>
      <c r="I30" s="1"/>
      <c r="J30" s="5">
        <f t="shared" ref="J30:J40" si="17">IF(H$12=0,0,H30/H$12)</f>
        <v>0</v>
      </c>
      <c r="K30" s="1"/>
      <c r="L30" s="1">
        <f t="shared" ref="L30:L40" si="18">+D30-H30</f>
        <v>23.535615384619632</v>
      </c>
      <c r="M30" s="1"/>
      <c r="N30" s="5">
        <f t="shared" ref="N30:N40" si="19">IF(H30=0,0,L30/H30)</f>
        <v>5.7171567039994596E-3</v>
      </c>
      <c r="O30" s="13"/>
      <c r="P30" s="1">
        <f>SUM(OSRRefP22_1x_0)</f>
        <v>13287.88</v>
      </c>
      <c r="Q30" s="1"/>
      <c r="R30" s="5">
        <f t="shared" ref="R30:R40" si="20">IF(P$12=0,0,P30/P$12)</f>
        <v>0</v>
      </c>
      <c r="S30" s="1"/>
      <c r="T30" s="1">
        <f>SUM(OSRRefT22_1x_0)</f>
        <v>13379.15924999999</v>
      </c>
      <c r="U30" s="1"/>
      <c r="V30" s="5">
        <f t="shared" ref="V30:V40" si="21">IF(T$12=0,0,T30/T$12)</f>
        <v>0</v>
      </c>
      <c r="W30" s="1"/>
      <c r="X30" s="1">
        <f t="shared" ref="X30:X40" si="22">+P30-T30</f>
        <v>-91.279249999990498</v>
      </c>
      <c r="Y30" s="1"/>
      <c r="Z30" s="5">
        <f t="shared" ref="Z30:Z40" si="23">IF(T30=0,0,X30/T30)</f>
        <v>-6.8224952177014086E-3</v>
      </c>
    </row>
    <row r="31" spans="1:26" s="24" customFormat="1" hidden="1" outlineLevel="2" x14ac:dyDescent="0.25">
      <c r="A31" s="25"/>
      <c r="B31" s="11" t="str">
        <f>CONCATENATE("          ", "6001", " - ", "ADMINISTRATIVE SALARIES")</f>
        <v xml:space="preserve">          6001 - ADMINISTRATIVE SALARIES</v>
      </c>
      <c r="C31" s="11"/>
      <c r="D31" s="7">
        <v>4140.2</v>
      </c>
      <c r="E31" s="2"/>
      <c r="F31" s="6">
        <f t="shared" si="16"/>
        <v>0</v>
      </c>
      <c r="G31" s="2"/>
      <c r="H31" s="7">
        <v>4116.6643846153802</v>
      </c>
      <c r="I31" s="2"/>
      <c r="J31" s="6">
        <f t="shared" si="17"/>
        <v>0</v>
      </c>
      <c r="K31" s="2"/>
      <c r="L31" s="7">
        <f t="shared" si="18"/>
        <v>23.535615384619632</v>
      </c>
      <c r="M31" s="2"/>
      <c r="N31" s="6">
        <f t="shared" si="19"/>
        <v>5.7171567039994596E-3</v>
      </c>
      <c r="O31" s="11"/>
      <c r="P31" s="7">
        <v>13287.88</v>
      </c>
      <c r="Q31" s="2"/>
      <c r="R31" s="6">
        <f t="shared" si="20"/>
        <v>0</v>
      </c>
      <c r="S31" s="2"/>
      <c r="T31" s="7">
        <v>13379.15924999999</v>
      </c>
      <c r="U31" s="2"/>
      <c r="V31" s="6">
        <f t="shared" si="21"/>
        <v>0</v>
      </c>
      <c r="W31" s="2"/>
      <c r="X31" s="7">
        <f t="shared" si="22"/>
        <v>-91.279249999990498</v>
      </c>
      <c r="Y31" s="2"/>
      <c r="Z31" s="6">
        <f t="shared" si="23"/>
        <v>-6.8224952177014086E-3</v>
      </c>
    </row>
    <row r="32" spans="1:26" s="24" customFormat="1" hidden="1" outlineLevel="2" x14ac:dyDescent="0.25">
      <c r="A32" s="25"/>
      <c r="B32" s="11" t="str">
        <f>CONCATENATE("          ", "6002", " - ", "STAFF SALARIES")</f>
        <v xml:space="preserve">          6002 - STAFF SALARIES</v>
      </c>
      <c r="C32" s="11"/>
      <c r="D32" s="7"/>
      <c r="E32" s="2"/>
      <c r="F32" s="6">
        <f t="shared" si="16"/>
        <v>0</v>
      </c>
      <c r="G32" s="2"/>
      <c r="H32" s="7">
        <v>0</v>
      </c>
      <c r="I32" s="2"/>
      <c r="J32" s="6">
        <f t="shared" si="17"/>
        <v>0</v>
      </c>
      <c r="K32" s="2"/>
      <c r="L32" s="7">
        <f t="shared" si="18"/>
        <v>0</v>
      </c>
      <c r="M32" s="2"/>
      <c r="N32" s="6">
        <f t="shared" si="19"/>
        <v>0</v>
      </c>
      <c r="O32" s="11"/>
      <c r="P32" s="7"/>
      <c r="Q32" s="2"/>
      <c r="R32" s="6">
        <f t="shared" si="20"/>
        <v>0</v>
      </c>
      <c r="S32" s="2"/>
      <c r="T32" s="7">
        <v>0</v>
      </c>
      <c r="U32" s="2"/>
      <c r="V32" s="6">
        <f t="shared" si="21"/>
        <v>0</v>
      </c>
      <c r="W32" s="2"/>
      <c r="X32" s="7">
        <f t="shared" si="22"/>
        <v>0</v>
      </c>
      <c r="Y32" s="2"/>
      <c r="Z32" s="6">
        <f t="shared" si="23"/>
        <v>0</v>
      </c>
    </row>
    <row r="33" spans="1:26" s="24" customFormat="1" hidden="1" outlineLevel="2" x14ac:dyDescent="0.25">
      <c r="A33" s="25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16"/>
        <v>0</v>
      </c>
      <c r="G33" s="2"/>
      <c r="H33" s="7">
        <v>0</v>
      </c>
      <c r="I33" s="2"/>
      <c r="J33" s="6">
        <f t="shared" si="17"/>
        <v>0</v>
      </c>
      <c r="K33" s="2"/>
      <c r="L33" s="7">
        <f t="shared" si="18"/>
        <v>0</v>
      </c>
      <c r="M33" s="2"/>
      <c r="N33" s="6">
        <f t="shared" si="19"/>
        <v>0</v>
      </c>
      <c r="O33" s="11"/>
      <c r="P33" s="7"/>
      <c r="Q33" s="2"/>
      <c r="R33" s="6">
        <f t="shared" si="20"/>
        <v>0</v>
      </c>
      <c r="S33" s="2"/>
      <c r="T33" s="7">
        <v>0</v>
      </c>
      <c r="U33" s="2"/>
      <c r="V33" s="6">
        <f t="shared" si="21"/>
        <v>0</v>
      </c>
      <c r="W33" s="2"/>
      <c r="X33" s="7">
        <f t="shared" si="22"/>
        <v>0</v>
      </c>
      <c r="Y33" s="2"/>
      <c r="Z33" s="6">
        <f t="shared" si="23"/>
        <v>0</v>
      </c>
    </row>
    <row r="34" spans="1:26" s="24" customFormat="1" hidden="1" outlineLevel="2" x14ac:dyDescent="0.25">
      <c r="A34" s="25"/>
      <c r="B34" s="11" t="str">
        <f>CONCATENATE("          ", "6004", " - ", "STAFF HOURLY")</f>
        <v xml:space="preserve">          6004 - STAFF HOURLY</v>
      </c>
      <c r="C34" s="11"/>
      <c r="D34" s="7"/>
      <c r="E34" s="2"/>
      <c r="F34" s="6">
        <f t="shared" si="16"/>
        <v>0</v>
      </c>
      <c r="G34" s="2"/>
      <c r="H34" s="7">
        <v>0</v>
      </c>
      <c r="I34" s="2"/>
      <c r="J34" s="6">
        <f t="shared" si="17"/>
        <v>0</v>
      </c>
      <c r="K34" s="2"/>
      <c r="L34" s="7">
        <f t="shared" si="18"/>
        <v>0</v>
      </c>
      <c r="M34" s="2"/>
      <c r="N34" s="6">
        <f t="shared" si="19"/>
        <v>0</v>
      </c>
      <c r="O34" s="11"/>
      <c r="P34" s="7"/>
      <c r="Q34" s="2"/>
      <c r="R34" s="6">
        <f t="shared" si="20"/>
        <v>0</v>
      </c>
      <c r="S34" s="2"/>
      <c r="T34" s="7">
        <v>0</v>
      </c>
      <c r="U34" s="2"/>
      <c r="V34" s="6">
        <f t="shared" si="21"/>
        <v>0</v>
      </c>
      <c r="W34" s="2"/>
      <c r="X34" s="7">
        <f t="shared" si="22"/>
        <v>0</v>
      </c>
      <c r="Y34" s="2"/>
      <c r="Z34" s="6">
        <f t="shared" si="23"/>
        <v>0</v>
      </c>
    </row>
    <row r="35" spans="1:26" s="24" customFormat="1" hidden="1" outlineLevel="2" x14ac:dyDescent="0.25">
      <c r="A35" s="25"/>
      <c r="B35" s="11" t="str">
        <f>CONCATENATE("          ", "6005", " - ", "TEMPORARY WAGES-HOURLY")</f>
        <v xml:space="preserve">          6005 - TEMPORARY WAGES-HOURLY</v>
      </c>
      <c r="C35" s="11"/>
      <c r="D35" s="7"/>
      <c r="E35" s="2"/>
      <c r="F35" s="6">
        <f t="shared" si="16"/>
        <v>0</v>
      </c>
      <c r="G35" s="2"/>
      <c r="H35" s="7">
        <v>0</v>
      </c>
      <c r="I35" s="2"/>
      <c r="J35" s="6">
        <f t="shared" si="17"/>
        <v>0</v>
      </c>
      <c r="K35" s="2"/>
      <c r="L35" s="7">
        <f t="shared" si="18"/>
        <v>0</v>
      </c>
      <c r="M35" s="2"/>
      <c r="N35" s="6">
        <f t="shared" si="19"/>
        <v>0</v>
      </c>
      <c r="O35" s="11"/>
      <c r="P35" s="7"/>
      <c r="Q35" s="2"/>
      <c r="R35" s="6">
        <f t="shared" si="20"/>
        <v>0</v>
      </c>
      <c r="S35" s="2"/>
      <c r="T35" s="7">
        <v>0</v>
      </c>
      <c r="U35" s="2"/>
      <c r="V35" s="6">
        <f t="shared" si="21"/>
        <v>0</v>
      </c>
      <c r="W35" s="2"/>
      <c r="X35" s="7">
        <f t="shared" si="22"/>
        <v>0</v>
      </c>
      <c r="Y35" s="2"/>
      <c r="Z35" s="6">
        <f t="shared" si="23"/>
        <v>0</v>
      </c>
    </row>
    <row r="36" spans="1:26" s="24" customFormat="1" hidden="1" outlineLevel="2" x14ac:dyDescent="0.25">
      <c r="A36" s="25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16"/>
        <v>0</v>
      </c>
      <c r="G36" s="2"/>
      <c r="H36" s="7">
        <v>0</v>
      </c>
      <c r="I36" s="2"/>
      <c r="J36" s="6">
        <f t="shared" si="17"/>
        <v>0</v>
      </c>
      <c r="K36" s="2"/>
      <c r="L36" s="7">
        <f t="shared" si="18"/>
        <v>0</v>
      </c>
      <c r="M36" s="2"/>
      <c r="N36" s="6">
        <f t="shared" si="19"/>
        <v>0</v>
      </c>
      <c r="O36" s="11"/>
      <c r="P36" s="7"/>
      <c r="Q36" s="2"/>
      <c r="R36" s="6">
        <f t="shared" si="20"/>
        <v>0</v>
      </c>
      <c r="S36" s="2"/>
      <c r="T36" s="7">
        <v>0</v>
      </c>
      <c r="U36" s="2"/>
      <c r="V36" s="6">
        <f t="shared" si="21"/>
        <v>0</v>
      </c>
      <c r="W36" s="2"/>
      <c r="X36" s="7">
        <f t="shared" si="22"/>
        <v>0</v>
      </c>
      <c r="Y36" s="2"/>
      <c r="Z36" s="6">
        <f t="shared" si="23"/>
        <v>0</v>
      </c>
    </row>
    <row r="37" spans="1:26" s="24" customFormat="1" hidden="1" outlineLevel="2" x14ac:dyDescent="0.25">
      <c r="A37" s="25"/>
      <c r="B37" s="11" t="str">
        <f>CONCATENATE("          ", "6007", " - ", "STUDENT HOURLY")</f>
        <v xml:space="preserve">          6007 - STUDENT HOURLY</v>
      </c>
      <c r="C37" s="11"/>
      <c r="D37" s="7"/>
      <c r="E37" s="2"/>
      <c r="F37" s="6">
        <f t="shared" si="16"/>
        <v>0</v>
      </c>
      <c r="G37" s="2"/>
      <c r="H37" s="7">
        <v>0</v>
      </c>
      <c r="I37" s="2"/>
      <c r="J37" s="6">
        <f t="shared" si="17"/>
        <v>0</v>
      </c>
      <c r="K37" s="2"/>
      <c r="L37" s="7">
        <f t="shared" si="18"/>
        <v>0</v>
      </c>
      <c r="M37" s="2"/>
      <c r="N37" s="6">
        <f t="shared" si="19"/>
        <v>0</v>
      </c>
      <c r="O37" s="11"/>
      <c r="P37" s="7"/>
      <c r="Q37" s="2"/>
      <c r="R37" s="6">
        <f t="shared" si="20"/>
        <v>0</v>
      </c>
      <c r="S37" s="2"/>
      <c r="T37" s="7">
        <v>0</v>
      </c>
      <c r="U37" s="2"/>
      <c r="V37" s="6">
        <f t="shared" si="21"/>
        <v>0</v>
      </c>
      <c r="W37" s="2"/>
      <c r="X37" s="7">
        <f t="shared" si="22"/>
        <v>0</v>
      </c>
      <c r="Y37" s="2"/>
      <c r="Z37" s="6">
        <f t="shared" si="23"/>
        <v>0</v>
      </c>
    </row>
    <row r="38" spans="1:26" s="24" customFormat="1" hidden="1" outlineLevel="2" x14ac:dyDescent="0.25">
      <c r="A38" s="25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16"/>
        <v>0</v>
      </c>
      <c r="G38" s="2"/>
      <c r="H38" s="7">
        <v>0</v>
      </c>
      <c r="I38" s="2"/>
      <c r="J38" s="6">
        <f t="shared" si="17"/>
        <v>0</v>
      </c>
      <c r="K38" s="2"/>
      <c r="L38" s="7">
        <f t="shared" si="18"/>
        <v>0</v>
      </c>
      <c r="M38" s="2"/>
      <c r="N38" s="6">
        <f t="shared" si="19"/>
        <v>0</v>
      </c>
      <c r="O38" s="11"/>
      <c r="P38" s="7"/>
      <c r="Q38" s="2"/>
      <c r="R38" s="6">
        <f t="shared" si="20"/>
        <v>0</v>
      </c>
      <c r="S38" s="2"/>
      <c r="T38" s="7">
        <v>0</v>
      </c>
      <c r="U38" s="2"/>
      <c r="V38" s="6">
        <f t="shared" si="21"/>
        <v>0</v>
      </c>
      <c r="W38" s="2"/>
      <c r="X38" s="7">
        <f t="shared" si="22"/>
        <v>0</v>
      </c>
      <c r="Y38" s="2"/>
      <c r="Z38" s="6">
        <f t="shared" si="23"/>
        <v>0</v>
      </c>
    </row>
    <row r="39" spans="1:26" s="24" customFormat="1" hidden="1" outlineLevel="2" x14ac:dyDescent="0.25">
      <c r="A39" s="25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16"/>
        <v>0</v>
      </c>
      <c r="G39" s="2"/>
      <c r="H39" s="7">
        <v>0</v>
      </c>
      <c r="I39" s="2"/>
      <c r="J39" s="6">
        <f t="shared" si="17"/>
        <v>0</v>
      </c>
      <c r="K39" s="2"/>
      <c r="L39" s="7">
        <f t="shared" si="18"/>
        <v>0</v>
      </c>
      <c r="M39" s="2"/>
      <c r="N39" s="6">
        <f t="shared" si="19"/>
        <v>0</v>
      </c>
      <c r="O39" s="11"/>
      <c r="P39" s="7"/>
      <c r="Q39" s="2"/>
      <c r="R39" s="6">
        <f t="shared" si="20"/>
        <v>0</v>
      </c>
      <c r="S39" s="2"/>
      <c r="T39" s="7">
        <v>0</v>
      </c>
      <c r="U39" s="2"/>
      <c r="V39" s="6">
        <f t="shared" si="21"/>
        <v>0</v>
      </c>
      <c r="W39" s="2"/>
      <c r="X39" s="7">
        <f t="shared" si="22"/>
        <v>0</v>
      </c>
      <c r="Y39" s="2"/>
      <c r="Z39" s="6">
        <f t="shared" si="23"/>
        <v>0</v>
      </c>
    </row>
    <row r="40" spans="1:26" s="24" customFormat="1" hidden="1" outlineLevel="2" x14ac:dyDescent="0.25">
      <c r="A40" s="25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16"/>
        <v>0</v>
      </c>
      <c r="G40" s="2"/>
      <c r="H40" s="7">
        <v>0</v>
      </c>
      <c r="I40" s="2"/>
      <c r="J40" s="6">
        <f t="shared" si="17"/>
        <v>0</v>
      </c>
      <c r="K40" s="2"/>
      <c r="L40" s="7">
        <f t="shared" si="18"/>
        <v>0</v>
      </c>
      <c r="M40" s="2"/>
      <c r="N40" s="6">
        <f t="shared" si="19"/>
        <v>0</v>
      </c>
      <c r="O40" s="11"/>
      <c r="P40" s="7"/>
      <c r="Q40" s="2"/>
      <c r="R40" s="6">
        <f t="shared" si="20"/>
        <v>0</v>
      </c>
      <c r="S40" s="2"/>
      <c r="T40" s="7">
        <v>0</v>
      </c>
      <c r="U40" s="2"/>
      <c r="V40" s="6">
        <f t="shared" si="21"/>
        <v>0</v>
      </c>
      <c r="W40" s="2"/>
      <c r="X40" s="7">
        <f t="shared" si="22"/>
        <v>0</v>
      </c>
      <c r="Y40" s="2"/>
      <c r="Z40" s="6">
        <f t="shared" si="23"/>
        <v>0</v>
      </c>
    </row>
    <row r="41" spans="1:26" s="26" customFormat="1" outlineLevel="1" collapsed="1" x14ac:dyDescent="0.25">
      <c r="A41" s="27"/>
      <c r="B41" s="13" t="str">
        <f>CONCATENATE("     ","General                                           ")</f>
        <v xml:space="preserve">     General                                           </v>
      </c>
      <c r="C41" s="13"/>
      <c r="D41" s="1">
        <f>SUM(OSRRefD22_2x_0)</f>
        <v>0</v>
      </c>
      <c r="E41" s="1"/>
      <c r="F41" s="5">
        <f t="shared" ref="F41:F48" si="24">IF(D$12=0,0,D41/D$12)</f>
        <v>0</v>
      </c>
      <c r="G41" s="1"/>
      <c r="H41" s="1">
        <f>SUM(OSRRefH22_2x_0)</f>
        <v>0</v>
      </c>
      <c r="I41" s="1"/>
      <c r="J41" s="5">
        <f t="shared" ref="J41:J48" si="25">IF(H$12=0,0,H41/H$12)</f>
        <v>0</v>
      </c>
      <c r="K41" s="1"/>
      <c r="L41" s="1">
        <f t="shared" ref="L41:L48" si="26">+D41-H41</f>
        <v>0</v>
      </c>
      <c r="M41" s="1"/>
      <c r="N41" s="5">
        <f t="shared" ref="N41:N48" si="27">IF(H41=0,0,L41/H41)</f>
        <v>0</v>
      </c>
      <c r="O41" s="13"/>
      <c r="P41" s="1">
        <f>SUM(OSRRefP22_2x_0)</f>
        <v>2443.65</v>
      </c>
      <c r="Q41" s="1"/>
      <c r="R41" s="5">
        <f t="shared" ref="R41:R48" si="28">IF(P$12=0,0,P41/P$12)</f>
        <v>0</v>
      </c>
      <c r="S41" s="1"/>
      <c r="T41" s="1">
        <f>SUM(OSRRefT22_2x_0)</f>
        <v>2500</v>
      </c>
      <c r="U41" s="1"/>
      <c r="V41" s="5">
        <f t="shared" ref="V41:V48" si="29">IF(T$12=0,0,T41/T$12)</f>
        <v>0</v>
      </c>
      <c r="W41" s="1"/>
      <c r="X41" s="1">
        <f t="shared" ref="X41:X48" si="30">+P41-T41</f>
        <v>-56.349999999999909</v>
      </c>
      <c r="Y41" s="1"/>
      <c r="Z41" s="5">
        <f t="shared" ref="Z41:Z48" si="31">IF(T41=0,0,X41/T41)</f>
        <v>-2.2539999999999963E-2</v>
      </c>
    </row>
    <row r="42" spans="1:26" s="24" customFormat="1" hidden="1" outlineLevel="2" x14ac:dyDescent="0.25">
      <c r="A42" s="25"/>
      <c r="B42" s="11" t="str">
        <f>CONCATENATE("          ", "6279", " - ", "GENERAL EXPENSE")</f>
        <v xml:space="preserve">          6279 - GENERAL EXPENSE</v>
      </c>
      <c r="C42" s="11"/>
      <c r="D42" s="7"/>
      <c r="E42" s="2"/>
      <c r="F42" s="6">
        <f t="shared" si="24"/>
        <v>0</v>
      </c>
      <c r="G42" s="2"/>
      <c r="H42" s="7"/>
      <c r="I42" s="2"/>
      <c r="J42" s="6">
        <f t="shared" si="25"/>
        <v>0</v>
      </c>
      <c r="K42" s="2"/>
      <c r="L42" s="7">
        <f t="shared" si="26"/>
        <v>0</v>
      </c>
      <c r="M42" s="2"/>
      <c r="N42" s="6">
        <f t="shared" si="27"/>
        <v>0</v>
      </c>
      <c r="O42" s="11"/>
      <c r="P42" s="7">
        <v>2443.65</v>
      </c>
      <c r="Q42" s="2"/>
      <c r="R42" s="6">
        <f t="shared" si="28"/>
        <v>0</v>
      </c>
      <c r="S42" s="2"/>
      <c r="T42" s="7">
        <v>2500</v>
      </c>
      <c r="U42" s="2"/>
      <c r="V42" s="6">
        <f t="shared" si="29"/>
        <v>0</v>
      </c>
      <c r="W42" s="2"/>
      <c r="X42" s="7">
        <f t="shared" si="30"/>
        <v>-56.349999999999909</v>
      </c>
      <c r="Y42" s="2"/>
      <c r="Z42" s="6">
        <f t="shared" si="31"/>
        <v>-2.2539999999999963E-2</v>
      </c>
    </row>
    <row r="43" spans="1:26" s="26" customFormat="1" outlineLevel="1" collapsed="1" x14ac:dyDescent="0.25">
      <c r="A43" s="27"/>
      <c r="B43" s="13" t="str">
        <f>CONCATENATE("     ","Royalty &amp; Commissions                             ")</f>
        <v xml:space="preserve">     Royalty &amp; Commissions                             </v>
      </c>
      <c r="C43" s="13"/>
      <c r="D43" s="1">
        <f>SUM(OSRRefD22_3x_0)</f>
        <v>0</v>
      </c>
      <c r="E43" s="1"/>
      <c r="F43" s="5">
        <f t="shared" si="24"/>
        <v>0</v>
      </c>
      <c r="G43" s="1"/>
      <c r="H43" s="1">
        <f>SUM(OSRRefH22_3x_0)</f>
        <v>0</v>
      </c>
      <c r="I43" s="1"/>
      <c r="J43" s="5">
        <f t="shared" si="25"/>
        <v>0</v>
      </c>
      <c r="K43" s="1"/>
      <c r="L43" s="1">
        <f t="shared" si="26"/>
        <v>0</v>
      </c>
      <c r="M43" s="1"/>
      <c r="N43" s="5">
        <f t="shared" si="27"/>
        <v>0</v>
      </c>
      <c r="O43" s="13"/>
      <c r="P43" s="1">
        <f>SUM(OSRRefP22_3x_0)</f>
        <v>7344.9</v>
      </c>
      <c r="Q43" s="1"/>
      <c r="R43" s="5">
        <f t="shared" si="28"/>
        <v>0</v>
      </c>
      <c r="S43" s="1"/>
      <c r="T43" s="1">
        <f>SUM(OSRRefT22_3x_0)</f>
        <v>1117</v>
      </c>
      <c r="U43" s="1"/>
      <c r="V43" s="5">
        <f t="shared" si="29"/>
        <v>0</v>
      </c>
      <c r="W43" s="1"/>
      <c r="X43" s="1">
        <f t="shared" si="30"/>
        <v>6227.9</v>
      </c>
      <c r="Y43" s="1"/>
      <c r="Z43" s="5">
        <f t="shared" si="31"/>
        <v>5.575559534467323</v>
      </c>
    </row>
    <row r="44" spans="1:26" s="24" customFormat="1" hidden="1" outlineLevel="2" x14ac:dyDescent="0.25">
      <c r="A44" s="25"/>
      <c r="B44" s="11" t="str">
        <f>CONCATENATE("          ", "6254", " - ", "ROYALTY &amp; COMMISSIONS")</f>
        <v xml:space="preserve">          6254 - ROYALTY &amp; COMMISSIONS</v>
      </c>
      <c r="C44" s="11"/>
      <c r="D44" s="7"/>
      <c r="E44" s="2"/>
      <c r="F44" s="6">
        <f t="shared" si="24"/>
        <v>0</v>
      </c>
      <c r="G44" s="2"/>
      <c r="H44" s="7"/>
      <c r="I44" s="2"/>
      <c r="J44" s="6">
        <f t="shared" si="25"/>
        <v>0</v>
      </c>
      <c r="K44" s="2"/>
      <c r="L44" s="7">
        <f t="shared" si="26"/>
        <v>0</v>
      </c>
      <c r="M44" s="2"/>
      <c r="N44" s="6">
        <f t="shared" si="27"/>
        <v>0</v>
      </c>
      <c r="O44" s="11"/>
      <c r="P44" s="7">
        <v>7344.9</v>
      </c>
      <c r="Q44" s="2"/>
      <c r="R44" s="6">
        <f t="shared" si="28"/>
        <v>0</v>
      </c>
      <c r="S44" s="2"/>
      <c r="T44" s="7">
        <v>1117</v>
      </c>
      <c r="U44" s="2"/>
      <c r="V44" s="6">
        <f t="shared" si="29"/>
        <v>0</v>
      </c>
      <c r="W44" s="2"/>
      <c r="X44" s="7">
        <f t="shared" si="30"/>
        <v>6227.9</v>
      </c>
      <c r="Y44" s="2"/>
      <c r="Z44" s="6">
        <f t="shared" si="31"/>
        <v>5.575559534467323</v>
      </c>
    </row>
    <row r="45" spans="1:26" s="26" customFormat="1" outlineLevel="1" collapsed="1" x14ac:dyDescent="0.25">
      <c r="A45" s="27"/>
      <c r="B45" s="13" t="str">
        <f>CONCATENATE("     ","Supplies                                          ")</f>
        <v xml:space="preserve">     Supplies                                          </v>
      </c>
      <c r="C45" s="13"/>
      <c r="D45" s="1">
        <f>SUM(OSRRefD22_4x_0)</f>
        <v>8.81</v>
      </c>
      <c r="E45" s="1"/>
      <c r="F45" s="5">
        <f t="shared" si="24"/>
        <v>0</v>
      </c>
      <c r="G45" s="1"/>
      <c r="H45" s="1">
        <f>SUM(OSRRefH22_4x_0)</f>
        <v>0</v>
      </c>
      <c r="I45" s="1"/>
      <c r="J45" s="5">
        <f t="shared" si="25"/>
        <v>0</v>
      </c>
      <c r="K45" s="1"/>
      <c r="L45" s="1">
        <f t="shared" si="26"/>
        <v>8.81</v>
      </c>
      <c r="M45" s="1"/>
      <c r="N45" s="5">
        <f t="shared" si="27"/>
        <v>0</v>
      </c>
      <c r="O45" s="13"/>
      <c r="P45" s="1">
        <f>SUM(OSRRefP22_4x_0)</f>
        <v>31.75</v>
      </c>
      <c r="Q45" s="1"/>
      <c r="R45" s="5">
        <f t="shared" si="28"/>
        <v>0</v>
      </c>
      <c r="S45" s="1"/>
      <c r="T45" s="1">
        <f>SUM(OSRRefT22_4x_0)</f>
        <v>0</v>
      </c>
      <c r="U45" s="1"/>
      <c r="V45" s="5">
        <f t="shared" si="29"/>
        <v>0</v>
      </c>
      <c r="W45" s="1"/>
      <c r="X45" s="1">
        <f t="shared" si="30"/>
        <v>31.75</v>
      </c>
      <c r="Y45" s="1"/>
      <c r="Z45" s="5">
        <f t="shared" si="31"/>
        <v>0</v>
      </c>
    </row>
    <row r="46" spans="1:26" s="24" customFormat="1" hidden="1" outlineLevel="2" x14ac:dyDescent="0.25">
      <c r="A46" s="25"/>
      <c r="B46" s="11" t="str">
        <f>CONCATENATE("          ", "6241", " - ", "OFFICE EXPENSE")</f>
        <v xml:space="preserve">          6241 - OFFICE EXPENSE</v>
      </c>
      <c r="C46" s="11"/>
      <c r="D46" s="7">
        <v>8.81</v>
      </c>
      <c r="E46" s="2"/>
      <c r="F46" s="6">
        <f t="shared" si="24"/>
        <v>0</v>
      </c>
      <c r="G46" s="2"/>
      <c r="H46" s="7"/>
      <c r="I46" s="2"/>
      <c r="J46" s="6">
        <f t="shared" si="25"/>
        <v>0</v>
      </c>
      <c r="K46" s="2"/>
      <c r="L46" s="7">
        <f t="shared" si="26"/>
        <v>8.81</v>
      </c>
      <c r="M46" s="2"/>
      <c r="N46" s="6">
        <f t="shared" si="27"/>
        <v>0</v>
      </c>
      <c r="O46" s="11"/>
      <c r="P46" s="7">
        <v>31.75</v>
      </c>
      <c r="Q46" s="2"/>
      <c r="R46" s="6">
        <f t="shared" si="28"/>
        <v>0</v>
      </c>
      <c r="S46" s="2"/>
      <c r="T46" s="7"/>
      <c r="U46" s="2"/>
      <c r="V46" s="6">
        <f t="shared" si="29"/>
        <v>0</v>
      </c>
      <c r="W46" s="2"/>
      <c r="X46" s="7">
        <f t="shared" si="30"/>
        <v>31.75</v>
      </c>
      <c r="Y46" s="2"/>
      <c r="Z46" s="6">
        <f t="shared" si="31"/>
        <v>0</v>
      </c>
    </row>
    <row r="47" spans="1:26" s="26" customFormat="1" outlineLevel="1" collapsed="1" x14ac:dyDescent="0.25">
      <c r="A47" s="27"/>
      <c r="B47" s="13" t="str">
        <f>CONCATENATE("     ","Telephone/Data Lines                              ")</f>
        <v xml:space="preserve">     Telephone/Data Lines                              </v>
      </c>
      <c r="C47" s="13"/>
      <c r="D47" s="1">
        <f>SUM(OSRRefD22_5x_0)</f>
        <v>125</v>
      </c>
      <c r="E47" s="1"/>
      <c r="F47" s="5">
        <f t="shared" si="24"/>
        <v>0</v>
      </c>
      <c r="G47" s="1"/>
      <c r="H47" s="1">
        <f>SUM(OSRRefH22_5x_0)</f>
        <v>75</v>
      </c>
      <c r="I47" s="1"/>
      <c r="J47" s="5">
        <f t="shared" si="25"/>
        <v>0</v>
      </c>
      <c r="K47" s="1"/>
      <c r="L47" s="1">
        <f t="shared" si="26"/>
        <v>50</v>
      </c>
      <c r="M47" s="1"/>
      <c r="N47" s="5">
        <f t="shared" si="27"/>
        <v>0.66666666666666663</v>
      </c>
      <c r="O47" s="13"/>
      <c r="P47" s="1">
        <f>SUM(OSRRefP22_5x_0)</f>
        <v>341.3</v>
      </c>
      <c r="Q47" s="1"/>
      <c r="R47" s="5">
        <f t="shared" si="28"/>
        <v>0</v>
      </c>
      <c r="S47" s="1"/>
      <c r="T47" s="1">
        <f>SUM(OSRRefT22_5x_0)</f>
        <v>375</v>
      </c>
      <c r="U47" s="1"/>
      <c r="V47" s="5">
        <f t="shared" si="29"/>
        <v>0</v>
      </c>
      <c r="W47" s="1"/>
      <c r="X47" s="1">
        <f t="shared" si="30"/>
        <v>-33.699999999999989</v>
      </c>
      <c r="Y47" s="1"/>
      <c r="Z47" s="5">
        <f t="shared" si="31"/>
        <v>-8.9866666666666636E-2</v>
      </c>
    </row>
    <row r="48" spans="1:26" s="24" customFormat="1" hidden="1" outlineLevel="2" x14ac:dyDescent="0.25">
      <c r="A48" s="25"/>
      <c r="B48" s="11" t="str">
        <f>CONCATENATE("          ", "6309", " - ", "TELEPHONE")</f>
        <v xml:space="preserve">          6309 - TELEPHONE</v>
      </c>
      <c r="C48" s="11"/>
      <c r="D48" s="7">
        <v>125</v>
      </c>
      <c r="E48" s="2"/>
      <c r="F48" s="6">
        <f t="shared" si="24"/>
        <v>0</v>
      </c>
      <c r="G48" s="2"/>
      <c r="H48" s="7">
        <v>75</v>
      </c>
      <c r="I48" s="2"/>
      <c r="J48" s="6">
        <f t="shared" si="25"/>
        <v>0</v>
      </c>
      <c r="K48" s="2"/>
      <c r="L48" s="7">
        <f t="shared" si="26"/>
        <v>50</v>
      </c>
      <c r="M48" s="2"/>
      <c r="N48" s="6">
        <f t="shared" si="27"/>
        <v>0.66666666666666663</v>
      </c>
      <c r="O48" s="11"/>
      <c r="P48" s="7">
        <v>341.3</v>
      </c>
      <c r="Q48" s="2"/>
      <c r="R48" s="6">
        <f t="shared" si="28"/>
        <v>0</v>
      </c>
      <c r="S48" s="2"/>
      <c r="T48" s="7">
        <v>375</v>
      </c>
      <c r="U48" s="2"/>
      <c r="V48" s="6">
        <f t="shared" si="29"/>
        <v>0</v>
      </c>
      <c r="W48" s="2"/>
      <c r="X48" s="7">
        <f t="shared" si="30"/>
        <v>-33.699999999999989</v>
      </c>
      <c r="Y48" s="2"/>
      <c r="Z48" s="6">
        <f t="shared" si="31"/>
        <v>-8.9866666666666636E-2</v>
      </c>
    </row>
    <row r="49" spans="1:26" s="63" customFormat="1" x14ac:dyDescent="0.25">
      <c r="A49" s="36"/>
      <c r="B49" s="36"/>
      <c r="C49" s="36"/>
      <c r="D49" s="1"/>
      <c r="E49" s="1"/>
      <c r="F49" s="5"/>
      <c r="G49" s="1"/>
      <c r="H49" s="1"/>
      <c r="I49" s="1"/>
      <c r="J49" s="5"/>
      <c r="K49" s="1"/>
      <c r="L49" s="1"/>
      <c r="M49" s="1"/>
      <c r="N49" s="5"/>
      <c r="O49" s="36"/>
      <c r="P49" s="1"/>
      <c r="Q49" s="1"/>
      <c r="R49" s="5"/>
      <c r="S49" s="1"/>
      <c r="T49" s="1"/>
      <c r="U49" s="1"/>
      <c r="V49" s="5"/>
      <c r="W49" s="1"/>
      <c r="X49" s="1"/>
      <c r="Y49" s="1"/>
      <c r="Z49" s="5"/>
    </row>
    <row r="50" spans="1:26" s="23" customFormat="1" collapsed="1" x14ac:dyDescent="0.25">
      <c r="A50" s="10"/>
      <c r="B50" s="28" t="s">
        <v>0</v>
      </c>
      <c r="C50" s="10"/>
      <c r="D50" s="4">
        <f>SUM(OSRRefD25x_0)</f>
        <v>8086.11</v>
      </c>
      <c r="E50" s="4"/>
      <c r="F50" s="12">
        <f t="shared" ref="F50:F51" si="32">IF(D$12=0,0,D50/D$12)</f>
        <v>0</v>
      </c>
      <c r="G50" s="4"/>
      <c r="H50" s="4">
        <f>SUM(OSRRefH25x_0)</f>
        <v>8324</v>
      </c>
      <c r="I50" s="4"/>
      <c r="J50" s="12">
        <f t="shared" ref="J50:J51" si="33">IF(H$12=0,0,H50/H$12)</f>
        <v>0</v>
      </c>
      <c r="K50" s="4"/>
      <c r="L50" s="4">
        <f t="shared" ref="L50:L51" si="34">+D50-H50</f>
        <v>-237.89000000000033</v>
      </c>
      <c r="M50" s="4"/>
      <c r="N50" s="12">
        <f t="shared" ref="N50:N51" si="35">IF(H50=0,0,L50/H50)</f>
        <v>-2.8578808265257126E-2</v>
      </c>
      <c r="O50" s="10"/>
      <c r="P50" s="4">
        <f>SUM(OSRRefP25x_0)</f>
        <v>24210.17</v>
      </c>
      <c r="Q50" s="4"/>
      <c r="R50" s="12">
        <f t="shared" ref="R50:R51" si="36">IF(P$12=0,0,P50/P$12)</f>
        <v>0</v>
      </c>
      <c r="S50" s="4"/>
      <c r="T50" s="4">
        <f>SUM(OSRRefT25x_0)</f>
        <v>18515</v>
      </c>
      <c r="U50" s="4"/>
      <c r="V50" s="12">
        <f t="shared" ref="V50:V51" si="37">IF(T$12=0,0,T50/T$12)</f>
        <v>0</v>
      </c>
      <c r="W50" s="4"/>
      <c r="X50" s="4">
        <f t="shared" ref="X50:X51" si="38">+P50-T50</f>
        <v>5695.1699999999983</v>
      </c>
      <c r="Y50" s="4"/>
      <c r="Z50" s="12">
        <f t="shared" ref="Z50:Z51" si="39">IF(T50=0,0,X50/T50)</f>
        <v>0.30759762354847414</v>
      </c>
    </row>
    <row r="51" spans="1:26" s="24" customFormat="1" hidden="1" outlineLevel="1" x14ac:dyDescent="0.25">
      <c r="A51" s="46"/>
      <c r="B51" s="11" t="str">
        <f>CONCATENATE("          ", "9150", " - ", "MISC. INCOME")</f>
        <v xml:space="preserve">          9150 - MISC. INCOME</v>
      </c>
      <c r="C51" s="11"/>
      <c r="D51" s="2">
        <f>--8086.11</f>
        <v>8086.11</v>
      </c>
      <c r="E51" s="2"/>
      <c r="F51" s="19">
        <f t="shared" si="32"/>
        <v>0</v>
      </c>
      <c r="G51" s="2"/>
      <c r="H51" s="2">
        <v>8324</v>
      </c>
      <c r="I51" s="2"/>
      <c r="J51" s="19">
        <f t="shared" si="33"/>
        <v>0</v>
      </c>
      <c r="K51" s="2"/>
      <c r="L51" s="2">
        <f t="shared" si="34"/>
        <v>-237.89000000000033</v>
      </c>
      <c r="M51" s="2"/>
      <c r="N51" s="19">
        <f t="shared" si="35"/>
        <v>-2.8578808265257126E-2</v>
      </c>
      <c r="O51" s="11"/>
      <c r="P51" s="2">
        <f>--24210.17</f>
        <v>24210.17</v>
      </c>
      <c r="Q51" s="2"/>
      <c r="R51" s="19">
        <f t="shared" si="36"/>
        <v>0</v>
      </c>
      <c r="S51" s="2"/>
      <c r="T51" s="2">
        <v>18515</v>
      </c>
      <c r="U51" s="2"/>
      <c r="V51" s="19">
        <f t="shared" si="37"/>
        <v>0</v>
      </c>
      <c r="W51" s="2"/>
      <c r="X51" s="2">
        <f t="shared" si="38"/>
        <v>5695.1699999999983</v>
      </c>
      <c r="Y51" s="2"/>
      <c r="Z51" s="19">
        <f t="shared" si="39"/>
        <v>0.30759762354847414</v>
      </c>
    </row>
    <row r="52" spans="1:26" x14ac:dyDescent="0.2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x14ac:dyDescent="0.25">
      <c r="A53" s="10"/>
      <c r="B53" s="29" t="s">
        <v>3</v>
      </c>
      <c r="C53" s="29"/>
      <c r="D53" s="22">
        <f>+D17-D19+D50</f>
        <v>-5246.9900000000007</v>
      </c>
      <c r="E53" s="14"/>
      <c r="F53" s="20">
        <f>IF(D$12=0,0,D53/D$12)</f>
        <v>0</v>
      </c>
      <c r="G53" s="14"/>
      <c r="H53" s="22">
        <f>+H17-H19+H50</f>
        <v>1992.2046691615433</v>
      </c>
      <c r="I53" s="14"/>
      <c r="J53" s="20">
        <f>IF(H$12=0,0,H53/H$12)</f>
        <v>0</v>
      </c>
      <c r="K53" s="15"/>
      <c r="L53" s="22">
        <f>+D53-H53</f>
        <v>-7239.194669161544</v>
      </c>
      <c r="M53" s="15"/>
      <c r="N53" s="20">
        <f>IF(H53=0,0,L53/H53)</f>
        <v>-3.6337605172907734</v>
      </c>
      <c r="O53" s="28"/>
      <c r="P53" s="22">
        <f>+P17-P19+P50</f>
        <v>-14906.970000000001</v>
      </c>
      <c r="Q53" s="14"/>
      <c r="R53" s="20">
        <f>IF(P$12=0,0,P53/P$12)</f>
        <v>0</v>
      </c>
      <c r="S53" s="14"/>
      <c r="T53" s="22">
        <f>+T17-T19+T50</f>
        <v>-5601.4598252249925</v>
      </c>
      <c r="U53" s="14"/>
      <c r="V53" s="20">
        <f>IF(T$12=0,0,T53/T$12)</f>
        <v>0</v>
      </c>
      <c r="W53" s="15"/>
      <c r="X53" s="22">
        <f>+P53-T53</f>
        <v>-9305.5101747750086</v>
      </c>
      <c r="Y53" s="15"/>
      <c r="Z53" s="20">
        <f>IF(T53=0,0,X53/T53)</f>
        <v>1.6612651817780799</v>
      </c>
    </row>
    <row r="54" spans="1:26" x14ac:dyDescent="0.25">
      <c r="A54" s="9"/>
      <c r="B54" s="10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x14ac:dyDescent="0.25">
      <c r="A55" s="52"/>
      <c r="B55" s="10" t="s">
        <v>14</v>
      </c>
      <c r="C55" s="10"/>
      <c r="D55" s="4"/>
      <c r="E55" s="4"/>
      <c r="F55" s="12">
        <f>IF(D$12=0,0,D55/D$12)</f>
        <v>0</v>
      </c>
      <c r="G55" s="4"/>
      <c r="H55" s="4"/>
      <c r="I55" s="4"/>
      <c r="J55" s="12">
        <f>IF(H$12=0,0,H55/H$12)</f>
        <v>0</v>
      </c>
      <c r="K55" s="4"/>
      <c r="L55" s="4">
        <f>+D55-H55</f>
        <v>0</v>
      </c>
      <c r="M55" s="4"/>
      <c r="N55" s="12">
        <f>IF(H55=0,0,L55/H55)</f>
        <v>0</v>
      </c>
      <c r="O55" s="10"/>
      <c r="P55" s="4"/>
      <c r="Q55" s="4"/>
      <c r="R55" s="12">
        <f>IF(P$12=0,0,P55/P$12)</f>
        <v>0</v>
      </c>
      <c r="S55" s="4"/>
      <c r="T55" s="4"/>
      <c r="U55" s="4"/>
      <c r="V55" s="12">
        <f>IF(T$12=0,0,T55/T$12)</f>
        <v>0</v>
      </c>
      <c r="W55" s="4"/>
      <c r="X55" s="4">
        <f>+P55-T55</f>
        <v>0</v>
      </c>
      <c r="Y55" s="4"/>
      <c r="Z55" s="12">
        <f>IF(T55=0,0,X55/T55)</f>
        <v>0</v>
      </c>
    </row>
    <row r="56" spans="1:26" x14ac:dyDescent="0.25">
      <c r="A56" s="9"/>
      <c r="B56" s="10"/>
      <c r="C56" s="10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O56" s="10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ht="15.75" thickBot="1" x14ac:dyDescent="0.3">
      <c r="A57" s="10"/>
      <c r="B57" s="29" t="s">
        <v>4</v>
      </c>
      <c r="C57" s="29"/>
      <c r="D57" s="35">
        <f>+D53-D55</f>
        <v>-5246.9900000000007</v>
      </c>
      <c r="E57" s="14"/>
      <c r="F57" s="32">
        <f>IF(D$12=0,0,D57/D$12)</f>
        <v>0</v>
      </c>
      <c r="G57" s="14"/>
      <c r="H57" s="35">
        <f>+H53-H55</f>
        <v>1992.2046691615433</v>
      </c>
      <c r="I57" s="14"/>
      <c r="J57" s="32">
        <f>IF(H$12=0,0,H57/H$12)</f>
        <v>0</v>
      </c>
      <c r="K57" s="15"/>
      <c r="L57" s="35">
        <f>D57-H57</f>
        <v>-7239.194669161544</v>
      </c>
      <c r="M57" s="15"/>
      <c r="N57" s="32">
        <f>IF(H57=0,0,L57/H57)</f>
        <v>-3.6337605172907734</v>
      </c>
      <c r="O57" s="28"/>
      <c r="P57" s="35">
        <f>+P53-P55</f>
        <v>-14906.970000000001</v>
      </c>
      <c r="Q57" s="14"/>
      <c r="R57" s="32">
        <f>IF(P$12=0,0,P57/P$12)</f>
        <v>0</v>
      </c>
      <c r="S57" s="14"/>
      <c r="T57" s="35">
        <f>+T53-T55</f>
        <v>-5601.4598252249925</v>
      </c>
      <c r="U57" s="14"/>
      <c r="V57" s="32">
        <f>IF(T$12=0,0,T57/T$12)</f>
        <v>0</v>
      </c>
      <c r="W57" s="15"/>
      <c r="X57" s="35">
        <f>P57-T57</f>
        <v>-9305.5101747750086</v>
      </c>
      <c r="Y57" s="15"/>
      <c r="Z57" s="32">
        <f>IF(T57=0,0,X57/T57)</f>
        <v>1.6612651817780799</v>
      </c>
    </row>
    <row r="58" spans="1:26" ht="15.75" thickTop="1" x14ac:dyDescent="0.25">
      <c r="A58" s="9"/>
      <c r="B58" s="9"/>
      <c r="C58" s="9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x14ac:dyDescent="0.25">
      <c r="A59" s="9"/>
      <c r="B59" s="9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ht="15.75" thickBot="1" x14ac:dyDescent="0.3">
      <c r="A60" s="10"/>
      <c r="B60" s="29" t="s">
        <v>5</v>
      </c>
      <c r="C60" s="29"/>
      <c r="D60" s="30">
        <f>SUM(D57:D59)</f>
        <v>-5246.9900000000007</v>
      </c>
      <c r="E60" s="14"/>
      <c r="F60" s="31">
        <f>IF(D$12=0,0,D60/D$12)</f>
        <v>0</v>
      </c>
      <c r="G60" s="14"/>
      <c r="H60" s="30">
        <f>SUM(H57:H59)</f>
        <v>1992.2046691615433</v>
      </c>
      <c r="I60" s="14"/>
      <c r="J60" s="31">
        <f>IF(H$12=0,0,H60/H$12)</f>
        <v>0</v>
      </c>
      <c r="K60" s="15"/>
      <c r="L60" s="30">
        <f>+D60-H60</f>
        <v>-7239.194669161544</v>
      </c>
      <c r="M60" s="15"/>
      <c r="N60" s="31">
        <f>IF(H60=0,0,L60/H60)</f>
        <v>-3.6337605172907734</v>
      </c>
      <c r="O60" s="28"/>
      <c r="P60" s="30">
        <f>SUM(P57:P59)</f>
        <v>-14906.970000000001</v>
      </c>
      <c r="Q60" s="14"/>
      <c r="R60" s="31">
        <f>IF(P$12=0,0,P60/P$12)</f>
        <v>0</v>
      </c>
      <c r="S60" s="14"/>
      <c r="T60" s="30">
        <f>SUM(T57:T59)</f>
        <v>-5601.4598252249925</v>
      </c>
      <c r="U60" s="14"/>
      <c r="V60" s="31">
        <f>IF(T$12=0,0,T60/T$12)</f>
        <v>0</v>
      </c>
      <c r="W60" s="15"/>
      <c r="X60" s="30">
        <f>+P60-T60</f>
        <v>-9305.5101747750086</v>
      </c>
      <c r="Y60" s="15"/>
      <c r="Z60" s="31">
        <f>IF(T60=0,0,X60/T60)</f>
        <v>1.6612651817780799</v>
      </c>
    </row>
    <row r="61" spans="1:26" ht="15.75" thickTop="1" x14ac:dyDescent="0.25">
      <c r="A61" s="9"/>
      <c r="C61" s="9"/>
      <c r="D61" s="18"/>
      <c r="E61" s="18"/>
      <c r="G61" s="18"/>
      <c r="H61" s="18"/>
      <c r="I61" s="18"/>
      <c r="J61" s="43"/>
      <c r="K61" s="18"/>
      <c r="L61" s="18"/>
      <c r="M61" s="18"/>
      <c r="P61" s="18"/>
      <c r="Q61" s="18"/>
      <c r="R61" s="43"/>
      <c r="S61" s="18"/>
      <c r="T61" s="18"/>
      <c r="U61" s="18"/>
      <c r="V61" s="43"/>
      <c r="W61" s="18"/>
      <c r="X61" s="18"/>
    </row>
    <row r="62" spans="1:26" x14ac:dyDescent="0.25">
      <c r="A62" s="9"/>
      <c r="B62" s="53">
        <v>43756.452738969907</v>
      </c>
      <c r="D62" s="18"/>
      <c r="E62" s="18"/>
      <c r="G62" s="18"/>
      <c r="H62" s="18"/>
      <c r="I62" s="18"/>
      <c r="J62" s="43"/>
      <c r="K62" s="18"/>
      <c r="L62" s="18"/>
      <c r="M62" s="18"/>
      <c r="P62" s="18"/>
      <c r="Q62" s="18"/>
      <c r="R62" s="43"/>
      <c r="S62" s="18"/>
      <c r="T62" s="18"/>
      <c r="U62" s="18"/>
      <c r="V62" s="43"/>
      <c r="W62" s="18"/>
      <c r="X62" s="18"/>
    </row>
    <row r="63" spans="1:26" x14ac:dyDescent="0.25">
      <c r="A63" s="9"/>
      <c r="B63" s="55" t="s">
        <v>314</v>
      </c>
      <c r="D63" s="18"/>
      <c r="E63" s="18"/>
      <c r="G63" s="18"/>
      <c r="H63" s="18"/>
      <c r="I63" s="18"/>
      <c r="J63" s="43"/>
      <c r="K63" s="18"/>
      <c r="L63" s="18"/>
      <c r="M63" s="18"/>
      <c r="P63" s="18"/>
      <c r="Q63" s="18"/>
      <c r="R63" s="43"/>
      <c r="S63" s="18"/>
      <c r="T63" s="18"/>
      <c r="U63" s="18"/>
      <c r="V63" s="43"/>
      <c r="W63" s="18"/>
      <c r="X63" s="18"/>
    </row>
    <row r="64" spans="1:26" x14ac:dyDescent="0.25">
      <c r="A64" s="9"/>
      <c r="B64" s="56"/>
      <c r="D64" s="18"/>
      <c r="E64" s="18"/>
      <c r="G64" s="18"/>
      <c r="H64" s="18"/>
      <c r="I64" s="18"/>
      <c r="J64" s="43"/>
      <c r="K64" s="18"/>
      <c r="L64" s="18"/>
      <c r="M64" s="18"/>
      <c r="P64" s="18"/>
      <c r="Q64" s="18"/>
      <c r="R64" s="43"/>
      <c r="S64" s="18"/>
      <c r="T64" s="18"/>
      <c r="U64" s="18"/>
      <c r="V64" s="43"/>
      <c r="W64" s="18"/>
      <c r="X64" s="18"/>
    </row>
    <row r="65" spans="4:24" x14ac:dyDescent="0.25">
      <c r="D65" s="18"/>
      <c r="E65" s="18"/>
      <c r="G65" s="18"/>
      <c r="H65" s="18"/>
      <c r="I65" s="18"/>
      <c r="J65" s="43"/>
      <c r="K65" s="18"/>
      <c r="L65" s="18"/>
      <c r="M65" s="18"/>
      <c r="P65" s="18"/>
      <c r="Q65" s="18"/>
      <c r="R65" s="43"/>
      <c r="S65" s="18"/>
      <c r="T65" s="18"/>
      <c r="U65" s="18"/>
      <c r="V65" s="43"/>
      <c r="W65" s="18"/>
      <c r="X65" s="18"/>
    </row>
  </sheetData>
  <pageMargins left="0.25" right="0.25" top="0.75" bottom="0.75" header="0.3" footer="0.3"/>
  <pageSetup scale="55" fitToWidth="2" orientation="landscape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str">
        <f>CONCATENATE("Period ",RIGHT(202003,2),", ",2020)</f>
        <v>Period 03, 2020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43736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tr">
        <f>CONCATENATE("Department ","424", " - ", "Blair Field")</f>
        <v>Department 424 - Blair Field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5" si="0">+D12-H12</f>
        <v>0</v>
      </c>
      <c r="M12" s="4"/>
      <c r="N12" s="12">
        <f t="shared" ref="N12:N15" si="1">IF(H12=0,0,L12/H12)</f>
        <v>0</v>
      </c>
      <c r="O12" s="10"/>
      <c r="P12" s="4">
        <f>SUM(OSRRefP13x_0)</f>
        <v>19851.87</v>
      </c>
      <c r="Q12" s="4"/>
      <c r="R12" s="12"/>
      <c r="S12" s="4"/>
      <c r="T12" s="4">
        <f>SUM(OSRRefT13x_0)</f>
        <v>20000</v>
      </c>
      <c r="U12" s="4"/>
      <c r="V12" s="12"/>
      <c r="W12" s="4"/>
      <c r="X12" s="4">
        <f t="shared" ref="X12:X15" si="2">+P12-T12</f>
        <v>-148.13000000000102</v>
      </c>
      <c r="Y12" s="4"/>
      <c r="Z12" s="12">
        <f t="shared" ref="Z12:Z15" si="3">IF(T12=0,0,X12/T12)</f>
        <v>-7.4065000000000511E-3</v>
      </c>
    </row>
    <row r="13" spans="1:26" s="24" customFormat="1" hidden="1" outlineLevel="1" x14ac:dyDescent="0.25">
      <c r="A13" s="46"/>
      <c r="B13" s="11" t="str">
        <f>CONCATENATE("          ", "4000", " - ", "TAXABLE SALES")</f>
        <v xml:space="preserve">          4000 - TAXABLE SALES</v>
      </c>
      <c r="C13" s="11"/>
      <c r="D13" s="2">
        <f t="shared" ref="D13:D15" si="4"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v>5000</v>
      </c>
      <c r="U13" s="2"/>
      <c r="V13" s="19"/>
      <c r="W13" s="2"/>
      <c r="X13" s="2">
        <f t="shared" si="2"/>
        <v>-5000</v>
      </c>
      <c r="Y13" s="2"/>
      <c r="Z13" s="19">
        <f t="shared" si="3"/>
        <v>-1</v>
      </c>
    </row>
    <row r="14" spans="1:26" s="24" customFormat="1" hidden="1" outlineLevel="1" x14ac:dyDescent="0.25">
      <c r="A14" s="46"/>
      <c r="B14" s="11" t="str">
        <f>CONCATENATE("          ", "4053", " - ", "TAXABLE SALES-FOOD")</f>
        <v xml:space="preserve">          4053 - TAXABLE SALES-FOOD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--19851.87</f>
        <v>19851.87</v>
      </c>
      <c r="Q14" s="2"/>
      <c r="R14" s="19"/>
      <c r="S14" s="2"/>
      <c r="T14" s="2"/>
      <c r="U14" s="2"/>
      <c r="V14" s="19"/>
      <c r="W14" s="2"/>
      <c r="X14" s="2">
        <f t="shared" si="2"/>
        <v>19851.87</v>
      </c>
      <c r="Y14" s="2"/>
      <c r="Z14" s="19">
        <f t="shared" si="3"/>
        <v>0</v>
      </c>
    </row>
    <row r="15" spans="1:26" s="24" customFormat="1" hidden="1" outlineLevel="1" x14ac:dyDescent="0.25">
      <c r="A15" s="46"/>
      <c r="B15" s="11" t="str">
        <f>CONCATENATE("          ", "4100", " - ", "NON-TAXABLE SALES")</f>
        <v xml:space="preserve">          4100 - NON-TAXABLE SALES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0</f>
        <v>0</v>
      </c>
      <c r="Q15" s="2"/>
      <c r="R15" s="19"/>
      <c r="S15" s="2"/>
      <c r="T15" s="2">
        <v>15000</v>
      </c>
      <c r="U15" s="2"/>
      <c r="V15" s="19"/>
      <c r="W15" s="2"/>
      <c r="X15" s="2">
        <f t="shared" si="2"/>
        <v>-15000</v>
      </c>
      <c r="Y15" s="2"/>
      <c r="Z15" s="19">
        <f t="shared" si="3"/>
        <v>-1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0</v>
      </c>
      <c r="E17" s="4"/>
      <c r="F17" s="12">
        <f t="shared" ref="F17:F20" si="5">IF(D$12=0,0,D17/D$12)</f>
        <v>0</v>
      </c>
      <c r="G17" s="4"/>
      <c r="H17" s="4">
        <f>SUM(OSRRefH16x_0)</f>
        <v>0</v>
      </c>
      <c r="I17" s="4"/>
      <c r="J17" s="12">
        <f t="shared" ref="J17:J20" si="6">IF(H$12=0,0,H17/H$12)</f>
        <v>0</v>
      </c>
      <c r="K17" s="4"/>
      <c r="L17" s="4">
        <f t="shared" ref="L17:L20" si="7">+D17-H17</f>
        <v>0</v>
      </c>
      <c r="M17" s="4"/>
      <c r="N17" s="12">
        <f t="shared" ref="N17:N20" si="8">IF(H17=0,0,L17/H17)</f>
        <v>0</v>
      </c>
      <c r="O17" s="10"/>
      <c r="P17" s="4">
        <f>SUM(OSRRefP16x_0)</f>
        <v>4810.79</v>
      </c>
      <c r="Q17" s="4"/>
      <c r="R17" s="12">
        <f t="shared" ref="R17:R20" si="9">IF(P$12=0,0,P17/P$12)</f>
        <v>0.24233434935852391</v>
      </c>
      <c r="S17" s="4"/>
      <c r="T17" s="4">
        <f>SUM(OSRRefT16x_0)</f>
        <v>5000</v>
      </c>
      <c r="U17" s="4"/>
      <c r="V17" s="12">
        <f t="shared" ref="V17:V20" si="10">IF(T$12=0,0,T17/T$12)</f>
        <v>0.25</v>
      </c>
      <c r="W17" s="4"/>
      <c r="X17" s="4">
        <f t="shared" ref="X17:X20" si="11">+P17-T17</f>
        <v>-189.21000000000004</v>
      </c>
      <c r="Y17" s="4"/>
      <c r="Z17" s="12">
        <f t="shared" ref="Z17:Z20" si="12">IF(T17=0,0,X17/T17)</f>
        <v>-3.7842000000000008E-2</v>
      </c>
    </row>
    <row r="18" spans="1:26" s="24" customFormat="1" hidden="1" outlineLevel="1" x14ac:dyDescent="0.25">
      <c r="A18" s="46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5"/>
        <v>0</v>
      </c>
      <c r="G18" s="2"/>
      <c r="H18" s="2"/>
      <c r="I18" s="2"/>
      <c r="J18" s="19">
        <f t="shared" si="6"/>
        <v>0</v>
      </c>
      <c r="K18" s="2"/>
      <c r="L18" s="2">
        <f t="shared" si="7"/>
        <v>0</v>
      </c>
      <c r="M18" s="2"/>
      <c r="N18" s="19">
        <f t="shared" si="8"/>
        <v>0</v>
      </c>
      <c r="O18" s="11"/>
      <c r="P18" s="2"/>
      <c r="Q18" s="2"/>
      <c r="R18" s="19">
        <f t="shared" si="9"/>
        <v>0</v>
      </c>
      <c r="S18" s="2"/>
      <c r="T18" s="2">
        <v>5000</v>
      </c>
      <c r="U18" s="2"/>
      <c r="V18" s="19">
        <f t="shared" si="10"/>
        <v>0.25</v>
      </c>
      <c r="W18" s="2"/>
      <c r="X18" s="2">
        <f t="shared" si="11"/>
        <v>-5000</v>
      </c>
      <c r="Y18" s="2"/>
      <c r="Z18" s="19">
        <f t="shared" si="12"/>
        <v>-1</v>
      </c>
    </row>
    <row r="19" spans="1:26" s="24" customFormat="1" hidden="1" outlineLevel="1" x14ac:dyDescent="0.25">
      <c r="A19" s="46"/>
      <c r="B19" s="11" t="str">
        <f>CONCATENATE("          ", "5053", " - ", "PURCHASES @ COST-FOOD")</f>
        <v xml:space="preserve">          5053 - PURCHASES @ COST-FOOD</v>
      </c>
      <c r="C19" s="11"/>
      <c r="D19" s="2"/>
      <c r="E19" s="2"/>
      <c r="F19" s="19">
        <f t="shared" si="5"/>
        <v>0</v>
      </c>
      <c r="G19" s="2"/>
      <c r="H19" s="2"/>
      <c r="I19" s="2"/>
      <c r="J19" s="19">
        <f t="shared" si="6"/>
        <v>0</v>
      </c>
      <c r="K19" s="2"/>
      <c r="L19" s="2">
        <f t="shared" si="7"/>
        <v>0</v>
      </c>
      <c r="M19" s="2"/>
      <c r="N19" s="19">
        <f t="shared" si="8"/>
        <v>0</v>
      </c>
      <c r="O19" s="11"/>
      <c r="P19" s="2">
        <v>6367.79</v>
      </c>
      <c r="Q19" s="2"/>
      <c r="R19" s="19">
        <f t="shared" si="9"/>
        <v>0.32076524780788912</v>
      </c>
      <c r="S19" s="2"/>
      <c r="T19" s="2"/>
      <c r="U19" s="2"/>
      <c r="V19" s="19">
        <f t="shared" si="10"/>
        <v>0</v>
      </c>
      <c r="W19" s="2"/>
      <c r="X19" s="2">
        <f t="shared" si="11"/>
        <v>6367.79</v>
      </c>
      <c r="Y19" s="2"/>
      <c r="Z19" s="19">
        <f t="shared" si="12"/>
        <v>0</v>
      </c>
    </row>
    <row r="20" spans="1:26" s="24" customFormat="1" hidden="1" outlineLevel="1" x14ac:dyDescent="0.25">
      <c r="A20" s="46"/>
      <c r="B20" s="11" t="str">
        <f>CONCATENATE("          ", "5059", " - ", "PURCHASES @ COST-FOOD")</f>
        <v xml:space="preserve">          5059 - PURCHASES @ COST-FOOD</v>
      </c>
      <c r="C20" s="11"/>
      <c r="D20" s="2"/>
      <c r="E20" s="2"/>
      <c r="F20" s="19">
        <f t="shared" si="5"/>
        <v>0</v>
      </c>
      <c r="G20" s="2"/>
      <c r="H20" s="2"/>
      <c r="I20" s="2"/>
      <c r="J20" s="19">
        <f t="shared" si="6"/>
        <v>0</v>
      </c>
      <c r="K20" s="2"/>
      <c r="L20" s="2">
        <f t="shared" si="7"/>
        <v>0</v>
      </c>
      <c r="M20" s="2"/>
      <c r="N20" s="19">
        <f t="shared" si="8"/>
        <v>0</v>
      </c>
      <c r="O20" s="11"/>
      <c r="P20" s="2">
        <v>-1557</v>
      </c>
      <c r="Q20" s="2"/>
      <c r="R20" s="19">
        <f t="shared" si="9"/>
        <v>-7.8430898449365224E-2</v>
      </c>
      <c r="S20" s="2"/>
      <c r="T20" s="2"/>
      <c r="U20" s="2"/>
      <c r="V20" s="19">
        <f t="shared" si="10"/>
        <v>0</v>
      </c>
      <c r="W20" s="2"/>
      <c r="X20" s="2">
        <f t="shared" si="11"/>
        <v>-1557</v>
      </c>
      <c r="Y20" s="2"/>
      <c r="Z20" s="19">
        <f t="shared" si="12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6</v>
      </c>
      <c r="C22" s="29"/>
      <c r="D22" s="22">
        <f>D12-D17</f>
        <v>0</v>
      </c>
      <c r="E22" s="14"/>
      <c r="F22" s="20">
        <f>IF(D$12=0,0,D22/D$12)</f>
        <v>0</v>
      </c>
      <c r="G22" s="14"/>
      <c r="H22" s="22">
        <f>H12-H17</f>
        <v>0</v>
      </c>
      <c r="I22" s="14"/>
      <c r="J22" s="20">
        <f>IF(H$12=0,0,H22/H$12)</f>
        <v>0</v>
      </c>
      <c r="K22" s="15"/>
      <c r="L22" s="22">
        <f>+D22-H22</f>
        <v>0</v>
      </c>
      <c r="M22" s="15"/>
      <c r="N22" s="20">
        <f>IF(H22=0,0,L22/H22)</f>
        <v>0</v>
      </c>
      <c r="O22" s="28"/>
      <c r="P22" s="22">
        <f>P12-P17</f>
        <v>15041.079999999998</v>
      </c>
      <c r="Q22" s="14"/>
      <c r="R22" s="20">
        <f>IF(P$12=0,0,P22/P$12)</f>
        <v>0.75766565064147606</v>
      </c>
      <c r="S22" s="14"/>
      <c r="T22" s="22">
        <f>T12-T17</f>
        <v>15000</v>
      </c>
      <c r="U22" s="14"/>
      <c r="V22" s="20">
        <f>IF(T$12=0,0,T22/T$12)</f>
        <v>0.75</v>
      </c>
      <c r="W22" s="15"/>
      <c r="X22" s="22">
        <f>+P22-T22</f>
        <v>41.079999999998108</v>
      </c>
      <c r="Y22" s="15"/>
      <c r="Z22" s="20">
        <f>IF(T22=0,0,X22/T22)</f>
        <v>2.7386666666665404E-3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9</v>
      </c>
      <c r="C24" s="10"/>
      <c r="D24" s="21">
        <f>SUM(OSRRefD22x_0)</f>
        <v>3725.33</v>
      </c>
      <c r="E24" s="21"/>
      <c r="F24" s="33">
        <f t="shared" ref="F24:F33" si="13">IF(D$12=0,0,D24/D$12)</f>
        <v>0</v>
      </c>
      <c r="G24" s="21"/>
      <c r="H24" s="21">
        <f>SUM(OSRRefH22x_0)</f>
        <v>2156.6800000000003</v>
      </c>
      <c r="I24" s="21"/>
      <c r="J24" s="33">
        <f t="shared" ref="J24:J33" si="14">IF(H$12=0,0,H24/H$12)</f>
        <v>0</v>
      </c>
      <c r="K24" s="4"/>
      <c r="L24" s="21">
        <f t="shared" ref="L24:L33" si="15">+D24-H24</f>
        <v>1568.6499999999996</v>
      </c>
      <c r="M24" s="4"/>
      <c r="N24" s="33">
        <f t="shared" ref="N24:N33" si="16">IF(H24=0,0,L24/H24)</f>
        <v>0.72734480776007537</v>
      </c>
      <c r="O24" s="10"/>
      <c r="P24" s="21">
        <f>SUM(OSRRefP22x_0)</f>
        <v>15642.890000000001</v>
      </c>
      <c r="Q24" s="21"/>
      <c r="R24" s="33">
        <f t="shared" ref="R24:R33" si="17">IF(P$12=0,0,P24/P$12)</f>
        <v>0.78798067889826007</v>
      </c>
      <c r="S24" s="21"/>
      <c r="T24" s="21">
        <f>SUM(OSRRefT22x_0)</f>
        <v>16934.353600000002</v>
      </c>
      <c r="U24" s="21"/>
      <c r="V24" s="33">
        <f t="shared" ref="V24:V33" si="18">IF(T$12=0,0,T24/T$12)</f>
        <v>0.84671768000000014</v>
      </c>
      <c r="W24" s="4"/>
      <c r="X24" s="21">
        <f t="shared" ref="X24:X33" si="19">+P24-T24</f>
        <v>-1291.463600000001</v>
      </c>
      <c r="Y24" s="4"/>
      <c r="Z24" s="33">
        <f t="shared" ref="Z24:Z33" si="20">IF(T24=0,0,X24/T24)</f>
        <v>-7.6262940440785451E-2</v>
      </c>
    </row>
    <row r="25" spans="1:26" s="26" customFormat="1" outlineLevel="1" collapsed="1" x14ac:dyDescent="0.25">
      <c r="A25" s="27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0</v>
      </c>
      <c r="E25" s="1"/>
      <c r="F25" s="5">
        <f t="shared" si="13"/>
        <v>0</v>
      </c>
      <c r="G25" s="1"/>
      <c r="H25" s="1">
        <f>SUM(OSRRefH22_0x_0)</f>
        <v>58.68</v>
      </c>
      <c r="I25" s="1"/>
      <c r="J25" s="5">
        <f t="shared" si="14"/>
        <v>0</v>
      </c>
      <c r="K25" s="1"/>
      <c r="L25" s="1">
        <f t="shared" si="15"/>
        <v>-58.68</v>
      </c>
      <c r="M25" s="1"/>
      <c r="N25" s="5">
        <f t="shared" si="16"/>
        <v>-1</v>
      </c>
      <c r="O25" s="13"/>
      <c r="P25" s="1">
        <f>SUM(OSRRefP22_0x_0)</f>
        <v>323.69</v>
      </c>
      <c r="Q25" s="1"/>
      <c r="R25" s="5">
        <f t="shared" si="17"/>
        <v>1.6305264944813765E-2</v>
      </c>
      <c r="S25" s="1"/>
      <c r="T25" s="1">
        <f>SUM(OSRRefT22_0x_0)</f>
        <v>304.35359999999997</v>
      </c>
      <c r="U25" s="1"/>
      <c r="V25" s="5">
        <f t="shared" si="18"/>
        <v>1.5217679999999999E-2</v>
      </c>
      <c r="W25" s="1"/>
      <c r="X25" s="1">
        <f t="shared" si="19"/>
        <v>19.336400000000026</v>
      </c>
      <c r="Y25" s="1"/>
      <c r="Z25" s="5">
        <f t="shared" si="20"/>
        <v>6.3532680408577485E-2</v>
      </c>
    </row>
    <row r="26" spans="1:26" s="24" customFormat="1" hidden="1" outlineLevel="2" x14ac:dyDescent="0.25">
      <c r="A26" s="25"/>
      <c r="B26" s="11" t="str">
        <f>CONCATENATE("          ", "6111", " - ", "F.I.C.A.")</f>
        <v xml:space="preserve">          6111 - F.I.C.A.</v>
      </c>
      <c r="C26" s="11"/>
      <c r="D26" s="7"/>
      <c r="E26" s="2"/>
      <c r="F26" s="6">
        <f t="shared" si="13"/>
        <v>0</v>
      </c>
      <c r="G26" s="2"/>
      <c r="H26" s="7">
        <v>0</v>
      </c>
      <c r="I26" s="2"/>
      <c r="J26" s="6">
        <f t="shared" si="14"/>
        <v>0</v>
      </c>
      <c r="K26" s="2"/>
      <c r="L26" s="7">
        <f t="shared" si="15"/>
        <v>0</v>
      </c>
      <c r="M26" s="2"/>
      <c r="N26" s="6">
        <f t="shared" si="16"/>
        <v>0</v>
      </c>
      <c r="O26" s="11"/>
      <c r="P26" s="7">
        <v>323.69</v>
      </c>
      <c r="Q26" s="2"/>
      <c r="R26" s="6">
        <f t="shared" si="17"/>
        <v>1.6305264944813765E-2</v>
      </c>
      <c r="S26" s="2"/>
      <c r="T26" s="7">
        <v>0</v>
      </c>
      <c r="U26" s="2"/>
      <c r="V26" s="6">
        <f t="shared" si="18"/>
        <v>0</v>
      </c>
      <c r="W26" s="2"/>
      <c r="X26" s="7">
        <f t="shared" si="19"/>
        <v>323.69</v>
      </c>
      <c r="Y26" s="2"/>
      <c r="Z26" s="6">
        <f t="shared" si="20"/>
        <v>0</v>
      </c>
    </row>
    <row r="27" spans="1:26" s="24" customFormat="1" hidden="1" outlineLevel="2" x14ac:dyDescent="0.25">
      <c r="A27" s="25"/>
      <c r="B27" s="11" t="str">
        <f>CONCATENATE("          ", "6112", " - ", "COMPENSATION INSURANCE")</f>
        <v xml:space="preserve">          6112 - COMPENSATION INSURANCE</v>
      </c>
      <c r="C27" s="11"/>
      <c r="D27" s="7"/>
      <c r="E27" s="2"/>
      <c r="F27" s="6">
        <f t="shared" si="13"/>
        <v>0</v>
      </c>
      <c r="G27" s="2"/>
      <c r="H27" s="7">
        <v>0</v>
      </c>
      <c r="I27" s="2"/>
      <c r="J27" s="6">
        <f t="shared" si="14"/>
        <v>0</v>
      </c>
      <c r="K27" s="2"/>
      <c r="L27" s="7">
        <f t="shared" si="15"/>
        <v>0</v>
      </c>
      <c r="M27" s="2"/>
      <c r="N27" s="6">
        <f t="shared" si="16"/>
        <v>0</v>
      </c>
      <c r="O27" s="11"/>
      <c r="P27" s="7"/>
      <c r="Q27" s="2"/>
      <c r="R27" s="6">
        <f t="shared" si="17"/>
        <v>0</v>
      </c>
      <c r="S27" s="2"/>
      <c r="T27" s="7">
        <v>0</v>
      </c>
      <c r="U27" s="2"/>
      <c r="V27" s="6">
        <f t="shared" si="18"/>
        <v>0</v>
      </c>
      <c r="W27" s="2"/>
      <c r="X27" s="7">
        <f t="shared" si="19"/>
        <v>0</v>
      </c>
      <c r="Y27" s="2"/>
      <c r="Z27" s="6">
        <f t="shared" si="20"/>
        <v>0</v>
      </c>
    </row>
    <row r="28" spans="1:26" s="24" customFormat="1" hidden="1" outlineLevel="2" x14ac:dyDescent="0.25">
      <c r="A28" s="25"/>
      <c r="B28" s="11" t="str">
        <f>CONCATENATE("          ", "6113", " - ", "GROUP INSURANCE")</f>
        <v xml:space="preserve">          6113 - GROUP INSURANCE</v>
      </c>
      <c r="C28" s="11"/>
      <c r="D28" s="7"/>
      <c r="E28" s="2"/>
      <c r="F28" s="6">
        <f t="shared" si="13"/>
        <v>0</v>
      </c>
      <c r="G28" s="2"/>
      <c r="H28" s="7">
        <v>0</v>
      </c>
      <c r="I28" s="2"/>
      <c r="J28" s="6">
        <f t="shared" si="14"/>
        <v>0</v>
      </c>
      <c r="K28" s="2"/>
      <c r="L28" s="7">
        <f t="shared" si="15"/>
        <v>0</v>
      </c>
      <c r="M28" s="2"/>
      <c r="N28" s="6">
        <f t="shared" si="16"/>
        <v>0</v>
      </c>
      <c r="O28" s="11"/>
      <c r="P28" s="7"/>
      <c r="Q28" s="2"/>
      <c r="R28" s="6">
        <f t="shared" si="17"/>
        <v>0</v>
      </c>
      <c r="S28" s="2"/>
      <c r="T28" s="7">
        <v>0</v>
      </c>
      <c r="U28" s="2"/>
      <c r="V28" s="6">
        <f t="shared" si="18"/>
        <v>0</v>
      </c>
      <c r="W28" s="2"/>
      <c r="X28" s="7">
        <f t="shared" si="19"/>
        <v>0</v>
      </c>
      <c r="Y28" s="2"/>
      <c r="Z28" s="6">
        <f t="shared" si="20"/>
        <v>0</v>
      </c>
    </row>
    <row r="29" spans="1:26" s="24" customFormat="1" hidden="1" outlineLevel="2" x14ac:dyDescent="0.25">
      <c r="A29" s="25"/>
      <c r="B29" s="11" t="str">
        <f>CONCATENATE("          ", "6114", " - ", "STATE UNEMPLOYMENT INSURANCE")</f>
        <v xml:space="preserve">          6114 - STATE UNEMPLOYMENT INSURANCE</v>
      </c>
      <c r="C29" s="11"/>
      <c r="D29" s="7"/>
      <c r="E29" s="2"/>
      <c r="F29" s="6">
        <f t="shared" si="13"/>
        <v>0</v>
      </c>
      <c r="G29" s="2"/>
      <c r="H29" s="7">
        <v>4.68</v>
      </c>
      <c r="I29" s="2"/>
      <c r="J29" s="6">
        <f t="shared" si="14"/>
        <v>0</v>
      </c>
      <c r="K29" s="2"/>
      <c r="L29" s="7">
        <f t="shared" si="15"/>
        <v>-4.68</v>
      </c>
      <c r="M29" s="2"/>
      <c r="N29" s="6">
        <f t="shared" si="16"/>
        <v>-1</v>
      </c>
      <c r="O29" s="11"/>
      <c r="P29" s="7"/>
      <c r="Q29" s="2"/>
      <c r="R29" s="6">
        <f t="shared" si="17"/>
        <v>0</v>
      </c>
      <c r="S29" s="2"/>
      <c r="T29" s="7">
        <v>24.273599999999998</v>
      </c>
      <c r="U29" s="2"/>
      <c r="V29" s="6">
        <f t="shared" si="18"/>
        <v>1.21368E-3</v>
      </c>
      <c r="W29" s="2"/>
      <c r="X29" s="7">
        <f t="shared" si="19"/>
        <v>-24.273599999999998</v>
      </c>
      <c r="Y29" s="2"/>
      <c r="Z29" s="6">
        <f t="shared" si="20"/>
        <v>-1</v>
      </c>
    </row>
    <row r="30" spans="1:26" s="24" customFormat="1" hidden="1" outlineLevel="2" x14ac:dyDescent="0.25">
      <c r="A30" s="25"/>
      <c r="B30" s="11" t="str">
        <f>CONCATENATE("          ", "6115", " - ", "P.E.R.S.")</f>
        <v xml:space="preserve">          6115 - P.E.R.S.</v>
      </c>
      <c r="C30" s="11"/>
      <c r="D30" s="7"/>
      <c r="E30" s="2"/>
      <c r="F30" s="6">
        <f t="shared" si="13"/>
        <v>0</v>
      </c>
      <c r="G30" s="2"/>
      <c r="H30" s="7">
        <v>0</v>
      </c>
      <c r="I30" s="2"/>
      <c r="J30" s="6">
        <f t="shared" si="14"/>
        <v>0</v>
      </c>
      <c r="K30" s="2"/>
      <c r="L30" s="7">
        <f t="shared" si="15"/>
        <v>0</v>
      </c>
      <c r="M30" s="2"/>
      <c r="N30" s="6">
        <f t="shared" si="16"/>
        <v>0</v>
      </c>
      <c r="O30" s="11"/>
      <c r="P30" s="7"/>
      <c r="Q30" s="2"/>
      <c r="R30" s="6">
        <f t="shared" si="17"/>
        <v>0</v>
      </c>
      <c r="S30" s="2"/>
      <c r="T30" s="7">
        <v>0</v>
      </c>
      <c r="U30" s="2"/>
      <c r="V30" s="6">
        <f t="shared" si="18"/>
        <v>0</v>
      </c>
      <c r="W30" s="2"/>
      <c r="X30" s="7">
        <f t="shared" si="19"/>
        <v>0</v>
      </c>
      <c r="Y30" s="2"/>
      <c r="Z30" s="6">
        <f t="shared" si="20"/>
        <v>0</v>
      </c>
    </row>
    <row r="31" spans="1:26" s="24" customFormat="1" hidden="1" outlineLevel="2" x14ac:dyDescent="0.25">
      <c r="A31" s="25"/>
      <c r="B31" s="11" t="str">
        <f>CONCATENATE("          ", "6116", " - ", "EDUCATIONAL BENEFITS")</f>
        <v xml:space="preserve">          6116 - EDUCATIONAL BENEFITS</v>
      </c>
      <c r="C31" s="11"/>
      <c r="D31" s="7"/>
      <c r="E31" s="2"/>
      <c r="F31" s="6">
        <f t="shared" si="13"/>
        <v>0</v>
      </c>
      <c r="G31" s="2"/>
      <c r="H31" s="7">
        <v>0</v>
      </c>
      <c r="I31" s="2"/>
      <c r="J31" s="6">
        <f t="shared" si="14"/>
        <v>0</v>
      </c>
      <c r="K31" s="2"/>
      <c r="L31" s="7">
        <f t="shared" si="15"/>
        <v>0</v>
      </c>
      <c r="M31" s="2"/>
      <c r="N31" s="6">
        <f t="shared" si="16"/>
        <v>0</v>
      </c>
      <c r="O31" s="11"/>
      <c r="P31" s="7"/>
      <c r="Q31" s="2"/>
      <c r="R31" s="6">
        <f t="shared" si="17"/>
        <v>0</v>
      </c>
      <c r="S31" s="2"/>
      <c r="T31" s="7">
        <v>0</v>
      </c>
      <c r="U31" s="2"/>
      <c r="V31" s="6">
        <f t="shared" si="18"/>
        <v>0</v>
      </c>
      <c r="W31" s="2"/>
      <c r="X31" s="7">
        <f t="shared" si="19"/>
        <v>0</v>
      </c>
      <c r="Y31" s="2"/>
      <c r="Z31" s="6">
        <f t="shared" si="20"/>
        <v>0</v>
      </c>
    </row>
    <row r="32" spans="1:26" s="24" customFormat="1" hidden="1" outlineLevel="2" x14ac:dyDescent="0.25">
      <c r="A32" s="25"/>
      <c r="B32" s="11" t="str">
        <f>CONCATENATE("          ", "6118", " - ", "VACATION")</f>
        <v xml:space="preserve">          6118 - VACATION</v>
      </c>
      <c r="C32" s="11"/>
      <c r="D32" s="7"/>
      <c r="E32" s="2"/>
      <c r="F32" s="6">
        <f t="shared" si="13"/>
        <v>0</v>
      </c>
      <c r="G32" s="2"/>
      <c r="H32" s="7">
        <v>0</v>
      </c>
      <c r="I32" s="2"/>
      <c r="J32" s="6">
        <f t="shared" si="14"/>
        <v>0</v>
      </c>
      <c r="K32" s="2"/>
      <c r="L32" s="7">
        <f t="shared" si="15"/>
        <v>0</v>
      </c>
      <c r="M32" s="2"/>
      <c r="N32" s="6">
        <f t="shared" si="16"/>
        <v>0</v>
      </c>
      <c r="O32" s="11"/>
      <c r="P32" s="7"/>
      <c r="Q32" s="2"/>
      <c r="R32" s="6">
        <f t="shared" si="17"/>
        <v>0</v>
      </c>
      <c r="S32" s="2"/>
      <c r="T32" s="7">
        <v>0</v>
      </c>
      <c r="U32" s="2"/>
      <c r="V32" s="6">
        <f t="shared" si="18"/>
        <v>0</v>
      </c>
      <c r="W32" s="2"/>
      <c r="X32" s="7">
        <f t="shared" si="19"/>
        <v>0</v>
      </c>
      <c r="Y32" s="2"/>
      <c r="Z32" s="6">
        <f t="shared" si="20"/>
        <v>0</v>
      </c>
    </row>
    <row r="33" spans="1:26" s="24" customFormat="1" hidden="1" outlineLevel="2" x14ac:dyDescent="0.25">
      <c r="A33" s="25"/>
      <c r="B33" s="11" t="str">
        <f>CONCATENATE("          ", "6119", " - ", "SICK LEAVE")</f>
        <v xml:space="preserve">          6119 - SICK LEAVE</v>
      </c>
      <c r="C33" s="11"/>
      <c r="D33" s="7"/>
      <c r="E33" s="2"/>
      <c r="F33" s="6">
        <f t="shared" si="13"/>
        <v>0</v>
      </c>
      <c r="G33" s="2"/>
      <c r="H33" s="7">
        <v>54</v>
      </c>
      <c r="I33" s="2"/>
      <c r="J33" s="6">
        <f t="shared" si="14"/>
        <v>0</v>
      </c>
      <c r="K33" s="2"/>
      <c r="L33" s="7">
        <f t="shared" si="15"/>
        <v>-54</v>
      </c>
      <c r="M33" s="2"/>
      <c r="N33" s="6">
        <f t="shared" si="16"/>
        <v>-1</v>
      </c>
      <c r="O33" s="11"/>
      <c r="P33" s="7"/>
      <c r="Q33" s="2"/>
      <c r="R33" s="6">
        <f t="shared" si="17"/>
        <v>0</v>
      </c>
      <c r="S33" s="2"/>
      <c r="T33" s="7">
        <v>280.08</v>
      </c>
      <c r="U33" s="2"/>
      <c r="V33" s="6">
        <f t="shared" si="18"/>
        <v>1.4003999999999999E-2</v>
      </c>
      <c r="W33" s="2"/>
      <c r="X33" s="7">
        <f t="shared" si="19"/>
        <v>-280.08</v>
      </c>
      <c r="Y33" s="2"/>
      <c r="Z33" s="6">
        <f t="shared" si="20"/>
        <v>-1</v>
      </c>
    </row>
    <row r="34" spans="1:26" s="26" customFormat="1" outlineLevel="1" collapsed="1" x14ac:dyDescent="0.25">
      <c r="A34" s="27"/>
      <c r="B34" s="13" t="str">
        <f>CONCATENATE("     ","*Payroll                                          ")</f>
        <v xml:space="preserve">     *Payroll                                          </v>
      </c>
      <c r="C34" s="13"/>
      <c r="D34" s="1">
        <f>SUM(OSRRefD22_1x_0)</f>
        <v>0</v>
      </c>
      <c r="E34" s="1"/>
      <c r="F34" s="5">
        <f t="shared" ref="F34:F44" si="21">IF(D$12=0,0,D34/D$12)</f>
        <v>0</v>
      </c>
      <c r="G34" s="1"/>
      <c r="H34" s="1">
        <f>SUM(OSRRefH22_1x_0)</f>
        <v>1800</v>
      </c>
      <c r="I34" s="1"/>
      <c r="J34" s="5">
        <f t="shared" ref="J34:J44" si="22">IF(H$12=0,0,H34/H$12)</f>
        <v>0</v>
      </c>
      <c r="K34" s="1"/>
      <c r="L34" s="1">
        <f t="shared" ref="L34:L44" si="23">+D34-H34</f>
        <v>-1800</v>
      </c>
      <c r="M34" s="1"/>
      <c r="N34" s="5">
        <f t="shared" ref="N34:N44" si="24">IF(H34=0,0,L34/H34)</f>
        <v>-1</v>
      </c>
      <c r="O34" s="13"/>
      <c r="P34" s="1">
        <f>SUM(OSRRefP22_1x_0)</f>
        <v>4864.18</v>
      </c>
      <c r="Q34" s="1"/>
      <c r="R34" s="5">
        <f t="shared" ref="R34:R44" si="25">IF(P$12=0,0,P34/P$12)</f>
        <v>0.24502376854170416</v>
      </c>
      <c r="S34" s="1"/>
      <c r="T34" s="1">
        <f>SUM(OSRRefT22_1x_0)</f>
        <v>9336</v>
      </c>
      <c r="U34" s="1"/>
      <c r="V34" s="5">
        <f t="shared" ref="V34:V44" si="26">IF(T$12=0,0,T34/T$12)</f>
        <v>0.46679999999999999</v>
      </c>
      <c r="W34" s="1"/>
      <c r="X34" s="1">
        <f t="shared" ref="X34:X44" si="27">+P34-T34</f>
        <v>-4471.82</v>
      </c>
      <c r="Y34" s="1"/>
      <c r="Z34" s="5">
        <f t="shared" ref="Z34:Z44" si="28">IF(T34=0,0,X34/T34)</f>
        <v>-0.47898671808054838</v>
      </c>
    </row>
    <row r="35" spans="1:26" s="24" customFormat="1" hidden="1" outlineLevel="2" x14ac:dyDescent="0.25">
      <c r="A35" s="25"/>
      <c r="B35" s="11" t="str">
        <f>CONCATENATE("          ", "6001", " - ", "ADMINISTRATIVE SALARIES")</f>
        <v xml:space="preserve">          6001 - ADMINISTRATIVE SALARIES</v>
      </c>
      <c r="C35" s="11"/>
      <c r="D35" s="7"/>
      <c r="E35" s="2"/>
      <c r="F35" s="6">
        <f t="shared" si="21"/>
        <v>0</v>
      </c>
      <c r="G35" s="2"/>
      <c r="H35" s="7">
        <v>0</v>
      </c>
      <c r="I35" s="2"/>
      <c r="J35" s="6">
        <f t="shared" si="22"/>
        <v>0</v>
      </c>
      <c r="K35" s="2"/>
      <c r="L35" s="7">
        <f t="shared" si="23"/>
        <v>0</v>
      </c>
      <c r="M35" s="2"/>
      <c r="N35" s="6">
        <f t="shared" si="24"/>
        <v>0</v>
      </c>
      <c r="O35" s="11"/>
      <c r="P35" s="7"/>
      <c r="Q35" s="2"/>
      <c r="R35" s="6">
        <f t="shared" si="25"/>
        <v>0</v>
      </c>
      <c r="S35" s="2"/>
      <c r="T35" s="7">
        <v>0</v>
      </c>
      <c r="U35" s="2"/>
      <c r="V35" s="6">
        <f t="shared" si="26"/>
        <v>0</v>
      </c>
      <c r="W35" s="2"/>
      <c r="X35" s="7">
        <f t="shared" si="27"/>
        <v>0</v>
      </c>
      <c r="Y35" s="2"/>
      <c r="Z35" s="6">
        <f t="shared" si="28"/>
        <v>0</v>
      </c>
    </row>
    <row r="36" spans="1:26" s="24" customFormat="1" hidden="1" outlineLevel="2" x14ac:dyDescent="0.25">
      <c r="A36" s="25"/>
      <c r="B36" s="11" t="str">
        <f>CONCATENATE("          ", "6002", " - ", "STAFF SALARIES")</f>
        <v xml:space="preserve">          6002 - STAFF SALARIES</v>
      </c>
      <c r="C36" s="11"/>
      <c r="D36" s="7"/>
      <c r="E36" s="2"/>
      <c r="F36" s="6">
        <f t="shared" si="21"/>
        <v>0</v>
      </c>
      <c r="G36" s="2"/>
      <c r="H36" s="7">
        <v>0</v>
      </c>
      <c r="I36" s="2"/>
      <c r="J36" s="6">
        <f t="shared" si="22"/>
        <v>0</v>
      </c>
      <c r="K36" s="2"/>
      <c r="L36" s="7">
        <f t="shared" si="23"/>
        <v>0</v>
      </c>
      <c r="M36" s="2"/>
      <c r="N36" s="6">
        <f t="shared" si="24"/>
        <v>0</v>
      </c>
      <c r="O36" s="11"/>
      <c r="P36" s="7"/>
      <c r="Q36" s="2"/>
      <c r="R36" s="6">
        <f t="shared" si="25"/>
        <v>0</v>
      </c>
      <c r="S36" s="2"/>
      <c r="T36" s="7">
        <v>0</v>
      </c>
      <c r="U36" s="2"/>
      <c r="V36" s="6">
        <f t="shared" si="26"/>
        <v>0</v>
      </c>
      <c r="W36" s="2"/>
      <c r="X36" s="7">
        <f t="shared" si="27"/>
        <v>0</v>
      </c>
      <c r="Y36" s="2"/>
      <c r="Z36" s="6">
        <f t="shared" si="28"/>
        <v>0</v>
      </c>
    </row>
    <row r="37" spans="1:26" s="24" customFormat="1" hidden="1" outlineLevel="2" x14ac:dyDescent="0.25">
      <c r="A37" s="25"/>
      <c r="B37" s="11" t="str">
        <f>CONCATENATE("          ", "6003", " - ", "STAFF HOURLY-9 MONTH")</f>
        <v xml:space="preserve">          6003 - STAFF HOURLY-9 MONTH</v>
      </c>
      <c r="C37" s="11"/>
      <c r="D37" s="7"/>
      <c r="E37" s="2"/>
      <c r="F37" s="6">
        <f t="shared" si="21"/>
        <v>0</v>
      </c>
      <c r="G37" s="2"/>
      <c r="H37" s="7">
        <v>0</v>
      </c>
      <c r="I37" s="2"/>
      <c r="J37" s="6">
        <f t="shared" si="22"/>
        <v>0</v>
      </c>
      <c r="K37" s="2"/>
      <c r="L37" s="7">
        <f t="shared" si="23"/>
        <v>0</v>
      </c>
      <c r="M37" s="2"/>
      <c r="N37" s="6">
        <f t="shared" si="24"/>
        <v>0</v>
      </c>
      <c r="O37" s="11"/>
      <c r="P37" s="7"/>
      <c r="Q37" s="2"/>
      <c r="R37" s="6">
        <f t="shared" si="25"/>
        <v>0</v>
      </c>
      <c r="S37" s="2"/>
      <c r="T37" s="7">
        <v>0</v>
      </c>
      <c r="U37" s="2"/>
      <c r="V37" s="6">
        <f t="shared" si="26"/>
        <v>0</v>
      </c>
      <c r="W37" s="2"/>
      <c r="X37" s="7">
        <f t="shared" si="27"/>
        <v>0</v>
      </c>
      <c r="Y37" s="2"/>
      <c r="Z37" s="6">
        <f t="shared" si="28"/>
        <v>0</v>
      </c>
    </row>
    <row r="38" spans="1:26" s="24" customFormat="1" hidden="1" outlineLevel="2" x14ac:dyDescent="0.25">
      <c r="A38" s="25"/>
      <c r="B38" s="11" t="str">
        <f>CONCATENATE("          ", "6004", " - ", "STAFF HOURLY")</f>
        <v xml:space="preserve">          6004 - STAFF HOURLY</v>
      </c>
      <c r="C38" s="11"/>
      <c r="D38" s="7"/>
      <c r="E38" s="2"/>
      <c r="F38" s="6">
        <f t="shared" si="21"/>
        <v>0</v>
      </c>
      <c r="G38" s="2"/>
      <c r="H38" s="7">
        <v>0</v>
      </c>
      <c r="I38" s="2"/>
      <c r="J38" s="6">
        <f t="shared" si="22"/>
        <v>0</v>
      </c>
      <c r="K38" s="2"/>
      <c r="L38" s="7">
        <f t="shared" si="23"/>
        <v>0</v>
      </c>
      <c r="M38" s="2"/>
      <c r="N38" s="6">
        <f t="shared" si="24"/>
        <v>0</v>
      </c>
      <c r="O38" s="11"/>
      <c r="P38" s="7"/>
      <c r="Q38" s="2"/>
      <c r="R38" s="6">
        <f t="shared" si="25"/>
        <v>0</v>
      </c>
      <c r="S38" s="2"/>
      <c r="T38" s="7">
        <v>0</v>
      </c>
      <c r="U38" s="2"/>
      <c r="V38" s="6">
        <f t="shared" si="26"/>
        <v>0</v>
      </c>
      <c r="W38" s="2"/>
      <c r="X38" s="7">
        <f t="shared" si="27"/>
        <v>0</v>
      </c>
      <c r="Y38" s="2"/>
      <c r="Z38" s="6">
        <f t="shared" si="28"/>
        <v>0</v>
      </c>
    </row>
    <row r="39" spans="1:26" s="24" customFormat="1" hidden="1" outlineLevel="2" x14ac:dyDescent="0.25">
      <c r="A39" s="25"/>
      <c r="B39" s="11" t="str">
        <f>CONCATENATE("          ", "6005", " - ", "TEMPORARY WAGES-HOURLY")</f>
        <v xml:space="preserve">          6005 - TEMPORARY WAGES-HOURLY</v>
      </c>
      <c r="C39" s="11"/>
      <c r="D39" s="7"/>
      <c r="E39" s="2"/>
      <c r="F39" s="6">
        <f t="shared" si="21"/>
        <v>0</v>
      </c>
      <c r="G39" s="2"/>
      <c r="H39" s="7">
        <v>1800</v>
      </c>
      <c r="I39" s="2"/>
      <c r="J39" s="6">
        <f t="shared" si="22"/>
        <v>0</v>
      </c>
      <c r="K39" s="2"/>
      <c r="L39" s="7">
        <f t="shared" si="23"/>
        <v>-1800</v>
      </c>
      <c r="M39" s="2"/>
      <c r="N39" s="6">
        <f t="shared" si="24"/>
        <v>-1</v>
      </c>
      <c r="O39" s="11"/>
      <c r="P39" s="7">
        <v>1896.99</v>
      </c>
      <c r="Q39" s="2"/>
      <c r="R39" s="6">
        <f t="shared" si="25"/>
        <v>9.5557244733115831E-2</v>
      </c>
      <c r="S39" s="2"/>
      <c r="T39" s="7">
        <v>5496</v>
      </c>
      <c r="U39" s="2"/>
      <c r="V39" s="6">
        <f t="shared" si="26"/>
        <v>0.27479999999999999</v>
      </c>
      <c r="W39" s="2"/>
      <c r="X39" s="7">
        <f t="shared" si="27"/>
        <v>-3599.01</v>
      </c>
      <c r="Y39" s="2"/>
      <c r="Z39" s="6">
        <f t="shared" si="28"/>
        <v>-0.65484170305676859</v>
      </c>
    </row>
    <row r="40" spans="1:26" s="24" customFormat="1" hidden="1" outlineLevel="2" x14ac:dyDescent="0.25">
      <c r="A40" s="25"/>
      <c r="B40" s="11" t="str">
        <f>CONCATENATE("          ", "6006", " - ", "TEMPORARY PART TIME")</f>
        <v xml:space="preserve">          6006 - TEMPORARY PART TIME</v>
      </c>
      <c r="C40" s="11"/>
      <c r="D40" s="7"/>
      <c r="E40" s="2"/>
      <c r="F40" s="6">
        <f t="shared" si="21"/>
        <v>0</v>
      </c>
      <c r="G40" s="2"/>
      <c r="H40" s="7">
        <v>0</v>
      </c>
      <c r="I40" s="2"/>
      <c r="J40" s="6">
        <f t="shared" si="22"/>
        <v>0</v>
      </c>
      <c r="K40" s="2"/>
      <c r="L40" s="7">
        <f t="shared" si="23"/>
        <v>0</v>
      </c>
      <c r="M40" s="2"/>
      <c r="N40" s="6">
        <f t="shared" si="24"/>
        <v>0</v>
      </c>
      <c r="O40" s="11"/>
      <c r="P40" s="7">
        <v>247.5</v>
      </c>
      <c r="Q40" s="2"/>
      <c r="R40" s="6">
        <f t="shared" si="25"/>
        <v>1.2467339348887536E-2</v>
      </c>
      <c r="S40" s="2"/>
      <c r="T40" s="7">
        <v>0</v>
      </c>
      <c r="U40" s="2"/>
      <c r="V40" s="6">
        <f t="shared" si="26"/>
        <v>0</v>
      </c>
      <c r="W40" s="2"/>
      <c r="X40" s="7">
        <f t="shared" si="27"/>
        <v>247.5</v>
      </c>
      <c r="Y40" s="2"/>
      <c r="Z40" s="6">
        <f t="shared" si="28"/>
        <v>0</v>
      </c>
    </row>
    <row r="41" spans="1:26" s="24" customFormat="1" hidden="1" outlineLevel="2" x14ac:dyDescent="0.25">
      <c r="A41" s="25"/>
      <c r="B41" s="11" t="str">
        <f>CONCATENATE("          ", "6007", " - ", "STUDENT HOURLY")</f>
        <v xml:space="preserve">          6007 - STUDENT HOURLY</v>
      </c>
      <c r="C41" s="11"/>
      <c r="D41" s="7"/>
      <c r="E41" s="2"/>
      <c r="F41" s="6">
        <f t="shared" si="21"/>
        <v>0</v>
      </c>
      <c r="G41" s="2"/>
      <c r="H41" s="7">
        <v>0</v>
      </c>
      <c r="I41" s="2"/>
      <c r="J41" s="6">
        <f t="shared" si="22"/>
        <v>0</v>
      </c>
      <c r="K41" s="2"/>
      <c r="L41" s="7">
        <f t="shared" si="23"/>
        <v>0</v>
      </c>
      <c r="M41" s="2"/>
      <c r="N41" s="6">
        <f t="shared" si="24"/>
        <v>0</v>
      </c>
      <c r="O41" s="11"/>
      <c r="P41" s="7">
        <v>2086.69</v>
      </c>
      <c r="Q41" s="2"/>
      <c r="R41" s="6">
        <f t="shared" si="25"/>
        <v>0.10511301957951569</v>
      </c>
      <c r="S41" s="2"/>
      <c r="T41" s="7">
        <v>0</v>
      </c>
      <c r="U41" s="2"/>
      <c r="V41" s="6">
        <f t="shared" si="26"/>
        <v>0</v>
      </c>
      <c r="W41" s="2"/>
      <c r="X41" s="7">
        <f t="shared" si="27"/>
        <v>2086.69</v>
      </c>
      <c r="Y41" s="2"/>
      <c r="Z41" s="6">
        <f t="shared" si="28"/>
        <v>0</v>
      </c>
    </row>
    <row r="42" spans="1:26" s="24" customFormat="1" hidden="1" outlineLevel="2" x14ac:dyDescent="0.25">
      <c r="A42" s="25"/>
      <c r="B42" s="11" t="str">
        <f>CONCATENATE("          ", "6008", " - ", "STUDENT HOURLY-FICA EXEMPT")</f>
        <v xml:space="preserve">          6008 - STUDENT HOURLY-FICA EXEMPT</v>
      </c>
      <c r="C42" s="11"/>
      <c r="D42" s="7"/>
      <c r="E42" s="2"/>
      <c r="F42" s="6">
        <f t="shared" si="21"/>
        <v>0</v>
      </c>
      <c r="G42" s="2"/>
      <c r="H42" s="7">
        <v>0</v>
      </c>
      <c r="I42" s="2"/>
      <c r="J42" s="6">
        <f t="shared" si="22"/>
        <v>0</v>
      </c>
      <c r="K42" s="2"/>
      <c r="L42" s="7">
        <f t="shared" si="23"/>
        <v>0</v>
      </c>
      <c r="M42" s="2"/>
      <c r="N42" s="6">
        <f t="shared" si="24"/>
        <v>0</v>
      </c>
      <c r="O42" s="11"/>
      <c r="P42" s="7">
        <v>633</v>
      </c>
      <c r="Q42" s="2"/>
      <c r="R42" s="6">
        <f t="shared" si="25"/>
        <v>3.1886164880185093E-2</v>
      </c>
      <c r="S42" s="2"/>
      <c r="T42" s="7">
        <v>3840</v>
      </c>
      <c r="U42" s="2"/>
      <c r="V42" s="6">
        <f t="shared" si="26"/>
        <v>0.192</v>
      </c>
      <c r="W42" s="2"/>
      <c r="X42" s="7">
        <f t="shared" si="27"/>
        <v>-3207</v>
      </c>
      <c r="Y42" s="2"/>
      <c r="Z42" s="6">
        <f t="shared" si="28"/>
        <v>-0.83515625000000004</v>
      </c>
    </row>
    <row r="43" spans="1:26" s="24" customFormat="1" hidden="1" outlineLevel="2" x14ac:dyDescent="0.25">
      <c r="A43" s="25"/>
      <c r="B43" s="11" t="str">
        <f>CONCATENATE("          ", "6009", " - ", "TEMPORARY-SEASONAL")</f>
        <v xml:space="preserve">          6009 - TEMPORARY-SEASONAL</v>
      </c>
      <c r="C43" s="11"/>
      <c r="D43" s="7"/>
      <c r="E43" s="2"/>
      <c r="F43" s="6">
        <f t="shared" si="21"/>
        <v>0</v>
      </c>
      <c r="G43" s="2"/>
      <c r="H43" s="7">
        <v>0</v>
      </c>
      <c r="I43" s="2"/>
      <c r="J43" s="6">
        <f t="shared" si="22"/>
        <v>0</v>
      </c>
      <c r="K43" s="2"/>
      <c r="L43" s="7">
        <f t="shared" si="23"/>
        <v>0</v>
      </c>
      <c r="M43" s="2"/>
      <c r="N43" s="6">
        <f t="shared" si="24"/>
        <v>0</v>
      </c>
      <c r="O43" s="11"/>
      <c r="P43" s="7"/>
      <c r="Q43" s="2"/>
      <c r="R43" s="6">
        <f t="shared" si="25"/>
        <v>0</v>
      </c>
      <c r="S43" s="2"/>
      <c r="T43" s="7">
        <v>0</v>
      </c>
      <c r="U43" s="2"/>
      <c r="V43" s="6">
        <f t="shared" si="26"/>
        <v>0</v>
      </c>
      <c r="W43" s="2"/>
      <c r="X43" s="7">
        <f t="shared" si="27"/>
        <v>0</v>
      </c>
      <c r="Y43" s="2"/>
      <c r="Z43" s="6">
        <f t="shared" si="28"/>
        <v>0</v>
      </c>
    </row>
    <row r="44" spans="1:26" s="24" customFormat="1" hidden="1" outlineLevel="2" x14ac:dyDescent="0.25">
      <c r="A44" s="25"/>
      <c r="B44" s="11" t="str">
        <f>CONCATENATE("          ", "6010", " - ", "GRATUITY")</f>
        <v xml:space="preserve">          6010 - GRATUITY</v>
      </c>
      <c r="C44" s="11"/>
      <c r="D44" s="7"/>
      <c r="E44" s="2"/>
      <c r="F44" s="6">
        <f t="shared" si="21"/>
        <v>0</v>
      </c>
      <c r="G44" s="2"/>
      <c r="H44" s="7">
        <v>0</v>
      </c>
      <c r="I44" s="2"/>
      <c r="J44" s="6">
        <f t="shared" si="22"/>
        <v>0</v>
      </c>
      <c r="K44" s="2"/>
      <c r="L44" s="7">
        <f t="shared" si="23"/>
        <v>0</v>
      </c>
      <c r="M44" s="2"/>
      <c r="N44" s="6">
        <f t="shared" si="24"/>
        <v>0</v>
      </c>
      <c r="O44" s="11"/>
      <c r="P44" s="7"/>
      <c r="Q44" s="2"/>
      <c r="R44" s="6">
        <f t="shared" si="25"/>
        <v>0</v>
      </c>
      <c r="S44" s="2"/>
      <c r="T44" s="7">
        <v>0</v>
      </c>
      <c r="U44" s="2"/>
      <c r="V44" s="6">
        <f t="shared" si="26"/>
        <v>0</v>
      </c>
      <c r="W44" s="2"/>
      <c r="X44" s="7">
        <f t="shared" si="27"/>
        <v>0</v>
      </c>
      <c r="Y44" s="2"/>
      <c r="Z44" s="6">
        <f t="shared" si="28"/>
        <v>0</v>
      </c>
    </row>
    <row r="45" spans="1:26" s="26" customFormat="1" outlineLevel="1" collapsed="1" x14ac:dyDescent="0.25">
      <c r="A45" s="27"/>
      <c r="B45" s="13" t="str">
        <f>CONCATENATE("     ","Advertising/Promo                                 ")</f>
        <v xml:space="preserve">     Advertising/Promo                                 </v>
      </c>
      <c r="C45" s="13"/>
      <c r="D45" s="1">
        <f>SUM(OSRRefD22_2x_0)</f>
        <v>0</v>
      </c>
      <c r="E45" s="1"/>
      <c r="F45" s="5">
        <f t="shared" ref="F45:F57" si="29">IF(D$12=0,0,D45/D$12)</f>
        <v>0</v>
      </c>
      <c r="G45" s="1"/>
      <c r="H45" s="1">
        <f>SUM(OSRRefH22_2x_0)</f>
        <v>0</v>
      </c>
      <c r="I45" s="1"/>
      <c r="J45" s="5">
        <f t="shared" ref="J45:J57" si="30">IF(H$12=0,0,H45/H$12)</f>
        <v>0</v>
      </c>
      <c r="K45" s="1"/>
      <c r="L45" s="1">
        <f t="shared" ref="L45:L57" si="31">+D45-H45</f>
        <v>0</v>
      </c>
      <c r="M45" s="1"/>
      <c r="N45" s="5">
        <f t="shared" ref="N45:N57" si="32">IF(H45=0,0,L45/H45)</f>
        <v>0</v>
      </c>
      <c r="O45" s="13"/>
      <c r="P45" s="1">
        <f>SUM(OSRRefP22_2x_0)</f>
        <v>103.95</v>
      </c>
      <c r="Q45" s="1"/>
      <c r="R45" s="5">
        <f t="shared" ref="R45:R57" si="33">IF(P$12=0,0,P45/P$12)</f>
        <v>5.2362825265327654E-3</v>
      </c>
      <c r="S45" s="1"/>
      <c r="T45" s="1">
        <f>SUM(OSRRefT22_2x_0)</f>
        <v>100</v>
      </c>
      <c r="U45" s="1"/>
      <c r="V45" s="5">
        <f t="shared" ref="V45:V57" si="34">IF(T$12=0,0,T45/T$12)</f>
        <v>5.0000000000000001E-3</v>
      </c>
      <c r="W45" s="1"/>
      <c r="X45" s="1">
        <f t="shared" ref="X45:X57" si="35">+P45-T45</f>
        <v>3.9500000000000028</v>
      </c>
      <c r="Y45" s="1"/>
      <c r="Z45" s="5">
        <f t="shared" ref="Z45:Z57" si="36">IF(T45=0,0,X45/T45)</f>
        <v>3.9500000000000028E-2</v>
      </c>
    </row>
    <row r="46" spans="1:26" s="24" customFormat="1" hidden="1" outlineLevel="2" x14ac:dyDescent="0.25">
      <c r="A46" s="25"/>
      <c r="B46" s="11" t="str">
        <f>CONCATENATE("          ", "6362", " - ", "ADVERTISING EXPENSE")</f>
        <v xml:space="preserve">          6362 - ADVERTISING EXPENSE</v>
      </c>
      <c r="C46" s="11"/>
      <c r="D46" s="7"/>
      <c r="E46" s="2"/>
      <c r="F46" s="6">
        <f t="shared" si="29"/>
        <v>0</v>
      </c>
      <c r="G46" s="2"/>
      <c r="H46" s="7"/>
      <c r="I46" s="2"/>
      <c r="J46" s="6">
        <f t="shared" si="30"/>
        <v>0</v>
      </c>
      <c r="K46" s="2"/>
      <c r="L46" s="7">
        <f t="shared" si="31"/>
        <v>0</v>
      </c>
      <c r="M46" s="2"/>
      <c r="N46" s="6">
        <f t="shared" si="32"/>
        <v>0</v>
      </c>
      <c r="O46" s="11"/>
      <c r="P46" s="7">
        <v>103.95</v>
      </c>
      <c r="Q46" s="2"/>
      <c r="R46" s="6">
        <f t="shared" si="33"/>
        <v>5.2362825265327654E-3</v>
      </c>
      <c r="S46" s="2"/>
      <c r="T46" s="7">
        <v>100</v>
      </c>
      <c r="U46" s="2"/>
      <c r="V46" s="6">
        <f t="shared" si="34"/>
        <v>5.0000000000000001E-3</v>
      </c>
      <c r="W46" s="2"/>
      <c r="X46" s="7">
        <f t="shared" si="35"/>
        <v>3.9500000000000028</v>
      </c>
      <c r="Y46" s="2"/>
      <c r="Z46" s="6">
        <f t="shared" si="36"/>
        <v>3.9500000000000028E-2</v>
      </c>
    </row>
    <row r="47" spans="1:26" s="26" customFormat="1" outlineLevel="1" collapsed="1" x14ac:dyDescent="0.25">
      <c r="A47" s="27"/>
      <c r="B47" s="13" t="str">
        <f>CONCATENATE("     ","Bad Debts/Over/Short                              ")</f>
        <v xml:space="preserve">     Bad Debts/Over/Short                              </v>
      </c>
      <c r="C47" s="13"/>
      <c r="D47" s="1">
        <f>SUM(OSRRefD22_3x_0)</f>
        <v>0</v>
      </c>
      <c r="E47" s="1"/>
      <c r="F47" s="5">
        <f t="shared" si="29"/>
        <v>0</v>
      </c>
      <c r="G47" s="1"/>
      <c r="H47" s="1">
        <f>SUM(OSRRefH22_3x_0)</f>
        <v>0</v>
      </c>
      <c r="I47" s="1"/>
      <c r="J47" s="5">
        <f t="shared" si="30"/>
        <v>0</v>
      </c>
      <c r="K47" s="1"/>
      <c r="L47" s="1">
        <f t="shared" si="31"/>
        <v>0</v>
      </c>
      <c r="M47" s="1"/>
      <c r="N47" s="5">
        <f t="shared" si="32"/>
        <v>0</v>
      </c>
      <c r="O47" s="13"/>
      <c r="P47" s="1">
        <f>SUM(OSRRefP22_3x_0)</f>
        <v>1.85</v>
      </c>
      <c r="Q47" s="1"/>
      <c r="R47" s="5">
        <f t="shared" si="33"/>
        <v>9.3190213314916939E-5</v>
      </c>
      <c r="S47" s="1"/>
      <c r="T47" s="1">
        <f>SUM(OSRRefT22_3x_0)</f>
        <v>25</v>
      </c>
      <c r="U47" s="1"/>
      <c r="V47" s="5">
        <f t="shared" si="34"/>
        <v>1.25E-3</v>
      </c>
      <c r="W47" s="1"/>
      <c r="X47" s="1">
        <f t="shared" si="35"/>
        <v>-23.15</v>
      </c>
      <c r="Y47" s="1"/>
      <c r="Z47" s="5">
        <f t="shared" si="36"/>
        <v>-0.92599999999999993</v>
      </c>
    </row>
    <row r="48" spans="1:26" s="24" customFormat="1" hidden="1" outlineLevel="2" x14ac:dyDescent="0.25">
      <c r="A48" s="25"/>
      <c r="B48" s="11" t="str">
        <f>CONCATENATE("          ", "6272", " - ", "CASH (OVER/SHORT)")</f>
        <v xml:space="preserve">          6272 - CASH (OVER/SHORT)</v>
      </c>
      <c r="C48" s="11"/>
      <c r="D48" s="7"/>
      <c r="E48" s="2"/>
      <c r="F48" s="6">
        <f t="shared" si="29"/>
        <v>0</v>
      </c>
      <c r="G48" s="2"/>
      <c r="H48" s="7"/>
      <c r="I48" s="2"/>
      <c r="J48" s="6">
        <f t="shared" si="30"/>
        <v>0</v>
      </c>
      <c r="K48" s="2"/>
      <c r="L48" s="7">
        <f t="shared" si="31"/>
        <v>0</v>
      </c>
      <c r="M48" s="2"/>
      <c r="N48" s="6">
        <f t="shared" si="32"/>
        <v>0</v>
      </c>
      <c r="O48" s="11"/>
      <c r="P48" s="7">
        <v>1.85</v>
      </c>
      <c r="Q48" s="2"/>
      <c r="R48" s="6">
        <f t="shared" si="33"/>
        <v>9.3190213314916939E-5</v>
      </c>
      <c r="S48" s="2"/>
      <c r="T48" s="7">
        <v>25</v>
      </c>
      <c r="U48" s="2"/>
      <c r="V48" s="6">
        <f t="shared" si="34"/>
        <v>1.25E-3</v>
      </c>
      <c r="W48" s="2"/>
      <c r="X48" s="7">
        <f t="shared" si="35"/>
        <v>-23.15</v>
      </c>
      <c r="Y48" s="2"/>
      <c r="Z48" s="6">
        <f t="shared" si="36"/>
        <v>-0.92599999999999993</v>
      </c>
    </row>
    <row r="49" spans="1:26" s="26" customFormat="1" outlineLevel="1" collapsed="1" x14ac:dyDescent="0.25">
      <c r="A49" s="27"/>
      <c r="B49" s="13" t="str">
        <f>CONCATENATE("     ","Bank/card Fees                                    ")</f>
        <v xml:space="preserve">     Bank/card Fees                                    </v>
      </c>
      <c r="C49" s="13"/>
      <c r="D49" s="1">
        <f>SUM(OSRRefD22_4x_0)</f>
        <v>0</v>
      </c>
      <c r="E49" s="1"/>
      <c r="F49" s="5">
        <f t="shared" si="29"/>
        <v>0</v>
      </c>
      <c r="G49" s="1"/>
      <c r="H49" s="1">
        <f>SUM(OSRRefH22_4x_0)</f>
        <v>0</v>
      </c>
      <c r="I49" s="1"/>
      <c r="J49" s="5">
        <f t="shared" si="30"/>
        <v>0</v>
      </c>
      <c r="K49" s="1"/>
      <c r="L49" s="1">
        <f t="shared" si="31"/>
        <v>0</v>
      </c>
      <c r="M49" s="1"/>
      <c r="N49" s="5">
        <f t="shared" si="32"/>
        <v>0</v>
      </c>
      <c r="O49" s="13"/>
      <c r="P49" s="1">
        <f>SUM(OSRRefP22_4x_0)</f>
        <v>333.47</v>
      </c>
      <c r="Q49" s="1"/>
      <c r="R49" s="5">
        <f t="shared" si="33"/>
        <v>1.6797913748175866E-2</v>
      </c>
      <c r="S49" s="1"/>
      <c r="T49" s="1">
        <f>SUM(OSRRefT22_4x_0)</f>
        <v>150</v>
      </c>
      <c r="U49" s="1"/>
      <c r="V49" s="5">
        <f t="shared" si="34"/>
        <v>7.4999999999999997E-3</v>
      </c>
      <c r="W49" s="1"/>
      <c r="X49" s="1">
        <f t="shared" si="35"/>
        <v>183.47000000000003</v>
      </c>
      <c r="Y49" s="1"/>
      <c r="Z49" s="5">
        <f t="shared" si="36"/>
        <v>1.2231333333333334</v>
      </c>
    </row>
    <row r="50" spans="1:26" s="24" customFormat="1" hidden="1" outlineLevel="2" x14ac:dyDescent="0.25">
      <c r="A50" s="25"/>
      <c r="B50" s="11" t="str">
        <f>CONCATENATE("          ", "6381", " - ", "BANK/CREDIT CARD FEES")</f>
        <v xml:space="preserve">          6381 - BANK/CREDIT CARD FEES</v>
      </c>
      <c r="C50" s="11"/>
      <c r="D50" s="7"/>
      <c r="E50" s="2"/>
      <c r="F50" s="6">
        <f t="shared" si="29"/>
        <v>0</v>
      </c>
      <c r="G50" s="2"/>
      <c r="H50" s="7"/>
      <c r="I50" s="2"/>
      <c r="J50" s="6">
        <f t="shared" si="30"/>
        <v>0</v>
      </c>
      <c r="K50" s="2"/>
      <c r="L50" s="7">
        <f t="shared" si="31"/>
        <v>0</v>
      </c>
      <c r="M50" s="2"/>
      <c r="N50" s="6">
        <f t="shared" si="32"/>
        <v>0</v>
      </c>
      <c r="O50" s="11"/>
      <c r="P50" s="7">
        <v>333.47</v>
      </c>
      <c r="Q50" s="2"/>
      <c r="R50" s="6">
        <f t="shared" si="33"/>
        <v>1.6797913748175866E-2</v>
      </c>
      <c r="S50" s="2"/>
      <c r="T50" s="7">
        <v>150</v>
      </c>
      <c r="U50" s="2"/>
      <c r="V50" s="6">
        <f t="shared" si="34"/>
        <v>7.4999999999999997E-3</v>
      </c>
      <c r="W50" s="2"/>
      <c r="X50" s="7">
        <f t="shared" si="35"/>
        <v>183.47000000000003</v>
      </c>
      <c r="Y50" s="2"/>
      <c r="Z50" s="6">
        <f t="shared" si="36"/>
        <v>1.2231333333333334</v>
      </c>
    </row>
    <row r="51" spans="1:26" s="26" customFormat="1" outlineLevel="1" collapsed="1" x14ac:dyDescent="0.25">
      <c r="A51" s="27"/>
      <c r="B51" s="13" t="str">
        <f>CONCATENATE("     ","Employees' Appreciation                           ")</f>
        <v xml:space="preserve">     Employees' Appreciation                           </v>
      </c>
      <c r="C51" s="13"/>
      <c r="D51" s="1">
        <f>SUM(OSRRefD22_5x_0)</f>
        <v>0</v>
      </c>
      <c r="E51" s="1"/>
      <c r="F51" s="5">
        <f t="shared" si="29"/>
        <v>0</v>
      </c>
      <c r="G51" s="1"/>
      <c r="H51" s="1">
        <f>SUM(OSRRefH22_5x_0)</f>
        <v>0</v>
      </c>
      <c r="I51" s="1"/>
      <c r="J51" s="5">
        <f t="shared" si="30"/>
        <v>0</v>
      </c>
      <c r="K51" s="1"/>
      <c r="L51" s="1">
        <f t="shared" si="31"/>
        <v>0</v>
      </c>
      <c r="M51" s="1"/>
      <c r="N51" s="5">
        <f t="shared" si="32"/>
        <v>0</v>
      </c>
      <c r="O51" s="13"/>
      <c r="P51" s="1">
        <f>SUM(OSRRefP22_5x_0)</f>
        <v>114.64</v>
      </c>
      <c r="Q51" s="1"/>
      <c r="R51" s="5">
        <f t="shared" si="33"/>
        <v>5.7747708402281503E-3</v>
      </c>
      <c r="S51" s="1"/>
      <c r="T51" s="1">
        <f>SUM(OSRRefT22_5x_0)</f>
        <v>100</v>
      </c>
      <c r="U51" s="1"/>
      <c r="V51" s="5">
        <f t="shared" si="34"/>
        <v>5.0000000000000001E-3</v>
      </c>
      <c r="W51" s="1"/>
      <c r="X51" s="1">
        <f t="shared" si="35"/>
        <v>14.64</v>
      </c>
      <c r="Y51" s="1"/>
      <c r="Z51" s="5">
        <f t="shared" si="36"/>
        <v>0.1464</v>
      </c>
    </row>
    <row r="52" spans="1:26" s="24" customFormat="1" hidden="1" outlineLevel="2" x14ac:dyDescent="0.25">
      <c r="A52" s="25"/>
      <c r="B52" s="11" t="str">
        <f>CONCATENATE("          ", "6277", " - ", "EMPLOYEE APPRECIATION")</f>
        <v xml:space="preserve">          6277 - EMPLOYEE APPRECIATION</v>
      </c>
      <c r="C52" s="11"/>
      <c r="D52" s="7"/>
      <c r="E52" s="2"/>
      <c r="F52" s="6">
        <f t="shared" si="29"/>
        <v>0</v>
      </c>
      <c r="G52" s="2"/>
      <c r="H52" s="7"/>
      <c r="I52" s="2"/>
      <c r="J52" s="6">
        <f t="shared" si="30"/>
        <v>0</v>
      </c>
      <c r="K52" s="2"/>
      <c r="L52" s="7">
        <f t="shared" si="31"/>
        <v>0</v>
      </c>
      <c r="M52" s="2"/>
      <c r="N52" s="6">
        <f t="shared" si="32"/>
        <v>0</v>
      </c>
      <c r="O52" s="11"/>
      <c r="P52" s="7">
        <v>114.64</v>
      </c>
      <c r="Q52" s="2"/>
      <c r="R52" s="6">
        <f t="shared" si="33"/>
        <v>5.7747708402281503E-3</v>
      </c>
      <c r="S52" s="2"/>
      <c r="T52" s="7">
        <v>100</v>
      </c>
      <c r="U52" s="2"/>
      <c r="V52" s="6">
        <f t="shared" si="34"/>
        <v>5.0000000000000001E-3</v>
      </c>
      <c r="W52" s="2"/>
      <c r="X52" s="7">
        <f t="shared" si="35"/>
        <v>14.64</v>
      </c>
      <c r="Y52" s="2"/>
      <c r="Z52" s="6">
        <f t="shared" si="36"/>
        <v>0.1464</v>
      </c>
    </row>
    <row r="53" spans="1:26" s="26" customFormat="1" outlineLevel="1" collapsed="1" x14ac:dyDescent="0.25">
      <c r="A53" s="27"/>
      <c r="B53" s="13" t="str">
        <f>CONCATENATE("     ","General                                           ")</f>
        <v xml:space="preserve">     General                                           </v>
      </c>
      <c r="C53" s="13"/>
      <c r="D53" s="1">
        <f>SUM(OSRRefD22_6x_0)</f>
        <v>1250</v>
      </c>
      <c r="E53" s="1"/>
      <c r="F53" s="5">
        <f t="shared" si="29"/>
        <v>0</v>
      </c>
      <c r="G53" s="1"/>
      <c r="H53" s="1">
        <f>SUM(OSRRefH22_6x_0)</f>
        <v>0</v>
      </c>
      <c r="I53" s="1"/>
      <c r="J53" s="5">
        <f t="shared" si="30"/>
        <v>0</v>
      </c>
      <c r="K53" s="1"/>
      <c r="L53" s="1">
        <f t="shared" si="31"/>
        <v>1250</v>
      </c>
      <c r="M53" s="1"/>
      <c r="N53" s="5">
        <f t="shared" si="32"/>
        <v>0</v>
      </c>
      <c r="O53" s="13"/>
      <c r="P53" s="1">
        <f>SUM(OSRRefP22_6x_0)</f>
        <v>2714.1</v>
      </c>
      <c r="Q53" s="1"/>
      <c r="R53" s="5">
        <f t="shared" si="33"/>
        <v>0.1367175988962249</v>
      </c>
      <c r="S53" s="1"/>
      <c r="T53" s="1">
        <f>SUM(OSRRefT22_6x_0)</f>
        <v>0</v>
      </c>
      <c r="U53" s="1"/>
      <c r="V53" s="5">
        <f t="shared" si="34"/>
        <v>0</v>
      </c>
      <c r="W53" s="1"/>
      <c r="X53" s="1">
        <f t="shared" si="35"/>
        <v>2714.1</v>
      </c>
      <c r="Y53" s="1"/>
      <c r="Z53" s="5">
        <f t="shared" si="36"/>
        <v>0</v>
      </c>
    </row>
    <row r="54" spans="1:26" s="24" customFormat="1" hidden="1" outlineLevel="2" x14ac:dyDescent="0.25">
      <c r="A54" s="25"/>
      <c r="B54" s="11" t="str">
        <f>CONCATENATE("          ", "6279", " - ", "GENERAL EXPENSE")</f>
        <v xml:space="preserve">          6279 - GENERAL EXPENSE</v>
      </c>
      <c r="C54" s="11"/>
      <c r="D54" s="7">
        <v>1250</v>
      </c>
      <c r="E54" s="2"/>
      <c r="F54" s="6">
        <f t="shared" si="29"/>
        <v>0</v>
      </c>
      <c r="G54" s="2"/>
      <c r="H54" s="7"/>
      <c r="I54" s="2"/>
      <c r="J54" s="6">
        <f t="shared" si="30"/>
        <v>0</v>
      </c>
      <c r="K54" s="2"/>
      <c r="L54" s="7">
        <f t="shared" si="31"/>
        <v>1250</v>
      </c>
      <c r="M54" s="2"/>
      <c r="N54" s="6">
        <f t="shared" si="32"/>
        <v>0</v>
      </c>
      <c r="O54" s="11"/>
      <c r="P54" s="7">
        <v>2714.1</v>
      </c>
      <c r="Q54" s="2"/>
      <c r="R54" s="6">
        <f t="shared" si="33"/>
        <v>0.1367175988962249</v>
      </c>
      <c r="S54" s="2"/>
      <c r="T54" s="7"/>
      <c r="U54" s="2"/>
      <c r="V54" s="6">
        <f t="shared" si="34"/>
        <v>0</v>
      </c>
      <c r="W54" s="2"/>
      <c r="X54" s="7">
        <f t="shared" si="35"/>
        <v>2714.1</v>
      </c>
      <c r="Y54" s="2"/>
      <c r="Z54" s="6">
        <f t="shared" si="36"/>
        <v>0</v>
      </c>
    </row>
    <row r="55" spans="1:26" s="26" customFormat="1" outlineLevel="1" collapsed="1" x14ac:dyDescent="0.25">
      <c r="A55" s="27"/>
      <c r="B55" s="13" t="str">
        <f>CONCATENATE("     ","Repair and Maintenance                            ")</f>
        <v xml:space="preserve">     Repair and Maintenance                            </v>
      </c>
      <c r="C55" s="13"/>
      <c r="D55" s="1">
        <f>SUM(OSRRefD22_7x_0)</f>
        <v>296.64</v>
      </c>
      <c r="E55" s="1"/>
      <c r="F55" s="5">
        <f t="shared" si="29"/>
        <v>0</v>
      </c>
      <c r="G55" s="1"/>
      <c r="H55" s="1">
        <f>SUM(OSRRefH22_7x_0)</f>
        <v>0</v>
      </c>
      <c r="I55" s="1"/>
      <c r="J55" s="5">
        <f t="shared" si="30"/>
        <v>0</v>
      </c>
      <c r="K55" s="1"/>
      <c r="L55" s="1">
        <f t="shared" si="31"/>
        <v>296.64</v>
      </c>
      <c r="M55" s="1"/>
      <c r="N55" s="5">
        <f t="shared" si="32"/>
        <v>0</v>
      </c>
      <c r="O55" s="13"/>
      <c r="P55" s="1">
        <f>SUM(OSRRefP22_7x_0)</f>
        <v>434.72</v>
      </c>
      <c r="Q55" s="1"/>
      <c r="R55" s="5">
        <f t="shared" si="33"/>
        <v>2.1898188936357133E-2</v>
      </c>
      <c r="S55" s="1"/>
      <c r="T55" s="1">
        <f>SUM(OSRRefT22_7x_0)</f>
        <v>1500</v>
      </c>
      <c r="U55" s="1"/>
      <c r="V55" s="5">
        <f t="shared" si="34"/>
        <v>7.4999999999999997E-2</v>
      </c>
      <c r="W55" s="1"/>
      <c r="X55" s="1">
        <f t="shared" si="35"/>
        <v>-1065.28</v>
      </c>
      <c r="Y55" s="1"/>
      <c r="Z55" s="5">
        <f t="shared" si="36"/>
        <v>-0.71018666666666663</v>
      </c>
    </row>
    <row r="56" spans="1:26" s="24" customFormat="1" hidden="1" outlineLevel="2" x14ac:dyDescent="0.25">
      <c r="A56" s="25"/>
      <c r="B56" s="11" t="str">
        <f>CONCATENATE("          ", "6373", " - ", "MAINTENANCE CONTRACTS")</f>
        <v xml:space="preserve">          6373 - MAINTENANCE CONTRACTS</v>
      </c>
      <c r="C56" s="11"/>
      <c r="D56" s="7">
        <v>296.64</v>
      </c>
      <c r="E56" s="2"/>
      <c r="F56" s="6">
        <f t="shared" si="29"/>
        <v>0</v>
      </c>
      <c r="G56" s="2"/>
      <c r="H56" s="7"/>
      <c r="I56" s="2"/>
      <c r="J56" s="6">
        <f t="shared" si="30"/>
        <v>0</v>
      </c>
      <c r="K56" s="2"/>
      <c r="L56" s="7">
        <f t="shared" si="31"/>
        <v>296.64</v>
      </c>
      <c r="M56" s="2"/>
      <c r="N56" s="6">
        <f t="shared" si="32"/>
        <v>0</v>
      </c>
      <c r="O56" s="11"/>
      <c r="P56" s="7">
        <v>296.64</v>
      </c>
      <c r="Q56" s="2"/>
      <c r="R56" s="6">
        <f t="shared" si="33"/>
        <v>1.4942672906884842E-2</v>
      </c>
      <c r="S56" s="2"/>
      <c r="T56" s="7"/>
      <c r="U56" s="2"/>
      <c r="V56" s="6">
        <f t="shared" si="34"/>
        <v>0</v>
      </c>
      <c r="W56" s="2"/>
      <c r="X56" s="7">
        <f t="shared" si="35"/>
        <v>296.64</v>
      </c>
      <c r="Y56" s="2"/>
      <c r="Z56" s="6">
        <f t="shared" si="36"/>
        <v>0</v>
      </c>
    </row>
    <row r="57" spans="1:26" s="24" customFormat="1" hidden="1" outlineLevel="2" x14ac:dyDescent="0.25">
      <c r="A57" s="25"/>
      <c r="B57" s="11" t="str">
        <f>CONCATENATE("          ", "6375", " - ", "OUTSIDE REPAIRS &amp; MAINTENANCE")</f>
        <v xml:space="preserve">          6375 - OUTSIDE REPAIRS &amp; MAINTENANCE</v>
      </c>
      <c r="C57" s="11"/>
      <c r="D57" s="7"/>
      <c r="E57" s="2"/>
      <c r="F57" s="6">
        <f t="shared" si="29"/>
        <v>0</v>
      </c>
      <c r="G57" s="2"/>
      <c r="H57" s="7"/>
      <c r="I57" s="2"/>
      <c r="J57" s="6">
        <f t="shared" si="30"/>
        <v>0</v>
      </c>
      <c r="K57" s="2"/>
      <c r="L57" s="7">
        <f t="shared" si="31"/>
        <v>0</v>
      </c>
      <c r="M57" s="2"/>
      <c r="N57" s="6">
        <f t="shared" si="32"/>
        <v>0</v>
      </c>
      <c r="O57" s="11"/>
      <c r="P57" s="7">
        <v>138.08000000000001</v>
      </c>
      <c r="Q57" s="2"/>
      <c r="R57" s="6">
        <f t="shared" si="33"/>
        <v>6.9555160294722876E-3</v>
      </c>
      <c r="S57" s="2"/>
      <c r="T57" s="7">
        <v>1500</v>
      </c>
      <c r="U57" s="2"/>
      <c r="V57" s="6">
        <f t="shared" si="34"/>
        <v>7.4999999999999997E-2</v>
      </c>
      <c r="W57" s="2"/>
      <c r="X57" s="7">
        <f t="shared" si="35"/>
        <v>-1361.92</v>
      </c>
      <c r="Y57" s="2"/>
      <c r="Z57" s="6">
        <f t="shared" si="36"/>
        <v>-0.90794666666666668</v>
      </c>
    </row>
    <row r="58" spans="1:26" s="26" customFormat="1" outlineLevel="1" collapsed="1" x14ac:dyDescent="0.25">
      <c r="A58" s="27"/>
      <c r="B58" s="13" t="str">
        <f>CONCATENATE("     ","Royalty &amp; Commissions                             ")</f>
        <v xml:space="preserve">     Royalty &amp; Commissions                             </v>
      </c>
      <c r="C58" s="13"/>
      <c r="D58" s="1">
        <f>SUM(OSRRefD22_8x_0)</f>
        <v>1454.85</v>
      </c>
      <c r="E58" s="1"/>
      <c r="F58" s="5">
        <f t="shared" ref="F58:F60" si="37">IF(D$12=0,0,D58/D$12)</f>
        <v>0</v>
      </c>
      <c r="G58" s="1"/>
      <c r="H58" s="1">
        <f>SUM(OSRRefH22_8x_0)</f>
        <v>0</v>
      </c>
      <c r="I58" s="1"/>
      <c r="J58" s="5">
        <f t="shared" ref="J58:J60" si="38">IF(H$12=0,0,H58/H$12)</f>
        <v>0</v>
      </c>
      <c r="K58" s="1"/>
      <c r="L58" s="1">
        <f t="shared" ref="L58:L60" si="39">+D58-H58</f>
        <v>1454.85</v>
      </c>
      <c r="M58" s="1"/>
      <c r="N58" s="5">
        <f t="shared" ref="N58:N60" si="40">IF(H58=0,0,L58/H58)</f>
        <v>0</v>
      </c>
      <c r="O58" s="13"/>
      <c r="P58" s="1">
        <f>SUM(OSRRefP22_8x_0)</f>
        <v>5576.51</v>
      </c>
      <c r="Q58" s="1"/>
      <c r="R58" s="5">
        <f t="shared" ref="R58:R60" si="41">IF(P$12=0,0,P58/P$12)</f>
        <v>0.28090603051500945</v>
      </c>
      <c r="S58" s="1"/>
      <c r="T58" s="1">
        <f>SUM(OSRRefT22_8x_0)</f>
        <v>4000</v>
      </c>
      <c r="U58" s="1"/>
      <c r="V58" s="5">
        <f t="shared" ref="V58:V60" si="42">IF(T$12=0,0,T58/T$12)</f>
        <v>0.2</v>
      </c>
      <c r="W58" s="1"/>
      <c r="X58" s="1">
        <f t="shared" ref="X58:X60" si="43">+P58-T58</f>
        <v>1576.5100000000002</v>
      </c>
      <c r="Y58" s="1"/>
      <c r="Z58" s="5">
        <f t="shared" ref="Z58:Z60" si="44">IF(T58=0,0,X58/T58)</f>
        <v>0.39412750000000007</v>
      </c>
    </row>
    <row r="59" spans="1:26" s="24" customFormat="1" hidden="1" outlineLevel="2" x14ac:dyDescent="0.25">
      <c r="A59" s="25"/>
      <c r="B59" s="11" t="str">
        <f>CONCATENATE("          ", "6253", " - ", "ROYALTY DUE ATHLETICS-LRG")</f>
        <v xml:space="preserve">          6253 - ROYALTY DUE ATHLETICS-LRG</v>
      </c>
      <c r="C59" s="11"/>
      <c r="D59" s="7"/>
      <c r="E59" s="2"/>
      <c r="F59" s="6">
        <f t="shared" si="37"/>
        <v>0</v>
      </c>
      <c r="G59" s="2"/>
      <c r="H59" s="7"/>
      <c r="I59" s="2"/>
      <c r="J59" s="6">
        <f t="shared" si="38"/>
        <v>0</v>
      </c>
      <c r="K59" s="2"/>
      <c r="L59" s="7">
        <f t="shared" si="39"/>
        <v>0</v>
      </c>
      <c r="M59" s="2"/>
      <c r="N59" s="6">
        <f t="shared" si="40"/>
        <v>0</v>
      </c>
      <c r="O59" s="11"/>
      <c r="P59" s="7"/>
      <c r="Q59" s="2"/>
      <c r="R59" s="6">
        <f t="shared" si="41"/>
        <v>0</v>
      </c>
      <c r="S59" s="2"/>
      <c r="T59" s="7">
        <v>4000</v>
      </c>
      <c r="U59" s="2"/>
      <c r="V59" s="6">
        <f t="shared" si="42"/>
        <v>0.2</v>
      </c>
      <c r="W59" s="2"/>
      <c r="X59" s="7">
        <f t="shared" si="43"/>
        <v>-4000</v>
      </c>
      <c r="Y59" s="2"/>
      <c r="Z59" s="6">
        <f t="shared" si="44"/>
        <v>-1</v>
      </c>
    </row>
    <row r="60" spans="1:26" s="24" customFormat="1" hidden="1" outlineLevel="2" x14ac:dyDescent="0.25">
      <c r="A60" s="25"/>
      <c r="B60" s="11" t="str">
        <f>CONCATENATE("          ", "6254", " - ", "ROYALTY &amp; COMMISSIONS")</f>
        <v xml:space="preserve">          6254 - ROYALTY &amp; COMMISSIONS</v>
      </c>
      <c r="C60" s="11"/>
      <c r="D60" s="7">
        <v>1454.85</v>
      </c>
      <c r="E60" s="2"/>
      <c r="F60" s="6">
        <f t="shared" si="37"/>
        <v>0</v>
      </c>
      <c r="G60" s="2"/>
      <c r="H60" s="7"/>
      <c r="I60" s="2"/>
      <c r="J60" s="6">
        <f t="shared" si="38"/>
        <v>0</v>
      </c>
      <c r="K60" s="2"/>
      <c r="L60" s="7">
        <f t="shared" si="39"/>
        <v>1454.85</v>
      </c>
      <c r="M60" s="2"/>
      <c r="N60" s="6">
        <f t="shared" si="40"/>
        <v>0</v>
      </c>
      <c r="O60" s="11"/>
      <c r="P60" s="7">
        <v>5576.51</v>
      </c>
      <c r="Q60" s="2"/>
      <c r="R60" s="6">
        <f t="shared" si="41"/>
        <v>0.28090603051500945</v>
      </c>
      <c r="S60" s="2"/>
      <c r="T60" s="7"/>
      <c r="U60" s="2"/>
      <c r="V60" s="6">
        <f t="shared" si="42"/>
        <v>0</v>
      </c>
      <c r="W60" s="2"/>
      <c r="X60" s="7">
        <f t="shared" si="43"/>
        <v>5576.51</v>
      </c>
      <c r="Y60" s="2"/>
      <c r="Z60" s="6">
        <f t="shared" si="44"/>
        <v>0</v>
      </c>
    </row>
    <row r="61" spans="1:26" s="26" customFormat="1" outlineLevel="1" collapsed="1" x14ac:dyDescent="0.25">
      <c r="A61" s="27"/>
      <c r="B61" s="13" t="str">
        <f>CONCATENATE("     ","Services                                          ")</f>
        <v xml:space="preserve">     Services                                          </v>
      </c>
      <c r="C61" s="13"/>
      <c r="D61" s="1">
        <f>SUM(OSRRefD22_9x_0)</f>
        <v>0</v>
      </c>
      <c r="E61" s="1"/>
      <c r="F61" s="5">
        <f t="shared" ref="F61:F66" si="45">IF(D$12=0,0,D61/D$12)</f>
        <v>0</v>
      </c>
      <c r="G61" s="1"/>
      <c r="H61" s="1">
        <f>SUM(OSRRefH22_9x_0)</f>
        <v>0</v>
      </c>
      <c r="I61" s="1"/>
      <c r="J61" s="5">
        <f t="shared" ref="J61:J66" si="46">IF(H$12=0,0,H61/H$12)</f>
        <v>0</v>
      </c>
      <c r="K61" s="1"/>
      <c r="L61" s="1">
        <f t="shared" ref="L61:L66" si="47">+D61-H61</f>
        <v>0</v>
      </c>
      <c r="M61" s="1"/>
      <c r="N61" s="5">
        <f t="shared" ref="N61:N66" si="48">IF(H61=0,0,L61/H61)</f>
        <v>0</v>
      </c>
      <c r="O61" s="13"/>
      <c r="P61" s="1">
        <f>SUM(OSRRefP22_9x_0)</f>
        <v>0</v>
      </c>
      <c r="Q61" s="1"/>
      <c r="R61" s="5">
        <f t="shared" ref="R61:R66" si="49">IF(P$12=0,0,P61/P$12)</f>
        <v>0</v>
      </c>
      <c r="S61" s="1"/>
      <c r="T61" s="1">
        <f>SUM(OSRRefT22_9x_0)</f>
        <v>25</v>
      </c>
      <c r="U61" s="1"/>
      <c r="V61" s="5">
        <f t="shared" ref="V61:V66" si="50">IF(T$12=0,0,T61/T$12)</f>
        <v>1.25E-3</v>
      </c>
      <c r="W61" s="1"/>
      <c r="X61" s="1">
        <f t="shared" ref="X61:X66" si="51">+P61-T61</f>
        <v>-25</v>
      </c>
      <c r="Y61" s="1"/>
      <c r="Z61" s="5">
        <f t="shared" ref="Z61:Z66" si="52">IF(T61=0,0,X61/T61)</f>
        <v>-1</v>
      </c>
    </row>
    <row r="62" spans="1:26" s="24" customFormat="1" hidden="1" outlineLevel="2" x14ac:dyDescent="0.25">
      <c r="A62" s="25"/>
      <c r="B62" s="11" t="str">
        <f>CONCATENATE("          ", "6286", " - ", "LAUNDRY EXPENSE")</f>
        <v xml:space="preserve">          6286 - LAUNDRY EXPENSE</v>
      </c>
      <c r="C62" s="11"/>
      <c r="D62" s="7"/>
      <c r="E62" s="2"/>
      <c r="F62" s="6">
        <f t="shared" si="45"/>
        <v>0</v>
      </c>
      <c r="G62" s="2"/>
      <c r="H62" s="7"/>
      <c r="I62" s="2"/>
      <c r="J62" s="6">
        <f t="shared" si="46"/>
        <v>0</v>
      </c>
      <c r="K62" s="2"/>
      <c r="L62" s="7">
        <f t="shared" si="47"/>
        <v>0</v>
      </c>
      <c r="M62" s="2"/>
      <c r="N62" s="6">
        <f t="shared" si="48"/>
        <v>0</v>
      </c>
      <c r="O62" s="11"/>
      <c r="P62" s="7"/>
      <c r="Q62" s="2"/>
      <c r="R62" s="6">
        <f t="shared" si="49"/>
        <v>0</v>
      </c>
      <c r="S62" s="2"/>
      <c r="T62" s="7">
        <v>25</v>
      </c>
      <c r="U62" s="2"/>
      <c r="V62" s="6">
        <f t="shared" si="50"/>
        <v>1.25E-3</v>
      </c>
      <c r="W62" s="2"/>
      <c r="X62" s="7">
        <f t="shared" si="51"/>
        <v>-25</v>
      </c>
      <c r="Y62" s="2"/>
      <c r="Z62" s="6">
        <f t="shared" si="52"/>
        <v>-1</v>
      </c>
    </row>
    <row r="63" spans="1:26" s="26" customFormat="1" outlineLevel="1" collapsed="1" x14ac:dyDescent="0.25">
      <c r="A63" s="27"/>
      <c r="B63" s="13" t="str">
        <f>CONCATENATE("     ","Supplies                                          ")</f>
        <v xml:space="preserve">     Supplies                                          </v>
      </c>
      <c r="C63" s="13"/>
      <c r="D63" s="1">
        <f>SUM(OSRRefD22_10x_0)</f>
        <v>211.82999999999998</v>
      </c>
      <c r="E63" s="1"/>
      <c r="F63" s="5">
        <f t="shared" si="45"/>
        <v>0</v>
      </c>
      <c r="G63" s="1"/>
      <c r="H63" s="1">
        <f>SUM(OSRRefH22_10x_0)</f>
        <v>0</v>
      </c>
      <c r="I63" s="1"/>
      <c r="J63" s="5">
        <f t="shared" si="46"/>
        <v>0</v>
      </c>
      <c r="K63" s="1"/>
      <c r="L63" s="1">
        <f t="shared" si="47"/>
        <v>211.82999999999998</v>
      </c>
      <c r="M63" s="1"/>
      <c r="N63" s="5">
        <f t="shared" si="48"/>
        <v>0</v>
      </c>
      <c r="O63" s="13"/>
      <c r="P63" s="1">
        <f>SUM(OSRRefP22_10x_0)</f>
        <v>533.75</v>
      </c>
      <c r="Q63" s="1"/>
      <c r="R63" s="5">
        <f t="shared" si="49"/>
        <v>2.6886635868560493E-2</v>
      </c>
      <c r="S63" s="1"/>
      <c r="T63" s="1">
        <f>SUM(OSRRefT22_10x_0)</f>
        <v>500</v>
      </c>
      <c r="U63" s="1"/>
      <c r="V63" s="5">
        <f t="shared" si="50"/>
        <v>2.5000000000000001E-2</v>
      </c>
      <c r="W63" s="1"/>
      <c r="X63" s="1">
        <f t="shared" si="51"/>
        <v>33.75</v>
      </c>
      <c r="Y63" s="1"/>
      <c r="Z63" s="5">
        <f t="shared" si="52"/>
        <v>6.7500000000000004E-2</v>
      </c>
    </row>
    <row r="64" spans="1:26" s="24" customFormat="1" hidden="1" outlineLevel="2" x14ac:dyDescent="0.25">
      <c r="A64" s="25"/>
      <c r="B64" s="11" t="str">
        <f>CONCATENATE("          ", "6239", " - ", "KITCHEN SUPPLIES")</f>
        <v xml:space="preserve">          6239 - KITCHEN SUPPLIES</v>
      </c>
      <c r="C64" s="11"/>
      <c r="D64" s="7">
        <v>106.94</v>
      </c>
      <c r="E64" s="2"/>
      <c r="F64" s="6">
        <f t="shared" si="45"/>
        <v>0</v>
      </c>
      <c r="G64" s="2"/>
      <c r="H64" s="7"/>
      <c r="I64" s="2"/>
      <c r="J64" s="6">
        <f t="shared" si="46"/>
        <v>0</v>
      </c>
      <c r="K64" s="2"/>
      <c r="L64" s="7">
        <f t="shared" si="47"/>
        <v>106.94</v>
      </c>
      <c r="M64" s="2"/>
      <c r="N64" s="6">
        <f t="shared" si="48"/>
        <v>0</v>
      </c>
      <c r="O64" s="11"/>
      <c r="P64" s="7">
        <v>428.86</v>
      </c>
      <c r="Q64" s="2"/>
      <c r="R64" s="6">
        <f t="shared" si="49"/>
        <v>2.1603002639046097E-2</v>
      </c>
      <c r="S64" s="2"/>
      <c r="T64" s="7"/>
      <c r="U64" s="2"/>
      <c r="V64" s="6">
        <f t="shared" si="50"/>
        <v>0</v>
      </c>
      <c r="W64" s="2"/>
      <c r="X64" s="7">
        <f t="shared" si="51"/>
        <v>428.86</v>
      </c>
      <c r="Y64" s="2"/>
      <c r="Z64" s="6">
        <f t="shared" si="52"/>
        <v>0</v>
      </c>
    </row>
    <row r="65" spans="1:26" s="24" customFormat="1" hidden="1" outlineLevel="2" x14ac:dyDescent="0.25">
      <c r="A65" s="25"/>
      <c r="B65" s="11" t="str">
        <f>CONCATENATE("          ", "6243", " - ", "PAPER SUPPLIES")</f>
        <v xml:space="preserve">          6243 - PAPER SUPPLIES</v>
      </c>
      <c r="C65" s="11"/>
      <c r="D65" s="7"/>
      <c r="E65" s="2"/>
      <c r="F65" s="6">
        <f t="shared" si="45"/>
        <v>0</v>
      </c>
      <c r="G65" s="2"/>
      <c r="H65" s="7"/>
      <c r="I65" s="2"/>
      <c r="J65" s="6">
        <f t="shared" si="46"/>
        <v>0</v>
      </c>
      <c r="K65" s="2"/>
      <c r="L65" s="7">
        <f t="shared" si="47"/>
        <v>0</v>
      </c>
      <c r="M65" s="2"/>
      <c r="N65" s="6">
        <f t="shared" si="48"/>
        <v>0</v>
      </c>
      <c r="O65" s="11"/>
      <c r="P65" s="7"/>
      <c r="Q65" s="2"/>
      <c r="R65" s="6">
        <f t="shared" si="49"/>
        <v>0</v>
      </c>
      <c r="S65" s="2"/>
      <c r="T65" s="7">
        <v>500</v>
      </c>
      <c r="U65" s="2"/>
      <c r="V65" s="6">
        <f t="shared" si="50"/>
        <v>2.5000000000000001E-2</v>
      </c>
      <c r="W65" s="2"/>
      <c r="X65" s="7">
        <f t="shared" si="51"/>
        <v>-500</v>
      </c>
      <c r="Y65" s="2"/>
      <c r="Z65" s="6">
        <f t="shared" si="52"/>
        <v>-1</v>
      </c>
    </row>
    <row r="66" spans="1:26" s="24" customFormat="1" hidden="1" outlineLevel="2" x14ac:dyDescent="0.25">
      <c r="A66" s="25"/>
      <c r="B66" s="11" t="str">
        <f>CONCATENATE("          ", "6247", " - ", "STORE SUPPLIES")</f>
        <v xml:space="preserve">          6247 - STORE SUPPLIES</v>
      </c>
      <c r="C66" s="11"/>
      <c r="D66" s="7">
        <v>104.89</v>
      </c>
      <c r="E66" s="2"/>
      <c r="F66" s="6">
        <f t="shared" si="45"/>
        <v>0</v>
      </c>
      <c r="G66" s="2"/>
      <c r="H66" s="7"/>
      <c r="I66" s="2"/>
      <c r="J66" s="6">
        <f t="shared" si="46"/>
        <v>0</v>
      </c>
      <c r="K66" s="2"/>
      <c r="L66" s="7">
        <f t="shared" si="47"/>
        <v>104.89</v>
      </c>
      <c r="M66" s="2"/>
      <c r="N66" s="6">
        <f t="shared" si="48"/>
        <v>0</v>
      </c>
      <c r="O66" s="11"/>
      <c r="P66" s="7">
        <v>104.89</v>
      </c>
      <c r="Q66" s="2"/>
      <c r="R66" s="6">
        <f t="shared" si="49"/>
        <v>5.2836332295143991E-3</v>
      </c>
      <c r="S66" s="2"/>
      <c r="T66" s="7"/>
      <c r="U66" s="2"/>
      <c r="V66" s="6">
        <f t="shared" si="50"/>
        <v>0</v>
      </c>
      <c r="W66" s="2"/>
      <c r="X66" s="7">
        <f t="shared" si="51"/>
        <v>104.89</v>
      </c>
      <c r="Y66" s="2"/>
      <c r="Z66" s="6">
        <f t="shared" si="52"/>
        <v>0</v>
      </c>
    </row>
    <row r="67" spans="1:26" s="26" customFormat="1" outlineLevel="1" collapsed="1" x14ac:dyDescent="0.25">
      <c r="A67" s="27"/>
      <c r="B67" s="13" t="str">
        <f>CONCATENATE("     ","Telephone/Data Lines                              ")</f>
        <v xml:space="preserve">     Telephone/Data Lines                              </v>
      </c>
      <c r="C67" s="13"/>
      <c r="D67" s="1">
        <f>SUM(OSRRefD22_11x_0)</f>
        <v>512.01</v>
      </c>
      <c r="E67" s="1"/>
      <c r="F67" s="5">
        <f t="shared" ref="F67:F69" si="53">IF(D$12=0,0,D67/D$12)</f>
        <v>0</v>
      </c>
      <c r="G67" s="1"/>
      <c r="H67" s="1">
        <f>SUM(OSRRefH22_11x_0)</f>
        <v>298</v>
      </c>
      <c r="I67" s="1"/>
      <c r="J67" s="5">
        <f t="shared" ref="J67:J69" si="54">IF(H$12=0,0,H67/H$12)</f>
        <v>0</v>
      </c>
      <c r="K67" s="1"/>
      <c r="L67" s="1">
        <f t="shared" ref="L67:L69" si="55">+D67-H67</f>
        <v>214.01</v>
      </c>
      <c r="M67" s="1"/>
      <c r="N67" s="5">
        <f t="shared" ref="N67:N69" si="56">IF(H67=0,0,L67/H67)</f>
        <v>0.71815436241610731</v>
      </c>
      <c r="O67" s="13"/>
      <c r="P67" s="1">
        <f>SUM(OSRRefP22_11x_0)</f>
        <v>642.03</v>
      </c>
      <c r="Q67" s="1"/>
      <c r="R67" s="5">
        <f t="shared" ref="R67:R69" si="57">IF(P$12=0,0,P67/P$12)</f>
        <v>3.2341033867338442E-2</v>
      </c>
      <c r="S67" s="1"/>
      <c r="T67" s="1">
        <f>SUM(OSRRefT22_11x_0)</f>
        <v>894</v>
      </c>
      <c r="U67" s="1"/>
      <c r="V67" s="5">
        <f t="shared" ref="V67:V69" si="58">IF(T$12=0,0,T67/T$12)</f>
        <v>4.4699999999999997E-2</v>
      </c>
      <c r="W67" s="1"/>
      <c r="X67" s="1">
        <f t="shared" ref="X67:X69" si="59">+P67-T67</f>
        <v>-251.97000000000003</v>
      </c>
      <c r="Y67" s="1"/>
      <c r="Z67" s="5">
        <f t="shared" ref="Z67:Z69" si="60">IF(T67=0,0,X67/T67)</f>
        <v>-0.28184563758389264</v>
      </c>
    </row>
    <row r="68" spans="1:26" s="24" customFormat="1" hidden="1" outlineLevel="2" x14ac:dyDescent="0.25">
      <c r="A68" s="25"/>
      <c r="B68" s="11" t="str">
        <f>CONCATENATE("          ", "6303", " - ", "DATA PHONE LINES")</f>
        <v xml:space="preserve">          6303 - DATA PHONE LINES</v>
      </c>
      <c r="C68" s="11"/>
      <c r="D68" s="7"/>
      <c r="E68" s="2"/>
      <c r="F68" s="6">
        <f t="shared" si="53"/>
        <v>0</v>
      </c>
      <c r="G68" s="2"/>
      <c r="H68" s="7">
        <v>298</v>
      </c>
      <c r="I68" s="2"/>
      <c r="J68" s="6">
        <f t="shared" si="54"/>
        <v>0</v>
      </c>
      <c r="K68" s="2"/>
      <c r="L68" s="7">
        <f t="shared" si="55"/>
        <v>-298</v>
      </c>
      <c r="M68" s="2"/>
      <c r="N68" s="6">
        <f t="shared" si="56"/>
        <v>-1</v>
      </c>
      <c r="O68" s="11"/>
      <c r="P68" s="7"/>
      <c r="Q68" s="2"/>
      <c r="R68" s="6">
        <f t="shared" si="57"/>
        <v>0</v>
      </c>
      <c r="S68" s="2"/>
      <c r="T68" s="7">
        <v>894</v>
      </c>
      <c r="U68" s="2"/>
      <c r="V68" s="6">
        <f t="shared" si="58"/>
        <v>4.4699999999999997E-2</v>
      </c>
      <c r="W68" s="2"/>
      <c r="X68" s="7">
        <f t="shared" si="59"/>
        <v>-894</v>
      </c>
      <c r="Y68" s="2"/>
      <c r="Z68" s="6">
        <f t="shared" si="60"/>
        <v>-1</v>
      </c>
    </row>
    <row r="69" spans="1:26" s="24" customFormat="1" hidden="1" outlineLevel="2" x14ac:dyDescent="0.25">
      <c r="A69" s="25"/>
      <c r="B69" s="11" t="str">
        <f>CONCATENATE("          ", "6309", " - ", "TELEPHONE")</f>
        <v xml:space="preserve">          6309 - TELEPHONE</v>
      </c>
      <c r="C69" s="11"/>
      <c r="D69" s="7">
        <v>512.01</v>
      </c>
      <c r="E69" s="2"/>
      <c r="F69" s="6">
        <f t="shared" si="53"/>
        <v>0</v>
      </c>
      <c r="G69" s="2"/>
      <c r="H69" s="7"/>
      <c r="I69" s="2"/>
      <c r="J69" s="6">
        <f t="shared" si="54"/>
        <v>0</v>
      </c>
      <c r="K69" s="2"/>
      <c r="L69" s="7">
        <f t="shared" si="55"/>
        <v>512.01</v>
      </c>
      <c r="M69" s="2"/>
      <c r="N69" s="6">
        <f t="shared" si="56"/>
        <v>0</v>
      </c>
      <c r="O69" s="11"/>
      <c r="P69" s="7">
        <v>642.03</v>
      </c>
      <c r="Q69" s="2"/>
      <c r="R69" s="6">
        <f t="shared" si="57"/>
        <v>3.2341033867338442E-2</v>
      </c>
      <c r="S69" s="2"/>
      <c r="T69" s="7"/>
      <c r="U69" s="2"/>
      <c r="V69" s="6">
        <f t="shared" si="58"/>
        <v>0</v>
      </c>
      <c r="W69" s="2"/>
      <c r="X69" s="7">
        <f t="shared" si="59"/>
        <v>642.03</v>
      </c>
      <c r="Y69" s="2"/>
      <c r="Z69" s="6">
        <f t="shared" si="60"/>
        <v>0</v>
      </c>
    </row>
    <row r="70" spans="1:26" s="63" customFormat="1" x14ac:dyDescent="0.25">
      <c r="A70" s="36"/>
      <c r="B70" s="36"/>
      <c r="C70" s="36"/>
      <c r="D70" s="1"/>
      <c r="E70" s="1"/>
      <c r="F70" s="5"/>
      <c r="G70" s="1"/>
      <c r="H70" s="1"/>
      <c r="I70" s="1"/>
      <c r="J70" s="5"/>
      <c r="K70" s="1"/>
      <c r="L70" s="1"/>
      <c r="M70" s="1"/>
      <c r="N70" s="5"/>
      <c r="O70" s="36"/>
      <c r="P70" s="1"/>
      <c r="Q70" s="1"/>
      <c r="R70" s="5"/>
      <c r="S70" s="1"/>
      <c r="T70" s="1"/>
      <c r="U70" s="1"/>
      <c r="V70" s="5"/>
      <c r="W70" s="1"/>
      <c r="X70" s="1"/>
      <c r="Y70" s="1"/>
      <c r="Z70" s="5"/>
    </row>
    <row r="71" spans="1:26" s="23" customFormat="1" collapsed="1" x14ac:dyDescent="0.25">
      <c r="A71" s="10"/>
      <c r="B71" s="28" t="s">
        <v>0</v>
      </c>
      <c r="C71" s="10"/>
      <c r="D71" s="4">
        <f>SUM(OSRRefD25x_0)</f>
        <v>2909.7</v>
      </c>
      <c r="E71" s="4"/>
      <c r="F71" s="12">
        <f t="shared" ref="F71:F72" si="61">IF(D$12=0,0,D71/D$12)</f>
        <v>0</v>
      </c>
      <c r="G71" s="4"/>
      <c r="H71" s="4">
        <f>SUM(OSRRefH25x_0)</f>
        <v>0</v>
      </c>
      <c r="I71" s="4"/>
      <c r="J71" s="12">
        <f t="shared" ref="J71:J72" si="62">IF(H$12=0,0,H71/H$12)</f>
        <v>0</v>
      </c>
      <c r="K71" s="4"/>
      <c r="L71" s="4">
        <f t="shared" ref="L71:L72" si="63">+D71-H71</f>
        <v>2909.7</v>
      </c>
      <c r="M71" s="4"/>
      <c r="N71" s="12">
        <f t="shared" ref="N71:N72" si="64">IF(H71=0,0,L71/H71)</f>
        <v>0</v>
      </c>
      <c r="O71" s="10"/>
      <c r="P71" s="4">
        <f>SUM(OSRRefP25x_0)</f>
        <v>3455.9</v>
      </c>
      <c r="Q71" s="4"/>
      <c r="R71" s="12">
        <f t="shared" ref="R71:R72" si="65">IF(P$12=0,0,P71/P$12)</f>
        <v>0.17408435578109269</v>
      </c>
      <c r="S71" s="4"/>
      <c r="T71" s="4">
        <f>SUM(OSRRefT25x_0)</f>
        <v>0</v>
      </c>
      <c r="U71" s="4"/>
      <c r="V71" s="12">
        <f t="shared" ref="V71:V72" si="66">IF(T$12=0,0,T71/T$12)</f>
        <v>0</v>
      </c>
      <c r="W71" s="4"/>
      <c r="X71" s="4">
        <f t="shared" ref="X71:X72" si="67">+P71-T71</f>
        <v>3455.9</v>
      </c>
      <c r="Y71" s="4"/>
      <c r="Z71" s="12">
        <f t="shared" ref="Z71:Z72" si="68">IF(T71=0,0,X71/T71)</f>
        <v>0</v>
      </c>
    </row>
    <row r="72" spans="1:26" s="24" customFormat="1" hidden="1" outlineLevel="1" x14ac:dyDescent="0.25">
      <c r="A72" s="46"/>
      <c r="B72" s="11" t="str">
        <f>CONCATENATE("          ", "9150", " - ", "MISC. INCOME")</f>
        <v xml:space="preserve">          9150 - MISC. INCOME</v>
      </c>
      <c r="C72" s="11"/>
      <c r="D72" s="2">
        <f>--2909.7</f>
        <v>2909.7</v>
      </c>
      <c r="E72" s="2"/>
      <c r="F72" s="19">
        <f t="shared" si="61"/>
        <v>0</v>
      </c>
      <c r="G72" s="2"/>
      <c r="H72" s="2"/>
      <c r="I72" s="2"/>
      <c r="J72" s="19">
        <f t="shared" si="62"/>
        <v>0</v>
      </c>
      <c r="K72" s="2"/>
      <c r="L72" s="2">
        <f t="shared" si="63"/>
        <v>2909.7</v>
      </c>
      <c r="M72" s="2"/>
      <c r="N72" s="19">
        <f t="shared" si="64"/>
        <v>0</v>
      </c>
      <c r="O72" s="11"/>
      <c r="P72" s="2">
        <f>--3455.9</f>
        <v>3455.9</v>
      </c>
      <c r="Q72" s="2"/>
      <c r="R72" s="19">
        <f t="shared" si="65"/>
        <v>0.17408435578109269</v>
      </c>
      <c r="S72" s="2"/>
      <c r="T72" s="2"/>
      <c r="U72" s="2"/>
      <c r="V72" s="19">
        <f t="shared" si="66"/>
        <v>0</v>
      </c>
      <c r="W72" s="2"/>
      <c r="X72" s="2">
        <f t="shared" si="67"/>
        <v>3455.9</v>
      </c>
      <c r="Y72" s="2"/>
      <c r="Z72" s="19">
        <f t="shared" si="68"/>
        <v>0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25">
      <c r="A74" s="10"/>
      <c r="B74" s="29" t="s">
        <v>3</v>
      </c>
      <c r="C74" s="29"/>
      <c r="D74" s="22">
        <f>+D22-D24+D71</f>
        <v>-815.63000000000011</v>
      </c>
      <c r="E74" s="14"/>
      <c r="F74" s="20">
        <f>IF(D$12=0,0,D74/D$12)</f>
        <v>0</v>
      </c>
      <c r="G74" s="14"/>
      <c r="H74" s="22">
        <f>+H22-H24+H71</f>
        <v>-2156.6800000000003</v>
      </c>
      <c r="I74" s="14"/>
      <c r="J74" s="20">
        <f>IF(H$12=0,0,H74/H$12)</f>
        <v>0</v>
      </c>
      <c r="K74" s="15"/>
      <c r="L74" s="22">
        <f>+D74-H74</f>
        <v>1341.0500000000002</v>
      </c>
      <c r="M74" s="15"/>
      <c r="N74" s="20">
        <f>IF(H74=0,0,L74/H74)</f>
        <v>-0.62181222990893414</v>
      </c>
      <c r="O74" s="28"/>
      <c r="P74" s="22">
        <f>+P22-P24+P71</f>
        <v>2854.089999999997</v>
      </c>
      <c r="Q74" s="14"/>
      <c r="R74" s="20">
        <f>IF(P$12=0,0,P74/P$12)</f>
        <v>0.14376932752430865</v>
      </c>
      <c r="S74" s="14"/>
      <c r="T74" s="22">
        <f>+T22-T24+T71</f>
        <v>-1934.3536000000022</v>
      </c>
      <c r="U74" s="14"/>
      <c r="V74" s="20">
        <f>IF(T$12=0,0,T74/T$12)</f>
        <v>-9.6717680000000111E-2</v>
      </c>
      <c r="W74" s="15"/>
      <c r="X74" s="22">
        <f>+P74-T74</f>
        <v>4788.4435999999987</v>
      </c>
      <c r="Y74" s="15"/>
      <c r="Z74" s="20">
        <f>IF(T74=0,0,X74/T74)</f>
        <v>-2.4754748046065584</v>
      </c>
    </row>
    <row r="75" spans="1:26" x14ac:dyDescent="0.25">
      <c r="A75" s="9"/>
      <c r="B75" s="10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52"/>
      <c r="B76" s="10" t="s">
        <v>14</v>
      </c>
      <c r="C76" s="10"/>
      <c r="D76" s="4">
        <v>-342.82</v>
      </c>
      <c r="E76" s="4"/>
      <c r="F76" s="12">
        <f>IF(D$12=0,0,D76/D$12)</f>
        <v>0</v>
      </c>
      <c r="G76" s="4"/>
      <c r="H76" s="4">
        <v>-718</v>
      </c>
      <c r="I76" s="4"/>
      <c r="J76" s="12">
        <f>IF(H$12=0,0,H76/H$12)</f>
        <v>0</v>
      </c>
      <c r="K76" s="4"/>
      <c r="L76" s="4">
        <f>+D76-H76</f>
        <v>375.18</v>
      </c>
      <c r="M76" s="4"/>
      <c r="N76" s="12">
        <f>IF(H76=0,0,L76/H76)</f>
        <v>-0.52253481894150422</v>
      </c>
      <c r="O76" s="10"/>
      <c r="P76" s="4">
        <v>2132.35</v>
      </c>
      <c r="Q76" s="4"/>
      <c r="R76" s="12">
        <f>IF(P$12=0,0,P76/P$12)</f>
        <v>0.10741305479030439</v>
      </c>
      <c r="S76" s="4"/>
      <c r="T76" s="4">
        <v>2530</v>
      </c>
      <c r="U76" s="4"/>
      <c r="V76" s="12">
        <f>IF(T$12=0,0,T76/T$12)</f>
        <v>0.1265</v>
      </c>
      <c r="W76" s="4"/>
      <c r="X76" s="4">
        <f>+P76-T76</f>
        <v>-397.65000000000009</v>
      </c>
      <c r="Y76" s="4"/>
      <c r="Z76" s="12">
        <f>IF(T76=0,0,X76/T76)</f>
        <v>-0.1571739130434783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9" t="s">
        <v>4</v>
      </c>
      <c r="C78" s="29"/>
      <c r="D78" s="35">
        <f>+D74-D76</f>
        <v>-472.81000000000012</v>
      </c>
      <c r="E78" s="14"/>
      <c r="F78" s="32">
        <f>IF(D$12=0,0,D78/D$12)</f>
        <v>0</v>
      </c>
      <c r="G78" s="14"/>
      <c r="H78" s="35">
        <f>+H74-H76</f>
        <v>-1438.6800000000003</v>
      </c>
      <c r="I78" s="14"/>
      <c r="J78" s="32">
        <f>IF(H$12=0,0,H78/H$12)</f>
        <v>0</v>
      </c>
      <c r="K78" s="15"/>
      <c r="L78" s="35">
        <f>D78-H78</f>
        <v>965.87000000000012</v>
      </c>
      <c r="M78" s="15"/>
      <c r="N78" s="32">
        <f>IF(H78=0,0,L78/H78)</f>
        <v>-0.67135846748408257</v>
      </c>
      <c r="O78" s="28"/>
      <c r="P78" s="35">
        <f>+P74-P76</f>
        <v>721.73999999999705</v>
      </c>
      <c r="Q78" s="14"/>
      <c r="R78" s="32">
        <f>IF(P$12=0,0,P78/P$12)</f>
        <v>3.6356272734004255E-2</v>
      </c>
      <c r="S78" s="14"/>
      <c r="T78" s="35">
        <f>+T74-T76</f>
        <v>-4464.3536000000022</v>
      </c>
      <c r="U78" s="14"/>
      <c r="V78" s="32">
        <f>IF(T$12=0,0,T78/T$12)</f>
        <v>-0.22321768000000011</v>
      </c>
      <c r="W78" s="15"/>
      <c r="X78" s="35">
        <f>P78-T78</f>
        <v>5186.0935999999992</v>
      </c>
      <c r="Y78" s="15"/>
      <c r="Z78" s="32">
        <f>IF(T78=0,0,X78/T78)</f>
        <v>-1.1616673016223438</v>
      </c>
    </row>
    <row r="79" spans="1:26" ht="15.75" thickTop="1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9" t="s">
        <v>5</v>
      </c>
      <c r="C81" s="29"/>
      <c r="D81" s="30">
        <f>SUM(D78:D80)</f>
        <v>-472.81000000000012</v>
      </c>
      <c r="E81" s="14"/>
      <c r="F81" s="31">
        <f>IF(D$12=0,0,D81/D$12)</f>
        <v>0</v>
      </c>
      <c r="G81" s="14"/>
      <c r="H81" s="30">
        <f>SUM(H78:H80)</f>
        <v>-1438.6800000000003</v>
      </c>
      <c r="I81" s="14"/>
      <c r="J81" s="31">
        <f>IF(H$12=0,0,H81/H$12)</f>
        <v>0</v>
      </c>
      <c r="K81" s="15"/>
      <c r="L81" s="30">
        <f>+D81-H81</f>
        <v>965.87000000000012</v>
      </c>
      <c r="M81" s="15"/>
      <c r="N81" s="31">
        <f>IF(H81=0,0,L81/H81)</f>
        <v>-0.67135846748408257</v>
      </c>
      <c r="O81" s="28"/>
      <c r="P81" s="30">
        <f>SUM(P78:P80)</f>
        <v>721.73999999999705</v>
      </c>
      <c r="Q81" s="14"/>
      <c r="R81" s="31">
        <f>IF(P$12=0,0,P81/P$12)</f>
        <v>3.6356272734004255E-2</v>
      </c>
      <c r="S81" s="14"/>
      <c r="T81" s="30">
        <f>SUM(T78:T80)</f>
        <v>-4464.3536000000022</v>
      </c>
      <c r="U81" s="14"/>
      <c r="V81" s="31">
        <f>IF(T$12=0,0,T81/T$12)</f>
        <v>-0.22321768000000011</v>
      </c>
      <c r="W81" s="15"/>
      <c r="X81" s="30">
        <f>+P81-T81</f>
        <v>5186.0935999999992</v>
      </c>
      <c r="Y81" s="15"/>
      <c r="Z81" s="31">
        <f>IF(T81=0,0,X81/T81)</f>
        <v>-1.1616673016223438</v>
      </c>
    </row>
    <row r="82" spans="1:26" ht="15.75" thickTop="1" x14ac:dyDescent="0.25">
      <c r="A82" s="9"/>
      <c r="C82" s="9"/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6" x14ac:dyDescent="0.25">
      <c r="A83" s="9"/>
      <c r="B83" s="53">
        <v>43756.452754166668</v>
      </c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6" x14ac:dyDescent="0.25">
      <c r="A84" s="9"/>
      <c r="B84" s="55" t="s">
        <v>314</v>
      </c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6" x14ac:dyDescent="0.25">
      <c r="A85" s="9"/>
      <c r="B85" s="56"/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  <row r="86" spans="1:26" x14ac:dyDescent="0.25"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</sheetData>
  <pageMargins left="0.25" right="0.25" top="0.75" bottom="0.75" header="0.3" footer="0.3"/>
  <pageSetup scale="55" fitToWidth="2" orientation="landscape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str">
        <f>CONCATENATE("Period ",RIGHT(202003,2),", ",2020)</f>
        <v>Period 03, 2020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43736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tr">
        <f>CONCATENATE("Department ","425", " - ", "Events Center")</f>
        <v>Department 425 - Events Center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41299.660000000003</v>
      </c>
      <c r="E12" s="4"/>
      <c r="F12" s="12"/>
      <c r="G12" s="4"/>
      <c r="H12" s="4">
        <f>SUM(OSRRefH13x_0)</f>
        <v>40000</v>
      </c>
      <c r="I12" s="4"/>
      <c r="J12" s="12"/>
      <c r="K12" s="4"/>
      <c r="L12" s="4">
        <f t="shared" ref="L12:L16" si="0">+D12-H12</f>
        <v>1299.6600000000035</v>
      </c>
      <c r="M12" s="4"/>
      <c r="N12" s="12">
        <f t="shared" ref="N12:N16" si="1">IF(H12=0,0,L12/H12)</f>
        <v>3.249150000000009E-2</v>
      </c>
      <c r="O12" s="10"/>
      <c r="P12" s="4">
        <f>SUM(OSRRefP13x_0)</f>
        <v>100801.36</v>
      </c>
      <c r="Q12" s="4"/>
      <c r="R12" s="12"/>
      <c r="S12" s="4"/>
      <c r="T12" s="4">
        <f>SUM(OSRRefT13x_0)</f>
        <v>65000</v>
      </c>
      <c r="U12" s="4"/>
      <c r="V12" s="12"/>
      <c r="W12" s="4"/>
      <c r="X12" s="4">
        <f t="shared" ref="X12:X16" si="2">+P12-T12</f>
        <v>35801.360000000001</v>
      </c>
      <c r="Y12" s="4"/>
      <c r="Z12" s="12">
        <f t="shared" ref="Z12:Z16" si="3">IF(T12=0,0,X12/T12)</f>
        <v>0.55079015384615382</v>
      </c>
    </row>
    <row r="13" spans="1:26" s="24" customFormat="1" hidden="1" outlineLevel="1" x14ac:dyDescent="0.25">
      <c r="A13" s="46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10000</v>
      </c>
      <c r="I13" s="2"/>
      <c r="J13" s="19"/>
      <c r="K13" s="2"/>
      <c r="L13" s="2">
        <f t="shared" si="0"/>
        <v>-10000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16250</v>
      </c>
      <c r="U13" s="2"/>
      <c r="V13" s="19"/>
      <c r="W13" s="2"/>
      <c r="X13" s="2">
        <f t="shared" si="2"/>
        <v>-16250</v>
      </c>
      <c r="Y13" s="2"/>
      <c r="Z13" s="19">
        <f t="shared" si="3"/>
        <v>-1</v>
      </c>
    </row>
    <row r="14" spans="1:26" s="24" customFormat="1" hidden="1" outlineLevel="1" x14ac:dyDescent="0.25">
      <c r="A14" s="46"/>
      <c r="B14" s="11" t="str">
        <f>CONCATENATE("          ", "4052", " - ", "TAXABLE SALES-FOOD")</f>
        <v xml:space="preserve">          4052 - TAXABLE SALES-FOOD</v>
      </c>
      <c r="C14" s="11"/>
      <c r="D14" s="2">
        <f>--39315.98</f>
        <v>39315.980000000003</v>
      </c>
      <c r="E14" s="2"/>
      <c r="F14" s="19"/>
      <c r="G14" s="2"/>
      <c r="H14" s="2"/>
      <c r="I14" s="2"/>
      <c r="J14" s="19"/>
      <c r="K14" s="2"/>
      <c r="L14" s="2">
        <f t="shared" si="0"/>
        <v>39315.980000000003</v>
      </c>
      <c r="M14" s="2"/>
      <c r="N14" s="19">
        <f t="shared" si="1"/>
        <v>0</v>
      </c>
      <c r="O14" s="11"/>
      <c r="P14" s="2">
        <f>--73820.81</f>
        <v>73820.81</v>
      </c>
      <c r="Q14" s="2"/>
      <c r="R14" s="19"/>
      <c r="S14" s="2"/>
      <c r="T14" s="2"/>
      <c r="U14" s="2"/>
      <c r="V14" s="19"/>
      <c r="W14" s="2"/>
      <c r="X14" s="2">
        <f t="shared" si="2"/>
        <v>73820.81</v>
      </c>
      <c r="Y14" s="2"/>
      <c r="Z14" s="19">
        <f t="shared" si="3"/>
        <v>0</v>
      </c>
    </row>
    <row r="15" spans="1:26" s="24" customFormat="1" hidden="1" outlineLevel="1" x14ac:dyDescent="0.25">
      <c r="A15" s="46"/>
      <c r="B15" s="11" t="str">
        <f>CONCATENATE("          ", "4053", " - ", "TAXABLE SALES-FOOD")</f>
        <v xml:space="preserve">          4053 - TAXABLE SALES-FOOD</v>
      </c>
      <c r="C15" s="11"/>
      <c r="D15" s="2">
        <f>--1983.68</f>
        <v>1983.68</v>
      </c>
      <c r="E15" s="2"/>
      <c r="F15" s="19"/>
      <c r="G15" s="2"/>
      <c r="H15" s="2"/>
      <c r="I15" s="2"/>
      <c r="J15" s="19"/>
      <c r="K15" s="2"/>
      <c r="L15" s="2">
        <f t="shared" si="0"/>
        <v>1983.68</v>
      </c>
      <c r="M15" s="2"/>
      <c r="N15" s="19">
        <f t="shared" si="1"/>
        <v>0</v>
      </c>
      <c r="O15" s="11"/>
      <c r="P15" s="2">
        <f>--26980.55</f>
        <v>26980.55</v>
      </c>
      <c r="Q15" s="2"/>
      <c r="R15" s="19"/>
      <c r="S15" s="2"/>
      <c r="T15" s="2"/>
      <c r="U15" s="2"/>
      <c r="V15" s="19"/>
      <c r="W15" s="2"/>
      <c r="X15" s="2">
        <f t="shared" si="2"/>
        <v>26980.55</v>
      </c>
      <c r="Y15" s="2"/>
      <c r="Z15" s="19">
        <f t="shared" si="3"/>
        <v>0</v>
      </c>
    </row>
    <row r="16" spans="1:26" s="24" customFormat="1" hidden="1" outlineLevel="1" x14ac:dyDescent="0.25">
      <c r="A16" s="46"/>
      <c r="B16" s="11" t="str">
        <f>CONCATENATE("          ", "4100", " - ", "NON-TAXABLE SALES")</f>
        <v xml:space="preserve">          4100 - NON-TAXABLE SALES</v>
      </c>
      <c r="C16" s="11"/>
      <c r="D16" s="2">
        <f>0</f>
        <v>0</v>
      </c>
      <c r="E16" s="2"/>
      <c r="F16" s="19"/>
      <c r="G16" s="2"/>
      <c r="H16" s="2">
        <v>30000</v>
      </c>
      <c r="I16" s="2"/>
      <c r="J16" s="19"/>
      <c r="K16" s="2"/>
      <c r="L16" s="2">
        <f t="shared" si="0"/>
        <v>-30000</v>
      </c>
      <c r="M16" s="2"/>
      <c r="N16" s="19">
        <f t="shared" si="1"/>
        <v>-1</v>
      </c>
      <c r="O16" s="11"/>
      <c r="P16" s="2">
        <f>0</f>
        <v>0</v>
      </c>
      <c r="Q16" s="2"/>
      <c r="R16" s="19"/>
      <c r="S16" s="2"/>
      <c r="T16" s="2">
        <v>48750</v>
      </c>
      <c r="U16" s="2"/>
      <c r="V16" s="19"/>
      <c r="W16" s="2"/>
      <c r="X16" s="2">
        <f t="shared" si="2"/>
        <v>-48750</v>
      </c>
      <c r="Y16" s="2"/>
      <c r="Z16" s="19">
        <f t="shared" si="3"/>
        <v>-1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9452.8799999999992</v>
      </c>
      <c r="E18" s="4"/>
      <c r="F18" s="12">
        <f t="shared" ref="F18:F21" si="4">IF(D$12=0,0,D18/D$12)</f>
        <v>0.22888517726296048</v>
      </c>
      <c r="G18" s="4"/>
      <c r="H18" s="4">
        <f>SUM(OSRRefH16x_0)</f>
        <v>9200</v>
      </c>
      <c r="I18" s="4"/>
      <c r="J18" s="12">
        <f t="shared" ref="J18:J21" si="5">IF(H$12=0,0,H18/H$12)</f>
        <v>0.23</v>
      </c>
      <c r="K18" s="4"/>
      <c r="L18" s="4">
        <f t="shared" ref="L18:L21" si="6">+D18-H18</f>
        <v>252.8799999999992</v>
      </c>
      <c r="M18" s="4"/>
      <c r="N18" s="12">
        <f t="shared" ref="N18:N21" si="7">IF(H18=0,0,L18/H18)</f>
        <v>2.7486956521739044E-2</v>
      </c>
      <c r="O18" s="10"/>
      <c r="P18" s="4">
        <f>SUM(OSRRefP16x_0)</f>
        <v>24083.47</v>
      </c>
      <c r="Q18" s="4"/>
      <c r="R18" s="12">
        <f t="shared" ref="R18:R21" si="8">IF(P$12=0,0,P18/P$12)</f>
        <v>0.23892008996704014</v>
      </c>
      <c r="S18" s="4"/>
      <c r="T18" s="4">
        <f>SUM(OSRRefT16x_0)</f>
        <v>14950</v>
      </c>
      <c r="U18" s="4"/>
      <c r="V18" s="12">
        <f t="shared" ref="V18:V21" si="9">IF(T$12=0,0,T18/T$12)</f>
        <v>0.23</v>
      </c>
      <c r="W18" s="4"/>
      <c r="X18" s="4">
        <f t="shared" ref="X18:X21" si="10">+P18-T18</f>
        <v>9133.4700000000012</v>
      </c>
      <c r="Y18" s="4"/>
      <c r="Z18" s="12">
        <f t="shared" ref="Z18:Z21" si="11">IF(T18=0,0,X18/T18)</f>
        <v>0.61093444816053522</v>
      </c>
    </row>
    <row r="19" spans="1:26" s="24" customFormat="1" hidden="1" outlineLevel="1" x14ac:dyDescent="0.25">
      <c r="A19" s="46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9200</v>
      </c>
      <c r="I19" s="2"/>
      <c r="J19" s="19">
        <f t="shared" si="5"/>
        <v>0.23</v>
      </c>
      <c r="K19" s="2"/>
      <c r="L19" s="2">
        <f t="shared" si="6"/>
        <v>-9200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14950</v>
      </c>
      <c r="U19" s="2"/>
      <c r="V19" s="19">
        <f t="shared" si="9"/>
        <v>0.23</v>
      </c>
      <c r="W19" s="2"/>
      <c r="X19" s="2">
        <f t="shared" si="10"/>
        <v>-14950</v>
      </c>
      <c r="Y19" s="2"/>
      <c r="Z19" s="19">
        <f t="shared" si="11"/>
        <v>-1</v>
      </c>
    </row>
    <row r="20" spans="1:26" s="24" customFormat="1" hidden="1" outlineLevel="1" x14ac:dyDescent="0.25">
      <c r="A20" s="46"/>
      <c r="B20" s="11" t="str">
        <f>CONCATENATE("          ", "5053", " - ", "PURCHASES @ COST-FOOD")</f>
        <v xml:space="preserve">          5053 - PURCHASES @ COST-FOOD</v>
      </c>
      <c r="C20" s="11"/>
      <c r="D20" s="2">
        <v>13446.88</v>
      </c>
      <c r="E20" s="2"/>
      <c r="F20" s="19">
        <f t="shared" si="4"/>
        <v>0.32559299519657059</v>
      </c>
      <c r="G20" s="2"/>
      <c r="H20" s="2"/>
      <c r="I20" s="2"/>
      <c r="J20" s="19">
        <f t="shared" si="5"/>
        <v>0</v>
      </c>
      <c r="K20" s="2"/>
      <c r="L20" s="2">
        <f t="shared" si="6"/>
        <v>13446.88</v>
      </c>
      <c r="M20" s="2"/>
      <c r="N20" s="19">
        <f t="shared" si="7"/>
        <v>0</v>
      </c>
      <c r="O20" s="11"/>
      <c r="P20" s="2">
        <v>31885.47</v>
      </c>
      <c r="Q20" s="2"/>
      <c r="R20" s="19">
        <f t="shared" si="8"/>
        <v>0.31631983933550106</v>
      </c>
      <c r="S20" s="2"/>
      <c r="T20" s="2"/>
      <c r="U20" s="2"/>
      <c r="V20" s="19">
        <f t="shared" si="9"/>
        <v>0</v>
      </c>
      <c r="W20" s="2"/>
      <c r="X20" s="2">
        <f t="shared" si="10"/>
        <v>31885.47</v>
      </c>
      <c r="Y20" s="2"/>
      <c r="Z20" s="19">
        <f t="shared" si="11"/>
        <v>0</v>
      </c>
    </row>
    <row r="21" spans="1:26" s="24" customFormat="1" hidden="1" outlineLevel="1" x14ac:dyDescent="0.25">
      <c r="A21" s="46"/>
      <c r="B21" s="11" t="str">
        <f>CONCATENATE("          ", "5059", " - ", "PURCHASES @ COST-FOOD")</f>
        <v xml:space="preserve">          5059 - PURCHASES @ COST-FOOD</v>
      </c>
      <c r="C21" s="11"/>
      <c r="D21" s="2">
        <v>-3994</v>
      </c>
      <c r="E21" s="2"/>
      <c r="F21" s="19">
        <f t="shared" si="4"/>
        <v>-9.6707817933610093E-2</v>
      </c>
      <c r="G21" s="2"/>
      <c r="H21" s="2"/>
      <c r="I21" s="2"/>
      <c r="J21" s="19">
        <f t="shared" si="5"/>
        <v>0</v>
      </c>
      <c r="K21" s="2"/>
      <c r="L21" s="2">
        <f t="shared" si="6"/>
        <v>-3994</v>
      </c>
      <c r="M21" s="2"/>
      <c r="N21" s="19">
        <f t="shared" si="7"/>
        <v>0</v>
      </c>
      <c r="O21" s="11"/>
      <c r="P21" s="2">
        <v>-7802</v>
      </c>
      <c r="Q21" s="2"/>
      <c r="R21" s="19">
        <f t="shared" si="8"/>
        <v>-7.7399749368460904E-2</v>
      </c>
      <c r="S21" s="2"/>
      <c r="T21" s="2"/>
      <c r="U21" s="2"/>
      <c r="V21" s="19">
        <f t="shared" si="9"/>
        <v>0</v>
      </c>
      <c r="W21" s="2"/>
      <c r="X21" s="2">
        <f t="shared" si="10"/>
        <v>-7802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2">
        <f>D12-D18</f>
        <v>31846.780000000006</v>
      </c>
      <c r="E23" s="14"/>
      <c r="F23" s="20">
        <f>IF(D$12=0,0,D23/D$12)</f>
        <v>0.77111482273703957</v>
      </c>
      <c r="G23" s="14"/>
      <c r="H23" s="22">
        <f>H12-H18</f>
        <v>30800</v>
      </c>
      <c r="I23" s="14"/>
      <c r="J23" s="20">
        <f>IF(H$12=0,0,H23/H$12)</f>
        <v>0.77</v>
      </c>
      <c r="K23" s="15"/>
      <c r="L23" s="22">
        <f>+D23-H23</f>
        <v>1046.7800000000061</v>
      </c>
      <c r="M23" s="15"/>
      <c r="N23" s="20">
        <f>IF(H23=0,0,L23/H23)</f>
        <v>3.3986363636363835E-2</v>
      </c>
      <c r="O23" s="28"/>
      <c r="P23" s="22">
        <f>P12-P18</f>
        <v>76717.89</v>
      </c>
      <c r="Q23" s="14"/>
      <c r="R23" s="20">
        <f>IF(P$12=0,0,P23/P$12)</f>
        <v>0.76107991003295983</v>
      </c>
      <c r="S23" s="14"/>
      <c r="T23" s="22">
        <f>T12-T18</f>
        <v>50050</v>
      </c>
      <c r="U23" s="14"/>
      <c r="V23" s="20">
        <f>IF(T$12=0,0,T23/T$12)</f>
        <v>0.77</v>
      </c>
      <c r="W23" s="15"/>
      <c r="X23" s="22">
        <f>+P23-T23</f>
        <v>26667.89</v>
      </c>
      <c r="Y23" s="15"/>
      <c r="Z23" s="20">
        <f>IF(T23=0,0,X23/T23)</f>
        <v>0.53282497502497506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21">
        <f>SUM(OSRRefD22x_0)</f>
        <v>32579.97</v>
      </c>
      <c r="E25" s="21"/>
      <c r="F25" s="33">
        <f t="shared" ref="F25:F35" si="12">IF(D$12=0,0,D25/D$12)</f>
        <v>0.78886775339070581</v>
      </c>
      <c r="G25" s="21"/>
      <c r="H25" s="21">
        <f>SUM(OSRRefH22x_0)</f>
        <v>17888.625924999997</v>
      </c>
      <c r="I25" s="21"/>
      <c r="J25" s="33">
        <f t="shared" ref="J25:J35" si="13">IF(H$12=0,0,H25/H$12)</f>
        <v>0.44721564812499992</v>
      </c>
      <c r="K25" s="4"/>
      <c r="L25" s="21">
        <f t="shared" ref="L25:L35" si="14">+D25-H25</f>
        <v>14691.344075000005</v>
      </c>
      <c r="M25" s="4"/>
      <c r="N25" s="33">
        <f t="shared" ref="N25:N35" si="15">IF(H25=0,0,L25/H25)</f>
        <v>0.82126733135317698</v>
      </c>
      <c r="O25" s="10"/>
      <c r="P25" s="21">
        <f>SUM(OSRRefP22x_0)</f>
        <v>83866.359999999986</v>
      </c>
      <c r="Q25" s="21"/>
      <c r="R25" s="33">
        <f t="shared" ref="R25:R35" si="16">IF(P$12=0,0,P25/P$12)</f>
        <v>0.83199631433544141</v>
      </c>
      <c r="S25" s="21"/>
      <c r="T25" s="21">
        <f>SUM(OSRRefT22x_0)</f>
        <v>49481.291624999991</v>
      </c>
      <c r="U25" s="21"/>
      <c r="V25" s="33">
        <f t="shared" ref="V25:V35" si="17">IF(T$12=0,0,T25/T$12)</f>
        <v>0.76125064038461521</v>
      </c>
      <c r="W25" s="4"/>
      <c r="X25" s="21">
        <f t="shared" ref="X25:X35" si="18">+P25-T25</f>
        <v>34385.068374999995</v>
      </c>
      <c r="Y25" s="4"/>
      <c r="Z25" s="33">
        <f t="shared" ref="Z25:Z35" si="19">IF(T25=0,0,X25/T25)</f>
        <v>0.69491048527171506</v>
      </c>
    </row>
    <row r="26" spans="1:26" s="26" customFormat="1" outlineLevel="1" collapsed="1" x14ac:dyDescent="0.25">
      <c r="A26" s="27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2780.4000000000005</v>
      </c>
      <c r="E26" s="1"/>
      <c r="F26" s="5">
        <f t="shared" si="12"/>
        <v>6.7322588127844155E-2</v>
      </c>
      <c r="G26" s="1"/>
      <c r="H26" s="1">
        <f>SUM(OSRRefH22_0x_0)</f>
        <v>2761.2797711538469</v>
      </c>
      <c r="I26" s="1"/>
      <c r="J26" s="5">
        <f t="shared" si="13"/>
        <v>6.9031994278846168E-2</v>
      </c>
      <c r="K26" s="1"/>
      <c r="L26" s="1">
        <f t="shared" si="14"/>
        <v>19.120228846153623</v>
      </c>
      <c r="M26" s="1"/>
      <c r="N26" s="5">
        <f t="shared" si="15"/>
        <v>6.924408401457964E-3</v>
      </c>
      <c r="O26" s="13"/>
      <c r="P26" s="1">
        <f>SUM(OSRRefP22_0x_0)</f>
        <v>8511.07</v>
      </c>
      <c r="Q26" s="1"/>
      <c r="R26" s="5">
        <f t="shared" si="16"/>
        <v>8.4434079064012624E-2</v>
      </c>
      <c r="S26" s="1"/>
      <c r="T26" s="1">
        <f>SUM(OSRRefT22_0x_0)</f>
        <v>8757.7916250000017</v>
      </c>
      <c r="U26" s="1"/>
      <c r="V26" s="5">
        <f t="shared" si="17"/>
        <v>0.13473525576923079</v>
      </c>
      <c r="W26" s="1"/>
      <c r="X26" s="1">
        <f t="shared" si="18"/>
        <v>-246.72162500000195</v>
      </c>
      <c r="Y26" s="1"/>
      <c r="Z26" s="5">
        <f t="shared" si="19"/>
        <v>-2.8171671074670255E-2</v>
      </c>
    </row>
    <row r="27" spans="1:26" s="24" customFormat="1" hidden="1" outlineLevel="2" x14ac:dyDescent="0.25">
      <c r="A27" s="25"/>
      <c r="B27" s="11" t="str">
        <f>CONCATENATE("          ", "6111", " - ", "F.I.C.A.")</f>
        <v xml:space="preserve">          6111 - F.I.C.A.</v>
      </c>
      <c r="C27" s="11"/>
      <c r="D27" s="7">
        <v>572.86</v>
      </c>
      <c r="E27" s="2"/>
      <c r="F27" s="6">
        <f t="shared" si="12"/>
        <v>1.3870816369916847E-2</v>
      </c>
      <c r="G27" s="2"/>
      <c r="H27" s="7">
        <v>488.86480961538501</v>
      </c>
      <c r="I27" s="2"/>
      <c r="J27" s="6">
        <f t="shared" si="13"/>
        <v>1.2221620240384626E-2</v>
      </c>
      <c r="K27" s="2"/>
      <c r="L27" s="7">
        <f t="shared" si="14"/>
        <v>83.995190384615</v>
      </c>
      <c r="M27" s="2"/>
      <c r="N27" s="6">
        <f t="shared" si="15"/>
        <v>0.17181680647191258</v>
      </c>
      <c r="O27" s="11"/>
      <c r="P27" s="7">
        <v>1909.53</v>
      </c>
      <c r="Q27" s="2"/>
      <c r="R27" s="6">
        <f t="shared" si="16"/>
        <v>1.8943494413170614E-2</v>
      </c>
      <c r="S27" s="2"/>
      <c r="T27" s="7">
        <v>1715.2286250000009</v>
      </c>
      <c r="U27" s="2"/>
      <c r="V27" s="6">
        <f t="shared" si="17"/>
        <v>2.6388132692307706E-2</v>
      </c>
      <c r="W27" s="2"/>
      <c r="X27" s="7">
        <f t="shared" si="18"/>
        <v>194.3013749999991</v>
      </c>
      <c r="Y27" s="2"/>
      <c r="Z27" s="6">
        <f t="shared" si="19"/>
        <v>0.11328016112137762</v>
      </c>
    </row>
    <row r="28" spans="1:26" s="24" customFormat="1" hidden="1" outlineLevel="2" x14ac:dyDescent="0.25">
      <c r="A28" s="25"/>
      <c r="B28" s="11" t="str">
        <f>CONCATENATE("          ", "6112", " - ", "COMPENSATION INSURANCE")</f>
        <v xml:space="preserve">          6112 - COMPENSATION INSURANCE</v>
      </c>
      <c r="C28" s="11"/>
      <c r="D28" s="7">
        <v>585.66999999999996</v>
      </c>
      <c r="E28" s="2"/>
      <c r="F28" s="6">
        <f t="shared" si="12"/>
        <v>1.4180988414916731E-2</v>
      </c>
      <c r="G28" s="2"/>
      <c r="H28" s="7">
        <v>306.04992307692299</v>
      </c>
      <c r="I28" s="2"/>
      <c r="J28" s="6">
        <f t="shared" si="13"/>
        <v>7.6512480769230749E-3</v>
      </c>
      <c r="K28" s="2"/>
      <c r="L28" s="7">
        <f t="shared" si="14"/>
        <v>279.62007692307697</v>
      </c>
      <c r="M28" s="2"/>
      <c r="N28" s="6">
        <f t="shared" si="15"/>
        <v>0.91364204281403094</v>
      </c>
      <c r="O28" s="11"/>
      <c r="P28" s="7">
        <v>1675.77</v>
      </c>
      <c r="Q28" s="2"/>
      <c r="R28" s="6">
        <f t="shared" si="16"/>
        <v>1.6624478082438571E-2</v>
      </c>
      <c r="S28" s="2"/>
      <c r="T28" s="7">
        <v>913.83699999999999</v>
      </c>
      <c r="U28" s="2"/>
      <c r="V28" s="6">
        <f t="shared" si="17"/>
        <v>1.4059030769230769E-2</v>
      </c>
      <c r="W28" s="2"/>
      <c r="X28" s="7">
        <f t="shared" si="18"/>
        <v>761.93299999999999</v>
      </c>
      <c r="Y28" s="2"/>
      <c r="Z28" s="6">
        <f t="shared" si="19"/>
        <v>0.83377341911084801</v>
      </c>
    </row>
    <row r="29" spans="1:26" s="24" customFormat="1" hidden="1" outlineLevel="2" x14ac:dyDescent="0.25">
      <c r="A29" s="25"/>
      <c r="B29" s="11" t="str">
        <f>CONCATENATE("          ", "6113", " - ", "GROUP INSURANCE")</f>
        <v xml:space="preserve">          6113 - GROUP INSURANCE</v>
      </c>
      <c r="C29" s="11"/>
      <c r="D29" s="7">
        <v>698.2</v>
      </c>
      <c r="E29" s="2"/>
      <c r="F29" s="6">
        <f t="shared" si="12"/>
        <v>1.6905708182585522E-2</v>
      </c>
      <c r="G29" s="2"/>
      <c r="H29" s="7">
        <v>663</v>
      </c>
      <c r="I29" s="2"/>
      <c r="J29" s="6">
        <f t="shared" si="13"/>
        <v>1.6574999999999999E-2</v>
      </c>
      <c r="K29" s="2"/>
      <c r="L29" s="7">
        <f t="shared" si="14"/>
        <v>35.200000000000045</v>
      </c>
      <c r="M29" s="2"/>
      <c r="N29" s="6">
        <f t="shared" si="15"/>
        <v>5.3092006033182572E-2</v>
      </c>
      <c r="O29" s="11"/>
      <c r="P29" s="7">
        <v>2094.6</v>
      </c>
      <c r="Q29" s="2"/>
      <c r="R29" s="6">
        <f t="shared" si="16"/>
        <v>2.0779481546677542E-2</v>
      </c>
      <c r="S29" s="2"/>
      <c r="T29" s="7">
        <v>1989</v>
      </c>
      <c r="U29" s="2"/>
      <c r="V29" s="6">
        <f t="shared" si="17"/>
        <v>3.0599999999999999E-2</v>
      </c>
      <c r="W29" s="2"/>
      <c r="X29" s="7">
        <f t="shared" si="18"/>
        <v>105.59999999999991</v>
      </c>
      <c r="Y29" s="2"/>
      <c r="Z29" s="6">
        <f t="shared" si="19"/>
        <v>5.3092006033182461E-2</v>
      </c>
    </row>
    <row r="30" spans="1:26" s="24" customFormat="1" hidden="1" outlineLevel="2" x14ac:dyDescent="0.25">
      <c r="A30" s="25"/>
      <c r="B30" s="11" t="str">
        <f>CONCATENATE("          ", "6114", " - ", "STATE UNEMPLOYMENT INSURANCE")</f>
        <v xml:space="preserve">          6114 - STATE UNEMPLOYMENT INSURANCE</v>
      </c>
      <c r="C30" s="11"/>
      <c r="D30" s="7">
        <v>39.25</v>
      </c>
      <c r="E30" s="2"/>
      <c r="F30" s="6">
        <f t="shared" si="12"/>
        <v>9.5037102000355446E-4</v>
      </c>
      <c r="G30" s="2"/>
      <c r="H30" s="7">
        <v>22.848500000000001</v>
      </c>
      <c r="I30" s="2"/>
      <c r="J30" s="6">
        <f t="shared" si="13"/>
        <v>5.7121250000000004E-4</v>
      </c>
      <c r="K30" s="2"/>
      <c r="L30" s="7">
        <f t="shared" si="14"/>
        <v>16.401499999999999</v>
      </c>
      <c r="M30" s="2"/>
      <c r="N30" s="6">
        <f t="shared" si="15"/>
        <v>0.71783705713722989</v>
      </c>
      <c r="O30" s="11"/>
      <c r="P30" s="7">
        <v>112.3</v>
      </c>
      <c r="Q30" s="2"/>
      <c r="R30" s="6">
        <f t="shared" si="16"/>
        <v>1.1140722704534938E-3</v>
      </c>
      <c r="S30" s="2"/>
      <c r="T30" s="7">
        <v>72.566000000000003</v>
      </c>
      <c r="U30" s="2"/>
      <c r="V30" s="6">
        <f t="shared" si="17"/>
        <v>1.1164E-3</v>
      </c>
      <c r="W30" s="2"/>
      <c r="X30" s="7">
        <f t="shared" si="18"/>
        <v>39.733999999999995</v>
      </c>
      <c r="Y30" s="2"/>
      <c r="Z30" s="6">
        <f t="shared" si="19"/>
        <v>0.54755670699776748</v>
      </c>
    </row>
    <row r="31" spans="1:26" s="24" customFormat="1" hidden="1" outlineLevel="2" x14ac:dyDescent="0.25">
      <c r="A31" s="25"/>
      <c r="B31" s="11" t="str">
        <f>CONCATENATE("          ", "6115", " - ", "P.E.R.S.")</f>
        <v xml:space="preserve">          6115 - P.E.R.S.</v>
      </c>
      <c r="C31" s="11"/>
      <c r="D31" s="7">
        <v>320.99</v>
      </c>
      <c r="E31" s="2"/>
      <c r="F31" s="6">
        <f t="shared" si="12"/>
        <v>7.7722189480494506E-3</v>
      </c>
      <c r="G31" s="2"/>
      <c r="H31" s="7">
        <v>395.20307692307699</v>
      </c>
      <c r="I31" s="2"/>
      <c r="J31" s="6">
        <f t="shared" si="13"/>
        <v>9.8800769230769254E-3</v>
      </c>
      <c r="K31" s="2"/>
      <c r="L31" s="7">
        <f t="shared" si="14"/>
        <v>-74.213076923076983</v>
      </c>
      <c r="M31" s="2"/>
      <c r="N31" s="6">
        <f t="shared" si="15"/>
        <v>-0.18778466377558581</v>
      </c>
      <c r="O31" s="11"/>
      <c r="P31" s="7">
        <v>962.97</v>
      </c>
      <c r="Q31" s="2"/>
      <c r="R31" s="6">
        <f t="shared" si="16"/>
        <v>9.5531449178860289E-3</v>
      </c>
      <c r="S31" s="2"/>
      <c r="T31" s="7">
        <v>1284.4100000000001</v>
      </c>
      <c r="U31" s="2"/>
      <c r="V31" s="6">
        <f t="shared" si="17"/>
        <v>1.9760153846153847E-2</v>
      </c>
      <c r="W31" s="2"/>
      <c r="X31" s="7">
        <f t="shared" si="18"/>
        <v>-321.44000000000005</v>
      </c>
      <c r="Y31" s="2"/>
      <c r="Z31" s="6">
        <f t="shared" si="19"/>
        <v>-0.25026276656207913</v>
      </c>
    </row>
    <row r="32" spans="1:26" s="24" customFormat="1" hidden="1" outlineLevel="2" x14ac:dyDescent="0.25">
      <c r="A32" s="25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25">
      <c r="A33" s="25"/>
      <c r="B33" s="11" t="str">
        <f>CONCATENATE("          ", "6118", " - ", "VACATION")</f>
        <v xml:space="preserve">          6118 - VACATION</v>
      </c>
      <c r="C33" s="11"/>
      <c r="D33" s="7">
        <v>176.92</v>
      </c>
      <c r="E33" s="2"/>
      <c r="F33" s="6">
        <f t="shared" si="12"/>
        <v>4.2838125059625181E-3</v>
      </c>
      <c r="G33" s="2"/>
      <c r="H33" s="7">
        <v>229.769230769231</v>
      </c>
      <c r="I33" s="2"/>
      <c r="J33" s="6">
        <f t="shared" si="13"/>
        <v>5.7442307692307749E-3</v>
      </c>
      <c r="K33" s="2"/>
      <c r="L33" s="7">
        <f t="shared" si="14"/>
        <v>-52.849230769231013</v>
      </c>
      <c r="M33" s="2"/>
      <c r="N33" s="6">
        <f t="shared" si="15"/>
        <v>-0.23001004352192919</v>
      </c>
      <c r="O33" s="11"/>
      <c r="P33" s="7">
        <v>557.05999999999995</v>
      </c>
      <c r="Q33" s="2"/>
      <c r="R33" s="6">
        <f t="shared" si="16"/>
        <v>5.5263143275051047E-3</v>
      </c>
      <c r="S33" s="2"/>
      <c r="T33" s="7">
        <v>746.75000000000102</v>
      </c>
      <c r="U33" s="2"/>
      <c r="V33" s="6">
        <f t="shared" si="17"/>
        <v>1.1488461538461555E-2</v>
      </c>
      <c r="W33" s="2"/>
      <c r="X33" s="7">
        <f t="shared" si="18"/>
        <v>-189.69000000000108</v>
      </c>
      <c r="Y33" s="2"/>
      <c r="Z33" s="6">
        <f t="shared" si="19"/>
        <v>-0.25402075661198636</v>
      </c>
    </row>
    <row r="34" spans="1:26" s="24" customFormat="1" hidden="1" outlineLevel="2" x14ac:dyDescent="0.25">
      <c r="A34" s="25"/>
      <c r="B34" s="11" t="str">
        <f>CONCATENATE("          ", "6119", " - ", "SICK LEAVE")</f>
        <v xml:space="preserve">          6119 - SICK LEAVE</v>
      </c>
      <c r="C34" s="11"/>
      <c r="D34" s="7">
        <v>211.96</v>
      </c>
      <c r="E34" s="2"/>
      <c r="F34" s="6">
        <f t="shared" si="12"/>
        <v>5.1322456407631436E-3</v>
      </c>
      <c r="G34" s="2"/>
      <c r="H34" s="7">
        <v>355.54423076923098</v>
      </c>
      <c r="I34" s="2"/>
      <c r="J34" s="6">
        <f t="shared" si="13"/>
        <v>8.8886057692307736E-3</v>
      </c>
      <c r="K34" s="2"/>
      <c r="L34" s="7">
        <f t="shared" si="14"/>
        <v>-143.58423076923097</v>
      </c>
      <c r="M34" s="2"/>
      <c r="N34" s="6">
        <f t="shared" si="15"/>
        <v>-0.40384351184262512</v>
      </c>
      <c r="O34" s="11"/>
      <c r="P34" s="7">
        <v>729.72</v>
      </c>
      <c r="Q34" s="2"/>
      <c r="R34" s="6">
        <f t="shared" si="16"/>
        <v>7.2391880427010117E-3</v>
      </c>
      <c r="S34" s="2"/>
      <c r="T34" s="7">
        <v>1136.0000000000011</v>
      </c>
      <c r="U34" s="2"/>
      <c r="V34" s="6">
        <f t="shared" si="17"/>
        <v>1.7476923076923095E-2</v>
      </c>
      <c r="W34" s="2"/>
      <c r="X34" s="7">
        <f t="shared" si="18"/>
        <v>-406.28000000000111</v>
      </c>
      <c r="Y34" s="2"/>
      <c r="Z34" s="6">
        <f t="shared" si="19"/>
        <v>-0.35764084507042315</v>
      </c>
    </row>
    <row r="35" spans="1:26" s="24" customFormat="1" hidden="1" outlineLevel="2" x14ac:dyDescent="0.25">
      <c r="A35" s="25"/>
      <c r="B35" s="11" t="str">
        <f>CONCATENATE("          ", "6156", " - ", "EMPLOYEE MEALS")</f>
        <v xml:space="preserve">          6156 - EMPLOYEE MEALS</v>
      </c>
      <c r="C35" s="11"/>
      <c r="D35" s="7">
        <v>174.55</v>
      </c>
      <c r="E35" s="2"/>
      <c r="F35" s="6">
        <f t="shared" si="12"/>
        <v>4.2264270456463804E-3</v>
      </c>
      <c r="G35" s="2"/>
      <c r="H35" s="7">
        <v>300</v>
      </c>
      <c r="I35" s="2"/>
      <c r="J35" s="6">
        <f t="shared" si="13"/>
        <v>7.4999999999999997E-3</v>
      </c>
      <c r="K35" s="2"/>
      <c r="L35" s="7">
        <f t="shared" si="14"/>
        <v>-125.44999999999999</v>
      </c>
      <c r="M35" s="2"/>
      <c r="N35" s="6">
        <f t="shared" si="15"/>
        <v>-0.41816666666666663</v>
      </c>
      <c r="O35" s="11"/>
      <c r="P35" s="7">
        <v>469.12</v>
      </c>
      <c r="Q35" s="2"/>
      <c r="R35" s="6">
        <f t="shared" si="16"/>
        <v>4.6539054631802588E-3</v>
      </c>
      <c r="S35" s="2"/>
      <c r="T35" s="7">
        <v>900</v>
      </c>
      <c r="U35" s="2"/>
      <c r="V35" s="6">
        <f t="shared" si="17"/>
        <v>1.3846153846153847E-2</v>
      </c>
      <c r="W35" s="2"/>
      <c r="X35" s="7">
        <f t="shared" si="18"/>
        <v>-430.88</v>
      </c>
      <c r="Y35" s="2"/>
      <c r="Z35" s="6">
        <f t="shared" si="19"/>
        <v>-0.47875555555555555</v>
      </c>
    </row>
    <row r="36" spans="1:26" s="26" customFormat="1" outlineLevel="1" collapsed="1" x14ac:dyDescent="0.25">
      <c r="A36" s="27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12545.15</v>
      </c>
      <c r="E36" s="1"/>
      <c r="F36" s="5">
        <f t="shared" ref="F36:F46" si="20">IF(D$12=0,0,D36/D$12)</f>
        <v>0.30375915927637176</v>
      </c>
      <c r="G36" s="1"/>
      <c r="H36" s="1">
        <f>SUM(OSRRefH22_1x_0)</f>
        <v>8328.3461538461488</v>
      </c>
      <c r="I36" s="1"/>
      <c r="J36" s="5">
        <f t="shared" ref="J36:J46" si="21">IF(H$12=0,0,H36/H$12)</f>
        <v>0.20820865384615372</v>
      </c>
      <c r="K36" s="1"/>
      <c r="L36" s="1">
        <f t="shared" ref="L36:L46" si="22">+D36-H36</f>
        <v>4216.8038461538508</v>
      </c>
      <c r="M36" s="1"/>
      <c r="N36" s="5">
        <f t="shared" ref="N36:N46" si="23">IF(H36=0,0,L36/H36)</f>
        <v>0.50631947426998702</v>
      </c>
      <c r="O36" s="13"/>
      <c r="P36" s="1">
        <f>SUM(OSRRefP22_1x_0)</f>
        <v>32557.699999999997</v>
      </c>
      <c r="Q36" s="1"/>
      <c r="R36" s="5">
        <f t="shared" ref="R36:R46" si="24">IF(P$12=0,0,P36/P$12)</f>
        <v>0.32298869777153799</v>
      </c>
      <c r="S36" s="1"/>
      <c r="T36" s="1">
        <f>SUM(OSRRefT22_1x_0)</f>
        <v>26416.499999999993</v>
      </c>
      <c r="U36" s="1"/>
      <c r="V36" s="5">
        <f t="shared" ref="V36:V46" si="25">IF(T$12=0,0,T36/T$12)</f>
        <v>0.40640769230769219</v>
      </c>
      <c r="W36" s="1"/>
      <c r="X36" s="1">
        <f t="shared" ref="X36:X46" si="26">+P36-T36</f>
        <v>6141.2000000000044</v>
      </c>
      <c r="Y36" s="1"/>
      <c r="Z36" s="5">
        <f t="shared" ref="Z36:Z46" si="27">IF(T36=0,0,X36/T36)</f>
        <v>0.23247591467454076</v>
      </c>
    </row>
    <row r="37" spans="1:26" s="24" customFormat="1" hidden="1" outlineLevel="2" x14ac:dyDescent="0.25">
      <c r="A37" s="25"/>
      <c r="B37" s="11" t="str">
        <f>CONCATENATE("          ", "6001", " - ", "ADMINISTRATIVE SALARIES")</f>
        <v xml:space="preserve">          6001 - ADMINISTRATIVE SALARIES</v>
      </c>
      <c r="C37" s="11"/>
      <c r="D37" s="7"/>
      <c r="E37" s="2"/>
      <c r="F37" s="6">
        <f t="shared" si="20"/>
        <v>0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0</v>
      </c>
      <c r="Y37" s="2"/>
      <c r="Z37" s="6">
        <f t="shared" si="27"/>
        <v>0</v>
      </c>
    </row>
    <row r="38" spans="1:26" s="24" customFormat="1" hidden="1" outlineLevel="2" x14ac:dyDescent="0.25">
      <c r="A38" s="25"/>
      <c r="B38" s="11" t="str">
        <f>CONCATENATE("          ", "6002", " - ", "STAFF SALARIES")</f>
        <v xml:space="preserve">          6002 - STAFF SALARIES</v>
      </c>
      <c r="C38" s="11"/>
      <c r="D38" s="7">
        <v>3906.07</v>
      </c>
      <c r="E38" s="2"/>
      <c r="F38" s="6">
        <f t="shared" si="20"/>
        <v>9.4578744716058191E-2</v>
      </c>
      <c r="G38" s="2"/>
      <c r="H38" s="7">
        <v>4135.8461538461497</v>
      </c>
      <c r="I38" s="2"/>
      <c r="J38" s="6">
        <f t="shared" si="21"/>
        <v>0.10339615384615375</v>
      </c>
      <c r="K38" s="2"/>
      <c r="L38" s="7">
        <f t="shared" si="22"/>
        <v>-229.77615384614955</v>
      </c>
      <c r="M38" s="2"/>
      <c r="N38" s="6">
        <f t="shared" si="23"/>
        <v>-5.5557229475875963E-2</v>
      </c>
      <c r="O38" s="11"/>
      <c r="P38" s="7">
        <v>14245.83</v>
      </c>
      <c r="Q38" s="2"/>
      <c r="R38" s="6">
        <f t="shared" si="24"/>
        <v>0.14132577179514244</v>
      </c>
      <c r="S38" s="2"/>
      <c r="T38" s="7">
        <v>13441.499999999991</v>
      </c>
      <c r="U38" s="2"/>
      <c r="V38" s="6">
        <f t="shared" si="25"/>
        <v>0.20679230769230755</v>
      </c>
      <c r="W38" s="2"/>
      <c r="X38" s="7">
        <f t="shared" si="26"/>
        <v>804.33000000000902</v>
      </c>
      <c r="Y38" s="2"/>
      <c r="Z38" s="6">
        <f t="shared" si="27"/>
        <v>5.983930364914701E-2</v>
      </c>
    </row>
    <row r="39" spans="1:26" s="24" customFormat="1" hidden="1" outlineLevel="2" x14ac:dyDescent="0.25">
      <c r="A39" s="25"/>
      <c r="B39" s="11" t="str">
        <f>CONCATENATE("          ", "6003", " - ", "STAFF HOURLY-9 MONTH")</f>
        <v xml:space="preserve">          6003 - STAFF HOURLY-9 MONTH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5"/>
      <c r="B40" s="11" t="str">
        <f>CONCATENATE("          ", "6004", " - ", "STAFF HOURLY")</f>
        <v xml:space="preserve">          6004 - STAFF HOURLY</v>
      </c>
      <c r="C40" s="11"/>
      <c r="D40" s="7"/>
      <c r="E40" s="2"/>
      <c r="F40" s="6">
        <f t="shared" si="20"/>
        <v>0</v>
      </c>
      <c r="G40" s="2"/>
      <c r="H40" s="7">
        <v>900</v>
      </c>
      <c r="I40" s="2"/>
      <c r="J40" s="6">
        <f t="shared" si="21"/>
        <v>2.2499999999999999E-2</v>
      </c>
      <c r="K40" s="2"/>
      <c r="L40" s="7">
        <f t="shared" si="22"/>
        <v>-900</v>
      </c>
      <c r="M40" s="2"/>
      <c r="N40" s="6">
        <f t="shared" si="23"/>
        <v>-1</v>
      </c>
      <c r="O40" s="11"/>
      <c r="P40" s="7"/>
      <c r="Q40" s="2"/>
      <c r="R40" s="6">
        <f t="shared" si="24"/>
        <v>0</v>
      </c>
      <c r="S40" s="2"/>
      <c r="T40" s="7">
        <v>2700</v>
      </c>
      <c r="U40" s="2"/>
      <c r="V40" s="6">
        <f t="shared" si="25"/>
        <v>4.1538461538461538E-2</v>
      </c>
      <c r="W40" s="2"/>
      <c r="X40" s="7">
        <f t="shared" si="26"/>
        <v>-2700</v>
      </c>
      <c r="Y40" s="2"/>
      <c r="Z40" s="6">
        <f t="shared" si="27"/>
        <v>-1</v>
      </c>
    </row>
    <row r="41" spans="1:26" s="24" customFormat="1" hidden="1" outlineLevel="2" x14ac:dyDescent="0.25">
      <c r="A41" s="25"/>
      <c r="B41" s="11" t="str">
        <f>CONCATENATE("          ", "6005", " - ", "TEMPORARY WAGES-HOURLY")</f>
        <v xml:space="preserve">          6005 - TEMPORARY WAGES-HOURLY</v>
      </c>
      <c r="C41" s="11"/>
      <c r="D41" s="7">
        <v>2945.76</v>
      </c>
      <c r="E41" s="2"/>
      <c r="F41" s="6">
        <f t="shared" si="20"/>
        <v>7.1326495181800523E-2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2945.76</v>
      </c>
      <c r="M41" s="2"/>
      <c r="N41" s="6">
        <f t="shared" si="23"/>
        <v>0</v>
      </c>
      <c r="O41" s="11"/>
      <c r="P41" s="7">
        <v>7097.23</v>
      </c>
      <c r="Q41" s="2"/>
      <c r="R41" s="6">
        <f t="shared" si="24"/>
        <v>7.040807782752137E-2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7097.23</v>
      </c>
      <c r="Y41" s="2"/>
      <c r="Z41" s="6">
        <f t="shared" si="27"/>
        <v>0</v>
      </c>
    </row>
    <row r="42" spans="1:26" s="24" customFormat="1" hidden="1" outlineLevel="2" x14ac:dyDescent="0.25">
      <c r="A42" s="25"/>
      <c r="B42" s="11" t="str">
        <f>CONCATENATE("          ", "6006", " - ", "TEMPORARY PART TIME")</f>
        <v xml:space="preserve">          6006 - TEMPORARY PART TIME</v>
      </c>
      <c r="C42" s="11"/>
      <c r="D42" s="7"/>
      <c r="E42" s="2"/>
      <c r="F42" s="6">
        <f t="shared" si="20"/>
        <v>0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0</v>
      </c>
      <c r="M42" s="2"/>
      <c r="N42" s="6">
        <f t="shared" si="23"/>
        <v>0</v>
      </c>
      <c r="O42" s="11"/>
      <c r="P42" s="7">
        <v>303.38</v>
      </c>
      <c r="Q42" s="2"/>
      <c r="R42" s="6">
        <f t="shared" si="24"/>
        <v>3.009681615406776E-3</v>
      </c>
      <c r="S42" s="2"/>
      <c r="T42" s="7">
        <v>0</v>
      </c>
      <c r="U42" s="2"/>
      <c r="V42" s="6">
        <f t="shared" si="25"/>
        <v>0</v>
      </c>
      <c r="W42" s="2"/>
      <c r="X42" s="7">
        <f t="shared" si="26"/>
        <v>303.38</v>
      </c>
      <c r="Y42" s="2"/>
      <c r="Z42" s="6">
        <f t="shared" si="27"/>
        <v>0</v>
      </c>
    </row>
    <row r="43" spans="1:26" s="24" customFormat="1" hidden="1" outlineLevel="2" x14ac:dyDescent="0.25">
      <c r="A43" s="25"/>
      <c r="B43" s="11" t="str">
        <f>CONCATENATE("          ", "6007", " - ", "STUDENT HOURLY")</f>
        <v xml:space="preserve">          6007 - STUDENT HOURLY</v>
      </c>
      <c r="C43" s="11"/>
      <c r="D43" s="7">
        <v>5147.32</v>
      </c>
      <c r="E43" s="2"/>
      <c r="F43" s="6">
        <f t="shared" si="20"/>
        <v>0.12463347155884574</v>
      </c>
      <c r="G43" s="2"/>
      <c r="H43" s="7">
        <v>892.5</v>
      </c>
      <c r="I43" s="2"/>
      <c r="J43" s="6">
        <f t="shared" si="21"/>
        <v>2.2312499999999999E-2</v>
      </c>
      <c r="K43" s="2"/>
      <c r="L43" s="7">
        <f t="shared" si="22"/>
        <v>4254.82</v>
      </c>
      <c r="M43" s="2"/>
      <c r="N43" s="6">
        <f t="shared" si="23"/>
        <v>4.7673053221288511</v>
      </c>
      <c r="O43" s="11"/>
      <c r="P43" s="7">
        <v>9570.26</v>
      </c>
      <c r="Q43" s="2"/>
      <c r="R43" s="6">
        <f t="shared" si="24"/>
        <v>9.4941774595104667E-2</v>
      </c>
      <c r="S43" s="2"/>
      <c r="T43" s="7">
        <v>4777.5</v>
      </c>
      <c r="U43" s="2"/>
      <c r="V43" s="6">
        <f t="shared" si="25"/>
        <v>7.3499999999999996E-2</v>
      </c>
      <c r="W43" s="2"/>
      <c r="X43" s="7">
        <f t="shared" si="26"/>
        <v>4792.76</v>
      </c>
      <c r="Y43" s="2"/>
      <c r="Z43" s="6">
        <f t="shared" si="27"/>
        <v>1.0031941391941392</v>
      </c>
    </row>
    <row r="44" spans="1:26" s="24" customFormat="1" hidden="1" outlineLevel="2" x14ac:dyDescent="0.25">
      <c r="A44" s="25"/>
      <c r="B44" s="11" t="str">
        <f>CONCATENATE("          ", "6008", " - ", "STUDENT HOURLY-FICA EXEMPT")</f>
        <v xml:space="preserve">          6008 - STUDENT HOURLY-FICA EXEMPT</v>
      </c>
      <c r="C44" s="11"/>
      <c r="D44" s="7">
        <v>546</v>
      </c>
      <c r="E44" s="2"/>
      <c r="F44" s="6">
        <f t="shared" si="20"/>
        <v>1.322044781966728E-2</v>
      </c>
      <c r="G44" s="2"/>
      <c r="H44" s="7">
        <v>2400</v>
      </c>
      <c r="I44" s="2"/>
      <c r="J44" s="6">
        <f t="shared" si="21"/>
        <v>0.06</v>
      </c>
      <c r="K44" s="2"/>
      <c r="L44" s="7">
        <f t="shared" si="22"/>
        <v>-1854</v>
      </c>
      <c r="M44" s="2"/>
      <c r="N44" s="6">
        <f t="shared" si="23"/>
        <v>-0.77249999999999996</v>
      </c>
      <c r="O44" s="11"/>
      <c r="P44" s="7">
        <v>1341</v>
      </c>
      <c r="Q44" s="2"/>
      <c r="R44" s="6">
        <f t="shared" si="24"/>
        <v>1.3303391938362736E-2</v>
      </c>
      <c r="S44" s="2"/>
      <c r="T44" s="7">
        <v>5497.5</v>
      </c>
      <c r="U44" s="2"/>
      <c r="V44" s="6">
        <f t="shared" si="25"/>
        <v>8.4576923076923077E-2</v>
      </c>
      <c r="W44" s="2"/>
      <c r="X44" s="7">
        <f t="shared" si="26"/>
        <v>-4156.5</v>
      </c>
      <c r="Y44" s="2"/>
      <c r="Z44" s="6">
        <f t="shared" si="27"/>
        <v>-0.75607094133697139</v>
      </c>
    </row>
    <row r="45" spans="1:26" s="24" customFormat="1" hidden="1" outlineLevel="2" x14ac:dyDescent="0.25">
      <c r="A45" s="25"/>
      <c r="B45" s="11" t="str">
        <f>CONCATENATE("          ", "6009", " - ", "TEMPORARY-SEASONAL")</f>
        <v xml:space="preserve">          6009 - TEMPORARY-SEASONAL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24" customFormat="1" hidden="1" outlineLevel="2" x14ac:dyDescent="0.25">
      <c r="A46" s="25"/>
      <c r="B46" s="11" t="str">
        <f>CONCATENATE("          ", "6010", " - ", "GRATUITY")</f>
        <v xml:space="preserve">          6010 - GRATUITY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6" customFormat="1" outlineLevel="1" collapsed="1" x14ac:dyDescent="0.25">
      <c r="A47" s="27"/>
      <c r="B47" s="13" t="str">
        <f>CONCATENATE("     ","Advertising/Promo                                 ")</f>
        <v xml:space="preserve">     Advertising/Promo                                 </v>
      </c>
      <c r="C47" s="13"/>
      <c r="D47" s="1">
        <f>SUM(OSRRefD22_2x_0)</f>
        <v>87.76</v>
      </c>
      <c r="E47" s="1"/>
      <c r="F47" s="5">
        <f t="shared" ref="F47:F64" si="28">IF(D$12=0,0,D47/D$12)</f>
        <v>2.1249569609047628E-3</v>
      </c>
      <c r="G47" s="1"/>
      <c r="H47" s="1">
        <f>SUM(OSRRefH22_2x_0)</f>
        <v>50</v>
      </c>
      <c r="I47" s="1"/>
      <c r="J47" s="5">
        <f t="shared" ref="J47:J64" si="29">IF(H$12=0,0,H47/H$12)</f>
        <v>1.25E-3</v>
      </c>
      <c r="K47" s="1"/>
      <c r="L47" s="1">
        <f t="shared" ref="L47:L64" si="30">+D47-H47</f>
        <v>37.760000000000005</v>
      </c>
      <c r="M47" s="1"/>
      <c r="N47" s="5">
        <f t="shared" ref="N47:N64" si="31">IF(H47=0,0,L47/H47)</f>
        <v>0.75520000000000009</v>
      </c>
      <c r="O47" s="13"/>
      <c r="P47" s="1">
        <f>SUM(OSRRefP22_2x_0)</f>
        <v>137.33000000000001</v>
      </c>
      <c r="Q47" s="1"/>
      <c r="R47" s="5">
        <f t="shared" ref="R47:R64" si="32">IF(P$12=0,0,P47/P$12)</f>
        <v>1.3623824123007865E-3</v>
      </c>
      <c r="S47" s="1"/>
      <c r="T47" s="1">
        <f>SUM(OSRRefT22_2x_0)</f>
        <v>225</v>
      </c>
      <c r="U47" s="1"/>
      <c r="V47" s="5">
        <f t="shared" ref="V47:V64" si="33">IF(T$12=0,0,T47/T$12)</f>
        <v>3.4615384615384616E-3</v>
      </c>
      <c r="W47" s="1"/>
      <c r="X47" s="1">
        <f t="shared" ref="X47:X64" si="34">+P47-T47</f>
        <v>-87.669999999999987</v>
      </c>
      <c r="Y47" s="1"/>
      <c r="Z47" s="5">
        <f t="shared" ref="Z47:Z64" si="35">IF(T47=0,0,X47/T47)</f>
        <v>-0.3896444444444444</v>
      </c>
    </row>
    <row r="48" spans="1:26" s="24" customFormat="1" hidden="1" outlineLevel="2" x14ac:dyDescent="0.25">
      <c r="A48" s="25"/>
      <c r="B48" s="11" t="str">
        <f>CONCATENATE("          ", "6362", " - ", "ADVERTISING EXPENSE")</f>
        <v xml:space="preserve">          6362 - ADVERTISING EXPENSE</v>
      </c>
      <c r="C48" s="11"/>
      <c r="D48" s="7">
        <v>87.76</v>
      </c>
      <c r="E48" s="2"/>
      <c r="F48" s="6">
        <f t="shared" si="28"/>
        <v>2.1249569609047628E-3</v>
      </c>
      <c r="G48" s="2"/>
      <c r="H48" s="7">
        <v>50</v>
      </c>
      <c r="I48" s="2"/>
      <c r="J48" s="6">
        <f t="shared" si="29"/>
        <v>1.25E-3</v>
      </c>
      <c r="K48" s="2"/>
      <c r="L48" s="7">
        <f t="shared" si="30"/>
        <v>37.760000000000005</v>
      </c>
      <c r="M48" s="2"/>
      <c r="N48" s="6">
        <f t="shared" si="31"/>
        <v>0.75520000000000009</v>
      </c>
      <c r="O48" s="11"/>
      <c r="P48" s="7">
        <v>137.33000000000001</v>
      </c>
      <c r="Q48" s="2"/>
      <c r="R48" s="6">
        <f t="shared" si="32"/>
        <v>1.3623824123007865E-3</v>
      </c>
      <c r="S48" s="2"/>
      <c r="T48" s="7">
        <v>225</v>
      </c>
      <c r="U48" s="2"/>
      <c r="V48" s="6">
        <f t="shared" si="33"/>
        <v>3.4615384615384616E-3</v>
      </c>
      <c r="W48" s="2"/>
      <c r="X48" s="7">
        <f t="shared" si="34"/>
        <v>-87.669999999999987</v>
      </c>
      <c r="Y48" s="2"/>
      <c r="Z48" s="6">
        <f t="shared" si="35"/>
        <v>-0.3896444444444444</v>
      </c>
    </row>
    <row r="49" spans="1:26" s="26" customFormat="1" outlineLevel="1" collapsed="1" x14ac:dyDescent="0.25">
      <c r="A49" s="27"/>
      <c r="B49" s="13" t="str">
        <f>CONCATENATE("     ","Bad Debts/Over/Short                              ")</f>
        <v xml:space="preserve">     Bad Debts/Over/Short                              </v>
      </c>
      <c r="C49" s="13"/>
      <c r="D49" s="1">
        <f>SUM(OSRRefD22_3x_0)</f>
        <v>-12.17</v>
      </c>
      <c r="E49" s="1"/>
      <c r="F49" s="5">
        <f t="shared" si="28"/>
        <v>-2.9467554938708936E-4</v>
      </c>
      <c r="G49" s="1"/>
      <c r="H49" s="1">
        <f>SUM(OSRRefH22_3x_0)</f>
        <v>50</v>
      </c>
      <c r="I49" s="1"/>
      <c r="J49" s="5">
        <f t="shared" si="29"/>
        <v>1.25E-3</v>
      </c>
      <c r="K49" s="1"/>
      <c r="L49" s="1">
        <f t="shared" si="30"/>
        <v>-62.17</v>
      </c>
      <c r="M49" s="1"/>
      <c r="N49" s="5">
        <f t="shared" si="31"/>
        <v>-1.2434000000000001</v>
      </c>
      <c r="O49" s="13"/>
      <c r="P49" s="1">
        <f>SUM(OSRRefP22_3x_0)</f>
        <v>-7.86</v>
      </c>
      <c r="Q49" s="1"/>
      <c r="R49" s="5">
        <f t="shared" si="32"/>
        <v>-7.7975138430671966E-5</v>
      </c>
      <c r="S49" s="1"/>
      <c r="T49" s="1">
        <f>SUM(OSRRefT22_3x_0)</f>
        <v>150</v>
      </c>
      <c r="U49" s="1"/>
      <c r="V49" s="5">
        <f t="shared" si="33"/>
        <v>2.3076923076923079E-3</v>
      </c>
      <c r="W49" s="1"/>
      <c r="X49" s="1">
        <f t="shared" si="34"/>
        <v>-157.86000000000001</v>
      </c>
      <c r="Y49" s="1"/>
      <c r="Z49" s="5">
        <f t="shared" si="35"/>
        <v>-1.0524</v>
      </c>
    </row>
    <row r="50" spans="1:26" s="24" customFormat="1" hidden="1" outlineLevel="2" x14ac:dyDescent="0.25">
      <c r="A50" s="25"/>
      <c r="B50" s="11" t="str">
        <f>CONCATENATE("          ", "6272", " - ", "CASH (OVER/SHORT)")</f>
        <v xml:space="preserve">          6272 - CASH (OVER/SHORT)</v>
      </c>
      <c r="C50" s="11"/>
      <c r="D50" s="7">
        <v>-12.17</v>
      </c>
      <c r="E50" s="2"/>
      <c r="F50" s="6">
        <f t="shared" si="28"/>
        <v>-2.9467554938708936E-4</v>
      </c>
      <c r="G50" s="2"/>
      <c r="H50" s="7">
        <v>50</v>
      </c>
      <c r="I50" s="2"/>
      <c r="J50" s="6">
        <f t="shared" si="29"/>
        <v>1.25E-3</v>
      </c>
      <c r="K50" s="2"/>
      <c r="L50" s="7">
        <f t="shared" si="30"/>
        <v>-62.17</v>
      </c>
      <c r="M50" s="2"/>
      <c r="N50" s="6">
        <f t="shared" si="31"/>
        <v>-1.2434000000000001</v>
      </c>
      <c r="O50" s="11"/>
      <c r="P50" s="7">
        <v>-7.86</v>
      </c>
      <c r="Q50" s="2"/>
      <c r="R50" s="6">
        <f t="shared" si="32"/>
        <v>-7.7975138430671966E-5</v>
      </c>
      <c r="S50" s="2"/>
      <c r="T50" s="7">
        <v>150</v>
      </c>
      <c r="U50" s="2"/>
      <c r="V50" s="6">
        <f t="shared" si="33"/>
        <v>2.3076923076923079E-3</v>
      </c>
      <c r="W50" s="2"/>
      <c r="X50" s="7">
        <f t="shared" si="34"/>
        <v>-157.86000000000001</v>
      </c>
      <c r="Y50" s="2"/>
      <c r="Z50" s="6">
        <f t="shared" si="35"/>
        <v>-1.0524</v>
      </c>
    </row>
    <row r="51" spans="1:26" s="26" customFormat="1" outlineLevel="1" collapsed="1" x14ac:dyDescent="0.25">
      <c r="A51" s="27"/>
      <c r="B51" s="13" t="str">
        <f>CONCATENATE("     ","Bank/card Fees                                    ")</f>
        <v xml:space="preserve">     Bank/card Fees                                    </v>
      </c>
      <c r="C51" s="13"/>
      <c r="D51" s="1">
        <f>SUM(OSRRefD22_4x_0)</f>
        <v>913.41</v>
      </c>
      <c r="E51" s="1"/>
      <c r="F51" s="5">
        <f t="shared" si="28"/>
        <v>2.2116646965132398E-2</v>
      </c>
      <c r="G51" s="1"/>
      <c r="H51" s="1">
        <f>SUM(OSRRefH22_4x_0)</f>
        <v>400</v>
      </c>
      <c r="I51" s="1"/>
      <c r="J51" s="5">
        <f t="shared" si="29"/>
        <v>0.01</v>
      </c>
      <c r="K51" s="1"/>
      <c r="L51" s="1">
        <f t="shared" si="30"/>
        <v>513.41</v>
      </c>
      <c r="M51" s="1"/>
      <c r="N51" s="5">
        <f t="shared" si="31"/>
        <v>1.283525</v>
      </c>
      <c r="O51" s="13"/>
      <c r="P51" s="1">
        <f>SUM(OSRRefP22_4x_0)</f>
        <v>2342.81</v>
      </c>
      <c r="Q51" s="1"/>
      <c r="R51" s="5">
        <f t="shared" si="32"/>
        <v>2.3241849117908726E-2</v>
      </c>
      <c r="S51" s="1"/>
      <c r="T51" s="1">
        <f>SUM(OSRRefT22_4x_0)</f>
        <v>800</v>
      </c>
      <c r="U51" s="1"/>
      <c r="V51" s="5">
        <f t="shared" si="33"/>
        <v>1.2307692307692308E-2</v>
      </c>
      <c r="W51" s="1"/>
      <c r="X51" s="1">
        <f t="shared" si="34"/>
        <v>1542.81</v>
      </c>
      <c r="Y51" s="1"/>
      <c r="Z51" s="5">
        <f t="shared" si="35"/>
        <v>1.9285124999999999</v>
      </c>
    </row>
    <row r="52" spans="1:26" s="24" customFormat="1" hidden="1" outlineLevel="2" x14ac:dyDescent="0.25">
      <c r="A52" s="25"/>
      <c r="B52" s="11" t="str">
        <f>CONCATENATE("          ", "6381", " - ", "BANK/CREDIT CARD FEES")</f>
        <v xml:space="preserve">          6381 - BANK/CREDIT CARD FEES</v>
      </c>
      <c r="C52" s="11"/>
      <c r="D52" s="7">
        <v>913.41</v>
      </c>
      <c r="E52" s="2"/>
      <c r="F52" s="6">
        <f t="shared" si="28"/>
        <v>2.2116646965132398E-2</v>
      </c>
      <c r="G52" s="2"/>
      <c r="H52" s="7">
        <v>400</v>
      </c>
      <c r="I52" s="2"/>
      <c r="J52" s="6">
        <f t="shared" si="29"/>
        <v>0.01</v>
      </c>
      <c r="K52" s="2"/>
      <c r="L52" s="7">
        <f t="shared" si="30"/>
        <v>513.41</v>
      </c>
      <c r="M52" s="2"/>
      <c r="N52" s="6">
        <f t="shared" si="31"/>
        <v>1.283525</v>
      </c>
      <c r="O52" s="11"/>
      <c r="P52" s="7">
        <v>2342.81</v>
      </c>
      <c r="Q52" s="2"/>
      <c r="R52" s="6">
        <f t="shared" si="32"/>
        <v>2.3241849117908726E-2</v>
      </c>
      <c r="S52" s="2"/>
      <c r="T52" s="7">
        <v>800</v>
      </c>
      <c r="U52" s="2"/>
      <c r="V52" s="6">
        <f t="shared" si="33"/>
        <v>1.2307692307692308E-2</v>
      </c>
      <c r="W52" s="2"/>
      <c r="X52" s="7">
        <f t="shared" si="34"/>
        <v>1542.81</v>
      </c>
      <c r="Y52" s="2"/>
      <c r="Z52" s="6">
        <f t="shared" si="35"/>
        <v>1.9285124999999999</v>
      </c>
    </row>
    <row r="53" spans="1:26" s="26" customFormat="1" outlineLevel="1" collapsed="1" x14ac:dyDescent="0.25">
      <c r="A53" s="27"/>
      <c r="B53" s="13" t="str">
        <f>CONCATENATE("     ","Depreciation                                      ")</f>
        <v xml:space="preserve">     Depreciation                                      </v>
      </c>
      <c r="C53" s="13"/>
      <c r="D53" s="1">
        <f>SUM(OSRRefD22_5x_0)</f>
        <v>255.35</v>
      </c>
      <c r="E53" s="1"/>
      <c r="F53" s="5">
        <f t="shared" si="28"/>
        <v>6.1828596167619772E-3</v>
      </c>
      <c r="G53" s="1"/>
      <c r="H53" s="1">
        <f>SUM(OSRRefH22_5x_0)</f>
        <v>269</v>
      </c>
      <c r="I53" s="1"/>
      <c r="J53" s="5">
        <f t="shared" si="29"/>
        <v>6.7250000000000001E-3</v>
      </c>
      <c r="K53" s="1"/>
      <c r="L53" s="1">
        <f t="shared" si="30"/>
        <v>-13.650000000000006</v>
      </c>
      <c r="M53" s="1"/>
      <c r="N53" s="5">
        <f t="shared" si="31"/>
        <v>-5.0743494423791842E-2</v>
      </c>
      <c r="O53" s="13"/>
      <c r="P53" s="1">
        <f>SUM(OSRRefP22_5x_0)</f>
        <v>766.05</v>
      </c>
      <c r="Q53" s="1"/>
      <c r="R53" s="5">
        <f t="shared" si="32"/>
        <v>7.5995998466687345E-3</v>
      </c>
      <c r="S53" s="1"/>
      <c r="T53" s="1">
        <f>SUM(OSRRefT22_5x_0)</f>
        <v>807</v>
      </c>
      <c r="U53" s="1"/>
      <c r="V53" s="5">
        <f t="shared" si="33"/>
        <v>1.2415384615384615E-2</v>
      </c>
      <c r="W53" s="1"/>
      <c r="X53" s="1">
        <f t="shared" si="34"/>
        <v>-40.950000000000045</v>
      </c>
      <c r="Y53" s="1"/>
      <c r="Z53" s="5">
        <f t="shared" si="35"/>
        <v>-5.0743494423791877E-2</v>
      </c>
    </row>
    <row r="54" spans="1:26" s="24" customFormat="1" hidden="1" outlineLevel="2" x14ac:dyDescent="0.25">
      <c r="A54" s="25"/>
      <c r="B54" s="11" t="str">
        <f>CONCATENATE("          ", "6322", " - ", "EQUIPMENT DEPRECIATION EXPENSE")</f>
        <v xml:space="preserve">          6322 - EQUIPMENT DEPRECIATION EXPENSE</v>
      </c>
      <c r="C54" s="11"/>
      <c r="D54" s="7">
        <v>255.35</v>
      </c>
      <c r="E54" s="2"/>
      <c r="F54" s="6">
        <f t="shared" si="28"/>
        <v>6.1828596167619772E-3</v>
      </c>
      <c r="G54" s="2"/>
      <c r="H54" s="7">
        <v>269</v>
      </c>
      <c r="I54" s="2"/>
      <c r="J54" s="6">
        <f t="shared" si="29"/>
        <v>6.7250000000000001E-3</v>
      </c>
      <c r="K54" s="2"/>
      <c r="L54" s="7">
        <f t="shared" si="30"/>
        <v>-13.650000000000006</v>
      </c>
      <c r="M54" s="2"/>
      <c r="N54" s="6">
        <f t="shared" si="31"/>
        <v>-5.0743494423791842E-2</v>
      </c>
      <c r="O54" s="11"/>
      <c r="P54" s="7">
        <v>766.05</v>
      </c>
      <c r="Q54" s="2"/>
      <c r="R54" s="6">
        <f t="shared" si="32"/>
        <v>7.5995998466687345E-3</v>
      </c>
      <c r="S54" s="2"/>
      <c r="T54" s="7">
        <v>807</v>
      </c>
      <c r="U54" s="2"/>
      <c r="V54" s="6">
        <f t="shared" si="33"/>
        <v>1.2415384615384615E-2</v>
      </c>
      <c r="W54" s="2"/>
      <c r="X54" s="7">
        <f t="shared" si="34"/>
        <v>-40.950000000000045</v>
      </c>
      <c r="Y54" s="2"/>
      <c r="Z54" s="6">
        <f t="shared" si="35"/>
        <v>-5.0743494423791877E-2</v>
      </c>
    </row>
    <row r="55" spans="1:26" s="26" customFormat="1" outlineLevel="1" collapsed="1" x14ac:dyDescent="0.25">
      <c r="A55" s="27"/>
      <c r="B55" s="13" t="str">
        <f>CONCATENATE("     ","Employees' Appreciation                           ")</f>
        <v xml:space="preserve">     Employees' Appreciation                           </v>
      </c>
      <c r="C55" s="13"/>
      <c r="D55" s="1">
        <f>SUM(OSRRefD22_6x_0)</f>
        <v>0</v>
      </c>
      <c r="E55" s="1"/>
      <c r="F55" s="5">
        <f t="shared" si="28"/>
        <v>0</v>
      </c>
      <c r="G55" s="1"/>
      <c r="H55" s="1">
        <f>SUM(OSRRefH22_6x_0)</f>
        <v>0</v>
      </c>
      <c r="I55" s="1"/>
      <c r="J55" s="5">
        <f t="shared" si="29"/>
        <v>0</v>
      </c>
      <c r="K55" s="1"/>
      <c r="L55" s="1">
        <f t="shared" si="30"/>
        <v>0</v>
      </c>
      <c r="M55" s="1"/>
      <c r="N55" s="5">
        <f t="shared" si="31"/>
        <v>0</v>
      </c>
      <c r="O55" s="13"/>
      <c r="P55" s="1">
        <f>SUM(OSRRefP22_6x_0)</f>
        <v>88.6</v>
      </c>
      <c r="Q55" s="1"/>
      <c r="R55" s="5">
        <f t="shared" si="32"/>
        <v>8.7895639503276536E-4</v>
      </c>
      <c r="S55" s="1"/>
      <c r="T55" s="1">
        <f>SUM(OSRRefT22_6x_0)</f>
        <v>0</v>
      </c>
      <c r="U55" s="1"/>
      <c r="V55" s="5">
        <f t="shared" si="33"/>
        <v>0</v>
      </c>
      <c r="W55" s="1"/>
      <c r="X55" s="1">
        <f t="shared" si="34"/>
        <v>88.6</v>
      </c>
      <c r="Y55" s="1"/>
      <c r="Z55" s="5">
        <f t="shared" si="35"/>
        <v>0</v>
      </c>
    </row>
    <row r="56" spans="1:26" s="24" customFormat="1" hidden="1" outlineLevel="2" x14ac:dyDescent="0.25">
      <c r="A56" s="25"/>
      <c r="B56" s="11" t="str">
        <f>CONCATENATE("          ", "6277", " - ", "EMPLOYEE APPRECIATION")</f>
        <v xml:space="preserve">          6277 - EMPLOYEE APPRECIATION</v>
      </c>
      <c r="C56" s="11"/>
      <c r="D56" s="7"/>
      <c r="E56" s="2"/>
      <c r="F56" s="6">
        <f t="shared" si="28"/>
        <v>0</v>
      </c>
      <c r="G56" s="2"/>
      <c r="H56" s="7"/>
      <c r="I56" s="2"/>
      <c r="J56" s="6">
        <f t="shared" si="29"/>
        <v>0</v>
      </c>
      <c r="K56" s="2"/>
      <c r="L56" s="7">
        <f t="shared" si="30"/>
        <v>0</v>
      </c>
      <c r="M56" s="2"/>
      <c r="N56" s="6">
        <f t="shared" si="31"/>
        <v>0</v>
      </c>
      <c r="O56" s="11"/>
      <c r="P56" s="7">
        <v>88.6</v>
      </c>
      <c r="Q56" s="2"/>
      <c r="R56" s="6">
        <f t="shared" si="32"/>
        <v>8.7895639503276536E-4</v>
      </c>
      <c r="S56" s="2"/>
      <c r="T56" s="7"/>
      <c r="U56" s="2"/>
      <c r="V56" s="6">
        <f t="shared" si="33"/>
        <v>0</v>
      </c>
      <c r="W56" s="2"/>
      <c r="X56" s="7">
        <f t="shared" si="34"/>
        <v>88.6</v>
      </c>
      <c r="Y56" s="2"/>
      <c r="Z56" s="6">
        <f t="shared" si="35"/>
        <v>0</v>
      </c>
    </row>
    <row r="57" spans="1:26" s="26" customFormat="1" outlineLevel="1" collapsed="1" x14ac:dyDescent="0.25">
      <c r="A57" s="27"/>
      <c r="B57" s="13" t="str">
        <f>CONCATENATE("     ","Equipment Rental                                  ")</f>
        <v xml:space="preserve">     Equipment Rental                                  </v>
      </c>
      <c r="C57" s="13"/>
      <c r="D57" s="1">
        <f>SUM(OSRRefD22_7x_0)</f>
        <v>0</v>
      </c>
      <c r="E57" s="1"/>
      <c r="F57" s="5">
        <f t="shared" si="28"/>
        <v>0</v>
      </c>
      <c r="G57" s="1"/>
      <c r="H57" s="1">
        <f>SUM(OSRRefH22_7x_0)</f>
        <v>0</v>
      </c>
      <c r="I57" s="1"/>
      <c r="J57" s="5">
        <f t="shared" si="29"/>
        <v>0</v>
      </c>
      <c r="K57" s="1"/>
      <c r="L57" s="1">
        <f t="shared" si="30"/>
        <v>0</v>
      </c>
      <c r="M57" s="1"/>
      <c r="N57" s="5">
        <f t="shared" si="31"/>
        <v>0</v>
      </c>
      <c r="O57" s="13"/>
      <c r="P57" s="1">
        <f>SUM(OSRRefP22_7x_0)</f>
        <v>350</v>
      </c>
      <c r="Q57" s="1"/>
      <c r="R57" s="5">
        <f t="shared" si="32"/>
        <v>3.4721753754116016E-3</v>
      </c>
      <c r="S57" s="1"/>
      <c r="T57" s="1">
        <f>SUM(OSRRefT22_7x_0)</f>
        <v>0</v>
      </c>
      <c r="U57" s="1"/>
      <c r="V57" s="5">
        <f t="shared" si="33"/>
        <v>0</v>
      </c>
      <c r="W57" s="1"/>
      <c r="X57" s="1">
        <f t="shared" si="34"/>
        <v>350</v>
      </c>
      <c r="Y57" s="1"/>
      <c r="Z57" s="5">
        <f t="shared" si="35"/>
        <v>0</v>
      </c>
    </row>
    <row r="58" spans="1:26" s="24" customFormat="1" hidden="1" outlineLevel="2" x14ac:dyDescent="0.25">
      <c r="A58" s="25"/>
      <c r="B58" s="11" t="str">
        <f>CONCATENATE("          ", "6351", " - ", "EQUIPMENT RENTAL")</f>
        <v xml:space="preserve">          6351 - EQUIPMENT RENTAL</v>
      </c>
      <c r="C58" s="11"/>
      <c r="D58" s="7"/>
      <c r="E58" s="2"/>
      <c r="F58" s="6">
        <f t="shared" si="28"/>
        <v>0</v>
      </c>
      <c r="G58" s="2"/>
      <c r="H58" s="7"/>
      <c r="I58" s="2"/>
      <c r="J58" s="6">
        <f t="shared" si="29"/>
        <v>0</v>
      </c>
      <c r="K58" s="2"/>
      <c r="L58" s="7">
        <f t="shared" si="30"/>
        <v>0</v>
      </c>
      <c r="M58" s="2"/>
      <c r="N58" s="6">
        <f t="shared" si="31"/>
        <v>0</v>
      </c>
      <c r="O58" s="11"/>
      <c r="P58" s="7">
        <v>350</v>
      </c>
      <c r="Q58" s="2"/>
      <c r="R58" s="6">
        <f t="shared" si="32"/>
        <v>3.4721753754116016E-3</v>
      </c>
      <c r="S58" s="2"/>
      <c r="T58" s="7"/>
      <c r="U58" s="2"/>
      <c r="V58" s="6">
        <f t="shared" si="33"/>
        <v>0</v>
      </c>
      <c r="W58" s="2"/>
      <c r="X58" s="7">
        <f t="shared" si="34"/>
        <v>350</v>
      </c>
      <c r="Y58" s="2"/>
      <c r="Z58" s="6">
        <f t="shared" si="35"/>
        <v>0</v>
      </c>
    </row>
    <row r="59" spans="1:26" s="26" customFormat="1" outlineLevel="1" collapsed="1" x14ac:dyDescent="0.25">
      <c r="A59" s="27"/>
      <c r="B59" s="13" t="str">
        <f>CONCATENATE("     ","General                                           ")</f>
        <v xml:space="preserve">     General                                           </v>
      </c>
      <c r="C59" s="13"/>
      <c r="D59" s="1">
        <f>SUM(OSRRefD22_8x_0)</f>
        <v>2850</v>
      </c>
      <c r="E59" s="1"/>
      <c r="F59" s="5">
        <f t="shared" si="28"/>
        <v>6.9007832025735794E-2</v>
      </c>
      <c r="G59" s="1"/>
      <c r="H59" s="1">
        <f>SUM(OSRRefH22_8x_0)</f>
        <v>50</v>
      </c>
      <c r="I59" s="1"/>
      <c r="J59" s="5">
        <f t="shared" si="29"/>
        <v>1.25E-3</v>
      </c>
      <c r="K59" s="1"/>
      <c r="L59" s="1">
        <f t="shared" si="30"/>
        <v>2800</v>
      </c>
      <c r="M59" s="1"/>
      <c r="N59" s="5">
        <f t="shared" si="31"/>
        <v>56</v>
      </c>
      <c r="O59" s="13"/>
      <c r="P59" s="1">
        <f>SUM(OSRRefP22_8x_0)</f>
        <v>8248.49</v>
      </c>
      <c r="Q59" s="1"/>
      <c r="R59" s="5">
        <f t="shared" si="32"/>
        <v>8.1829153892368112E-2</v>
      </c>
      <c r="S59" s="1"/>
      <c r="T59" s="1">
        <f>SUM(OSRRefT22_8x_0)</f>
        <v>1250</v>
      </c>
      <c r="U59" s="1"/>
      <c r="V59" s="5">
        <f t="shared" si="33"/>
        <v>1.9230769230769232E-2</v>
      </c>
      <c r="W59" s="1"/>
      <c r="X59" s="1">
        <f t="shared" si="34"/>
        <v>6998.49</v>
      </c>
      <c r="Y59" s="1"/>
      <c r="Z59" s="5">
        <f t="shared" si="35"/>
        <v>5.5987919999999995</v>
      </c>
    </row>
    <row r="60" spans="1:26" s="24" customFormat="1" hidden="1" outlineLevel="2" x14ac:dyDescent="0.25">
      <c r="A60" s="25"/>
      <c r="B60" s="11" t="str">
        <f>CONCATENATE("          ", "6279", " - ", "GENERAL EXPENSE")</f>
        <v xml:space="preserve">          6279 - GENERAL EXPENSE</v>
      </c>
      <c r="C60" s="11"/>
      <c r="D60" s="7">
        <v>2850</v>
      </c>
      <c r="E60" s="2"/>
      <c r="F60" s="6">
        <f t="shared" si="28"/>
        <v>6.9007832025735794E-2</v>
      </c>
      <c r="G60" s="2"/>
      <c r="H60" s="7">
        <v>50</v>
      </c>
      <c r="I60" s="2"/>
      <c r="J60" s="6">
        <f t="shared" si="29"/>
        <v>1.25E-3</v>
      </c>
      <c r="K60" s="2"/>
      <c r="L60" s="7">
        <f t="shared" si="30"/>
        <v>2800</v>
      </c>
      <c r="M60" s="2"/>
      <c r="N60" s="6">
        <f t="shared" si="31"/>
        <v>56</v>
      </c>
      <c r="O60" s="11"/>
      <c r="P60" s="7">
        <v>8248.49</v>
      </c>
      <c r="Q60" s="2"/>
      <c r="R60" s="6">
        <f t="shared" si="32"/>
        <v>8.1829153892368112E-2</v>
      </c>
      <c r="S60" s="2"/>
      <c r="T60" s="7">
        <v>1250</v>
      </c>
      <c r="U60" s="2"/>
      <c r="V60" s="6">
        <f t="shared" si="33"/>
        <v>1.9230769230769232E-2</v>
      </c>
      <c r="W60" s="2"/>
      <c r="X60" s="7">
        <f t="shared" si="34"/>
        <v>6998.49</v>
      </c>
      <c r="Y60" s="2"/>
      <c r="Z60" s="6">
        <f t="shared" si="35"/>
        <v>5.5987919999999995</v>
      </c>
    </row>
    <row r="61" spans="1:26" s="26" customFormat="1" outlineLevel="1" collapsed="1" x14ac:dyDescent="0.25">
      <c r="A61" s="27"/>
      <c r="B61" s="13" t="str">
        <f>CONCATENATE("     ","Repair and Maintenance                            ")</f>
        <v xml:space="preserve">     Repair and Maintenance                            </v>
      </c>
      <c r="C61" s="13"/>
      <c r="D61" s="1">
        <f>SUM(OSRRefD22_9x_0)</f>
        <v>2683.38</v>
      </c>
      <c r="E61" s="1"/>
      <c r="F61" s="5">
        <f t="shared" si="28"/>
        <v>6.4973416246041735E-2</v>
      </c>
      <c r="G61" s="1"/>
      <c r="H61" s="1">
        <f>SUM(OSRRefH22_9x_0)</f>
        <v>1625</v>
      </c>
      <c r="I61" s="1"/>
      <c r="J61" s="5">
        <f t="shared" si="29"/>
        <v>4.0625000000000001E-2</v>
      </c>
      <c r="K61" s="1"/>
      <c r="L61" s="1">
        <f t="shared" si="30"/>
        <v>1058.3800000000001</v>
      </c>
      <c r="M61" s="1"/>
      <c r="N61" s="5">
        <f t="shared" si="31"/>
        <v>0.65131076923076925</v>
      </c>
      <c r="O61" s="13"/>
      <c r="P61" s="1">
        <f>SUM(OSRRefP22_9x_0)</f>
        <v>3522.33</v>
      </c>
      <c r="Q61" s="1"/>
      <c r="R61" s="5">
        <f t="shared" si="32"/>
        <v>3.4943278543067273E-2</v>
      </c>
      <c r="S61" s="1"/>
      <c r="T61" s="1">
        <f>SUM(OSRRefT22_9x_0)</f>
        <v>2825</v>
      </c>
      <c r="U61" s="1"/>
      <c r="V61" s="5">
        <f t="shared" si="33"/>
        <v>4.3461538461538461E-2</v>
      </c>
      <c r="W61" s="1"/>
      <c r="X61" s="1">
        <f t="shared" si="34"/>
        <v>697.32999999999993</v>
      </c>
      <c r="Y61" s="1"/>
      <c r="Z61" s="5">
        <f t="shared" si="35"/>
        <v>0.24684247787610616</v>
      </c>
    </row>
    <row r="62" spans="1:26" s="24" customFormat="1" hidden="1" outlineLevel="2" x14ac:dyDescent="0.25">
      <c r="A62" s="25"/>
      <c r="B62" s="11" t="str">
        <f>CONCATENATE("          ", "6371", " - ", "COMPUTER SOFTWARE MAINTENANCE")</f>
        <v xml:space="preserve">          6371 - COMPUTER SOFTWARE MAINTENANCE</v>
      </c>
      <c r="C62" s="11"/>
      <c r="D62" s="7">
        <v>2623.84</v>
      </c>
      <c r="E62" s="2"/>
      <c r="F62" s="6">
        <f t="shared" si="28"/>
        <v>6.3531757888563731E-2</v>
      </c>
      <c r="G62" s="2"/>
      <c r="H62" s="7"/>
      <c r="I62" s="2"/>
      <c r="J62" s="6">
        <f t="shared" si="29"/>
        <v>0</v>
      </c>
      <c r="K62" s="2"/>
      <c r="L62" s="7">
        <f t="shared" si="30"/>
        <v>2623.84</v>
      </c>
      <c r="M62" s="2"/>
      <c r="N62" s="6">
        <f t="shared" si="31"/>
        <v>0</v>
      </c>
      <c r="O62" s="11"/>
      <c r="P62" s="7">
        <v>2623.84</v>
      </c>
      <c r="Q62" s="2"/>
      <c r="R62" s="6">
        <f t="shared" si="32"/>
        <v>2.6029807534342791E-2</v>
      </c>
      <c r="S62" s="2"/>
      <c r="T62" s="7"/>
      <c r="U62" s="2"/>
      <c r="V62" s="6">
        <f t="shared" si="33"/>
        <v>0</v>
      </c>
      <c r="W62" s="2"/>
      <c r="X62" s="7">
        <f t="shared" si="34"/>
        <v>2623.84</v>
      </c>
      <c r="Y62" s="2"/>
      <c r="Z62" s="6">
        <f t="shared" si="35"/>
        <v>0</v>
      </c>
    </row>
    <row r="63" spans="1:26" s="24" customFormat="1" hidden="1" outlineLevel="2" x14ac:dyDescent="0.25">
      <c r="A63" s="25"/>
      <c r="B63" s="11" t="str">
        <f>CONCATENATE("          ", "6373", " - ", "MAINTENANCE CONTRACTS")</f>
        <v xml:space="preserve">          6373 - MAINTENANCE CONTRACTS</v>
      </c>
      <c r="C63" s="11"/>
      <c r="D63" s="7"/>
      <c r="E63" s="2"/>
      <c r="F63" s="6">
        <f t="shared" si="28"/>
        <v>0</v>
      </c>
      <c r="G63" s="2"/>
      <c r="H63" s="7">
        <v>125</v>
      </c>
      <c r="I63" s="2"/>
      <c r="J63" s="6">
        <f t="shared" si="29"/>
        <v>3.1250000000000002E-3</v>
      </c>
      <c r="K63" s="2"/>
      <c r="L63" s="7">
        <f t="shared" si="30"/>
        <v>-125</v>
      </c>
      <c r="M63" s="2"/>
      <c r="N63" s="6">
        <f t="shared" si="31"/>
        <v>-1</v>
      </c>
      <c r="O63" s="11"/>
      <c r="P63" s="7"/>
      <c r="Q63" s="2"/>
      <c r="R63" s="6">
        <f t="shared" si="32"/>
        <v>0</v>
      </c>
      <c r="S63" s="2"/>
      <c r="T63" s="7">
        <v>125</v>
      </c>
      <c r="U63" s="2"/>
      <c r="V63" s="6">
        <f t="shared" si="33"/>
        <v>1.9230769230769232E-3</v>
      </c>
      <c r="W63" s="2"/>
      <c r="X63" s="7">
        <f t="shared" si="34"/>
        <v>-125</v>
      </c>
      <c r="Y63" s="2"/>
      <c r="Z63" s="6">
        <f t="shared" si="35"/>
        <v>-1</v>
      </c>
    </row>
    <row r="64" spans="1:26" s="24" customFormat="1" hidden="1" outlineLevel="2" x14ac:dyDescent="0.25">
      <c r="A64" s="25"/>
      <c r="B64" s="11" t="str">
        <f>CONCATENATE("          ", "6375", " - ", "OUTSIDE REPAIRS &amp; MAINTENANCE")</f>
        <v xml:space="preserve">          6375 - OUTSIDE REPAIRS &amp; MAINTENANCE</v>
      </c>
      <c r="C64" s="11"/>
      <c r="D64" s="7">
        <v>59.54</v>
      </c>
      <c r="E64" s="2"/>
      <c r="F64" s="6">
        <f t="shared" si="28"/>
        <v>1.4416583574780033E-3</v>
      </c>
      <c r="G64" s="2"/>
      <c r="H64" s="7">
        <v>1500</v>
      </c>
      <c r="I64" s="2"/>
      <c r="J64" s="6">
        <f t="shared" si="29"/>
        <v>3.7499999999999999E-2</v>
      </c>
      <c r="K64" s="2"/>
      <c r="L64" s="7">
        <f t="shared" si="30"/>
        <v>-1440.46</v>
      </c>
      <c r="M64" s="2"/>
      <c r="N64" s="6">
        <f t="shared" si="31"/>
        <v>-0.96030666666666664</v>
      </c>
      <c r="O64" s="11"/>
      <c r="P64" s="7">
        <v>898.49</v>
      </c>
      <c r="Q64" s="2"/>
      <c r="R64" s="6">
        <f t="shared" si="32"/>
        <v>8.9134710087244856E-3</v>
      </c>
      <c r="S64" s="2"/>
      <c r="T64" s="7">
        <v>2700</v>
      </c>
      <c r="U64" s="2"/>
      <c r="V64" s="6">
        <f t="shared" si="33"/>
        <v>4.1538461538461538E-2</v>
      </c>
      <c r="W64" s="2"/>
      <c r="X64" s="7">
        <f t="shared" si="34"/>
        <v>-1801.51</v>
      </c>
      <c r="Y64" s="2"/>
      <c r="Z64" s="6">
        <f t="shared" si="35"/>
        <v>-0.66722592592592589</v>
      </c>
    </row>
    <row r="65" spans="1:26" s="26" customFormat="1" outlineLevel="1" collapsed="1" x14ac:dyDescent="0.25">
      <c r="A65" s="27"/>
      <c r="B65" s="13" t="str">
        <f>CONCATENATE("     ","Royalty &amp; Commissions                             ")</f>
        <v xml:space="preserve">     Royalty &amp; Commissions                             </v>
      </c>
      <c r="C65" s="13"/>
      <c r="D65" s="1">
        <f>SUM(OSRRefD22_10x_0)</f>
        <v>8359.1200000000008</v>
      </c>
      <c r="E65" s="1"/>
      <c r="F65" s="5">
        <f t="shared" ref="F65:F67" si="36">IF(D$12=0,0,D65/D$12)</f>
        <v>0.20240166626069075</v>
      </c>
      <c r="G65" s="1"/>
      <c r="H65" s="1">
        <f>SUM(OSRRefH22_10x_0)</f>
        <v>3000</v>
      </c>
      <c r="I65" s="1"/>
      <c r="J65" s="5">
        <f t="shared" ref="J65:J67" si="37">IF(H$12=0,0,H65/H$12)</f>
        <v>7.4999999999999997E-2</v>
      </c>
      <c r="K65" s="1"/>
      <c r="L65" s="1">
        <f t="shared" ref="L65:L67" si="38">+D65-H65</f>
        <v>5359.1200000000008</v>
      </c>
      <c r="M65" s="1"/>
      <c r="N65" s="5">
        <f t="shared" ref="N65:N67" si="39">IF(H65=0,0,L65/H65)</f>
        <v>1.7863733333333336</v>
      </c>
      <c r="O65" s="13"/>
      <c r="P65" s="1">
        <f>SUM(OSRRefP22_10x_0)</f>
        <v>21736.2</v>
      </c>
      <c r="Q65" s="1"/>
      <c r="R65" s="5">
        <f t="shared" ref="R65:R67" si="40">IF(P$12=0,0,P65/P$12)</f>
        <v>0.21563399541434758</v>
      </c>
      <c r="S65" s="1"/>
      <c r="T65" s="1">
        <f>SUM(OSRRefT22_10x_0)</f>
        <v>5000</v>
      </c>
      <c r="U65" s="1"/>
      <c r="V65" s="5">
        <f t="shared" ref="V65:V67" si="41">IF(T$12=0,0,T65/T$12)</f>
        <v>7.6923076923076927E-2</v>
      </c>
      <c r="W65" s="1"/>
      <c r="X65" s="1">
        <f t="shared" ref="X65:X67" si="42">+P65-T65</f>
        <v>16736.2</v>
      </c>
      <c r="Y65" s="1"/>
      <c r="Z65" s="5">
        <f t="shared" ref="Z65:Z67" si="43">IF(T65=0,0,X65/T65)</f>
        <v>3.3472400000000002</v>
      </c>
    </row>
    <row r="66" spans="1:26" s="24" customFormat="1" hidden="1" outlineLevel="2" x14ac:dyDescent="0.25">
      <c r="A66" s="25"/>
      <c r="B66" s="11" t="str">
        <f>CONCATENATE("          ", "6253", " - ", "ROYALTY DUE ATHLETICS-LRG")</f>
        <v xml:space="preserve">          6253 - ROYALTY DUE ATHLETICS-LRG</v>
      </c>
      <c r="C66" s="11"/>
      <c r="D66" s="7"/>
      <c r="E66" s="2"/>
      <c r="F66" s="6">
        <f t="shared" si="36"/>
        <v>0</v>
      </c>
      <c r="G66" s="2"/>
      <c r="H66" s="7">
        <v>3000</v>
      </c>
      <c r="I66" s="2"/>
      <c r="J66" s="6">
        <f t="shared" si="37"/>
        <v>7.4999999999999997E-2</v>
      </c>
      <c r="K66" s="2"/>
      <c r="L66" s="7">
        <f t="shared" si="38"/>
        <v>-3000</v>
      </c>
      <c r="M66" s="2"/>
      <c r="N66" s="6">
        <f t="shared" si="39"/>
        <v>-1</v>
      </c>
      <c r="O66" s="11"/>
      <c r="P66" s="7"/>
      <c r="Q66" s="2"/>
      <c r="R66" s="6">
        <f t="shared" si="40"/>
        <v>0</v>
      </c>
      <c r="S66" s="2"/>
      <c r="T66" s="7">
        <v>5000</v>
      </c>
      <c r="U66" s="2"/>
      <c r="V66" s="6">
        <f t="shared" si="41"/>
        <v>7.6923076923076927E-2</v>
      </c>
      <c r="W66" s="2"/>
      <c r="X66" s="7">
        <f t="shared" si="42"/>
        <v>-5000</v>
      </c>
      <c r="Y66" s="2"/>
      <c r="Z66" s="6">
        <f t="shared" si="43"/>
        <v>-1</v>
      </c>
    </row>
    <row r="67" spans="1:26" s="24" customFormat="1" hidden="1" outlineLevel="2" x14ac:dyDescent="0.25">
      <c r="A67" s="25"/>
      <c r="B67" s="11" t="str">
        <f>CONCATENATE("          ", "6254", " - ", "ROYALTY &amp; COMMISSIONS")</f>
        <v xml:space="preserve">          6254 - ROYALTY &amp; COMMISSIONS</v>
      </c>
      <c r="C67" s="11"/>
      <c r="D67" s="7">
        <v>8359.1200000000008</v>
      </c>
      <c r="E67" s="2"/>
      <c r="F67" s="6">
        <f t="shared" si="36"/>
        <v>0.20240166626069075</v>
      </c>
      <c r="G67" s="2"/>
      <c r="H67" s="7"/>
      <c r="I67" s="2"/>
      <c r="J67" s="6">
        <f t="shared" si="37"/>
        <v>0</v>
      </c>
      <c r="K67" s="2"/>
      <c r="L67" s="7">
        <f t="shared" si="38"/>
        <v>8359.1200000000008</v>
      </c>
      <c r="M67" s="2"/>
      <c r="N67" s="6">
        <f t="shared" si="39"/>
        <v>0</v>
      </c>
      <c r="O67" s="11"/>
      <c r="P67" s="7">
        <v>21736.2</v>
      </c>
      <c r="Q67" s="2"/>
      <c r="R67" s="6">
        <f t="shared" si="40"/>
        <v>0.21563399541434758</v>
      </c>
      <c r="S67" s="2"/>
      <c r="T67" s="7"/>
      <c r="U67" s="2"/>
      <c r="V67" s="6">
        <f t="shared" si="41"/>
        <v>0</v>
      </c>
      <c r="W67" s="2"/>
      <c r="X67" s="7">
        <f t="shared" si="42"/>
        <v>21736.2</v>
      </c>
      <c r="Y67" s="2"/>
      <c r="Z67" s="6">
        <f t="shared" si="43"/>
        <v>0</v>
      </c>
    </row>
    <row r="68" spans="1:26" s="26" customFormat="1" outlineLevel="1" collapsed="1" x14ac:dyDescent="0.25">
      <c r="A68" s="27"/>
      <c r="B68" s="13" t="str">
        <f>CONCATENATE("     ","Services                                          ")</f>
        <v xml:space="preserve">     Services                                          </v>
      </c>
      <c r="C68" s="13"/>
      <c r="D68" s="1">
        <f>SUM(OSRRefD22_11x_0)</f>
        <v>225.81</v>
      </c>
      <c r="E68" s="1"/>
      <c r="F68" s="5">
        <f t="shared" ref="F68:F70" si="44">IF(D$12=0,0,D68/D$12)</f>
        <v>5.4675994911338247E-3</v>
      </c>
      <c r="G68" s="1"/>
      <c r="H68" s="1">
        <f>SUM(OSRRefH22_11x_0)</f>
        <v>255</v>
      </c>
      <c r="I68" s="1"/>
      <c r="J68" s="5">
        <f t="shared" ref="J68:J70" si="45">IF(H$12=0,0,H68/H$12)</f>
        <v>6.3749999999999996E-3</v>
      </c>
      <c r="K68" s="1"/>
      <c r="L68" s="1">
        <f t="shared" ref="L68:L70" si="46">+D68-H68</f>
        <v>-29.189999999999998</v>
      </c>
      <c r="M68" s="1"/>
      <c r="N68" s="5">
        <f t="shared" ref="N68:N70" si="47">IF(H68=0,0,L68/H68)</f>
        <v>-0.11447058823529412</v>
      </c>
      <c r="O68" s="13"/>
      <c r="P68" s="1">
        <f>SUM(OSRRefP22_11x_0)</f>
        <v>734.29</v>
      </c>
      <c r="Q68" s="1"/>
      <c r="R68" s="5">
        <f t="shared" ref="R68:R70" si="48">IF(P$12=0,0,P68/P$12)</f>
        <v>7.284524732602814E-3</v>
      </c>
      <c r="S68" s="1"/>
      <c r="T68" s="1">
        <f>SUM(OSRRefT22_11x_0)</f>
        <v>500</v>
      </c>
      <c r="U68" s="1"/>
      <c r="V68" s="5">
        <f t="shared" ref="V68:V70" si="49">IF(T$12=0,0,T68/T$12)</f>
        <v>7.6923076923076927E-3</v>
      </c>
      <c r="W68" s="1"/>
      <c r="X68" s="1">
        <f t="shared" ref="X68:X70" si="50">+P68-T68</f>
        <v>234.28999999999996</v>
      </c>
      <c r="Y68" s="1"/>
      <c r="Z68" s="5">
        <f t="shared" ref="Z68:Z70" si="51">IF(T68=0,0,X68/T68)</f>
        <v>0.46857999999999994</v>
      </c>
    </row>
    <row r="69" spans="1:26" s="24" customFormat="1" hidden="1" outlineLevel="2" x14ac:dyDescent="0.25">
      <c r="A69" s="25"/>
      <c r="B69" s="11" t="str">
        <f>CONCATENATE("          ", "6282", " - ", "JANITORIAL/EXTERMINATOR EXPENS")</f>
        <v xml:space="preserve">          6282 - JANITORIAL/EXTERMINATOR EXPENS</v>
      </c>
      <c r="C69" s="11"/>
      <c r="D69" s="7">
        <v>225.81</v>
      </c>
      <c r="E69" s="2"/>
      <c r="F69" s="6">
        <f t="shared" si="44"/>
        <v>5.4675994911338247E-3</v>
      </c>
      <c r="G69" s="2"/>
      <c r="H69" s="7">
        <v>205</v>
      </c>
      <c r="I69" s="2"/>
      <c r="J69" s="6">
        <f t="shared" si="45"/>
        <v>5.1250000000000002E-3</v>
      </c>
      <c r="K69" s="2"/>
      <c r="L69" s="7">
        <f t="shared" si="46"/>
        <v>20.810000000000002</v>
      </c>
      <c r="M69" s="2"/>
      <c r="N69" s="6">
        <f t="shared" si="47"/>
        <v>0.10151219512195123</v>
      </c>
      <c r="O69" s="11"/>
      <c r="P69" s="7">
        <v>677.43</v>
      </c>
      <c r="Q69" s="2"/>
      <c r="R69" s="6">
        <f t="shared" si="48"/>
        <v>6.7204450416145176E-3</v>
      </c>
      <c r="S69" s="2"/>
      <c r="T69" s="7">
        <v>400</v>
      </c>
      <c r="U69" s="2"/>
      <c r="V69" s="6">
        <f t="shared" si="49"/>
        <v>6.1538461538461538E-3</v>
      </c>
      <c r="W69" s="2"/>
      <c r="X69" s="7">
        <f t="shared" si="50"/>
        <v>277.42999999999995</v>
      </c>
      <c r="Y69" s="2"/>
      <c r="Z69" s="6">
        <f t="shared" si="51"/>
        <v>0.69357499999999983</v>
      </c>
    </row>
    <row r="70" spans="1:26" s="24" customFormat="1" hidden="1" outlineLevel="2" x14ac:dyDescent="0.25">
      <c r="A70" s="25"/>
      <c r="B70" s="11" t="str">
        <f>CONCATENATE("          ", "6286", " - ", "LAUNDRY EXPENSE")</f>
        <v xml:space="preserve">          6286 - LAUNDRY EXPENSE</v>
      </c>
      <c r="C70" s="11"/>
      <c r="D70" s="7"/>
      <c r="E70" s="2"/>
      <c r="F70" s="6">
        <f t="shared" si="44"/>
        <v>0</v>
      </c>
      <c r="G70" s="2"/>
      <c r="H70" s="7">
        <v>50</v>
      </c>
      <c r="I70" s="2"/>
      <c r="J70" s="6">
        <f t="shared" si="45"/>
        <v>1.25E-3</v>
      </c>
      <c r="K70" s="2"/>
      <c r="L70" s="7">
        <f t="shared" si="46"/>
        <v>-50</v>
      </c>
      <c r="M70" s="2"/>
      <c r="N70" s="6">
        <f t="shared" si="47"/>
        <v>-1</v>
      </c>
      <c r="O70" s="11"/>
      <c r="P70" s="7">
        <v>56.86</v>
      </c>
      <c r="Q70" s="2"/>
      <c r="R70" s="6">
        <f t="shared" si="48"/>
        <v>5.6407969098829619E-4</v>
      </c>
      <c r="S70" s="2"/>
      <c r="T70" s="7">
        <v>100</v>
      </c>
      <c r="U70" s="2"/>
      <c r="V70" s="6">
        <f t="shared" si="49"/>
        <v>1.5384615384615385E-3</v>
      </c>
      <c r="W70" s="2"/>
      <c r="X70" s="7">
        <f t="shared" si="50"/>
        <v>-43.14</v>
      </c>
      <c r="Y70" s="2"/>
      <c r="Z70" s="6">
        <f t="shared" si="51"/>
        <v>-0.43140000000000001</v>
      </c>
    </row>
    <row r="71" spans="1:26" s="26" customFormat="1" outlineLevel="1" collapsed="1" x14ac:dyDescent="0.25">
      <c r="A71" s="27"/>
      <c r="B71" s="13" t="str">
        <f>CONCATENATE("     ","Supplies                                          ")</f>
        <v xml:space="preserve">     Supplies                                          </v>
      </c>
      <c r="C71" s="13"/>
      <c r="D71" s="1">
        <f>SUM(OSRRefD22_12x_0)</f>
        <v>1791.76</v>
      </c>
      <c r="E71" s="1"/>
      <c r="F71" s="5">
        <f t="shared" ref="F71:F76" si="52">IF(D$12=0,0,D71/D$12)</f>
        <v>4.3384376529976273E-2</v>
      </c>
      <c r="G71" s="1"/>
      <c r="H71" s="1">
        <f>SUM(OSRRefH22_12x_0)</f>
        <v>550</v>
      </c>
      <c r="I71" s="1"/>
      <c r="J71" s="5">
        <f t="shared" ref="J71:J76" si="53">IF(H$12=0,0,H71/H$12)</f>
        <v>1.375E-2</v>
      </c>
      <c r="K71" s="1"/>
      <c r="L71" s="1">
        <f t="shared" ref="L71:L76" si="54">+D71-H71</f>
        <v>1241.76</v>
      </c>
      <c r="M71" s="1"/>
      <c r="N71" s="5">
        <f t="shared" ref="N71:N76" si="55">IF(H71=0,0,L71/H71)</f>
        <v>2.2577454545454545</v>
      </c>
      <c r="O71" s="13"/>
      <c r="P71" s="1">
        <f>SUM(OSRRefP22_12x_0)</f>
        <v>4093.4900000000002</v>
      </c>
      <c r="Q71" s="1"/>
      <c r="R71" s="5">
        <f t="shared" ref="R71:R76" si="56">IF(P$12=0,0,P71/P$12)</f>
        <v>4.0609471935696105E-2</v>
      </c>
      <c r="S71" s="1"/>
      <c r="T71" s="1">
        <f>SUM(OSRRefT22_12x_0)</f>
        <v>1650</v>
      </c>
      <c r="U71" s="1"/>
      <c r="V71" s="5">
        <f t="shared" ref="V71:V76" si="57">IF(T$12=0,0,T71/T$12)</f>
        <v>2.5384615384615384E-2</v>
      </c>
      <c r="W71" s="1"/>
      <c r="X71" s="1">
        <f t="shared" ref="X71:X76" si="58">+P71-T71</f>
        <v>2443.4900000000002</v>
      </c>
      <c r="Y71" s="1"/>
      <c r="Z71" s="5">
        <f t="shared" ref="Z71:Z76" si="59">IF(T71=0,0,X71/T71)</f>
        <v>1.4809030303030304</v>
      </c>
    </row>
    <row r="72" spans="1:26" s="24" customFormat="1" hidden="1" outlineLevel="2" x14ac:dyDescent="0.25">
      <c r="A72" s="25"/>
      <c r="B72" s="11" t="str">
        <f>CONCATENATE("          ", "6237", " - ", "JANITORIAL SUPPLIES")</f>
        <v xml:space="preserve">          6237 - JANITORIAL SUPPLIES</v>
      </c>
      <c r="C72" s="11"/>
      <c r="D72" s="7">
        <v>240.56</v>
      </c>
      <c r="E72" s="2"/>
      <c r="F72" s="6">
        <f t="shared" si="52"/>
        <v>5.8247452884600016E-3</v>
      </c>
      <c r="G72" s="2"/>
      <c r="H72" s="7">
        <v>300</v>
      </c>
      <c r="I72" s="2"/>
      <c r="J72" s="6">
        <f t="shared" si="53"/>
        <v>7.4999999999999997E-3</v>
      </c>
      <c r="K72" s="2"/>
      <c r="L72" s="7">
        <f t="shared" si="54"/>
        <v>-59.44</v>
      </c>
      <c r="M72" s="2"/>
      <c r="N72" s="6">
        <f t="shared" si="55"/>
        <v>-0.19813333333333333</v>
      </c>
      <c r="O72" s="11"/>
      <c r="P72" s="7">
        <v>240.56</v>
      </c>
      <c r="Q72" s="2"/>
      <c r="R72" s="6">
        <f t="shared" si="56"/>
        <v>2.3864757380257567E-3</v>
      </c>
      <c r="S72" s="2"/>
      <c r="T72" s="7">
        <v>300</v>
      </c>
      <c r="U72" s="2"/>
      <c r="V72" s="6">
        <f t="shared" si="57"/>
        <v>4.6153846153846158E-3</v>
      </c>
      <c r="W72" s="2"/>
      <c r="X72" s="7">
        <f t="shared" si="58"/>
        <v>-59.44</v>
      </c>
      <c r="Y72" s="2"/>
      <c r="Z72" s="6">
        <f t="shared" si="59"/>
        <v>-0.19813333333333333</v>
      </c>
    </row>
    <row r="73" spans="1:26" s="24" customFormat="1" hidden="1" outlineLevel="2" x14ac:dyDescent="0.25">
      <c r="A73" s="25"/>
      <c r="B73" s="11" t="str">
        <f>CONCATENATE("          ", "6239", " - ", "KITCHEN SUPPLIES")</f>
        <v xml:space="preserve">          6239 - KITCHEN SUPPLIES</v>
      </c>
      <c r="C73" s="11"/>
      <c r="D73" s="7">
        <v>106.92</v>
      </c>
      <c r="E73" s="2"/>
      <c r="F73" s="6">
        <f t="shared" si="52"/>
        <v>2.5888832983128672E-3</v>
      </c>
      <c r="G73" s="2"/>
      <c r="H73" s="7"/>
      <c r="I73" s="2"/>
      <c r="J73" s="6">
        <f t="shared" si="53"/>
        <v>0</v>
      </c>
      <c r="K73" s="2"/>
      <c r="L73" s="7">
        <f t="shared" si="54"/>
        <v>106.92</v>
      </c>
      <c r="M73" s="2"/>
      <c r="N73" s="6">
        <f t="shared" si="55"/>
        <v>0</v>
      </c>
      <c r="O73" s="11"/>
      <c r="P73" s="7">
        <v>1746.55</v>
      </c>
      <c r="Q73" s="2"/>
      <c r="R73" s="6">
        <f t="shared" si="56"/>
        <v>1.7326651148357523E-2</v>
      </c>
      <c r="S73" s="2"/>
      <c r="T73" s="7"/>
      <c r="U73" s="2"/>
      <c r="V73" s="6">
        <f t="shared" si="57"/>
        <v>0</v>
      </c>
      <c r="W73" s="2"/>
      <c r="X73" s="7">
        <f t="shared" si="58"/>
        <v>1746.55</v>
      </c>
      <c r="Y73" s="2"/>
      <c r="Z73" s="6">
        <f t="shared" si="59"/>
        <v>0</v>
      </c>
    </row>
    <row r="74" spans="1:26" s="24" customFormat="1" hidden="1" outlineLevel="2" x14ac:dyDescent="0.25">
      <c r="A74" s="25"/>
      <c r="B74" s="11" t="str">
        <f>CONCATENATE("          ", "6241", " - ", "OFFICE EXPENSE")</f>
        <v xml:space="preserve">          6241 - OFFICE EXPENSE</v>
      </c>
      <c r="C74" s="11"/>
      <c r="D74" s="7">
        <v>146.69</v>
      </c>
      <c r="E74" s="2"/>
      <c r="F74" s="6">
        <f t="shared" si="52"/>
        <v>3.5518452210018189E-3</v>
      </c>
      <c r="G74" s="2"/>
      <c r="H74" s="7"/>
      <c r="I74" s="2"/>
      <c r="J74" s="6">
        <f t="shared" si="53"/>
        <v>0</v>
      </c>
      <c r="K74" s="2"/>
      <c r="L74" s="7">
        <f t="shared" si="54"/>
        <v>146.69</v>
      </c>
      <c r="M74" s="2"/>
      <c r="N74" s="6">
        <f t="shared" si="55"/>
        <v>0</v>
      </c>
      <c r="O74" s="11"/>
      <c r="P74" s="7">
        <v>508.79</v>
      </c>
      <c r="Q74" s="2"/>
      <c r="R74" s="6">
        <f t="shared" si="56"/>
        <v>5.0474517407304827E-3</v>
      </c>
      <c r="S74" s="2"/>
      <c r="T74" s="7"/>
      <c r="U74" s="2"/>
      <c r="V74" s="6">
        <f t="shared" si="57"/>
        <v>0</v>
      </c>
      <c r="W74" s="2"/>
      <c r="X74" s="7">
        <f t="shared" si="58"/>
        <v>508.79</v>
      </c>
      <c r="Y74" s="2"/>
      <c r="Z74" s="6">
        <f t="shared" si="59"/>
        <v>0</v>
      </c>
    </row>
    <row r="75" spans="1:26" s="24" customFormat="1" hidden="1" outlineLevel="2" x14ac:dyDescent="0.25">
      <c r="A75" s="25"/>
      <c r="B75" s="11" t="str">
        <f>CONCATENATE("          ", "6243", " - ", "PAPER SUPPLIES")</f>
        <v xml:space="preserve">          6243 - PAPER SUPPLIES</v>
      </c>
      <c r="C75" s="11"/>
      <c r="D75" s="7">
        <v>843.15</v>
      </c>
      <c r="E75" s="2"/>
      <c r="F75" s="6">
        <f t="shared" si="52"/>
        <v>2.041542230614005E-2</v>
      </c>
      <c r="G75" s="2"/>
      <c r="H75" s="7">
        <v>250</v>
      </c>
      <c r="I75" s="2"/>
      <c r="J75" s="6">
        <f t="shared" si="53"/>
        <v>6.2500000000000003E-3</v>
      </c>
      <c r="K75" s="2"/>
      <c r="L75" s="7">
        <f t="shared" si="54"/>
        <v>593.15</v>
      </c>
      <c r="M75" s="2"/>
      <c r="N75" s="6">
        <f t="shared" si="55"/>
        <v>2.3725999999999998</v>
      </c>
      <c r="O75" s="11"/>
      <c r="P75" s="7">
        <v>1143.1500000000001</v>
      </c>
      <c r="Q75" s="2"/>
      <c r="R75" s="6">
        <f t="shared" si="56"/>
        <v>1.1340620801147921E-2</v>
      </c>
      <c r="S75" s="2"/>
      <c r="T75" s="7">
        <v>750</v>
      </c>
      <c r="U75" s="2"/>
      <c r="V75" s="6">
        <f t="shared" si="57"/>
        <v>1.1538461538461539E-2</v>
      </c>
      <c r="W75" s="2"/>
      <c r="X75" s="7">
        <f t="shared" si="58"/>
        <v>393.15000000000009</v>
      </c>
      <c r="Y75" s="2"/>
      <c r="Z75" s="6">
        <f t="shared" si="59"/>
        <v>0.52420000000000011</v>
      </c>
    </row>
    <row r="76" spans="1:26" s="24" customFormat="1" hidden="1" outlineLevel="2" x14ac:dyDescent="0.25">
      <c r="A76" s="25"/>
      <c r="B76" s="11" t="str">
        <f>CONCATENATE("          ", "6248", " - ", "UNIFORMS")</f>
        <v xml:space="preserve">          6248 - UNIFORMS</v>
      </c>
      <c r="C76" s="11"/>
      <c r="D76" s="7">
        <v>454.44</v>
      </c>
      <c r="E76" s="2"/>
      <c r="F76" s="6">
        <f t="shared" si="52"/>
        <v>1.1003480416061535E-2</v>
      </c>
      <c r="G76" s="2"/>
      <c r="H76" s="7"/>
      <c r="I76" s="2"/>
      <c r="J76" s="6">
        <f t="shared" si="53"/>
        <v>0</v>
      </c>
      <c r="K76" s="2"/>
      <c r="L76" s="7">
        <f t="shared" si="54"/>
        <v>454.44</v>
      </c>
      <c r="M76" s="2"/>
      <c r="N76" s="6">
        <f t="shared" si="55"/>
        <v>0</v>
      </c>
      <c r="O76" s="11"/>
      <c r="P76" s="7">
        <v>454.44</v>
      </c>
      <c r="Q76" s="2"/>
      <c r="R76" s="6">
        <f t="shared" si="56"/>
        <v>4.5082725074344233E-3</v>
      </c>
      <c r="S76" s="2"/>
      <c r="T76" s="7">
        <v>600</v>
      </c>
      <c r="U76" s="2"/>
      <c r="V76" s="6">
        <f t="shared" si="57"/>
        <v>9.2307692307692316E-3</v>
      </c>
      <c r="W76" s="2"/>
      <c r="X76" s="7">
        <f t="shared" si="58"/>
        <v>-145.56</v>
      </c>
      <c r="Y76" s="2"/>
      <c r="Z76" s="6">
        <f t="shared" si="59"/>
        <v>-0.24260000000000001</v>
      </c>
    </row>
    <row r="77" spans="1:26" s="26" customFormat="1" outlineLevel="1" collapsed="1" x14ac:dyDescent="0.25">
      <c r="A77" s="27"/>
      <c r="B77" s="13" t="str">
        <f>CONCATENATE("     ","Telephone/Data Lines                              ")</f>
        <v xml:space="preserve">     Telephone/Data Lines                              </v>
      </c>
      <c r="C77" s="13"/>
      <c r="D77" s="1">
        <f>SUM(OSRRefD22_13x_0)</f>
        <v>100</v>
      </c>
      <c r="E77" s="1"/>
      <c r="F77" s="5">
        <f t="shared" ref="F77:F79" si="60">IF(D$12=0,0,D77/D$12)</f>
        <v>2.4213274394995019E-3</v>
      </c>
      <c r="G77" s="1"/>
      <c r="H77" s="1">
        <f>SUM(OSRRefH22_13x_0)</f>
        <v>50</v>
      </c>
      <c r="I77" s="1"/>
      <c r="J77" s="5">
        <f t="shared" ref="J77:J79" si="61">IF(H$12=0,0,H77/H$12)</f>
        <v>1.25E-3</v>
      </c>
      <c r="K77" s="1"/>
      <c r="L77" s="1">
        <f t="shared" ref="L77:L79" si="62">+D77-H77</f>
        <v>50</v>
      </c>
      <c r="M77" s="1"/>
      <c r="N77" s="5">
        <f t="shared" ref="N77:N79" si="63">IF(H77=0,0,L77/H77)</f>
        <v>1</v>
      </c>
      <c r="O77" s="13"/>
      <c r="P77" s="1">
        <f>SUM(OSRRefP22_13x_0)</f>
        <v>632.91</v>
      </c>
      <c r="Q77" s="1"/>
      <c r="R77" s="5">
        <f t="shared" ref="R77:R79" si="64">IF(P$12=0,0,P77/P$12)</f>
        <v>6.2787843338621618E-3</v>
      </c>
      <c r="S77" s="1"/>
      <c r="T77" s="1">
        <f>SUM(OSRRefT22_13x_0)</f>
        <v>100</v>
      </c>
      <c r="U77" s="1"/>
      <c r="V77" s="5">
        <f t="shared" ref="V77:V79" si="65">IF(T$12=0,0,T77/T$12)</f>
        <v>1.5384615384615385E-3</v>
      </c>
      <c r="W77" s="1"/>
      <c r="X77" s="1">
        <f t="shared" ref="X77:X79" si="66">+P77-T77</f>
        <v>532.91</v>
      </c>
      <c r="Y77" s="1"/>
      <c r="Z77" s="5">
        <f t="shared" ref="Z77:Z79" si="67">IF(T77=0,0,X77/T77)</f>
        <v>5.3290999999999995</v>
      </c>
    </row>
    <row r="78" spans="1:26" s="24" customFormat="1" hidden="1" outlineLevel="2" x14ac:dyDescent="0.25">
      <c r="A78" s="25"/>
      <c r="B78" s="11" t="str">
        <f>CONCATENATE("          ", "6303", " - ", "DATA PHONE LINES")</f>
        <v xml:space="preserve">          6303 - DATA PHONE LINES</v>
      </c>
      <c r="C78" s="11"/>
      <c r="D78" s="7"/>
      <c r="E78" s="2"/>
      <c r="F78" s="6">
        <f t="shared" si="60"/>
        <v>0</v>
      </c>
      <c r="G78" s="2"/>
      <c r="H78" s="7">
        <v>50</v>
      </c>
      <c r="I78" s="2"/>
      <c r="J78" s="6">
        <f t="shared" si="61"/>
        <v>1.25E-3</v>
      </c>
      <c r="K78" s="2"/>
      <c r="L78" s="7">
        <f t="shared" si="62"/>
        <v>-50</v>
      </c>
      <c r="M78" s="2"/>
      <c r="N78" s="6">
        <f t="shared" si="63"/>
        <v>-1</v>
      </c>
      <c r="O78" s="11"/>
      <c r="P78" s="7"/>
      <c r="Q78" s="2"/>
      <c r="R78" s="6">
        <f t="shared" si="64"/>
        <v>0</v>
      </c>
      <c r="S78" s="2"/>
      <c r="T78" s="7">
        <v>100</v>
      </c>
      <c r="U78" s="2"/>
      <c r="V78" s="6">
        <f t="shared" si="65"/>
        <v>1.5384615384615385E-3</v>
      </c>
      <c r="W78" s="2"/>
      <c r="X78" s="7">
        <f t="shared" si="66"/>
        <v>-100</v>
      </c>
      <c r="Y78" s="2"/>
      <c r="Z78" s="6">
        <f t="shared" si="67"/>
        <v>-1</v>
      </c>
    </row>
    <row r="79" spans="1:26" s="24" customFormat="1" hidden="1" outlineLevel="2" x14ac:dyDescent="0.25">
      <c r="A79" s="25"/>
      <c r="B79" s="11" t="str">
        <f>CONCATENATE("          ", "6309", " - ", "TELEPHONE")</f>
        <v xml:space="preserve">          6309 - TELEPHONE</v>
      </c>
      <c r="C79" s="11"/>
      <c r="D79" s="7">
        <v>100</v>
      </c>
      <c r="E79" s="2"/>
      <c r="F79" s="6">
        <f t="shared" si="60"/>
        <v>2.4213274394995019E-3</v>
      </c>
      <c r="G79" s="2"/>
      <c r="H79" s="7"/>
      <c r="I79" s="2"/>
      <c r="J79" s="6">
        <f t="shared" si="61"/>
        <v>0</v>
      </c>
      <c r="K79" s="2"/>
      <c r="L79" s="7">
        <f t="shared" si="62"/>
        <v>100</v>
      </c>
      <c r="M79" s="2"/>
      <c r="N79" s="6">
        <f t="shared" si="63"/>
        <v>0</v>
      </c>
      <c r="O79" s="11"/>
      <c r="P79" s="7">
        <v>632.91</v>
      </c>
      <c r="Q79" s="2"/>
      <c r="R79" s="6">
        <f t="shared" si="64"/>
        <v>6.2787843338621618E-3</v>
      </c>
      <c r="S79" s="2"/>
      <c r="T79" s="7"/>
      <c r="U79" s="2"/>
      <c r="V79" s="6">
        <f t="shared" si="65"/>
        <v>0</v>
      </c>
      <c r="W79" s="2"/>
      <c r="X79" s="7">
        <f t="shared" si="66"/>
        <v>632.91</v>
      </c>
      <c r="Y79" s="2"/>
      <c r="Z79" s="6">
        <f t="shared" si="67"/>
        <v>0</v>
      </c>
    </row>
    <row r="80" spans="1:26" s="26" customFormat="1" outlineLevel="1" collapsed="1" x14ac:dyDescent="0.25">
      <c r="A80" s="27"/>
      <c r="B80" s="13" t="str">
        <f>CONCATENATE("     ","Training                                          ")</f>
        <v xml:space="preserve">     Training                                          </v>
      </c>
      <c r="C80" s="13"/>
      <c r="D80" s="1">
        <f>SUM(OSRRefD22_14x_0)</f>
        <v>0</v>
      </c>
      <c r="E80" s="1"/>
      <c r="F80" s="5">
        <f t="shared" ref="F80:F83" si="68">IF(D$12=0,0,D80/D$12)</f>
        <v>0</v>
      </c>
      <c r="G80" s="1"/>
      <c r="H80" s="1">
        <f>SUM(OSRRefH22_14x_0)</f>
        <v>0</v>
      </c>
      <c r="I80" s="1"/>
      <c r="J80" s="5">
        <f t="shared" ref="J80:J83" si="69">IF(H$12=0,0,H80/H$12)</f>
        <v>0</v>
      </c>
      <c r="K80" s="1"/>
      <c r="L80" s="1">
        <f t="shared" ref="L80:L83" si="70">+D80-H80</f>
        <v>0</v>
      </c>
      <c r="M80" s="1"/>
      <c r="N80" s="5">
        <f t="shared" ref="N80:N83" si="71">IF(H80=0,0,L80/H80)</f>
        <v>0</v>
      </c>
      <c r="O80" s="13"/>
      <c r="P80" s="1">
        <f>SUM(OSRRefP22_14x_0)</f>
        <v>152.94999999999999</v>
      </c>
      <c r="Q80" s="1"/>
      <c r="R80" s="5">
        <f t="shared" ref="R80:R83" si="72">IF(P$12=0,0,P80/P$12)</f>
        <v>1.5173406390548698E-3</v>
      </c>
      <c r="S80" s="1"/>
      <c r="T80" s="1">
        <f>SUM(OSRRefT22_14x_0)</f>
        <v>500</v>
      </c>
      <c r="U80" s="1"/>
      <c r="V80" s="5">
        <f t="shared" ref="V80:V83" si="73">IF(T$12=0,0,T80/T$12)</f>
        <v>7.6923076923076927E-3</v>
      </c>
      <c r="W80" s="1"/>
      <c r="X80" s="1">
        <f t="shared" ref="X80:X83" si="74">+P80-T80</f>
        <v>-347.05</v>
      </c>
      <c r="Y80" s="1"/>
      <c r="Z80" s="5">
        <f t="shared" ref="Z80:Z83" si="75">IF(T80=0,0,X80/T80)</f>
        <v>-0.69410000000000005</v>
      </c>
    </row>
    <row r="81" spans="1:26" s="24" customFormat="1" hidden="1" outlineLevel="2" x14ac:dyDescent="0.25">
      <c r="A81" s="25"/>
      <c r="B81" s="11" t="str">
        <f>CONCATENATE("          ", "6376", " - ", "TRAINING")</f>
        <v xml:space="preserve">          6376 - TRAINING</v>
      </c>
      <c r="C81" s="11"/>
      <c r="D81" s="7"/>
      <c r="E81" s="2"/>
      <c r="F81" s="6">
        <f t="shared" si="68"/>
        <v>0</v>
      </c>
      <c r="G81" s="2"/>
      <c r="H81" s="7"/>
      <c r="I81" s="2"/>
      <c r="J81" s="6">
        <f t="shared" si="69"/>
        <v>0</v>
      </c>
      <c r="K81" s="2"/>
      <c r="L81" s="7">
        <f t="shared" si="70"/>
        <v>0</v>
      </c>
      <c r="M81" s="2"/>
      <c r="N81" s="6">
        <f t="shared" si="71"/>
        <v>0</v>
      </c>
      <c r="O81" s="11"/>
      <c r="P81" s="7">
        <v>152.94999999999999</v>
      </c>
      <c r="Q81" s="2"/>
      <c r="R81" s="6">
        <f t="shared" si="72"/>
        <v>1.5173406390548698E-3</v>
      </c>
      <c r="S81" s="2"/>
      <c r="T81" s="7">
        <v>500</v>
      </c>
      <c r="U81" s="2"/>
      <c r="V81" s="6">
        <f t="shared" si="73"/>
        <v>7.6923076923076927E-3</v>
      </c>
      <c r="W81" s="2"/>
      <c r="X81" s="7">
        <f t="shared" si="74"/>
        <v>-347.05</v>
      </c>
      <c r="Y81" s="2"/>
      <c r="Z81" s="6">
        <f t="shared" si="75"/>
        <v>-0.69410000000000005</v>
      </c>
    </row>
    <row r="82" spans="1:26" s="26" customFormat="1" outlineLevel="1" collapsed="1" x14ac:dyDescent="0.25">
      <c r="A82" s="27"/>
      <c r="B82" s="13" t="str">
        <f>CONCATENATE("     ","Travel                                            ")</f>
        <v xml:space="preserve">     Travel                                            </v>
      </c>
      <c r="C82" s="13"/>
      <c r="D82" s="1">
        <f>SUM(OSRRefD22_15x_0)</f>
        <v>0</v>
      </c>
      <c r="E82" s="1"/>
      <c r="F82" s="5">
        <f t="shared" si="68"/>
        <v>0</v>
      </c>
      <c r="G82" s="1"/>
      <c r="H82" s="1">
        <f>SUM(OSRRefH22_15x_0)</f>
        <v>500</v>
      </c>
      <c r="I82" s="1"/>
      <c r="J82" s="5">
        <f t="shared" si="69"/>
        <v>1.2500000000000001E-2</v>
      </c>
      <c r="K82" s="1"/>
      <c r="L82" s="1">
        <f t="shared" si="70"/>
        <v>-500</v>
      </c>
      <c r="M82" s="1"/>
      <c r="N82" s="5">
        <f t="shared" si="71"/>
        <v>-1</v>
      </c>
      <c r="O82" s="13"/>
      <c r="P82" s="1">
        <f>SUM(OSRRefP22_15x_0)</f>
        <v>0</v>
      </c>
      <c r="Q82" s="1"/>
      <c r="R82" s="5">
        <f t="shared" si="72"/>
        <v>0</v>
      </c>
      <c r="S82" s="1"/>
      <c r="T82" s="1">
        <f>SUM(OSRRefT22_15x_0)</f>
        <v>500</v>
      </c>
      <c r="U82" s="1"/>
      <c r="V82" s="5">
        <f t="shared" si="73"/>
        <v>7.6923076923076927E-3</v>
      </c>
      <c r="W82" s="1"/>
      <c r="X82" s="1">
        <f t="shared" si="74"/>
        <v>-500</v>
      </c>
      <c r="Y82" s="1"/>
      <c r="Z82" s="5">
        <f t="shared" si="75"/>
        <v>-1</v>
      </c>
    </row>
    <row r="83" spans="1:26" s="24" customFormat="1" hidden="1" outlineLevel="2" x14ac:dyDescent="0.25">
      <c r="A83" s="25"/>
      <c r="B83" s="11" t="str">
        <f>CONCATENATE("          ", "6292", " - ", "TRAVEL/CONFERENCE")</f>
        <v xml:space="preserve">          6292 - TRAVEL/CONFERENCE</v>
      </c>
      <c r="C83" s="11"/>
      <c r="D83" s="7"/>
      <c r="E83" s="2"/>
      <c r="F83" s="6">
        <f t="shared" si="68"/>
        <v>0</v>
      </c>
      <c r="G83" s="2"/>
      <c r="H83" s="7">
        <v>500</v>
      </c>
      <c r="I83" s="2"/>
      <c r="J83" s="6">
        <f t="shared" si="69"/>
        <v>1.2500000000000001E-2</v>
      </c>
      <c r="K83" s="2"/>
      <c r="L83" s="7">
        <f t="shared" si="70"/>
        <v>-500</v>
      </c>
      <c r="M83" s="2"/>
      <c r="N83" s="6">
        <f t="shared" si="71"/>
        <v>-1</v>
      </c>
      <c r="O83" s="11"/>
      <c r="P83" s="7"/>
      <c r="Q83" s="2"/>
      <c r="R83" s="6">
        <f t="shared" si="72"/>
        <v>0</v>
      </c>
      <c r="S83" s="2"/>
      <c r="T83" s="7">
        <v>500</v>
      </c>
      <c r="U83" s="2"/>
      <c r="V83" s="6">
        <f t="shared" si="73"/>
        <v>7.6923076923076927E-3</v>
      </c>
      <c r="W83" s="2"/>
      <c r="X83" s="7">
        <f t="shared" si="74"/>
        <v>-500</v>
      </c>
      <c r="Y83" s="2"/>
      <c r="Z83" s="6">
        <f t="shared" si="75"/>
        <v>-1</v>
      </c>
    </row>
    <row r="84" spans="1:26" s="63" customFormat="1" x14ac:dyDescent="0.25">
      <c r="A84" s="36"/>
      <c r="B84" s="36"/>
      <c r="C84" s="36"/>
      <c r="D84" s="1"/>
      <c r="E84" s="1"/>
      <c r="F84" s="5"/>
      <c r="G84" s="1"/>
      <c r="H84" s="1"/>
      <c r="I84" s="1"/>
      <c r="J84" s="5"/>
      <c r="K84" s="1"/>
      <c r="L84" s="1"/>
      <c r="M84" s="1"/>
      <c r="N84" s="5"/>
      <c r="O84" s="36"/>
      <c r="P84" s="1"/>
      <c r="Q84" s="1"/>
      <c r="R84" s="5"/>
      <c r="S84" s="1"/>
      <c r="T84" s="1"/>
      <c r="U84" s="1"/>
      <c r="V84" s="5"/>
      <c r="W84" s="1"/>
      <c r="X84" s="1"/>
      <c r="Y84" s="1"/>
      <c r="Z84" s="5"/>
    </row>
    <row r="85" spans="1:26" s="23" customFormat="1" collapsed="1" x14ac:dyDescent="0.25">
      <c r="A85" s="10"/>
      <c r="B85" s="28" t="s">
        <v>0</v>
      </c>
      <c r="C85" s="10"/>
      <c r="D85" s="4">
        <f>SUM(OSRRefD25x_0)</f>
        <v>0</v>
      </c>
      <c r="E85" s="4"/>
      <c r="F85" s="12">
        <f t="shared" ref="F85:F86" si="76">IF(D$12=0,0,D85/D$12)</f>
        <v>0</v>
      </c>
      <c r="G85" s="4"/>
      <c r="H85" s="4">
        <f>SUM(OSRRefH25x_0)</f>
        <v>0</v>
      </c>
      <c r="I85" s="4"/>
      <c r="J85" s="12">
        <f t="shared" ref="J85:J86" si="77">IF(H$12=0,0,H85/H$12)</f>
        <v>0</v>
      </c>
      <c r="K85" s="4"/>
      <c r="L85" s="4">
        <f t="shared" ref="L85:L86" si="78">+D85-H85</f>
        <v>0</v>
      </c>
      <c r="M85" s="4"/>
      <c r="N85" s="12">
        <f t="shared" ref="N85:N86" si="79">IF(H85=0,0,L85/H85)</f>
        <v>0</v>
      </c>
      <c r="O85" s="10"/>
      <c r="P85" s="4">
        <f>SUM(OSRRefP25x_0)</f>
        <v>29281.48</v>
      </c>
      <c r="Q85" s="4"/>
      <c r="R85" s="12">
        <f t="shared" ref="R85:R86" si="80">IF(P$12=0,0,P85/P$12)</f>
        <v>0.29048695374744943</v>
      </c>
      <c r="S85" s="4"/>
      <c r="T85" s="4">
        <f>SUM(OSRRefT25x_0)</f>
        <v>2050</v>
      </c>
      <c r="U85" s="4"/>
      <c r="V85" s="12">
        <f t="shared" ref="V85:V86" si="81">IF(T$12=0,0,T85/T$12)</f>
        <v>3.1538461538461536E-2</v>
      </c>
      <c r="W85" s="4"/>
      <c r="X85" s="4">
        <f t="shared" ref="X85:X86" si="82">+P85-T85</f>
        <v>27231.48</v>
      </c>
      <c r="Y85" s="4"/>
      <c r="Z85" s="12">
        <f t="shared" ref="Z85:Z86" si="83">IF(T85=0,0,X85/T85)</f>
        <v>13.283648780487805</v>
      </c>
    </row>
    <row r="86" spans="1:26" s="24" customFormat="1" hidden="1" outlineLevel="1" x14ac:dyDescent="0.25">
      <c r="A86" s="46"/>
      <c r="B86" s="11" t="str">
        <f>CONCATENATE("          ", "9150", " - ", "MISC. INCOME")</f>
        <v xml:space="preserve">          9150 - MISC. INCOME</v>
      </c>
      <c r="C86" s="11"/>
      <c r="D86" s="2">
        <f>0</f>
        <v>0</v>
      </c>
      <c r="E86" s="2"/>
      <c r="F86" s="19">
        <f t="shared" si="76"/>
        <v>0</v>
      </c>
      <c r="G86" s="2"/>
      <c r="H86" s="2"/>
      <c r="I86" s="2"/>
      <c r="J86" s="19">
        <f t="shared" si="77"/>
        <v>0</v>
      </c>
      <c r="K86" s="2"/>
      <c r="L86" s="2">
        <f t="shared" si="78"/>
        <v>0</v>
      </c>
      <c r="M86" s="2"/>
      <c r="N86" s="19">
        <f t="shared" si="79"/>
        <v>0</v>
      </c>
      <c r="O86" s="11"/>
      <c r="P86" s="2">
        <f>--29281.48</f>
        <v>29281.48</v>
      </c>
      <c r="Q86" s="2"/>
      <c r="R86" s="19">
        <f t="shared" si="80"/>
        <v>0.29048695374744943</v>
      </c>
      <c r="S86" s="2"/>
      <c r="T86" s="2">
        <v>2050</v>
      </c>
      <c r="U86" s="2"/>
      <c r="V86" s="19">
        <f t="shared" si="81"/>
        <v>3.1538461538461536E-2</v>
      </c>
      <c r="W86" s="2"/>
      <c r="X86" s="2">
        <f t="shared" si="82"/>
        <v>27231.48</v>
      </c>
      <c r="Y86" s="2"/>
      <c r="Z86" s="19">
        <f t="shared" si="83"/>
        <v>13.283648780487805</v>
      </c>
    </row>
    <row r="87" spans="1:26" x14ac:dyDescent="0.25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10"/>
      <c r="B88" s="29" t="s">
        <v>3</v>
      </c>
      <c r="C88" s="29"/>
      <c r="D88" s="22">
        <f>+D23-D25+D85</f>
        <v>-733.18999999999505</v>
      </c>
      <c r="E88" s="14"/>
      <c r="F88" s="20">
        <f>IF(D$12=0,0,D88/D$12)</f>
        <v>-1.7752930653666277E-2</v>
      </c>
      <c r="G88" s="14"/>
      <c r="H88" s="22">
        <f>+H23-H25+H85</f>
        <v>12911.374075000003</v>
      </c>
      <c r="I88" s="14"/>
      <c r="J88" s="20">
        <f>IF(H$12=0,0,H88/H$12)</f>
        <v>0.3227843518750001</v>
      </c>
      <c r="K88" s="15"/>
      <c r="L88" s="22">
        <f>+D88-H88</f>
        <v>-13644.564074999998</v>
      </c>
      <c r="M88" s="15"/>
      <c r="N88" s="20">
        <f>IF(H88=0,0,L88/H88)</f>
        <v>-1.0567863649322695</v>
      </c>
      <c r="O88" s="28"/>
      <c r="P88" s="22">
        <f>+P23-P25+P85</f>
        <v>22133.010000000013</v>
      </c>
      <c r="Q88" s="14"/>
      <c r="R88" s="20">
        <f>IF(P$12=0,0,P88/P$12)</f>
        <v>0.21957054944496793</v>
      </c>
      <c r="S88" s="14"/>
      <c r="T88" s="22">
        <f>+T23-T25+T85</f>
        <v>2618.7083750000093</v>
      </c>
      <c r="U88" s="14"/>
      <c r="V88" s="20">
        <f>IF(T$12=0,0,T88/T$12)</f>
        <v>4.0287821153846298E-2</v>
      </c>
      <c r="W88" s="15"/>
      <c r="X88" s="22">
        <f>+P88-T88</f>
        <v>19514.301625000004</v>
      </c>
      <c r="Y88" s="15"/>
      <c r="Z88" s="20">
        <f>IF(T88=0,0,X88/T88)</f>
        <v>7.4518804045906544</v>
      </c>
    </row>
    <row r="89" spans="1:26" x14ac:dyDescent="0.25">
      <c r="A89" s="9"/>
      <c r="B89" s="10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x14ac:dyDescent="0.25">
      <c r="A90" s="52"/>
      <c r="B90" s="10" t="s">
        <v>14</v>
      </c>
      <c r="C90" s="10"/>
      <c r="D90" s="4">
        <v>3408.62</v>
      </c>
      <c r="E90" s="4"/>
      <c r="F90" s="12">
        <f>IF(D$12=0,0,D90/D$12)</f>
        <v>8.2533851368267908E-2</v>
      </c>
      <c r="G90" s="4"/>
      <c r="H90" s="4">
        <v>4161</v>
      </c>
      <c r="I90" s="4"/>
      <c r="J90" s="12">
        <f>IF(H$12=0,0,H90/H$12)</f>
        <v>0.10402500000000001</v>
      </c>
      <c r="K90" s="4"/>
      <c r="L90" s="4">
        <f>+D90-H90</f>
        <v>-752.38000000000011</v>
      </c>
      <c r="M90" s="4"/>
      <c r="N90" s="12">
        <f>IF(H90=0,0,L90/H90)</f>
        <v>-0.18081711127132905</v>
      </c>
      <c r="O90" s="10"/>
      <c r="P90" s="4">
        <v>10827.4</v>
      </c>
      <c r="Q90" s="4"/>
      <c r="R90" s="12">
        <f>IF(P$12=0,0,P90/P$12)</f>
        <v>0.10741323331351878</v>
      </c>
      <c r="S90" s="4"/>
      <c r="T90" s="4">
        <v>8221</v>
      </c>
      <c r="U90" s="4"/>
      <c r="V90" s="12">
        <f>IF(T$12=0,0,T90/T$12)</f>
        <v>0.12647692307692307</v>
      </c>
      <c r="W90" s="4"/>
      <c r="X90" s="4">
        <f>+P90-T90</f>
        <v>2606.3999999999996</v>
      </c>
      <c r="Y90" s="4"/>
      <c r="Z90" s="12">
        <f>IF(T90=0,0,X90/T90)</f>
        <v>0.31704172241819728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9" t="s">
        <v>4</v>
      </c>
      <c r="C92" s="29"/>
      <c r="D92" s="35">
        <f>+D88-D90</f>
        <v>-4141.8099999999949</v>
      </c>
      <c r="E92" s="14"/>
      <c r="F92" s="32">
        <f>IF(D$12=0,0,D92/D$12)</f>
        <v>-0.1002867820219342</v>
      </c>
      <c r="G92" s="14"/>
      <c r="H92" s="35">
        <f>+H88-H90</f>
        <v>8750.3740750000034</v>
      </c>
      <c r="I92" s="14"/>
      <c r="J92" s="32">
        <f>IF(H$12=0,0,H92/H$12)</f>
        <v>0.21875935187500009</v>
      </c>
      <c r="K92" s="15"/>
      <c r="L92" s="35">
        <f>D92-H92</f>
        <v>-12892.184074999997</v>
      </c>
      <c r="M92" s="15"/>
      <c r="N92" s="32">
        <f>IF(H92=0,0,L92/H92)</f>
        <v>-1.4733294787743108</v>
      </c>
      <c r="O92" s="28"/>
      <c r="P92" s="35">
        <f>+P88-P90</f>
        <v>11305.610000000013</v>
      </c>
      <c r="Q92" s="14"/>
      <c r="R92" s="32">
        <f>IF(P$12=0,0,P92/P$12)</f>
        <v>0.11215731613144915</v>
      </c>
      <c r="S92" s="14"/>
      <c r="T92" s="35">
        <f>+T88-T90</f>
        <v>-5602.2916249999907</v>
      </c>
      <c r="U92" s="14"/>
      <c r="V92" s="32">
        <f>IF(T$12=0,0,T92/T$12)</f>
        <v>-8.6189101923076786E-2</v>
      </c>
      <c r="W92" s="15"/>
      <c r="X92" s="35">
        <f>P92-T92</f>
        <v>16907.901625000006</v>
      </c>
      <c r="Y92" s="15"/>
      <c r="Z92" s="32">
        <f>IF(T92=0,0,X92/T92)</f>
        <v>-3.0180331115840535</v>
      </c>
    </row>
    <row r="93" spans="1:26" ht="15.75" thickTop="1" x14ac:dyDescent="0.25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x14ac:dyDescent="0.25">
      <c r="A94" s="9"/>
      <c r="B94" s="9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.75" thickBot="1" x14ac:dyDescent="0.3">
      <c r="A95" s="10"/>
      <c r="B95" s="29" t="s">
        <v>5</v>
      </c>
      <c r="C95" s="29"/>
      <c r="D95" s="30">
        <f>SUM(D92:D94)</f>
        <v>-4141.8099999999949</v>
      </c>
      <c r="E95" s="14"/>
      <c r="F95" s="31">
        <f>IF(D$12=0,0,D95/D$12)</f>
        <v>-0.1002867820219342</v>
      </c>
      <c r="G95" s="14"/>
      <c r="H95" s="30">
        <f>SUM(H92:H94)</f>
        <v>8750.3740750000034</v>
      </c>
      <c r="I95" s="14"/>
      <c r="J95" s="31">
        <f>IF(H$12=0,0,H95/H$12)</f>
        <v>0.21875935187500009</v>
      </c>
      <c r="K95" s="15"/>
      <c r="L95" s="30">
        <f>+D95-H95</f>
        <v>-12892.184074999997</v>
      </c>
      <c r="M95" s="15"/>
      <c r="N95" s="31">
        <f>IF(H95=0,0,L95/H95)</f>
        <v>-1.4733294787743108</v>
      </c>
      <c r="O95" s="28"/>
      <c r="P95" s="30">
        <f>SUM(P92:P94)</f>
        <v>11305.610000000013</v>
      </c>
      <c r="Q95" s="14"/>
      <c r="R95" s="31">
        <f>IF(P$12=0,0,P95/P$12)</f>
        <v>0.11215731613144915</v>
      </c>
      <c r="S95" s="14"/>
      <c r="T95" s="30">
        <f>SUM(T92:T94)</f>
        <v>-5602.2916249999907</v>
      </c>
      <c r="U95" s="14"/>
      <c r="V95" s="31">
        <f>IF(T$12=0,0,T95/T$12)</f>
        <v>-8.6189101923076786E-2</v>
      </c>
      <c r="W95" s="15"/>
      <c r="X95" s="30">
        <f>+P95-T95</f>
        <v>16907.901625000006</v>
      </c>
      <c r="Y95" s="15"/>
      <c r="Z95" s="31">
        <f>IF(T95=0,0,X95/T95)</f>
        <v>-3.0180331115840535</v>
      </c>
    </row>
    <row r="96" spans="1:26" ht="15.75" thickTop="1" x14ac:dyDescent="0.25">
      <c r="A96" s="9"/>
      <c r="C96" s="9"/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  <row r="97" spans="1:24" x14ac:dyDescent="0.25">
      <c r="A97" s="9"/>
      <c r="B97" s="53">
        <v>43756.452770405092</v>
      </c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  <row r="98" spans="1:24" x14ac:dyDescent="0.25">
      <c r="A98" s="9"/>
      <c r="B98" s="55" t="s">
        <v>314</v>
      </c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  <row r="99" spans="1:24" x14ac:dyDescent="0.25">
      <c r="A99" s="9"/>
      <c r="B99" s="56"/>
      <c r="D99" s="18"/>
      <c r="E99" s="18"/>
      <c r="G99" s="18"/>
      <c r="H99" s="18"/>
      <c r="I99" s="18"/>
      <c r="J99" s="43"/>
      <c r="K99" s="18"/>
      <c r="L99" s="18"/>
      <c r="M99" s="18"/>
      <c r="P99" s="18"/>
      <c r="Q99" s="18"/>
      <c r="R99" s="43"/>
      <c r="S99" s="18"/>
      <c r="T99" s="18"/>
      <c r="U99" s="18"/>
      <c r="V99" s="43"/>
      <c r="W99" s="18"/>
      <c r="X99" s="18"/>
    </row>
    <row r="100" spans="1:24" x14ac:dyDescent="0.25"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</sheetData>
  <pageMargins left="0.25" right="0.25" top="0.75" bottom="0.75" header="0.3" footer="0.3"/>
  <pageSetup scale="55" fitToWidth="2" orientation="landscape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N64" sqref="N64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str">
        <f>CONCATENATE("Period ",RIGHT(202003,2),", ",2020)</f>
        <v>Period 03, 2020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43736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tr">
        <f>CONCATENATE("Department ","455", " - ", "Vending")</f>
        <v>Department 455 - Vending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12973.7</v>
      </c>
      <c r="E18" s="21"/>
      <c r="F18" s="33">
        <f t="shared" ref="F18:F27" si="0">IF(D$12=0,0,D18/D$12)</f>
        <v>0</v>
      </c>
      <c r="G18" s="21"/>
      <c r="H18" s="21">
        <f>SUM(OSRRefH22x_0)</f>
        <v>5329.3879716076881</v>
      </c>
      <c r="I18" s="21"/>
      <c r="J18" s="33">
        <f t="shared" ref="J18:J27" si="1">IF(H$12=0,0,H18/H$12)</f>
        <v>0</v>
      </c>
      <c r="K18" s="4"/>
      <c r="L18" s="21">
        <f t="shared" ref="L18:L27" si="2">+D18-H18</f>
        <v>7644.3120283923126</v>
      </c>
      <c r="M18" s="4"/>
      <c r="N18" s="33">
        <f t="shared" ref="N18:N27" si="3">IF(H18=0,0,L18/H18)</f>
        <v>1.4343695878621301</v>
      </c>
      <c r="O18" s="10"/>
      <c r="P18" s="21">
        <f>SUM(OSRRefP22x_0)</f>
        <v>29091.4</v>
      </c>
      <c r="Q18" s="21"/>
      <c r="R18" s="33">
        <f t="shared" ref="R18:R27" si="4">IF(P$12=0,0,P18/P$12)</f>
        <v>0</v>
      </c>
      <c r="S18" s="21"/>
      <c r="T18" s="21">
        <f>SUM(OSRRefT22x_0)</f>
        <v>17320.510907724991</v>
      </c>
      <c r="U18" s="21"/>
      <c r="V18" s="33">
        <f t="shared" ref="V18:V27" si="5">IF(T$12=0,0,T18/T$12)</f>
        <v>0</v>
      </c>
      <c r="W18" s="4"/>
      <c r="X18" s="21">
        <f t="shared" ref="X18:X27" si="6">+P18-T18</f>
        <v>11770.889092275011</v>
      </c>
      <c r="Y18" s="4"/>
      <c r="Z18" s="33">
        <f t="shared" ref="Z18:Z27" si="7">IF(T18=0,0,X18/T18)</f>
        <v>0.67959248748402479</v>
      </c>
    </row>
    <row r="19" spans="1:26" s="26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8834.52</v>
      </c>
      <c r="E19" s="1"/>
      <c r="F19" s="5">
        <f t="shared" si="0"/>
        <v>0</v>
      </c>
      <c r="G19" s="1"/>
      <c r="H19" s="1">
        <f>SUM(OSRRefH22_0x_0)</f>
        <v>1212.7235869923079</v>
      </c>
      <c r="I19" s="1"/>
      <c r="J19" s="5">
        <f t="shared" si="1"/>
        <v>0</v>
      </c>
      <c r="K19" s="1"/>
      <c r="L19" s="1">
        <f t="shared" si="2"/>
        <v>7621.7964130076925</v>
      </c>
      <c r="M19" s="1"/>
      <c r="N19" s="5">
        <f t="shared" si="3"/>
        <v>6.2848587219372982</v>
      </c>
      <c r="O19" s="13"/>
      <c r="P19" s="1">
        <f>SUM(OSRRefP22_0x_0)</f>
        <v>15803.59</v>
      </c>
      <c r="Q19" s="1"/>
      <c r="R19" s="5">
        <f t="shared" si="4"/>
        <v>0</v>
      </c>
      <c r="S19" s="1"/>
      <c r="T19" s="1">
        <f>SUM(OSRRefT22_0x_0)</f>
        <v>3941.3516577249998</v>
      </c>
      <c r="U19" s="1"/>
      <c r="V19" s="5">
        <f t="shared" si="5"/>
        <v>0</v>
      </c>
      <c r="W19" s="1"/>
      <c r="X19" s="1">
        <f t="shared" si="6"/>
        <v>11862.238342275001</v>
      </c>
      <c r="Y19" s="1"/>
      <c r="Z19" s="5">
        <f t="shared" si="7"/>
        <v>3.0096878869017338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7">
        <v>384.92</v>
      </c>
      <c r="E20" s="2"/>
      <c r="F20" s="6">
        <f t="shared" si="0"/>
        <v>0</v>
      </c>
      <c r="G20" s="2"/>
      <c r="H20" s="7">
        <v>350.05369483846198</v>
      </c>
      <c r="I20" s="2"/>
      <c r="J20" s="6">
        <f t="shared" si="1"/>
        <v>0</v>
      </c>
      <c r="K20" s="2"/>
      <c r="L20" s="7">
        <f t="shared" si="2"/>
        <v>34.866305161538037</v>
      </c>
      <c r="M20" s="2"/>
      <c r="N20" s="6">
        <f t="shared" si="3"/>
        <v>9.9602734310882401E-2</v>
      </c>
      <c r="O20" s="11"/>
      <c r="P20" s="7">
        <v>1084.76</v>
      </c>
      <c r="Q20" s="2"/>
      <c r="R20" s="6">
        <f t="shared" si="4"/>
        <v>0</v>
      </c>
      <c r="S20" s="2"/>
      <c r="T20" s="7">
        <v>1137.6745082250011</v>
      </c>
      <c r="U20" s="2"/>
      <c r="V20" s="6">
        <f t="shared" si="5"/>
        <v>0</v>
      </c>
      <c r="W20" s="2"/>
      <c r="X20" s="7">
        <f t="shared" si="6"/>
        <v>-52.9145082250011</v>
      </c>
      <c r="Y20" s="2"/>
      <c r="Z20" s="6">
        <f t="shared" si="7"/>
        <v>-4.6511113541216877E-2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7">
        <v>17.11</v>
      </c>
      <c r="E21" s="2"/>
      <c r="F21" s="6">
        <f t="shared" si="0"/>
        <v>0</v>
      </c>
      <c r="G21" s="2"/>
      <c r="H21" s="7">
        <v>0</v>
      </c>
      <c r="I21" s="2"/>
      <c r="J21" s="6">
        <f t="shared" si="1"/>
        <v>0</v>
      </c>
      <c r="K21" s="2"/>
      <c r="L21" s="7">
        <f t="shared" si="2"/>
        <v>17.11</v>
      </c>
      <c r="M21" s="2"/>
      <c r="N21" s="6">
        <f t="shared" si="3"/>
        <v>0</v>
      </c>
      <c r="O21" s="11"/>
      <c r="P21" s="7">
        <v>372.05</v>
      </c>
      <c r="Q21" s="2"/>
      <c r="R21" s="6">
        <f t="shared" si="4"/>
        <v>0</v>
      </c>
      <c r="S21" s="2"/>
      <c r="T21" s="7">
        <v>0</v>
      </c>
      <c r="U21" s="2"/>
      <c r="V21" s="6">
        <f t="shared" si="5"/>
        <v>0</v>
      </c>
      <c r="W21" s="2"/>
      <c r="X21" s="7">
        <f t="shared" si="6"/>
        <v>372.05</v>
      </c>
      <c r="Y21" s="2"/>
      <c r="Z21" s="6">
        <f t="shared" si="7"/>
        <v>0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7">
        <v>931.95</v>
      </c>
      <c r="E22" s="2"/>
      <c r="F22" s="6">
        <f t="shared" si="0"/>
        <v>0</v>
      </c>
      <c r="G22" s="2"/>
      <c r="H22" s="7">
        <v>0</v>
      </c>
      <c r="I22" s="2"/>
      <c r="J22" s="6">
        <f t="shared" si="1"/>
        <v>0</v>
      </c>
      <c r="K22" s="2"/>
      <c r="L22" s="7">
        <f t="shared" si="2"/>
        <v>931.95</v>
      </c>
      <c r="M22" s="2"/>
      <c r="N22" s="6">
        <f t="shared" si="3"/>
        <v>0</v>
      </c>
      <c r="O22" s="11"/>
      <c r="P22" s="7">
        <v>2795.85</v>
      </c>
      <c r="Q22" s="2"/>
      <c r="R22" s="6">
        <f t="shared" si="4"/>
        <v>0</v>
      </c>
      <c r="S22" s="2"/>
      <c r="T22" s="7">
        <v>0</v>
      </c>
      <c r="U22" s="2"/>
      <c r="V22" s="6">
        <f t="shared" si="5"/>
        <v>0</v>
      </c>
      <c r="W22" s="2"/>
      <c r="X22" s="7">
        <f t="shared" si="6"/>
        <v>2795.85</v>
      </c>
      <c r="Y22" s="2"/>
      <c r="Z22" s="6">
        <f t="shared" si="7"/>
        <v>0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7">
        <v>13.08</v>
      </c>
      <c r="E23" s="2"/>
      <c r="F23" s="6">
        <f t="shared" si="0"/>
        <v>0</v>
      </c>
      <c r="G23" s="2"/>
      <c r="H23" s="7">
        <v>11.892586</v>
      </c>
      <c r="I23" s="2"/>
      <c r="J23" s="6">
        <f t="shared" si="1"/>
        <v>0</v>
      </c>
      <c r="K23" s="2"/>
      <c r="L23" s="7">
        <f t="shared" si="2"/>
        <v>1.1874140000000004</v>
      </c>
      <c r="M23" s="2"/>
      <c r="N23" s="6">
        <f t="shared" si="3"/>
        <v>9.9844894962289987E-2</v>
      </c>
      <c r="O23" s="11"/>
      <c r="P23" s="7">
        <v>36.86</v>
      </c>
      <c r="Q23" s="2"/>
      <c r="R23" s="6">
        <f t="shared" si="4"/>
        <v>0</v>
      </c>
      <c r="S23" s="2"/>
      <c r="T23" s="7">
        <v>38.650904500000003</v>
      </c>
      <c r="U23" s="2"/>
      <c r="V23" s="6">
        <f t="shared" si="5"/>
        <v>0</v>
      </c>
      <c r="W23" s="2"/>
      <c r="X23" s="7">
        <f t="shared" si="6"/>
        <v>-1.7909045000000035</v>
      </c>
      <c r="Y23" s="2"/>
      <c r="Z23" s="6">
        <f t="shared" si="7"/>
        <v>-4.6335383949423575E-2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7">
        <v>514.27</v>
      </c>
      <c r="E24" s="2"/>
      <c r="F24" s="6">
        <f t="shared" si="0"/>
        <v>0</v>
      </c>
      <c r="G24" s="2"/>
      <c r="H24" s="7">
        <v>393.37015230769197</v>
      </c>
      <c r="I24" s="2"/>
      <c r="J24" s="6">
        <f t="shared" si="1"/>
        <v>0</v>
      </c>
      <c r="K24" s="2"/>
      <c r="L24" s="7">
        <f t="shared" si="2"/>
        <v>120.89984769230801</v>
      </c>
      <c r="M24" s="2"/>
      <c r="N24" s="6">
        <f t="shared" si="3"/>
        <v>0.3073437244362679</v>
      </c>
      <c r="O24" s="11"/>
      <c r="P24" s="7">
        <v>1449.31</v>
      </c>
      <c r="Q24" s="2"/>
      <c r="R24" s="6">
        <f t="shared" si="4"/>
        <v>0</v>
      </c>
      <c r="S24" s="2"/>
      <c r="T24" s="7">
        <v>1278.452994999999</v>
      </c>
      <c r="U24" s="2"/>
      <c r="V24" s="6">
        <f t="shared" si="5"/>
        <v>0</v>
      </c>
      <c r="W24" s="2"/>
      <c r="X24" s="7">
        <f t="shared" si="6"/>
        <v>170.85700500000098</v>
      </c>
      <c r="Y24" s="2"/>
      <c r="Z24" s="6">
        <f t="shared" si="7"/>
        <v>0.13364355644534362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5"/>
      <c r="B26" s="11" t="str">
        <f>CONCATENATE("          ", "6118", " - ", "VACATION")</f>
        <v xml:space="preserve">          6118 - VACATION</v>
      </c>
      <c r="C26" s="11"/>
      <c r="D26" s="7">
        <v>1578.84</v>
      </c>
      <c r="E26" s="2"/>
      <c r="F26" s="6">
        <f t="shared" si="0"/>
        <v>0</v>
      </c>
      <c r="G26" s="2"/>
      <c r="H26" s="7">
        <v>457.40715384615396</v>
      </c>
      <c r="I26" s="2"/>
      <c r="J26" s="6">
        <f t="shared" si="1"/>
        <v>0</v>
      </c>
      <c r="K26" s="2"/>
      <c r="L26" s="7">
        <f t="shared" si="2"/>
        <v>1121.432846153846</v>
      </c>
      <c r="M26" s="2"/>
      <c r="N26" s="6">
        <f t="shared" si="3"/>
        <v>2.4517168931971556</v>
      </c>
      <c r="O26" s="11"/>
      <c r="P26" s="7">
        <v>2757.09</v>
      </c>
      <c r="Q26" s="2"/>
      <c r="R26" s="6">
        <f t="shared" si="4"/>
        <v>0</v>
      </c>
      <c r="S26" s="2"/>
      <c r="T26" s="7">
        <v>1486.5732499999999</v>
      </c>
      <c r="U26" s="2"/>
      <c r="V26" s="6">
        <f t="shared" si="5"/>
        <v>0</v>
      </c>
      <c r="W26" s="2"/>
      <c r="X26" s="7">
        <f t="shared" si="6"/>
        <v>1270.5167500000002</v>
      </c>
      <c r="Y26" s="2"/>
      <c r="Z26" s="6">
        <f t="shared" si="7"/>
        <v>0.85466138315081364</v>
      </c>
    </row>
    <row r="27" spans="1:26" s="24" customFormat="1" hidden="1" outlineLevel="2" x14ac:dyDescent="0.25">
      <c r="A27" s="25"/>
      <c r="B27" s="11" t="str">
        <f>CONCATENATE("          ", "6119", " - ", "SICK LEAVE")</f>
        <v xml:space="preserve">          6119 - SICK LEAVE</v>
      </c>
      <c r="C27" s="11"/>
      <c r="D27" s="7">
        <v>5394.35</v>
      </c>
      <c r="E27" s="2"/>
      <c r="F27" s="6">
        <f t="shared" si="0"/>
        <v>0</v>
      </c>
      <c r="G27" s="2"/>
      <c r="H27" s="7">
        <v>0</v>
      </c>
      <c r="I27" s="2"/>
      <c r="J27" s="6">
        <f t="shared" si="1"/>
        <v>0</v>
      </c>
      <c r="K27" s="2"/>
      <c r="L27" s="7">
        <f t="shared" si="2"/>
        <v>5394.35</v>
      </c>
      <c r="M27" s="2"/>
      <c r="N27" s="6">
        <f t="shared" si="3"/>
        <v>0</v>
      </c>
      <c r="O27" s="11"/>
      <c r="P27" s="7">
        <v>7307.67</v>
      </c>
      <c r="Q27" s="2"/>
      <c r="R27" s="6">
        <f t="shared" si="4"/>
        <v>0</v>
      </c>
      <c r="S27" s="2"/>
      <c r="T27" s="7">
        <v>0</v>
      </c>
      <c r="U27" s="2"/>
      <c r="V27" s="6">
        <f t="shared" si="5"/>
        <v>0</v>
      </c>
      <c r="W27" s="2"/>
      <c r="X27" s="7">
        <f t="shared" si="6"/>
        <v>7307.67</v>
      </c>
      <c r="Y27" s="2"/>
      <c r="Z27" s="6">
        <f t="shared" si="7"/>
        <v>0</v>
      </c>
    </row>
    <row r="28" spans="1:26" s="26" customFormat="1" outlineLevel="1" collapsed="1" x14ac:dyDescent="0.25">
      <c r="A28" s="27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4139.18</v>
      </c>
      <c r="E28" s="1"/>
      <c r="F28" s="5">
        <f t="shared" ref="F28:F38" si="8">IF(D$12=0,0,D28/D$12)</f>
        <v>0</v>
      </c>
      <c r="G28" s="1"/>
      <c r="H28" s="1">
        <f>SUM(OSRRefH22_1x_0)</f>
        <v>4116.6643846153802</v>
      </c>
      <c r="I28" s="1"/>
      <c r="J28" s="5">
        <f t="shared" ref="J28:J38" si="9">IF(H$12=0,0,H28/H$12)</f>
        <v>0</v>
      </c>
      <c r="K28" s="1"/>
      <c r="L28" s="1">
        <f t="shared" ref="L28:L38" si="10">+D28-H28</f>
        <v>22.515615384620105</v>
      </c>
      <c r="M28" s="1"/>
      <c r="N28" s="5">
        <f t="shared" ref="N28:N38" si="11">IF(H28=0,0,L28/H28)</f>
        <v>5.4693832872955315E-3</v>
      </c>
      <c r="O28" s="13"/>
      <c r="P28" s="1">
        <f>SUM(OSRRefP22_1x_0)</f>
        <v>13287.81</v>
      </c>
      <c r="Q28" s="1"/>
      <c r="R28" s="5">
        <f t="shared" ref="R28:R38" si="12">IF(P$12=0,0,P28/P$12)</f>
        <v>0</v>
      </c>
      <c r="S28" s="1"/>
      <c r="T28" s="1">
        <f>SUM(OSRRefT22_1x_0)</f>
        <v>13379.15924999999</v>
      </c>
      <c r="U28" s="1"/>
      <c r="V28" s="5">
        <f t="shared" ref="V28:V38" si="13">IF(T$12=0,0,T28/T$12)</f>
        <v>0</v>
      </c>
      <c r="W28" s="1"/>
      <c r="X28" s="1">
        <f t="shared" ref="X28:X38" si="14">+P28-T28</f>
        <v>-91.349249999990207</v>
      </c>
      <c r="Y28" s="1"/>
      <c r="Z28" s="5">
        <f t="shared" ref="Z28:Z38" si="15">IF(T28=0,0,X28/T28)</f>
        <v>-6.827727235550341E-3</v>
      </c>
    </row>
    <row r="29" spans="1:26" s="24" customFormat="1" hidden="1" outlineLevel="2" x14ac:dyDescent="0.25">
      <c r="A29" s="25"/>
      <c r="B29" s="11" t="str">
        <f>CONCATENATE("          ", "6001", " - ", "ADMINISTRATIVE SALARIES")</f>
        <v xml:space="preserve">          6001 - ADMINISTRATIVE SALARIES</v>
      </c>
      <c r="C29" s="11"/>
      <c r="D29" s="7">
        <v>4139.18</v>
      </c>
      <c r="E29" s="2"/>
      <c r="F29" s="6">
        <f t="shared" si="8"/>
        <v>0</v>
      </c>
      <c r="G29" s="2"/>
      <c r="H29" s="7">
        <v>4116.6643846153802</v>
      </c>
      <c r="I29" s="2"/>
      <c r="J29" s="6">
        <f t="shared" si="9"/>
        <v>0</v>
      </c>
      <c r="K29" s="2"/>
      <c r="L29" s="7">
        <f t="shared" si="10"/>
        <v>22.515615384620105</v>
      </c>
      <c r="M29" s="2"/>
      <c r="N29" s="6">
        <f t="shared" si="11"/>
        <v>5.4693832872955315E-3</v>
      </c>
      <c r="O29" s="11"/>
      <c r="P29" s="7">
        <v>13287.81</v>
      </c>
      <c r="Q29" s="2"/>
      <c r="R29" s="6">
        <f t="shared" si="12"/>
        <v>0</v>
      </c>
      <c r="S29" s="2"/>
      <c r="T29" s="7">
        <v>13379.15924999999</v>
      </c>
      <c r="U29" s="2"/>
      <c r="V29" s="6">
        <f t="shared" si="13"/>
        <v>0</v>
      </c>
      <c r="W29" s="2"/>
      <c r="X29" s="7">
        <f t="shared" si="14"/>
        <v>-91.349249999990207</v>
      </c>
      <c r="Y29" s="2"/>
      <c r="Z29" s="6">
        <f t="shared" si="15"/>
        <v>-6.827727235550341E-3</v>
      </c>
    </row>
    <row r="30" spans="1:26" s="24" customFormat="1" hidden="1" outlineLevel="2" x14ac:dyDescent="0.25">
      <c r="A30" s="25"/>
      <c r="B30" s="11" t="str">
        <f>CONCATENATE("          ", "6002", " - ", "STAFF SALARIES")</f>
        <v xml:space="preserve">          6002 - STAFF SALARIES</v>
      </c>
      <c r="C30" s="11"/>
      <c r="D30" s="7"/>
      <c r="E30" s="2"/>
      <c r="F30" s="6">
        <f t="shared" si="8"/>
        <v>0</v>
      </c>
      <c r="G30" s="2"/>
      <c r="H30" s="7">
        <v>0</v>
      </c>
      <c r="I30" s="2"/>
      <c r="J30" s="6">
        <f t="shared" si="9"/>
        <v>0</v>
      </c>
      <c r="K30" s="2"/>
      <c r="L30" s="7">
        <f t="shared" si="10"/>
        <v>0</v>
      </c>
      <c r="M30" s="2"/>
      <c r="N30" s="6">
        <f t="shared" si="11"/>
        <v>0</v>
      </c>
      <c r="O30" s="11"/>
      <c r="P30" s="7">
        <v>0</v>
      </c>
      <c r="Q30" s="2"/>
      <c r="R30" s="6">
        <f t="shared" si="12"/>
        <v>0</v>
      </c>
      <c r="S30" s="2"/>
      <c r="T30" s="7">
        <v>0</v>
      </c>
      <c r="U30" s="2"/>
      <c r="V30" s="6">
        <f t="shared" si="13"/>
        <v>0</v>
      </c>
      <c r="W30" s="2"/>
      <c r="X30" s="7">
        <f t="shared" si="14"/>
        <v>0</v>
      </c>
      <c r="Y30" s="2"/>
      <c r="Z30" s="6">
        <f t="shared" si="15"/>
        <v>0</v>
      </c>
    </row>
    <row r="31" spans="1:26" s="24" customFormat="1" hidden="1" outlineLevel="2" x14ac:dyDescent="0.25">
      <c r="A31" s="25"/>
      <c r="B31" s="11" t="str">
        <f>CONCATENATE("          ", "6003", " - ", "STAFF HOURLY-9 MONTH")</f>
        <v xml:space="preserve">          6003 - STAFF HOURLY-9 MONTH</v>
      </c>
      <c r="C31" s="11"/>
      <c r="D31" s="7"/>
      <c r="E31" s="2"/>
      <c r="F31" s="6">
        <f t="shared" si="8"/>
        <v>0</v>
      </c>
      <c r="G31" s="2"/>
      <c r="H31" s="7">
        <v>0</v>
      </c>
      <c r="I31" s="2"/>
      <c r="J31" s="6">
        <f t="shared" si="9"/>
        <v>0</v>
      </c>
      <c r="K31" s="2"/>
      <c r="L31" s="7">
        <f t="shared" si="10"/>
        <v>0</v>
      </c>
      <c r="M31" s="2"/>
      <c r="N31" s="6">
        <f t="shared" si="11"/>
        <v>0</v>
      </c>
      <c r="O31" s="11"/>
      <c r="P31" s="7"/>
      <c r="Q31" s="2"/>
      <c r="R31" s="6">
        <f t="shared" si="12"/>
        <v>0</v>
      </c>
      <c r="S31" s="2"/>
      <c r="T31" s="7">
        <v>0</v>
      </c>
      <c r="U31" s="2"/>
      <c r="V31" s="6">
        <f t="shared" si="13"/>
        <v>0</v>
      </c>
      <c r="W31" s="2"/>
      <c r="X31" s="7">
        <f t="shared" si="14"/>
        <v>0</v>
      </c>
      <c r="Y31" s="2"/>
      <c r="Z31" s="6">
        <f t="shared" si="15"/>
        <v>0</v>
      </c>
    </row>
    <row r="32" spans="1:26" s="24" customFormat="1" hidden="1" outlineLevel="2" x14ac:dyDescent="0.25">
      <c r="A32" s="25"/>
      <c r="B32" s="11" t="str">
        <f>CONCATENATE("          ", "6004", " - ", "STAFF HOURLY")</f>
        <v xml:space="preserve">          6004 - STAFF HOURLY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5"/>
      <c r="B33" s="11" t="str">
        <f>CONCATENATE("          ", "6005", " - ", "TEMPORARY WAGES-HOURLY")</f>
        <v xml:space="preserve">          6005 - TEMPORARY WAGES-HOURLY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5"/>
      <c r="B34" s="11" t="str">
        <f>CONCATENATE("          ", "6006", " - ", "TEMPORARY PART TIME")</f>
        <v xml:space="preserve">          6006 - TEMPORARY PART TIME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25">
      <c r="A35" s="25"/>
      <c r="B35" s="11" t="str">
        <f>CONCATENATE("          ", "6007", " - ", "STUDENT HOURLY")</f>
        <v xml:space="preserve">          6007 - STUDENT HOURLY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5"/>
      <c r="B36" s="11" t="str">
        <f>CONCATENATE("          ", "6008", " - ", "STUDENT HOURLY-FICA EXEMPT")</f>
        <v xml:space="preserve">          6008 - STUDENT HOURLY-FICA EXEMPT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5"/>
      <c r="B37" s="11" t="str">
        <f>CONCATENATE("          ", "6009", " - ", "TEMPORARY-SEASONAL")</f>
        <v xml:space="preserve">          6009 - TEMPORARY-SEASONAL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5"/>
      <c r="B38" s="11" t="str">
        <f>CONCATENATE("          ", "6010", " - ", "GRATUITY")</f>
        <v xml:space="preserve">          6010 - GRATUITY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63" customFormat="1" x14ac:dyDescent="0.25">
      <c r="A39" s="36"/>
      <c r="B39" s="36"/>
      <c r="C39" s="36"/>
      <c r="D39" s="1"/>
      <c r="E39" s="1"/>
      <c r="F39" s="5"/>
      <c r="G39" s="1"/>
      <c r="H39" s="1"/>
      <c r="I39" s="1"/>
      <c r="J39" s="5"/>
      <c r="K39" s="1"/>
      <c r="L39" s="1"/>
      <c r="M39" s="1"/>
      <c r="N39" s="5"/>
      <c r="O39" s="36"/>
      <c r="P39" s="1"/>
      <c r="Q39" s="1"/>
      <c r="R39" s="5"/>
      <c r="S39" s="1"/>
      <c r="T39" s="1"/>
      <c r="U39" s="1"/>
      <c r="V39" s="5"/>
      <c r="W39" s="1"/>
      <c r="X39" s="1"/>
      <c r="Y39" s="1"/>
      <c r="Z39" s="5"/>
    </row>
    <row r="40" spans="1:26" s="23" customFormat="1" collapsed="1" x14ac:dyDescent="0.25">
      <c r="A40" s="10"/>
      <c r="B40" s="28" t="s">
        <v>0</v>
      </c>
      <c r="C40" s="10"/>
      <c r="D40" s="4">
        <f>SUM(OSRRefD25x_0)</f>
        <v>218527.34</v>
      </c>
      <c r="E40" s="4"/>
      <c r="F40" s="12">
        <f t="shared" ref="F40:F44" si="16">IF(D$12=0,0,D40/D$12)</f>
        <v>0</v>
      </c>
      <c r="G40" s="4"/>
      <c r="H40" s="4">
        <f>SUM(OSRRefH25x_0)</f>
        <v>199354</v>
      </c>
      <c r="I40" s="4"/>
      <c r="J40" s="12">
        <f t="shared" ref="J40:J44" si="17">IF(H$12=0,0,H40/H$12)</f>
        <v>0</v>
      </c>
      <c r="K40" s="4"/>
      <c r="L40" s="4">
        <f t="shared" ref="L40:L44" si="18">+D40-H40</f>
        <v>19173.339999999997</v>
      </c>
      <c r="M40" s="4"/>
      <c r="N40" s="12">
        <f t="shared" ref="N40:N44" si="19">IF(H40=0,0,L40/H40)</f>
        <v>9.6177352849704523E-2</v>
      </c>
      <c r="O40" s="10"/>
      <c r="P40" s="4">
        <f>SUM(OSRRefP25x_0)</f>
        <v>235123.12</v>
      </c>
      <c r="Q40" s="4"/>
      <c r="R40" s="12">
        <f t="shared" ref="R40:R44" si="20">IF(P$12=0,0,P40/P$12)</f>
        <v>0</v>
      </c>
      <c r="S40" s="4"/>
      <c r="T40" s="4">
        <f>SUM(OSRRefT25x_0)</f>
        <v>233141</v>
      </c>
      <c r="U40" s="4"/>
      <c r="V40" s="12">
        <f t="shared" ref="V40:V44" si="21">IF(T$12=0,0,T40/T$12)</f>
        <v>0</v>
      </c>
      <c r="W40" s="4"/>
      <c r="X40" s="4">
        <f t="shared" ref="X40:X44" si="22">+P40-T40</f>
        <v>1982.1199999999953</v>
      </c>
      <c r="Y40" s="4"/>
      <c r="Z40" s="12">
        <f t="shared" ref="Z40:Z44" si="23">IF(T40=0,0,X40/T40)</f>
        <v>8.5018079188130587E-3</v>
      </c>
    </row>
    <row r="41" spans="1:26" s="24" customFormat="1" hidden="1" outlineLevel="1" x14ac:dyDescent="0.25">
      <c r="A41" s="46"/>
      <c r="B41" s="11" t="str">
        <f>CONCATENATE("          ", "9150", " - ", "MISC. INCOME")</f>
        <v xml:space="preserve">          9150 - MISC. INCOME</v>
      </c>
      <c r="C41" s="11"/>
      <c r="D41" s="2">
        <f t="shared" ref="D41:D42" si="24">0</f>
        <v>0</v>
      </c>
      <c r="E41" s="2"/>
      <c r="F41" s="19">
        <f t="shared" si="16"/>
        <v>0</v>
      </c>
      <c r="G41" s="2"/>
      <c r="H41" s="2">
        <v>0</v>
      </c>
      <c r="I41" s="2"/>
      <c r="J41" s="19">
        <f t="shared" si="17"/>
        <v>0</v>
      </c>
      <c r="K41" s="2"/>
      <c r="L41" s="2">
        <f t="shared" si="18"/>
        <v>0</v>
      </c>
      <c r="M41" s="2"/>
      <c r="N41" s="19">
        <f t="shared" si="19"/>
        <v>0</v>
      </c>
      <c r="O41" s="11"/>
      <c r="P41" s="2">
        <f t="shared" ref="P41:P42" si="25">0</f>
        <v>0</v>
      </c>
      <c r="Q41" s="2"/>
      <c r="R41" s="19">
        <f t="shared" si="20"/>
        <v>0</v>
      </c>
      <c r="S41" s="2"/>
      <c r="T41" s="2">
        <v>14943</v>
      </c>
      <c r="U41" s="2"/>
      <c r="V41" s="19">
        <f t="shared" si="21"/>
        <v>0</v>
      </c>
      <c r="W41" s="2"/>
      <c r="X41" s="2">
        <f t="shared" si="22"/>
        <v>-14943</v>
      </c>
      <c r="Y41" s="2"/>
      <c r="Z41" s="19">
        <f t="shared" si="23"/>
        <v>-1</v>
      </c>
    </row>
    <row r="42" spans="1:26" s="24" customFormat="1" hidden="1" outlineLevel="1" x14ac:dyDescent="0.25">
      <c r="A42" s="46"/>
      <c r="B42" s="11" t="str">
        <f>CONCATENATE("          ", "9151", " - ", "MISC. INCOME")</f>
        <v xml:space="preserve">          9151 - MISC. INCOME</v>
      </c>
      <c r="C42" s="11"/>
      <c r="D42" s="2">
        <f t="shared" si="24"/>
        <v>0</v>
      </c>
      <c r="E42" s="2"/>
      <c r="F42" s="19">
        <f t="shared" si="16"/>
        <v>0</v>
      </c>
      <c r="G42" s="2"/>
      <c r="H42" s="2">
        <v>199354</v>
      </c>
      <c r="I42" s="2"/>
      <c r="J42" s="19">
        <f t="shared" si="17"/>
        <v>0</v>
      </c>
      <c r="K42" s="2"/>
      <c r="L42" s="2">
        <f t="shared" si="18"/>
        <v>-199354</v>
      </c>
      <c r="M42" s="2"/>
      <c r="N42" s="19">
        <f t="shared" si="19"/>
        <v>-1</v>
      </c>
      <c r="O42" s="11"/>
      <c r="P42" s="2">
        <f t="shared" si="25"/>
        <v>0</v>
      </c>
      <c r="Q42" s="2"/>
      <c r="R42" s="19">
        <f t="shared" si="20"/>
        <v>0</v>
      </c>
      <c r="S42" s="2"/>
      <c r="T42" s="2">
        <v>218198</v>
      </c>
      <c r="U42" s="2"/>
      <c r="V42" s="19">
        <f t="shared" si="21"/>
        <v>0</v>
      </c>
      <c r="W42" s="2"/>
      <c r="X42" s="2">
        <f t="shared" si="22"/>
        <v>-218198</v>
      </c>
      <c r="Y42" s="2"/>
      <c r="Z42" s="19">
        <f t="shared" si="23"/>
        <v>-1</v>
      </c>
    </row>
    <row r="43" spans="1:26" s="24" customFormat="1" hidden="1" outlineLevel="1" x14ac:dyDescent="0.25">
      <c r="A43" s="46"/>
      <c r="B43" s="11" t="str">
        <f>CONCATENATE("          ", "9160", " - ", "MISC. INCOME")</f>
        <v xml:space="preserve">          9160 - MISC. INCOME</v>
      </c>
      <c r="C43" s="11"/>
      <c r="D43" s="2">
        <f>--20000</f>
        <v>20000</v>
      </c>
      <c r="E43" s="2"/>
      <c r="F43" s="19">
        <f t="shared" si="16"/>
        <v>0</v>
      </c>
      <c r="G43" s="2"/>
      <c r="H43" s="2"/>
      <c r="I43" s="2"/>
      <c r="J43" s="19">
        <f t="shared" si="17"/>
        <v>0</v>
      </c>
      <c r="K43" s="2"/>
      <c r="L43" s="2">
        <f t="shared" si="18"/>
        <v>20000</v>
      </c>
      <c r="M43" s="2"/>
      <c r="N43" s="19">
        <f t="shared" si="19"/>
        <v>0</v>
      </c>
      <c r="O43" s="11"/>
      <c r="P43" s="2">
        <f>--29962.34</f>
        <v>29962.34</v>
      </c>
      <c r="Q43" s="2"/>
      <c r="R43" s="19">
        <f t="shared" si="20"/>
        <v>0</v>
      </c>
      <c r="S43" s="2"/>
      <c r="T43" s="2"/>
      <c r="U43" s="2"/>
      <c r="V43" s="19">
        <f t="shared" si="21"/>
        <v>0</v>
      </c>
      <c r="W43" s="2"/>
      <c r="X43" s="2">
        <f t="shared" si="22"/>
        <v>29962.34</v>
      </c>
      <c r="Y43" s="2"/>
      <c r="Z43" s="19">
        <f t="shared" si="23"/>
        <v>0</v>
      </c>
    </row>
    <row r="44" spans="1:26" s="24" customFormat="1" hidden="1" outlineLevel="1" x14ac:dyDescent="0.25">
      <c r="A44" s="46"/>
      <c r="B44" s="11" t="str">
        <f>CONCATENATE("          ", "9165", " - ", "OTHER INCOME")</f>
        <v xml:space="preserve">          9165 - OTHER INCOME</v>
      </c>
      <c r="C44" s="11"/>
      <c r="D44" s="2">
        <f>--198527.34</f>
        <v>198527.34</v>
      </c>
      <c r="E44" s="2"/>
      <c r="F44" s="19">
        <f t="shared" si="16"/>
        <v>0</v>
      </c>
      <c r="G44" s="2"/>
      <c r="H44" s="2"/>
      <c r="I44" s="2"/>
      <c r="J44" s="19">
        <f t="shared" si="17"/>
        <v>0</v>
      </c>
      <c r="K44" s="2"/>
      <c r="L44" s="2">
        <f t="shared" si="18"/>
        <v>198527.34</v>
      </c>
      <c r="M44" s="2"/>
      <c r="N44" s="19">
        <f t="shared" si="19"/>
        <v>0</v>
      </c>
      <c r="O44" s="11"/>
      <c r="P44" s="2">
        <f>--205160.78</f>
        <v>205160.78</v>
      </c>
      <c r="Q44" s="2"/>
      <c r="R44" s="19">
        <f t="shared" si="20"/>
        <v>0</v>
      </c>
      <c r="S44" s="2"/>
      <c r="T44" s="2"/>
      <c r="U44" s="2"/>
      <c r="V44" s="19">
        <f t="shared" si="21"/>
        <v>0</v>
      </c>
      <c r="W44" s="2"/>
      <c r="X44" s="2">
        <f t="shared" si="22"/>
        <v>205160.78</v>
      </c>
      <c r="Y44" s="2"/>
      <c r="Z44" s="19">
        <f t="shared" si="23"/>
        <v>0</v>
      </c>
    </row>
    <row r="45" spans="1:26" x14ac:dyDescent="0.25">
      <c r="A45" s="9"/>
      <c r="B45" s="10"/>
      <c r="C45" s="10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O45" s="10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x14ac:dyDescent="0.25">
      <c r="A46" s="10"/>
      <c r="B46" s="29" t="s">
        <v>3</v>
      </c>
      <c r="C46" s="29"/>
      <c r="D46" s="22">
        <f>+D16-D18+D40</f>
        <v>205553.63999999998</v>
      </c>
      <c r="E46" s="14"/>
      <c r="F46" s="20">
        <f>IF(D$12=0,0,D46/D$12)</f>
        <v>0</v>
      </c>
      <c r="G46" s="14"/>
      <c r="H46" s="22">
        <f>+H16-H18+H40</f>
        <v>194024.61202839232</v>
      </c>
      <c r="I46" s="14"/>
      <c r="J46" s="20">
        <f>IF(H$12=0,0,H46/H$12)</f>
        <v>0</v>
      </c>
      <c r="K46" s="15"/>
      <c r="L46" s="22">
        <f>+D46-H46</f>
        <v>11529.027971607662</v>
      </c>
      <c r="M46" s="15"/>
      <c r="N46" s="20">
        <f>IF(H46=0,0,L46/H46)</f>
        <v>5.9420440793978124E-2</v>
      </c>
      <c r="O46" s="28"/>
      <c r="P46" s="22">
        <f>+P16-P18+P40</f>
        <v>206031.72</v>
      </c>
      <c r="Q46" s="14"/>
      <c r="R46" s="20">
        <f>IF(P$12=0,0,P46/P$12)</f>
        <v>0</v>
      </c>
      <c r="S46" s="14"/>
      <c r="T46" s="22">
        <f>+T16-T18+T40</f>
        <v>215820.48909227501</v>
      </c>
      <c r="U46" s="14"/>
      <c r="V46" s="20">
        <f>IF(T$12=0,0,T46/T$12)</f>
        <v>0</v>
      </c>
      <c r="W46" s="15"/>
      <c r="X46" s="22">
        <f>+P46-T46</f>
        <v>-9788.7690922750044</v>
      </c>
      <c r="Y46" s="15"/>
      <c r="Z46" s="20">
        <f>IF(T46=0,0,X46/T46)</f>
        <v>-4.5356069451264067E-2</v>
      </c>
    </row>
    <row r="47" spans="1:26" x14ac:dyDescent="0.25">
      <c r="A47" s="9"/>
      <c r="B47" s="10"/>
      <c r="C47" s="9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x14ac:dyDescent="0.25">
      <c r="A48" s="52"/>
      <c r="B48" s="10" t="s">
        <v>14</v>
      </c>
      <c r="C48" s="10"/>
      <c r="D48" s="4"/>
      <c r="E48" s="4"/>
      <c r="F48" s="12">
        <f>IF(D$12=0,0,D48/D$12)</f>
        <v>0</v>
      </c>
      <c r="G48" s="4"/>
      <c r="H48" s="4"/>
      <c r="I48" s="4"/>
      <c r="J48" s="12">
        <f>IF(H$12=0,0,H48/H$12)</f>
        <v>0</v>
      </c>
      <c r="K48" s="4"/>
      <c r="L48" s="4">
        <f>+D48-H48</f>
        <v>0</v>
      </c>
      <c r="M48" s="4"/>
      <c r="N48" s="12">
        <f>IF(H48=0,0,L48/H48)</f>
        <v>0</v>
      </c>
      <c r="O48" s="10"/>
      <c r="P48" s="4"/>
      <c r="Q48" s="4"/>
      <c r="R48" s="12">
        <f>IF(P$12=0,0,P48/P$12)</f>
        <v>0</v>
      </c>
      <c r="S48" s="4"/>
      <c r="T48" s="4"/>
      <c r="U48" s="4"/>
      <c r="V48" s="12">
        <f>IF(T$12=0,0,T48/T$12)</f>
        <v>0</v>
      </c>
      <c r="W48" s="4"/>
      <c r="X48" s="4">
        <f>+P48-T48</f>
        <v>0</v>
      </c>
      <c r="Y48" s="4"/>
      <c r="Z48" s="12">
        <f>IF(T48=0,0,X48/T48)</f>
        <v>0</v>
      </c>
    </row>
    <row r="49" spans="1:26" x14ac:dyDescent="0.25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ht="15.75" thickBot="1" x14ac:dyDescent="0.3">
      <c r="A50" s="10"/>
      <c r="B50" s="29" t="s">
        <v>4</v>
      </c>
      <c r="C50" s="29"/>
      <c r="D50" s="35">
        <f>+D46-D48</f>
        <v>205553.63999999998</v>
      </c>
      <c r="E50" s="14"/>
      <c r="F50" s="32">
        <f>IF(D$12=0,0,D50/D$12)</f>
        <v>0</v>
      </c>
      <c r="G50" s="14"/>
      <c r="H50" s="35">
        <f>+H46-H48</f>
        <v>194024.61202839232</v>
      </c>
      <c r="I50" s="14"/>
      <c r="J50" s="32">
        <f>IF(H$12=0,0,H50/H$12)</f>
        <v>0</v>
      </c>
      <c r="K50" s="15"/>
      <c r="L50" s="35">
        <f>D50-H50</f>
        <v>11529.027971607662</v>
      </c>
      <c r="M50" s="15"/>
      <c r="N50" s="32">
        <f>IF(H50=0,0,L50/H50)</f>
        <v>5.9420440793978124E-2</v>
      </c>
      <c r="O50" s="28"/>
      <c r="P50" s="35">
        <f>+P46-P48</f>
        <v>206031.72</v>
      </c>
      <c r="Q50" s="14"/>
      <c r="R50" s="32">
        <f>IF(P$12=0,0,P50/P$12)</f>
        <v>0</v>
      </c>
      <c r="S50" s="14"/>
      <c r="T50" s="35">
        <f>+T46-T48</f>
        <v>215820.48909227501</v>
      </c>
      <c r="U50" s="14"/>
      <c r="V50" s="32">
        <f>IF(T$12=0,0,T50/T$12)</f>
        <v>0</v>
      </c>
      <c r="W50" s="15"/>
      <c r="X50" s="35">
        <f>P50-T50</f>
        <v>-9788.7690922750044</v>
      </c>
      <c r="Y50" s="15"/>
      <c r="Z50" s="32">
        <f>IF(T50=0,0,X50/T50)</f>
        <v>-4.5356069451264067E-2</v>
      </c>
    </row>
    <row r="51" spans="1:26" ht="15.75" thickTop="1" x14ac:dyDescent="0.25">
      <c r="A51" s="9"/>
      <c r="B51" s="9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x14ac:dyDescent="0.25">
      <c r="A52" s="9"/>
      <c r="B52" s="9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ht="15.75" thickBot="1" x14ac:dyDescent="0.3">
      <c r="A53" s="10"/>
      <c r="B53" s="29" t="s">
        <v>5</v>
      </c>
      <c r="C53" s="29"/>
      <c r="D53" s="30">
        <f>SUM(D50:D52)</f>
        <v>205553.63999999998</v>
      </c>
      <c r="E53" s="14"/>
      <c r="F53" s="31">
        <f>IF(D$12=0,0,D53/D$12)</f>
        <v>0</v>
      </c>
      <c r="G53" s="14"/>
      <c r="H53" s="30">
        <f>SUM(H50:H52)</f>
        <v>194024.61202839232</v>
      </c>
      <c r="I53" s="14"/>
      <c r="J53" s="31">
        <f>IF(H$12=0,0,H53/H$12)</f>
        <v>0</v>
      </c>
      <c r="K53" s="15"/>
      <c r="L53" s="30">
        <f>+D53-H53</f>
        <v>11529.027971607662</v>
      </c>
      <c r="M53" s="15"/>
      <c r="N53" s="31">
        <f>IF(H53=0,0,L53/H53)</f>
        <v>5.9420440793978124E-2</v>
      </c>
      <c r="O53" s="28"/>
      <c r="P53" s="30">
        <f>SUM(P50:P52)</f>
        <v>206031.72</v>
      </c>
      <c r="Q53" s="14"/>
      <c r="R53" s="31">
        <f>IF(P$12=0,0,P53/P$12)</f>
        <v>0</v>
      </c>
      <c r="S53" s="14"/>
      <c r="T53" s="30">
        <f>SUM(T50:T52)</f>
        <v>215820.48909227501</v>
      </c>
      <c r="U53" s="14"/>
      <c r="V53" s="31">
        <f>IF(T$12=0,0,T53/T$12)</f>
        <v>0</v>
      </c>
      <c r="W53" s="15"/>
      <c r="X53" s="30">
        <f>+P53-T53</f>
        <v>-9788.7690922750044</v>
      </c>
      <c r="Y53" s="15"/>
      <c r="Z53" s="31">
        <f>IF(T53=0,0,X53/T53)</f>
        <v>-4.5356069451264067E-2</v>
      </c>
    </row>
    <row r="54" spans="1:26" ht="15.75" thickTop="1" x14ac:dyDescent="0.25">
      <c r="A54" s="9"/>
      <c r="C54" s="9"/>
      <c r="D54" s="18"/>
      <c r="E54" s="18"/>
      <c r="G54" s="18"/>
      <c r="H54" s="18"/>
      <c r="I54" s="18"/>
      <c r="J54" s="43"/>
      <c r="K54" s="18"/>
      <c r="L54" s="18"/>
      <c r="M54" s="18"/>
      <c r="P54" s="18"/>
      <c r="Q54" s="18"/>
      <c r="R54" s="43"/>
      <c r="S54" s="18"/>
      <c r="T54" s="18"/>
      <c r="U54" s="18"/>
      <c r="V54" s="43"/>
      <c r="W54" s="18"/>
      <c r="X54" s="18"/>
    </row>
    <row r="55" spans="1:26" x14ac:dyDescent="0.25">
      <c r="A55" s="9"/>
      <c r="B55" s="53">
        <v>43756.452876354168</v>
      </c>
      <c r="D55" s="18"/>
      <c r="E55" s="18"/>
      <c r="G55" s="18"/>
      <c r="H55" s="18"/>
      <c r="I55" s="18"/>
      <c r="J55" s="43"/>
      <c r="K55" s="18"/>
      <c r="L55" s="18"/>
      <c r="M55" s="18"/>
      <c r="P55" s="18"/>
      <c r="Q55" s="18"/>
      <c r="R55" s="43"/>
      <c r="S55" s="18"/>
      <c r="T55" s="18"/>
      <c r="U55" s="18"/>
      <c r="V55" s="43"/>
      <c r="W55" s="18"/>
      <c r="X55" s="18"/>
    </row>
    <row r="56" spans="1:26" x14ac:dyDescent="0.25">
      <c r="A56" s="9"/>
      <c r="B56" s="55" t="s">
        <v>314</v>
      </c>
      <c r="D56" s="18"/>
      <c r="E56" s="18"/>
      <c r="G56" s="18"/>
      <c r="H56" s="18"/>
      <c r="I56" s="18"/>
      <c r="J56" s="43"/>
      <c r="K56" s="18"/>
      <c r="L56" s="18"/>
      <c r="M56" s="18"/>
      <c r="P56" s="18"/>
      <c r="Q56" s="18"/>
      <c r="R56" s="43"/>
      <c r="S56" s="18"/>
      <c r="T56" s="18"/>
      <c r="U56" s="18"/>
      <c r="V56" s="43"/>
      <c r="W56" s="18"/>
      <c r="X56" s="18"/>
    </row>
    <row r="57" spans="1:26" x14ac:dyDescent="0.25">
      <c r="A57" s="9"/>
      <c r="B57" s="56"/>
      <c r="D57" s="18"/>
      <c r="E57" s="18"/>
      <c r="G57" s="18"/>
      <c r="H57" s="18"/>
      <c r="I57" s="18"/>
      <c r="J57" s="43"/>
      <c r="K57" s="18"/>
      <c r="L57" s="18"/>
      <c r="M57" s="18"/>
      <c r="P57" s="18"/>
      <c r="Q57" s="18"/>
      <c r="R57" s="43"/>
      <c r="S57" s="18"/>
      <c r="T57" s="18"/>
      <c r="U57" s="18"/>
      <c r="V57" s="43"/>
      <c r="W57" s="18"/>
      <c r="X57" s="18"/>
    </row>
    <row r="58" spans="1:26" x14ac:dyDescent="0.25">
      <c r="D58" s="18"/>
      <c r="E58" s="18"/>
      <c r="G58" s="18"/>
      <c r="H58" s="18"/>
      <c r="I58" s="18"/>
      <c r="J58" s="43"/>
      <c r="K58" s="18"/>
      <c r="L58" s="18"/>
      <c r="M58" s="18"/>
      <c r="P58" s="18"/>
      <c r="Q58" s="18"/>
      <c r="R58" s="43"/>
      <c r="S58" s="18"/>
      <c r="T58" s="18"/>
      <c r="U58" s="18"/>
      <c r="V58" s="43"/>
      <c r="W58" s="18"/>
      <c r="X58" s="18"/>
    </row>
  </sheetData>
  <pageMargins left="0.25" right="0.25" top="0.75" bottom="0.75" header="0.3" footer="0.3"/>
  <pageSetup scale="55" fitToWidth="2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">
        <v>300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5"/>
      <c r="L31" s="35" t="e">
        <f ca="1">D31-H31</f>
        <v>#NAME?</v>
      </c>
      <c r="M31" s="15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5"/>
      <c r="X31" s="35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8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str">
        <f>CONCATENATE("Period ",RIGHT(202003,2),", ",2020)</f>
        <v>Period 03, 2020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43736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">
        <v>302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1459282.9000000001</v>
      </c>
      <c r="E12" s="4"/>
      <c r="F12" s="12"/>
      <c r="G12" s="4"/>
      <c r="H12" s="4">
        <f>SUM(OSRRefH13x_0)</f>
        <v>1498639</v>
      </c>
      <c r="I12" s="4"/>
      <c r="J12" s="12"/>
      <c r="K12" s="4"/>
      <c r="L12" s="4">
        <f t="shared" ref="L12:L18" si="0">+D12-H12</f>
        <v>-39356.09999999986</v>
      </c>
      <c r="M12" s="4"/>
      <c r="N12" s="12">
        <f t="shared" ref="N12:N18" si="1">IF(H12=0,0,L12/H12)</f>
        <v>-2.626122768725481E-2</v>
      </c>
      <c r="O12" s="10"/>
      <c r="P12" s="4">
        <f>SUM(OSRRefP13x_0)</f>
        <v>2475318.06</v>
      </c>
      <c r="Q12" s="4"/>
      <c r="R12" s="12"/>
      <c r="S12" s="4"/>
      <c r="T12" s="4">
        <f>SUM(OSRRefT13x_0)</f>
        <v>2470288</v>
      </c>
      <c r="U12" s="4"/>
      <c r="V12" s="12"/>
      <c r="W12" s="4"/>
      <c r="X12" s="4">
        <f t="shared" ref="X12:X18" si="2">+P12-T12</f>
        <v>5030.0600000000559</v>
      </c>
      <c r="Y12" s="4"/>
      <c r="Z12" s="12">
        <f t="shared" ref="Z12:Z18" si="3">IF(T12=0,0,X12/T12)</f>
        <v>2.0362241163783558E-3</v>
      </c>
    </row>
    <row r="13" spans="1:26" s="24" customFormat="1" hidden="1" outlineLevel="1" x14ac:dyDescent="0.25">
      <c r="A13" s="46"/>
      <c r="B13" s="11" t="str">
        <f>CONCATENATE("          ", "4053", " - ", "TAXABLE SALES-FOOD")</f>
        <v xml:space="preserve">          4053 - TAXABLE SALES-FOOD</v>
      </c>
      <c r="C13" s="11"/>
      <c r="D13" s="2">
        <f>--1901.62</f>
        <v>1901.62</v>
      </c>
      <c r="E13" s="2"/>
      <c r="F13" s="19"/>
      <c r="G13" s="2"/>
      <c r="H13" s="2"/>
      <c r="I13" s="2"/>
      <c r="J13" s="19"/>
      <c r="K13" s="2"/>
      <c r="L13" s="2">
        <f t="shared" si="0"/>
        <v>1901.62</v>
      </c>
      <c r="M13" s="2"/>
      <c r="N13" s="19">
        <f t="shared" si="1"/>
        <v>0</v>
      </c>
      <c r="O13" s="11"/>
      <c r="P13" s="2">
        <f>--3334.01</f>
        <v>3334.01</v>
      </c>
      <c r="Q13" s="2"/>
      <c r="R13" s="19"/>
      <c r="S13" s="2"/>
      <c r="T13" s="2"/>
      <c r="U13" s="2"/>
      <c r="V13" s="19"/>
      <c r="W13" s="2"/>
      <c r="X13" s="2">
        <f t="shared" si="2"/>
        <v>3334.01</v>
      </c>
      <c r="Y13" s="2"/>
      <c r="Z13" s="19">
        <f t="shared" si="3"/>
        <v>0</v>
      </c>
    </row>
    <row r="14" spans="1:26" s="24" customFormat="1" hidden="1" outlineLevel="1" x14ac:dyDescent="0.25">
      <c r="A14" s="46"/>
      <c r="B14" s="11" t="str">
        <f>CONCATENATE("          ", "4055", " - ", "TAXABLE SALES-FOOD")</f>
        <v xml:space="preserve">          4055 - TAXABLE SALES-FOOD</v>
      </c>
      <c r="C14" s="11"/>
      <c r="D14" s="2">
        <f>--233.67</f>
        <v>233.67</v>
      </c>
      <c r="E14" s="2"/>
      <c r="F14" s="19"/>
      <c r="G14" s="2"/>
      <c r="H14" s="2"/>
      <c r="I14" s="2"/>
      <c r="J14" s="19"/>
      <c r="K14" s="2"/>
      <c r="L14" s="2">
        <f t="shared" si="0"/>
        <v>233.67</v>
      </c>
      <c r="M14" s="2"/>
      <c r="N14" s="19">
        <f t="shared" si="1"/>
        <v>0</v>
      </c>
      <c r="O14" s="11"/>
      <c r="P14" s="2">
        <f>--279.32</f>
        <v>279.32</v>
      </c>
      <c r="Q14" s="2"/>
      <c r="R14" s="19"/>
      <c r="S14" s="2"/>
      <c r="T14" s="2"/>
      <c r="U14" s="2"/>
      <c r="V14" s="19"/>
      <c r="W14" s="2"/>
      <c r="X14" s="2">
        <f t="shared" si="2"/>
        <v>279.32</v>
      </c>
      <c r="Y14" s="2"/>
      <c r="Z14" s="19">
        <f t="shared" si="3"/>
        <v>0</v>
      </c>
    </row>
    <row r="15" spans="1:26" s="24" customFormat="1" hidden="1" outlineLevel="1" x14ac:dyDescent="0.25">
      <c r="A15" s="46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1498639</v>
      </c>
      <c r="I15" s="2"/>
      <c r="J15" s="19"/>
      <c r="K15" s="2"/>
      <c r="L15" s="2">
        <f t="shared" si="0"/>
        <v>-1498639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2470288</v>
      </c>
      <c r="U15" s="2"/>
      <c r="V15" s="19"/>
      <c r="W15" s="2"/>
      <c r="X15" s="2">
        <f t="shared" si="2"/>
        <v>-2470288</v>
      </c>
      <c r="Y15" s="2"/>
      <c r="Z15" s="19">
        <f t="shared" si="3"/>
        <v>-1</v>
      </c>
    </row>
    <row r="16" spans="1:26" s="24" customFormat="1" hidden="1" outlineLevel="1" x14ac:dyDescent="0.25">
      <c r="A16" s="46"/>
      <c r="B16" s="11" t="str">
        <f>CONCATENATE("          ", "4151", " - ", "NON-TAXABLE SALES-FOOD")</f>
        <v xml:space="preserve">          4151 - NON-TAXABLE SALES-FOOD</v>
      </c>
      <c r="C16" s="11"/>
      <c r="D16" s="2">
        <f>--1416913.83</f>
        <v>1416913.83</v>
      </c>
      <c r="E16" s="2"/>
      <c r="F16" s="19"/>
      <c r="G16" s="2"/>
      <c r="H16" s="2"/>
      <c r="I16" s="2"/>
      <c r="J16" s="19"/>
      <c r="K16" s="2"/>
      <c r="L16" s="2">
        <f t="shared" si="0"/>
        <v>1416913.83</v>
      </c>
      <c r="M16" s="2"/>
      <c r="N16" s="19">
        <f t="shared" si="1"/>
        <v>0</v>
      </c>
      <c r="O16" s="11"/>
      <c r="P16" s="2">
        <f>--2311448.04</f>
        <v>2311448.04</v>
      </c>
      <c r="Q16" s="2"/>
      <c r="R16" s="19"/>
      <c r="S16" s="2"/>
      <c r="T16" s="2"/>
      <c r="U16" s="2"/>
      <c r="V16" s="19"/>
      <c r="W16" s="2"/>
      <c r="X16" s="2">
        <f t="shared" si="2"/>
        <v>2311448.04</v>
      </c>
      <c r="Y16" s="2"/>
      <c r="Z16" s="19">
        <f t="shared" si="3"/>
        <v>0</v>
      </c>
    </row>
    <row r="17" spans="1:26" s="24" customFormat="1" hidden="1" outlineLevel="1" x14ac:dyDescent="0.25">
      <c r="A17" s="46"/>
      <c r="B17" s="11" t="str">
        <f>CONCATENATE("          ", "4153", " - ", "NON-TAXABLE SALES-FOOD")</f>
        <v xml:space="preserve">          4153 - NON-TAXABLE SALES-FOOD</v>
      </c>
      <c r="C17" s="11"/>
      <c r="D17" s="2">
        <f>--39533.66</f>
        <v>39533.660000000003</v>
      </c>
      <c r="E17" s="2"/>
      <c r="F17" s="19"/>
      <c r="G17" s="2"/>
      <c r="H17" s="2"/>
      <c r="I17" s="2"/>
      <c r="J17" s="19"/>
      <c r="K17" s="2"/>
      <c r="L17" s="2">
        <f t="shared" si="0"/>
        <v>39533.660000000003</v>
      </c>
      <c r="M17" s="2"/>
      <c r="N17" s="19">
        <f t="shared" si="1"/>
        <v>0</v>
      </c>
      <c r="O17" s="11"/>
      <c r="P17" s="2">
        <f>--159285.58</f>
        <v>159285.57999999999</v>
      </c>
      <c r="Q17" s="2"/>
      <c r="R17" s="19"/>
      <c r="S17" s="2"/>
      <c r="T17" s="2"/>
      <c r="U17" s="2"/>
      <c r="V17" s="19"/>
      <c r="W17" s="2"/>
      <c r="X17" s="2">
        <f t="shared" si="2"/>
        <v>159285.57999999999</v>
      </c>
      <c r="Y17" s="2"/>
      <c r="Z17" s="19">
        <f t="shared" si="3"/>
        <v>0</v>
      </c>
    </row>
    <row r="18" spans="1:26" s="24" customFormat="1" hidden="1" outlineLevel="1" x14ac:dyDescent="0.25">
      <c r="A18" s="46"/>
      <c r="B18" s="11" t="str">
        <f>CONCATENATE("          ", "4155", " - ", "NON-TAXABLE SALES-FOOD")</f>
        <v xml:space="preserve">          4155 - NON-TAXABLE SALES-FOOD</v>
      </c>
      <c r="C18" s="11"/>
      <c r="D18" s="2">
        <f>--700.12</f>
        <v>700.12</v>
      </c>
      <c r="E18" s="2"/>
      <c r="F18" s="19"/>
      <c r="G18" s="2"/>
      <c r="H18" s="2"/>
      <c r="I18" s="2"/>
      <c r="J18" s="19"/>
      <c r="K18" s="2"/>
      <c r="L18" s="2">
        <f t="shared" si="0"/>
        <v>700.12</v>
      </c>
      <c r="M18" s="2"/>
      <c r="N18" s="19">
        <f t="shared" si="1"/>
        <v>0</v>
      </c>
      <c r="O18" s="11"/>
      <c r="P18" s="2">
        <f>--971.11</f>
        <v>971.11</v>
      </c>
      <c r="Q18" s="2"/>
      <c r="R18" s="19"/>
      <c r="S18" s="2"/>
      <c r="T18" s="2"/>
      <c r="U18" s="2"/>
      <c r="V18" s="19"/>
      <c r="W18" s="2"/>
      <c r="X18" s="2">
        <f t="shared" si="2"/>
        <v>971.11</v>
      </c>
      <c r="Y18" s="2"/>
      <c r="Z18" s="19">
        <f t="shared" si="3"/>
        <v>0</v>
      </c>
    </row>
    <row r="19" spans="1:26" x14ac:dyDescent="0.25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25">
      <c r="A20" s="10"/>
      <c r="B20" s="28" t="s">
        <v>8</v>
      </c>
      <c r="C20" s="10"/>
      <c r="D20" s="4">
        <f>SUM(OSRRefD16x_0)</f>
        <v>308220.23000000004</v>
      </c>
      <c r="E20" s="4"/>
      <c r="F20" s="12">
        <f t="shared" ref="F20:F23" si="4">IF(D$12=0,0,D20/D$12)</f>
        <v>0.21121348711754245</v>
      </c>
      <c r="G20" s="4"/>
      <c r="H20" s="4">
        <f>SUM(OSRRefH16x_0)</f>
        <v>367122.57</v>
      </c>
      <c r="I20" s="4"/>
      <c r="J20" s="12">
        <f t="shared" ref="J20:J23" si="5">IF(H$12=0,0,H20/H$12)</f>
        <v>0.24497065003646643</v>
      </c>
      <c r="K20" s="4"/>
      <c r="L20" s="4">
        <f t="shared" ref="L20:L23" si="6">+D20-H20</f>
        <v>-58902.339999999967</v>
      </c>
      <c r="M20" s="4"/>
      <c r="N20" s="12">
        <f t="shared" ref="N20:N23" si="7">IF(H20=0,0,L20/H20)</f>
        <v>-0.16044325468739218</v>
      </c>
      <c r="O20" s="10"/>
      <c r="P20" s="4">
        <f>SUM(OSRRefP16x_0)</f>
        <v>609071.32999999996</v>
      </c>
      <c r="Q20" s="4"/>
      <c r="R20" s="12">
        <f t="shared" ref="R20:R23" si="8">IF(P$12=0,0,P20/P$12)</f>
        <v>0.24605780559771778</v>
      </c>
      <c r="S20" s="4"/>
      <c r="T20" s="4">
        <f>SUM(OSRRefT16x_0)</f>
        <v>692712.4</v>
      </c>
      <c r="U20" s="4"/>
      <c r="V20" s="12">
        <f t="shared" ref="V20:V23" si="9">IF(T$12=0,0,T20/T$12)</f>
        <v>0.28041766789945138</v>
      </c>
      <c r="W20" s="4"/>
      <c r="X20" s="4">
        <f t="shared" ref="X20:X23" si="10">+P20-T20</f>
        <v>-83641.070000000065</v>
      </c>
      <c r="Y20" s="4"/>
      <c r="Z20" s="12">
        <f t="shared" ref="Z20:Z23" si="11">IF(T20=0,0,X20/T20)</f>
        <v>-0.12074429445755563</v>
      </c>
    </row>
    <row r="21" spans="1:26" s="24" customFormat="1" hidden="1" outlineLevel="1" x14ac:dyDescent="0.25">
      <c r="A21" s="46"/>
      <c r="B21" s="11" t="str">
        <f>CONCATENATE("          ", "5000", " - ", "PURCHASES @ COST")</f>
        <v xml:space="preserve">          5000 - PURCHASES @ COST</v>
      </c>
      <c r="C21" s="11"/>
      <c r="D21" s="2"/>
      <c r="E21" s="2"/>
      <c r="F21" s="19">
        <f t="shared" si="4"/>
        <v>0</v>
      </c>
      <c r="G21" s="2"/>
      <c r="H21" s="2">
        <v>367122.57</v>
      </c>
      <c r="I21" s="2"/>
      <c r="J21" s="19">
        <f t="shared" si="5"/>
        <v>0.24497065003646643</v>
      </c>
      <c r="K21" s="2"/>
      <c r="L21" s="2">
        <f t="shared" si="6"/>
        <v>-367122.57</v>
      </c>
      <c r="M21" s="2"/>
      <c r="N21" s="19">
        <f t="shared" si="7"/>
        <v>-1</v>
      </c>
      <c r="O21" s="11"/>
      <c r="P21" s="2"/>
      <c r="Q21" s="2"/>
      <c r="R21" s="19">
        <f t="shared" si="8"/>
        <v>0</v>
      </c>
      <c r="S21" s="2"/>
      <c r="T21" s="2">
        <v>692712.4</v>
      </c>
      <c r="U21" s="2"/>
      <c r="V21" s="19">
        <f t="shared" si="9"/>
        <v>0.28041766789945138</v>
      </c>
      <c r="W21" s="2"/>
      <c r="X21" s="2">
        <f t="shared" si="10"/>
        <v>-692712.4</v>
      </c>
      <c r="Y21" s="2"/>
      <c r="Z21" s="19">
        <f t="shared" si="11"/>
        <v>-1</v>
      </c>
    </row>
    <row r="22" spans="1:26" s="24" customFormat="1" hidden="1" outlineLevel="1" x14ac:dyDescent="0.25">
      <c r="A22" s="46"/>
      <c r="B22" s="11" t="str">
        <f>CONCATENATE("          ", "5053", " - ", "PURCHASES @ COST-FOOD")</f>
        <v xml:space="preserve">          5053 - PURCHASES @ COST-FOOD</v>
      </c>
      <c r="C22" s="11"/>
      <c r="D22" s="2">
        <v>304869.08</v>
      </c>
      <c r="E22" s="2"/>
      <c r="F22" s="19">
        <f t="shared" si="4"/>
        <v>0.20891705097071991</v>
      </c>
      <c r="G22" s="2"/>
      <c r="H22" s="2"/>
      <c r="I22" s="2"/>
      <c r="J22" s="19">
        <f t="shared" si="5"/>
        <v>0</v>
      </c>
      <c r="K22" s="2"/>
      <c r="L22" s="2">
        <f t="shared" si="6"/>
        <v>304869.08</v>
      </c>
      <c r="M22" s="2"/>
      <c r="N22" s="19">
        <f t="shared" si="7"/>
        <v>0</v>
      </c>
      <c r="O22" s="11"/>
      <c r="P22" s="2">
        <v>630005.13</v>
      </c>
      <c r="Q22" s="2"/>
      <c r="R22" s="19">
        <f t="shared" si="8"/>
        <v>0.25451481980461127</v>
      </c>
      <c r="S22" s="2"/>
      <c r="T22" s="2"/>
      <c r="U22" s="2"/>
      <c r="V22" s="19">
        <f t="shared" si="9"/>
        <v>0</v>
      </c>
      <c r="W22" s="2"/>
      <c r="X22" s="2">
        <f t="shared" si="10"/>
        <v>630005.13</v>
      </c>
      <c r="Y22" s="2"/>
      <c r="Z22" s="19">
        <f t="shared" si="11"/>
        <v>0</v>
      </c>
    </row>
    <row r="23" spans="1:26" s="24" customFormat="1" hidden="1" outlineLevel="1" x14ac:dyDescent="0.25">
      <c r="A23" s="46"/>
      <c r="B23" s="11" t="str">
        <f>CONCATENATE("          ", "5059", " - ", "PURCHASES @ COST-FOOD")</f>
        <v xml:space="preserve">          5059 - PURCHASES @ COST-FOOD</v>
      </c>
      <c r="C23" s="11"/>
      <c r="D23" s="2">
        <v>3351.15</v>
      </c>
      <c r="E23" s="2"/>
      <c r="F23" s="19">
        <f t="shared" si="4"/>
        <v>2.2964361468225248E-3</v>
      </c>
      <c r="G23" s="2"/>
      <c r="H23" s="2"/>
      <c r="I23" s="2"/>
      <c r="J23" s="19">
        <f t="shared" si="5"/>
        <v>0</v>
      </c>
      <c r="K23" s="2"/>
      <c r="L23" s="2">
        <f t="shared" si="6"/>
        <v>3351.15</v>
      </c>
      <c r="M23" s="2"/>
      <c r="N23" s="19">
        <f t="shared" si="7"/>
        <v>0</v>
      </c>
      <c r="O23" s="11"/>
      <c r="P23" s="2">
        <v>-20933.8</v>
      </c>
      <c r="Q23" s="2"/>
      <c r="R23" s="19">
        <f t="shared" si="8"/>
        <v>-8.4570142068934769E-3</v>
      </c>
      <c r="S23" s="2"/>
      <c r="T23" s="2"/>
      <c r="U23" s="2"/>
      <c r="V23" s="19">
        <f t="shared" si="9"/>
        <v>0</v>
      </c>
      <c r="W23" s="2"/>
      <c r="X23" s="2">
        <f t="shared" si="10"/>
        <v>-20933.8</v>
      </c>
      <c r="Y23" s="2"/>
      <c r="Z23" s="19">
        <f t="shared" si="11"/>
        <v>0</v>
      </c>
    </row>
    <row r="24" spans="1:26" x14ac:dyDescent="0.25">
      <c r="A24" s="9"/>
      <c r="B24" s="10"/>
      <c r="C24" s="10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O24" s="10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25">
      <c r="A25" s="10"/>
      <c r="B25" s="29" t="s">
        <v>6</v>
      </c>
      <c r="C25" s="29"/>
      <c r="D25" s="22">
        <f>D12-D20</f>
        <v>1151062.6700000002</v>
      </c>
      <c r="E25" s="14"/>
      <c r="F25" s="20">
        <f>IF(D$12=0,0,D25/D$12)</f>
        <v>0.7887865128824576</v>
      </c>
      <c r="G25" s="14"/>
      <c r="H25" s="22">
        <f>H12-H20</f>
        <v>1131516.43</v>
      </c>
      <c r="I25" s="14"/>
      <c r="J25" s="20">
        <f>IF(H$12=0,0,H25/H$12)</f>
        <v>0.75502934996353355</v>
      </c>
      <c r="K25" s="15"/>
      <c r="L25" s="22">
        <f>+D25-H25</f>
        <v>19546.240000000224</v>
      </c>
      <c r="M25" s="15"/>
      <c r="N25" s="20">
        <f>IF(H25=0,0,L25/H25)</f>
        <v>1.7274375768454572E-2</v>
      </c>
      <c r="O25" s="28"/>
      <c r="P25" s="22">
        <f>P12-P20</f>
        <v>1866246.73</v>
      </c>
      <c r="Q25" s="14"/>
      <c r="R25" s="20">
        <f>IF(P$12=0,0,P25/P$12)</f>
        <v>0.75394219440228216</v>
      </c>
      <c r="S25" s="14"/>
      <c r="T25" s="22">
        <f>T12-T20</f>
        <v>1777575.6</v>
      </c>
      <c r="U25" s="14"/>
      <c r="V25" s="20">
        <f>IF(T$12=0,0,T25/T$12)</f>
        <v>0.71958233210054867</v>
      </c>
      <c r="W25" s="15"/>
      <c r="X25" s="22">
        <f>+P25-T25</f>
        <v>88671.129999999888</v>
      </c>
      <c r="Y25" s="15"/>
      <c r="Z25" s="20">
        <f>IF(T25=0,0,X25/T25)</f>
        <v>4.9883183590053712E-2</v>
      </c>
    </row>
    <row r="26" spans="1:26" x14ac:dyDescent="0.25">
      <c r="A26" s="9"/>
      <c r="B26" s="10"/>
      <c r="C26" s="9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6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25">
      <c r="A27" s="10"/>
      <c r="B27" s="28" t="s">
        <v>9</v>
      </c>
      <c r="C27" s="10"/>
      <c r="D27" s="21">
        <f>SUM(OSRRefD22x_0)</f>
        <v>568917.11999999988</v>
      </c>
      <c r="E27" s="21"/>
      <c r="F27" s="33">
        <f t="shared" ref="F27:F38" si="12">IF(D$12=0,0,D27/D$12)</f>
        <v>0.38986074598695003</v>
      </c>
      <c r="G27" s="21"/>
      <c r="H27" s="21">
        <f>SUM(OSRRefH22x_0)</f>
        <v>566060.7637217741</v>
      </c>
      <c r="I27" s="21"/>
      <c r="J27" s="33">
        <f t="shared" ref="J27:J38" si="13">IF(H$12=0,0,H27/H$12)</f>
        <v>0.37771655730417675</v>
      </c>
      <c r="K27" s="4"/>
      <c r="L27" s="21">
        <f t="shared" ref="L27:L38" si="14">+D27-H27</f>
        <v>2856.3562782257795</v>
      </c>
      <c r="M27" s="4"/>
      <c r="N27" s="33">
        <f t="shared" ref="N27:N38" si="15">IF(H27=0,0,L27/H27)</f>
        <v>5.046024139609355E-3</v>
      </c>
      <c r="O27" s="10"/>
      <c r="P27" s="21">
        <f>SUM(OSRRefP22x_0)</f>
        <v>1344677.5299999996</v>
      </c>
      <c r="Q27" s="21"/>
      <c r="R27" s="33">
        <f t="shared" ref="R27:R38" si="16">IF(P$12=0,0,P27/P$12)</f>
        <v>0.54323424198666392</v>
      </c>
      <c r="S27" s="21"/>
      <c r="T27" s="21">
        <f>SUM(OSRRefT22x_0)</f>
        <v>1350086.7369972365</v>
      </c>
      <c r="U27" s="21"/>
      <c r="V27" s="33">
        <f t="shared" ref="V27:V38" si="17">IF(T$12=0,0,T27/T$12)</f>
        <v>0.54653009568003263</v>
      </c>
      <c r="W27" s="4"/>
      <c r="X27" s="21">
        <f t="shared" ref="X27:X38" si="18">+P27-T27</f>
        <v>-5409.2069972369354</v>
      </c>
      <c r="Y27" s="4"/>
      <c r="Z27" s="33">
        <f t="shared" ref="Z27:Z38" si="19">IF(T27=0,0,X27/T27)</f>
        <v>-4.0065625777997759E-3</v>
      </c>
    </row>
    <row r="28" spans="1:26" s="26" customFormat="1" outlineLevel="1" collapsed="1" x14ac:dyDescent="0.25">
      <c r="A28" s="27"/>
      <c r="B28" s="13" t="str">
        <f>CONCATENATE("     ","*Benefits                                         ")</f>
        <v xml:space="preserve">     *Benefits                                         </v>
      </c>
      <c r="C28" s="13"/>
      <c r="D28" s="1">
        <f>SUM(OSRRefD22_0x_0)</f>
        <v>89749.02</v>
      </c>
      <c r="E28" s="1"/>
      <c r="F28" s="5">
        <f t="shared" si="12"/>
        <v>6.150213916712105E-2</v>
      </c>
      <c r="G28" s="1"/>
      <c r="H28" s="1">
        <f>SUM(OSRRefH22_0x_0)</f>
        <v>89145.930291004901</v>
      </c>
      <c r="I28" s="1"/>
      <c r="J28" s="5">
        <f t="shared" si="13"/>
        <v>5.9484592547641497E-2</v>
      </c>
      <c r="K28" s="1"/>
      <c r="L28" s="1">
        <f t="shared" si="14"/>
        <v>603.08970899510314</v>
      </c>
      <c r="M28" s="1"/>
      <c r="N28" s="5">
        <f t="shared" si="15"/>
        <v>6.7651962016257823E-3</v>
      </c>
      <c r="O28" s="13"/>
      <c r="P28" s="1">
        <f>SUM(OSRRefP22_0x_0)</f>
        <v>277235.30999999994</v>
      </c>
      <c r="Q28" s="1"/>
      <c r="R28" s="5">
        <f t="shared" si="16"/>
        <v>0.11199987366472006</v>
      </c>
      <c r="S28" s="1"/>
      <c r="T28" s="1">
        <f>SUM(OSRRefT22_0x_0)</f>
        <v>261866.64768923671</v>
      </c>
      <c r="U28" s="1"/>
      <c r="V28" s="5">
        <f t="shared" si="17"/>
        <v>0.10600652542911462</v>
      </c>
      <c r="W28" s="1"/>
      <c r="X28" s="1">
        <f t="shared" si="18"/>
        <v>15368.662310763233</v>
      </c>
      <c r="Y28" s="1"/>
      <c r="Z28" s="5">
        <f t="shared" si="19"/>
        <v>5.8688887822788284E-2</v>
      </c>
    </row>
    <row r="29" spans="1:26" s="24" customFormat="1" hidden="1" outlineLevel="2" x14ac:dyDescent="0.25">
      <c r="A29" s="25"/>
      <c r="B29" s="11" t="str">
        <f>CONCATENATE("          ", "6111", " - ", "F.I.C.A.")</f>
        <v xml:space="preserve">          6111 - F.I.C.A.</v>
      </c>
      <c r="C29" s="11"/>
      <c r="D29" s="7">
        <v>13110</v>
      </c>
      <c r="E29" s="2"/>
      <c r="F29" s="6">
        <f t="shared" si="12"/>
        <v>8.9838646091172578E-3</v>
      </c>
      <c r="G29" s="2"/>
      <c r="H29" s="7">
        <v>12754.97295626031</v>
      </c>
      <c r="I29" s="2"/>
      <c r="J29" s="6">
        <f t="shared" si="13"/>
        <v>8.5110376523367601E-3</v>
      </c>
      <c r="K29" s="2"/>
      <c r="L29" s="7">
        <f t="shared" si="14"/>
        <v>355.02704373969027</v>
      </c>
      <c r="M29" s="2"/>
      <c r="N29" s="6">
        <f t="shared" si="15"/>
        <v>2.783440191971856E-2</v>
      </c>
      <c r="O29" s="11"/>
      <c r="P29" s="7">
        <v>39143.93</v>
      </c>
      <c r="Q29" s="2"/>
      <c r="R29" s="6">
        <f t="shared" si="16"/>
        <v>1.5813697089092461E-2</v>
      </c>
      <c r="S29" s="2"/>
      <c r="T29" s="7">
        <v>42683.633594526007</v>
      </c>
      <c r="U29" s="2"/>
      <c r="V29" s="6">
        <f t="shared" si="17"/>
        <v>1.7278808622527418E-2</v>
      </c>
      <c r="W29" s="2"/>
      <c r="X29" s="7">
        <f t="shared" si="18"/>
        <v>-3539.7035945260068</v>
      </c>
      <c r="Y29" s="2"/>
      <c r="Z29" s="6">
        <f t="shared" si="19"/>
        <v>-8.2928825323342642E-2</v>
      </c>
    </row>
    <row r="30" spans="1:26" s="24" customFormat="1" hidden="1" outlineLevel="2" x14ac:dyDescent="0.25">
      <c r="A30" s="25"/>
      <c r="B30" s="11" t="str">
        <f>CONCATENATE("          ", "6112", " - ", "COMPENSATION INSURANCE")</f>
        <v xml:space="preserve">          6112 - COMPENSATION INSURANCE</v>
      </c>
      <c r="C30" s="11"/>
      <c r="D30" s="7">
        <v>11226.08</v>
      </c>
      <c r="E30" s="2"/>
      <c r="F30" s="6">
        <f t="shared" si="12"/>
        <v>7.6928743563019885E-3</v>
      </c>
      <c r="G30" s="2"/>
      <c r="H30" s="7">
        <v>11458.79413238155</v>
      </c>
      <c r="I30" s="2"/>
      <c r="J30" s="6">
        <f t="shared" si="13"/>
        <v>7.6461336802135472E-3</v>
      </c>
      <c r="K30" s="2"/>
      <c r="L30" s="7">
        <f t="shared" si="14"/>
        <v>-232.71413238155037</v>
      </c>
      <c r="M30" s="2"/>
      <c r="N30" s="6">
        <f t="shared" si="15"/>
        <v>-2.0308780286393362E-2</v>
      </c>
      <c r="O30" s="11"/>
      <c r="P30" s="7">
        <v>25215.47</v>
      </c>
      <c r="Q30" s="2"/>
      <c r="R30" s="6">
        <f t="shared" si="16"/>
        <v>1.018675959565374E-2</v>
      </c>
      <c r="S30" s="2"/>
      <c r="T30" s="7">
        <v>28141.233263760008</v>
      </c>
      <c r="U30" s="2"/>
      <c r="V30" s="6">
        <f t="shared" si="17"/>
        <v>1.1391883563276835E-2</v>
      </c>
      <c r="W30" s="2"/>
      <c r="X30" s="7">
        <f t="shared" si="18"/>
        <v>-2925.7632637600072</v>
      </c>
      <c r="Y30" s="2"/>
      <c r="Z30" s="6">
        <f t="shared" si="19"/>
        <v>-0.10396713023688892</v>
      </c>
    </row>
    <row r="31" spans="1:26" s="24" customFormat="1" hidden="1" outlineLevel="2" x14ac:dyDescent="0.25">
      <c r="A31" s="25"/>
      <c r="B31" s="11" t="str">
        <f>CONCATENATE("          ", "6113", " - ", "GROUP INSURANCE")</f>
        <v xml:space="preserve">          6113 - GROUP INSURANCE</v>
      </c>
      <c r="C31" s="11"/>
      <c r="D31" s="7">
        <v>45625.93</v>
      </c>
      <c r="E31" s="2"/>
      <c r="F31" s="6">
        <f t="shared" si="12"/>
        <v>3.1265993728837635E-2</v>
      </c>
      <c r="G31" s="2"/>
      <c r="H31" s="7">
        <v>46988.846153846105</v>
      </c>
      <c r="I31" s="2"/>
      <c r="J31" s="6">
        <f t="shared" si="13"/>
        <v>3.1354346279421595E-2</v>
      </c>
      <c r="K31" s="2"/>
      <c r="L31" s="7">
        <f t="shared" si="14"/>
        <v>-1362.9161538461049</v>
      </c>
      <c r="M31" s="2"/>
      <c r="N31" s="6">
        <f t="shared" si="15"/>
        <v>-2.9005099409842569E-2</v>
      </c>
      <c r="O31" s="11"/>
      <c r="P31" s="7">
        <v>135712.88999999998</v>
      </c>
      <c r="Q31" s="2"/>
      <c r="R31" s="6">
        <f t="shared" si="16"/>
        <v>5.4826445212458871E-2</v>
      </c>
      <c r="S31" s="2"/>
      <c r="T31" s="7">
        <v>141285.23076923072</v>
      </c>
      <c r="U31" s="2"/>
      <c r="V31" s="6">
        <f t="shared" si="17"/>
        <v>5.7193829532925199E-2</v>
      </c>
      <c r="W31" s="2"/>
      <c r="X31" s="7">
        <f t="shared" si="18"/>
        <v>-5572.3407692307374</v>
      </c>
      <c r="Y31" s="2"/>
      <c r="Z31" s="6">
        <f t="shared" si="19"/>
        <v>-3.9440362866606779E-2</v>
      </c>
    </row>
    <row r="32" spans="1:26" s="24" customFormat="1" hidden="1" outlineLevel="2" x14ac:dyDescent="0.25">
      <c r="A32" s="25"/>
      <c r="B32" s="11" t="str">
        <f>CONCATENATE("          ", "6114", " - ", "STATE UNEMPLOYMENT INSURANCE")</f>
        <v xml:space="preserve">          6114 - STATE UNEMPLOYMENT INSURANCE</v>
      </c>
      <c r="C32" s="11"/>
      <c r="D32" s="7">
        <v>755.68</v>
      </c>
      <c r="E32" s="2"/>
      <c r="F32" s="6">
        <f t="shared" si="12"/>
        <v>5.1784338732400678E-4</v>
      </c>
      <c r="G32" s="2"/>
      <c r="H32" s="7">
        <v>770.77630783999996</v>
      </c>
      <c r="I32" s="2"/>
      <c r="J32" s="6">
        <f t="shared" si="13"/>
        <v>5.1431752933161351E-4</v>
      </c>
      <c r="K32" s="2"/>
      <c r="L32" s="7">
        <f t="shared" si="14"/>
        <v>-15.096307840000009</v>
      </c>
      <c r="M32" s="2"/>
      <c r="N32" s="6">
        <f t="shared" si="15"/>
        <v>-1.958584830183149E-2</v>
      </c>
      <c r="O32" s="11"/>
      <c r="P32" s="7">
        <v>1696.23</v>
      </c>
      <c r="Q32" s="2"/>
      <c r="R32" s="6">
        <f t="shared" si="16"/>
        <v>6.8525739274087464E-4</v>
      </c>
      <c r="S32" s="2"/>
      <c r="T32" s="7">
        <v>1890.52791252</v>
      </c>
      <c r="U32" s="2"/>
      <c r="V32" s="6">
        <f t="shared" si="17"/>
        <v>7.6530668186057657E-4</v>
      </c>
      <c r="W32" s="2"/>
      <c r="X32" s="7">
        <f t="shared" si="18"/>
        <v>-194.29791251999995</v>
      </c>
      <c r="Y32" s="2"/>
      <c r="Z32" s="6">
        <f t="shared" si="19"/>
        <v>-0.10277442149003155</v>
      </c>
    </row>
    <row r="33" spans="1:26" s="24" customFormat="1" hidden="1" outlineLevel="2" x14ac:dyDescent="0.25">
      <c r="A33" s="25"/>
      <c r="B33" s="11" t="str">
        <f>CONCATENATE("          ", "6115", " - ", "P.E.R.S.")</f>
        <v xml:space="preserve">          6115 - P.E.R.S.</v>
      </c>
      <c r="C33" s="11"/>
      <c r="D33" s="7">
        <v>3962.54</v>
      </c>
      <c r="E33" s="2"/>
      <c r="F33" s="6">
        <f t="shared" si="12"/>
        <v>2.7154022019993517E-3</v>
      </c>
      <c r="G33" s="2"/>
      <c r="H33" s="7">
        <v>3642.2280791384651</v>
      </c>
      <c r="I33" s="2"/>
      <c r="J33" s="6">
        <f t="shared" si="13"/>
        <v>2.4303571968555902E-3</v>
      </c>
      <c r="K33" s="2"/>
      <c r="L33" s="7">
        <f t="shared" si="14"/>
        <v>320.31192086153487</v>
      </c>
      <c r="M33" s="2"/>
      <c r="N33" s="6">
        <f t="shared" si="15"/>
        <v>8.7943949116251294E-2</v>
      </c>
      <c r="O33" s="11"/>
      <c r="P33" s="7">
        <v>12140.4</v>
      </c>
      <c r="Q33" s="2"/>
      <c r="R33" s="6">
        <f t="shared" si="16"/>
        <v>4.9045818378588481E-3</v>
      </c>
      <c r="S33" s="2"/>
      <c r="T33" s="7">
        <v>11837.24125720001</v>
      </c>
      <c r="U33" s="2"/>
      <c r="V33" s="6">
        <f t="shared" si="17"/>
        <v>4.791846641849052E-3</v>
      </c>
      <c r="W33" s="2"/>
      <c r="X33" s="7">
        <f t="shared" si="18"/>
        <v>303.15874279998934</v>
      </c>
      <c r="Y33" s="2"/>
      <c r="Z33" s="6">
        <f t="shared" si="19"/>
        <v>2.5610590864285444E-2</v>
      </c>
    </row>
    <row r="34" spans="1:26" s="24" customFormat="1" hidden="1" outlineLevel="2" x14ac:dyDescent="0.25">
      <c r="A34" s="25"/>
      <c r="B34" s="11" t="str">
        <f>CONCATENATE("          ", "6116", " - ", "EDUCATIONAL BENEFITS")</f>
        <v xml:space="preserve">          6116 - EDUCATIONAL BENEFITS</v>
      </c>
      <c r="C34" s="11"/>
      <c r="D34" s="7"/>
      <c r="E34" s="2"/>
      <c r="F34" s="6">
        <f t="shared" si="12"/>
        <v>0</v>
      </c>
      <c r="G34" s="2"/>
      <c r="H34" s="7">
        <v>0</v>
      </c>
      <c r="I34" s="2"/>
      <c r="J34" s="6">
        <f t="shared" si="13"/>
        <v>0</v>
      </c>
      <c r="K34" s="2"/>
      <c r="L34" s="7">
        <f t="shared" si="14"/>
        <v>0</v>
      </c>
      <c r="M34" s="2"/>
      <c r="N34" s="6">
        <f t="shared" si="15"/>
        <v>0</v>
      </c>
      <c r="O34" s="11"/>
      <c r="P34" s="7"/>
      <c r="Q34" s="2"/>
      <c r="R34" s="6">
        <f t="shared" si="16"/>
        <v>0</v>
      </c>
      <c r="S34" s="2"/>
      <c r="T34" s="7">
        <v>0</v>
      </c>
      <c r="U34" s="2"/>
      <c r="V34" s="6">
        <f t="shared" si="17"/>
        <v>0</v>
      </c>
      <c r="W34" s="2"/>
      <c r="X34" s="7">
        <f t="shared" si="18"/>
        <v>0</v>
      </c>
      <c r="Y34" s="2"/>
      <c r="Z34" s="6">
        <f t="shared" si="19"/>
        <v>0</v>
      </c>
    </row>
    <row r="35" spans="1:26" s="24" customFormat="1" hidden="1" outlineLevel="2" x14ac:dyDescent="0.25">
      <c r="A35" s="25"/>
      <c r="B35" s="11" t="str">
        <f>CONCATENATE("          ", "6117", " - ", "RETIREMENT STAFF HOURLY")</f>
        <v xml:space="preserve">          6117 - RETIREMENT STAFF HOURLY</v>
      </c>
      <c r="C35" s="11"/>
      <c r="D35" s="7">
        <v>2285.4699999999998</v>
      </c>
      <c r="E35" s="2"/>
      <c r="F35" s="6">
        <f t="shared" si="12"/>
        <v>1.5661596527993301E-3</v>
      </c>
      <c r="G35" s="2"/>
      <c r="H35" s="7"/>
      <c r="I35" s="2"/>
      <c r="J35" s="6">
        <f t="shared" si="13"/>
        <v>0</v>
      </c>
      <c r="K35" s="2"/>
      <c r="L35" s="7">
        <f t="shared" si="14"/>
        <v>2285.4699999999998</v>
      </c>
      <c r="M35" s="2"/>
      <c r="N35" s="6">
        <f t="shared" si="15"/>
        <v>0</v>
      </c>
      <c r="O35" s="11"/>
      <c r="P35" s="7">
        <v>4832.78</v>
      </c>
      <c r="Q35" s="2"/>
      <c r="R35" s="6">
        <f t="shared" si="16"/>
        <v>1.9523874842976743E-3</v>
      </c>
      <c r="S35" s="2"/>
      <c r="T35" s="7"/>
      <c r="U35" s="2"/>
      <c r="V35" s="6">
        <f t="shared" si="17"/>
        <v>0</v>
      </c>
      <c r="W35" s="2"/>
      <c r="X35" s="7">
        <f t="shared" si="18"/>
        <v>4832.78</v>
      </c>
      <c r="Y35" s="2"/>
      <c r="Z35" s="6">
        <f t="shared" si="19"/>
        <v>0</v>
      </c>
    </row>
    <row r="36" spans="1:26" s="24" customFormat="1" hidden="1" outlineLevel="2" x14ac:dyDescent="0.25">
      <c r="A36" s="25"/>
      <c r="B36" s="11" t="str">
        <f>CONCATENATE("          ", "6118", " - ", "VACATION")</f>
        <v xml:space="preserve">          6118 - VACATION</v>
      </c>
      <c r="C36" s="11"/>
      <c r="D36" s="7">
        <v>7564.06</v>
      </c>
      <c r="E36" s="2"/>
      <c r="F36" s="6">
        <f t="shared" si="12"/>
        <v>5.1834089195453466E-3</v>
      </c>
      <c r="G36" s="2"/>
      <c r="H36" s="7">
        <v>3824.2607587692323</v>
      </c>
      <c r="I36" s="2"/>
      <c r="J36" s="6">
        <f t="shared" si="13"/>
        <v>2.5518225261515499E-3</v>
      </c>
      <c r="K36" s="2"/>
      <c r="L36" s="7">
        <f t="shared" si="14"/>
        <v>3739.7992412307681</v>
      </c>
      <c r="M36" s="2"/>
      <c r="N36" s="6">
        <f t="shared" si="15"/>
        <v>0.97791428909632028</v>
      </c>
      <c r="O36" s="11"/>
      <c r="P36" s="7">
        <v>25962.18</v>
      </c>
      <c r="Q36" s="2"/>
      <c r="R36" s="6">
        <f t="shared" si="16"/>
        <v>1.0488421839414043E-2</v>
      </c>
      <c r="S36" s="2"/>
      <c r="T36" s="7">
        <v>11829.857145999998</v>
      </c>
      <c r="U36" s="2"/>
      <c r="V36" s="6">
        <f t="shared" si="17"/>
        <v>4.7888574716794148E-3</v>
      </c>
      <c r="W36" s="2"/>
      <c r="X36" s="7">
        <f t="shared" si="18"/>
        <v>14132.322854000002</v>
      </c>
      <c r="Y36" s="2"/>
      <c r="Z36" s="6">
        <f t="shared" si="19"/>
        <v>1.1946317423434425</v>
      </c>
    </row>
    <row r="37" spans="1:26" s="24" customFormat="1" hidden="1" outlineLevel="2" x14ac:dyDescent="0.25">
      <c r="A37" s="25"/>
      <c r="B37" s="11" t="str">
        <f>CONCATENATE("          ", "6119", " - ", "SICK LEAVE")</f>
        <v xml:space="preserve">          6119 - SICK LEAVE</v>
      </c>
      <c r="C37" s="11"/>
      <c r="D37" s="7">
        <v>1648.91</v>
      </c>
      <c r="E37" s="2"/>
      <c r="F37" s="6">
        <f t="shared" si="12"/>
        <v>1.1299453998947016E-3</v>
      </c>
      <c r="G37" s="2"/>
      <c r="H37" s="7">
        <v>8206.0519027692299</v>
      </c>
      <c r="I37" s="2"/>
      <c r="J37" s="6">
        <f t="shared" si="13"/>
        <v>5.4756695259960738E-3</v>
      </c>
      <c r="K37" s="2"/>
      <c r="L37" s="7">
        <f t="shared" si="14"/>
        <v>-6557.14190276923</v>
      </c>
      <c r="M37" s="2"/>
      <c r="N37" s="6">
        <f t="shared" si="15"/>
        <v>-0.79906171450809915</v>
      </c>
      <c r="O37" s="11"/>
      <c r="P37" s="7">
        <v>22823.329999999998</v>
      </c>
      <c r="Q37" s="2"/>
      <c r="R37" s="6">
        <f t="shared" si="16"/>
        <v>9.2203625743351933E-3</v>
      </c>
      <c r="S37" s="2"/>
      <c r="T37" s="7">
        <v>19698.923745999997</v>
      </c>
      <c r="U37" s="2"/>
      <c r="V37" s="6">
        <f t="shared" si="17"/>
        <v>7.9743429697266052E-3</v>
      </c>
      <c r="W37" s="2"/>
      <c r="X37" s="7">
        <f t="shared" si="18"/>
        <v>3124.4062540000014</v>
      </c>
      <c r="Y37" s="2"/>
      <c r="Z37" s="6">
        <f t="shared" si="19"/>
        <v>0.15860796733295818</v>
      </c>
    </row>
    <row r="38" spans="1:26" s="24" customFormat="1" hidden="1" outlineLevel="2" x14ac:dyDescent="0.25">
      <c r="A38" s="25"/>
      <c r="B38" s="11" t="str">
        <f>CONCATENATE("          ", "6156", " - ", "EMPLOYEE MEALS")</f>
        <v xml:space="preserve">          6156 - EMPLOYEE MEALS</v>
      </c>
      <c r="C38" s="11"/>
      <c r="D38" s="7">
        <v>3570.35</v>
      </c>
      <c r="E38" s="2"/>
      <c r="F38" s="6">
        <f t="shared" si="12"/>
        <v>2.4466469113014343E-3</v>
      </c>
      <c r="G38" s="2"/>
      <c r="H38" s="7">
        <v>1500</v>
      </c>
      <c r="I38" s="2"/>
      <c r="J38" s="6">
        <f t="shared" si="13"/>
        <v>1.000908157334755E-3</v>
      </c>
      <c r="K38" s="2"/>
      <c r="L38" s="7">
        <f t="shared" si="14"/>
        <v>2070.35</v>
      </c>
      <c r="M38" s="2"/>
      <c r="N38" s="6">
        <f t="shared" si="15"/>
        <v>1.3802333333333332</v>
      </c>
      <c r="O38" s="11"/>
      <c r="P38" s="7">
        <v>9708.1</v>
      </c>
      <c r="Q38" s="2"/>
      <c r="R38" s="6">
        <f t="shared" si="16"/>
        <v>3.921960638868364E-3</v>
      </c>
      <c r="S38" s="2"/>
      <c r="T38" s="7">
        <v>4500</v>
      </c>
      <c r="U38" s="2"/>
      <c r="V38" s="6">
        <f t="shared" si="17"/>
        <v>1.8216499452695393E-3</v>
      </c>
      <c r="W38" s="2"/>
      <c r="X38" s="7">
        <f t="shared" si="18"/>
        <v>5208.1000000000004</v>
      </c>
      <c r="Y38" s="2"/>
      <c r="Z38" s="6">
        <f t="shared" si="19"/>
        <v>1.1573555555555557</v>
      </c>
    </row>
    <row r="39" spans="1:26" s="26" customFormat="1" outlineLevel="1" collapsed="1" x14ac:dyDescent="0.25">
      <c r="A39" s="27"/>
      <c r="B39" s="13" t="str">
        <f>CONCATENATE("     ","*Payroll                                          ")</f>
        <v xml:space="preserve">     *Payroll                                          </v>
      </c>
      <c r="C39" s="13"/>
      <c r="D39" s="1">
        <f>SUM(OSRRefD22_1x_0)</f>
        <v>290441.40000000002</v>
      </c>
      <c r="E39" s="1"/>
      <c r="F39" s="5">
        <f t="shared" ref="F39:F49" si="20">IF(D$12=0,0,D39/D$12)</f>
        <v>0.19903022230987563</v>
      </c>
      <c r="G39" s="1"/>
      <c r="H39" s="1">
        <f>SUM(OSRRefH22_1x_0)</f>
        <v>286588.83343076921</v>
      </c>
      <c r="I39" s="1"/>
      <c r="J39" s="5">
        <f t="shared" ref="J39:J49" si="21">IF(H$12=0,0,H39/H$12)</f>
        <v>0.19123273412127217</v>
      </c>
      <c r="K39" s="1"/>
      <c r="L39" s="1">
        <f t="shared" ref="L39:L49" si="22">+D39-H39</f>
        <v>3852.5665692308103</v>
      </c>
      <c r="M39" s="1"/>
      <c r="N39" s="5">
        <f t="shared" ref="N39:N49" si="23">IF(H39=0,0,L39/H39)</f>
        <v>1.344283558822423E-2</v>
      </c>
      <c r="O39" s="13"/>
      <c r="P39" s="1">
        <f>SUM(OSRRefP22_1x_0)</f>
        <v>688730.15999999992</v>
      </c>
      <c r="Q39" s="1"/>
      <c r="R39" s="5">
        <f t="shared" ref="R39:R49" si="24">IF(P$12=0,0,P39/P$12)</f>
        <v>0.27823905587308645</v>
      </c>
      <c r="S39" s="1"/>
      <c r="T39" s="1">
        <f>SUM(OSRRefT22_1x_0)</f>
        <v>700410.08930799982</v>
      </c>
      <c r="U39" s="1"/>
      <c r="V39" s="5">
        <f t="shared" ref="V39:V49" si="25">IF(T$12=0,0,T39/T$12)</f>
        <v>0.28353377796758911</v>
      </c>
      <c r="W39" s="1"/>
      <c r="X39" s="1">
        <f t="shared" ref="X39:X49" si="26">+P39-T39</f>
        <v>-11679.929307999904</v>
      </c>
      <c r="Y39" s="1"/>
      <c r="Z39" s="5">
        <f t="shared" ref="Z39:Z49" si="27">IF(T39=0,0,X39/T39)</f>
        <v>-1.6675843889598436E-2</v>
      </c>
    </row>
    <row r="40" spans="1:26" s="24" customFormat="1" hidden="1" outlineLevel="2" x14ac:dyDescent="0.25">
      <c r="A40" s="25"/>
      <c r="B40" s="11" t="str">
        <f>CONCATENATE("          ", "6001", " - ", "ADMINISTRATIVE SALARIES")</f>
        <v xml:space="preserve">          6001 - ADMINISTRATIVE SALARIES</v>
      </c>
      <c r="C40" s="11"/>
      <c r="D40" s="7">
        <v>8145.04</v>
      </c>
      <c r="E40" s="2"/>
      <c r="F40" s="6">
        <f t="shared" si="20"/>
        <v>5.5815359722230689E-3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8145.04</v>
      </c>
      <c r="M40" s="2"/>
      <c r="N40" s="6">
        <f t="shared" si="23"/>
        <v>0</v>
      </c>
      <c r="O40" s="11"/>
      <c r="P40" s="7">
        <v>21176.85</v>
      </c>
      <c r="Q40" s="2"/>
      <c r="R40" s="6">
        <f t="shared" si="24"/>
        <v>8.5552036088647129E-3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21176.85</v>
      </c>
      <c r="Y40" s="2"/>
      <c r="Z40" s="6">
        <f t="shared" si="27"/>
        <v>0</v>
      </c>
    </row>
    <row r="41" spans="1:26" s="24" customFormat="1" hidden="1" outlineLevel="2" x14ac:dyDescent="0.25">
      <c r="A41" s="25"/>
      <c r="B41" s="11" t="str">
        <f>CONCATENATE("          ", "6002", " - ", "STAFF SALARIES")</f>
        <v xml:space="preserve">          6002 - STAFF SALARIES</v>
      </c>
      <c r="C41" s="11"/>
      <c r="D41" s="7">
        <v>37762.21</v>
      </c>
      <c r="E41" s="2"/>
      <c r="F41" s="6">
        <f t="shared" si="20"/>
        <v>2.5877237374603648E-2</v>
      </c>
      <c r="G41" s="2"/>
      <c r="H41" s="7">
        <v>39678.938974769218</v>
      </c>
      <c r="I41" s="2"/>
      <c r="J41" s="6">
        <f t="shared" si="21"/>
        <v>2.6476649129489636E-2</v>
      </c>
      <c r="K41" s="2"/>
      <c r="L41" s="7">
        <f t="shared" si="22"/>
        <v>-1916.7289747692193</v>
      </c>
      <c r="M41" s="2"/>
      <c r="N41" s="6">
        <f t="shared" si="23"/>
        <v>-4.8305953341847584E-2</v>
      </c>
      <c r="O41" s="11"/>
      <c r="P41" s="7">
        <v>120589.31999999999</v>
      </c>
      <c r="Q41" s="2"/>
      <c r="R41" s="6">
        <f t="shared" si="24"/>
        <v>4.8716697037309215E-2</v>
      </c>
      <c r="S41" s="2"/>
      <c r="T41" s="7">
        <v>128956.55166799988</v>
      </c>
      <c r="U41" s="2"/>
      <c r="V41" s="6">
        <f t="shared" si="25"/>
        <v>5.2203043397369003E-2</v>
      </c>
      <c r="W41" s="2"/>
      <c r="X41" s="7">
        <f t="shared" si="26"/>
        <v>-8367.2316679998912</v>
      </c>
      <c r="Y41" s="2"/>
      <c r="Z41" s="6">
        <f t="shared" si="27"/>
        <v>-6.4884114531392131E-2</v>
      </c>
    </row>
    <row r="42" spans="1:26" s="24" customFormat="1" hidden="1" outlineLevel="2" x14ac:dyDescent="0.25">
      <c r="A42" s="25"/>
      <c r="B42" s="11" t="str">
        <f>CONCATENATE("          ", "6003", " - ", "STAFF HOURLY-9 MONTH")</f>
        <v xml:space="preserve">          6003 - STAFF HOURLY-9 MONTH</v>
      </c>
      <c r="C42" s="11"/>
      <c r="D42" s="7"/>
      <c r="E42" s="2"/>
      <c r="F42" s="6">
        <f t="shared" si="20"/>
        <v>0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0</v>
      </c>
      <c r="M42" s="2"/>
      <c r="N42" s="6">
        <f t="shared" si="23"/>
        <v>0</v>
      </c>
      <c r="O42" s="11"/>
      <c r="P42" s="7"/>
      <c r="Q42" s="2"/>
      <c r="R42" s="6">
        <f t="shared" si="24"/>
        <v>0</v>
      </c>
      <c r="S42" s="2"/>
      <c r="T42" s="7">
        <v>0</v>
      </c>
      <c r="U42" s="2"/>
      <c r="V42" s="6">
        <f t="shared" si="25"/>
        <v>0</v>
      </c>
      <c r="W42" s="2"/>
      <c r="X42" s="7">
        <f t="shared" si="26"/>
        <v>0</v>
      </c>
      <c r="Y42" s="2"/>
      <c r="Z42" s="6">
        <f t="shared" si="27"/>
        <v>0</v>
      </c>
    </row>
    <row r="43" spans="1:26" s="24" customFormat="1" hidden="1" outlineLevel="2" x14ac:dyDescent="0.25">
      <c r="A43" s="25"/>
      <c r="B43" s="11" t="str">
        <f>CONCATENATE("          ", "6004", " - ", "STAFF HOURLY")</f>
        <v xml:space="preserve">          6004 - STAFF HOURLY</v>
      </c>
      <c r="C43" s="11"/>
      <c r="D43" s="7">
        <v>63403.87999999999</v>
      </c>
      <c r="E43" s="2"/>
      <c r="F43" s="6">
        <f t="shared" si="20"/>
        <v>4.344865550058867E-2</v>
      </c>
      <c r="G43" s="2"/>
      <c r="H43" s="7">
        <v>83132.915040000007</v>
      </c>
      <c r="I43" s="2"/>
      <c r="J43" s="6">
        <f t="shared" si="21"/>
        <v>5.5472275204368766E-2</v>
      </c>
      <c r="K43" s="2"/>
      <c r="L43" s="7">
        <f t="shared" si="22"/>
        <v>-19729.035040000017</v>
      </c>
      <c r="M43" s="2"/>
      <c r="N43" s="6">
        <f t="shared" si="23"/>
        <v>-0.23731917773492303</v>
      </c>
      <c r="O43" s="11"/>
      <c r="P43" s="7">
        <v>146921.47999999998</v>
      </c>
      <c r="Q43" s="2"/>
      <c r="R43" s="6">
        <f t="shared" si="24"/>
        <v>5.935458653745692E-2</v>
      </c>
      <c r="S43" s="2"/>
      <c r="T43" s="7">
        <v>246508.54452</v>
      </c>
      <c r="U43" s="2"/>
      <c r="V43" s="6">
        <f t="shared" si="25"/>
        <v>9.9789394807407075E-2</v>
      </c>
      <c r="W43" s="2"/>
      <c r="X43" s="7">
        <f t="shared" si="26"/>
        <v>-99587.064520000014</v>
      </c>
      <c r="Y43" s="2"/>
      <c r="Z43" s="6">
        <f t="shared" si="27"/>
        <v>-0.4039903148749483</v>
      </c>
    </row>
    <row r="44" spans="1:26" s="24" customFormat="1" hidden="1" outlineLevel="2" x14ac:dyDescent="0.25">
      <c r="A44" s="25"/>
      <c r="B44" s="11" t="str">
        <f>CONCATENATE("          ", "6005", " - ", "TEMPORARY WAGES-HOURLY")</f>
        <v xml:space="preserve">          6005 - TEMPORARY WAGES-HOURLY</v>
      </c>
      <c r="C44" s="11"/>
      <c r="D44" s="7">
        <v>54042.879999999997</v>
      </c>
      <c r="E44" s="2"/>
      <c r="F44" s="6">
        <f t="shared" si="20"/>
        <v>3.7033860946359333E-2</v>
      </c>
      <c r="G44" s="2"/>
      <c r="H44" s="7">
        <v>28985.649416</v>
      </c>
      <c r="I44" s="2"/>
      <c r="J44" s="6">
        <f t="shared" si="21"/>
        <v>1.9341315297413186E-2</v>
      </c>
      <c r="K44" s="2"/>
      <c r="L44" s="7">
        <f t="shared" si="22"/>
        <v>25057.230583999997</v>
      </c>
      <c r="M44" s="2"/>
      <c r="N44" s="6">
        <f t="shared" si="23"/>
        <v>0.86447021504953669</v>
      </c>
      <c r="O44" s="11"/>
      <c r="P44" s="7">
        <v>118567.32999999999</v>
      </c>
      <c r="Q44" s="2"/>
      <c r="R44" s="6">
        <f t="shared" si="24"/>
        <v>4.7899836354767265E-2</v>
      </c>
      <c r="S44" s="2"/>
      <c r="T44" s="7">
        <v>61158.108119999997</v>
      </c>
      <c r="U44" s="2"/>
      <c r="V44" s="6">
        <f t="shared" si="25"/>
        <v>2.4757480957685905E-2</v>
      </c>
      <c r="W44" s="2"/>
      <c r="X44" s="7">
        <f t="shared" si="26"/>
        <v>57409.22187999999</v>
      </c>
      <c r="Y44" s="2"/>
      <c r="Z44" s="6">
        <f t="shared" si="27"/>
        <v>0.93870172974212651</v>
      </c>
    </row>
    <row r="45" spans="1:26" s="24" customFormat="1" hidden="1" outlineLevel="2" x14ac:dyDescent="0.25">
      <c r="A45" s="25"/>
      <c r="B45" s="11" t="str">
        <f>CONCATENATE("          ", "6006", " - ", "TEMPORARY PART TIME")</f>
        <v xml:space="preserve">          6006 - TEMPORARY PART TIME</v>
      </c>
      <c r="C45" s="11"/>
      <c r="D45" s="7">
        <v>5666.35</v>
      </c>
      <c r="E45" s="2"/>
      <c r="F45" s="6">
        <f t="shared" si="20"/>
        <v>3.8829688198223937E-3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5666.35</v>
      </c>
      <c r="M45" s="2"/>
      <c r="N45" s="6">
        <f t="shared" si="23"/>
        <v>0</v>
      </c>
      <c r="O45" s="11"/>
      <c r="P45" s="7">
        <v>16942.230000000003</v>
      </c>
      <c r="Q45" s="2"/>
      <c r="R45" s="6">
        <f t="shared" si="24"/>
        <v>6.8444658784576565E-3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16942.230000000003</v>
      </c>
      <c r="Y45" s="2"/>
      <c r="Z45" s="6">
        <f t="shared" si="27"/>
        <v>0</v>
      </c>
    </row>
    <row r="46" spans="1:26" s="24" customFormat="1" hidden="1" outlineLevel="2" x14ac:dyDescent="0.25">
      <c r="A46" s="25"/>
      <c r="B46" s="11" t="str">
        <f>CONCATENATE("          ", "6007", " - ", "STUDENT HOURLY")</f>
        <v xml:space="preserve">          6007 - STUDENT HOURLY</v>
      </c>
      <c r="C46" s="11"/>
      <c r="D46" s="7">
        <v>96594.540000000008</v>
      </c>
      <c r="E46" s="2"/>
      <c r="F46" s="6">
        <f t="shared" si="20"/>
        <v>6.6193155556061131E-2</v>
      </c>
      <c r="G46" s="2"/>
      <c r="H46" s="7">
        <v>36360.449999999997</v>
      </c>
      <c r="I46" s="2"/>
      <c r="J46" s="6">
        <f t="shared" si="21"/>
        <v>2.426231400624166E-2</v>
      </c>
      <c r="K46" s="2"/>
      <c r="L46" s="7">
        <f t="shared" si="22"/>
        <v>60234.090000000011</v>
      </c>
      <c r="M46" s="2"/>
      <c r="N46" s="6">
        <f t="shared" si="23"/>
        <v>1.6565826330532216</v>
      </c>
      <c r="O46" s="11"/>
      <c r="P46" s="7">
        <v>220669.95</v>
      </c>
      <c r="Q46" s="2"/>
      <c r="R46" s="6">
        <f t="shared" si="24"/>
        <v>8.9148119413793636E-2</v>
      </c>
      <c r="S46" s="2"/>
      <c r="T46" s="7">
        <v>159071.8425</v>
      </c>
      <c r="U46" s="2"/>
      <c r="V46" s="6">
        <f t="shared" si="25"/>
        <v>6.4394047374233293E-2</v>
      </c>
      <c r="W46" s="2"/>
      <c r="X46" s="7">
        <f t="shared" si="26"/>
        <v>61598.107500000013</v>
      </c>
      <c r="Y46" s="2"/>
      <c r="Z46" s="6">
        <f t="shared" si="27"/>
        <v>0.38723451323574137</v>
      </c>
    </row>
    <row r="47" spans="1:26" s="24" customFormat="1" hidden="1" outlineLevel="2" x14ac:dyDescent="0.25">
      <c r="A47" s="25"/>
      <c r="B47" s="11" t="str">
        <f>CONCATENATE("          ", "6008", " - ", "STUDENT HOURLY-FICA EXEMPT")</f>
        <v xml:space="preserve">          6008 - STUDENT HOURLY-FICA EXEMPT</v>
      </c>
      <c r="C47" s="11"/>
      <c r="D47" s="7">
        <v>24826.5</v>
      </c>
      <c r="E47" s="2"/>
      <c r="F47" s="6">
        <f t="shared" si="20"/>
        <v>1.7012808140217363E-2</v>
      </c>
      <c r="G47" s="2"/>
      <c r="H47" s="7">
        <v>98430.88</v>
      </c>
      <c r="I47" s="2"/>
      <c r="J47" s="6">
        <f t="shared" si="21"/>
        <v>6.568018048375894E-2</v>
      </c>
      <c r="K47" s="2"/>
      <c r="L47" s="7">
        <f t="shared" si="22"/>
        <v>-73604.38</v>
      </c>
      <c r="M47" s="2"/>
      <c r="N47" s="6">
        <f t="shared" si="23"/>
        <v>-0.74777732353911697</v>
      </c>
      <c r="O47" s="11"/>
      <c r="P47" s="7">
        <v>43863</v>
      </c>
      <c r="Q47" s="2"/>
      <c r="R47" s="6">
        <f t="shared" si="24"/>
        <v>1.7720147042437042E-2</v>
      </c>
      <c r="S47" s="2"/>
      <c r="T47" s="7">
        <v>104715.0425</v>
      </c>
      <c r="U47" s="2"/>
      <c r="V47" s="6">
        <f t="shared" si="25"/>
        <v>4.2389811430893889E-2</v>
      </c>
      <c r="W47" s="2"/>
      <c r="X47" s="7">
        <f t="shared" si="26"/>
        <v>-60852.042499999996</v>
      </c>
      <c r="Y47" s="2"/>
      <c r="Z47" s="6">
        <f t="shared" si="27"/>
        <v>-0.58112035336279411</v>
      </c>
    </row>
    <row r="48" spans="1:26" s="24" customFormat="1" hidden="1" outlineLevel="2" x14ac:dyDescent="0.25">
      <c r="A48" s="25"/>
      <c r="B48" s="11" t="str">
        <f>CONCATENATE("          ", "6009", " - ", "TEMPORARY-SEASONAL")</f>
        <v xml:space="preserve">          6009 - TEMPORARY-SEASONAL</v>
      </c>
      <c r="C48" s="11"/>
      <c r="D48" s="7"/>
      <c r="E48" s="2"/>
      <c r="F48" s="6">
        <f t="shared" si="20"/>
        <v>0</v>
      </c>
      <c r="G48" s="2"/>
      <c r="H48" s="7">
        <v>0</v>
      </c>
      <c r="I48" s="2"/>
      <c r="J48" s="6">
        <f t="shared" si="21"/>
        <v>0</v>
      </c>
      <c r="K48" s="2"/>
      <c r="L48" s="7">
        <f t="shared" si="22"/>
        <v>0</v>
      </c>
      <c r="M48" s="2"/>
      <c r="N48" s="6">
        <f t="shared" si="23"/>
        <v>0</v>
      </c>
      <c r="O48" s="11"/>
      <c r="P48" s="7"/>
      <c r="Q48" s="2"/>
      <c r="R48" s="6">
        <f t="shared" si="24"/>
        <v>0</v>
      </c>
      <c r="S48" s="2"/>
      <c r="T48" s="7">
        <v>0</v>
      </c>
      <c r="U48" s="2"/>
      <c r="V48" s="6">
        <f t="shared" si="25"/>
        <v>0</v>
      </c>
      <c r="W48" s="2"/>
      <c r="X48" s="7">
        <f t="shared" si="26"/>
        <v>0</v>
      </c>
      <c r="Y48" s="2"/>
      <c r="Z48" s="6">
        <f t="shared" si="27"/>
        <v>0</v>
      </c>
    </row>
    <row r="49" spans="1:26" s="24" customFormat="1" hidden="1" outlineLevel="2" x14ac:dyDescent="0.25">
      <c r="A49" s="25"/>
      <c r="B49" s="11" t="str">
        <f>CONCATENATE("          ", "6010", " - ", "GRATUITY")</f>
        <v xml:space="preserve">          6010 - GRATUITY</v>
      </c>
      <c r="C49" s="11"/>
      <c r="D49" s="7"/>
      <c r="E49" s="2"/>
      <c r="F49" s="6">
        <f t="shared" si="20"/>
        <v>0</v>
      </c>
      <c r="G49" s="2"/>
      <c r="H49" s="7">
        <v>0</v>
      </c>
      <c r="I49" s="2"/>
      <c r="J49" s="6">
        <f t="shared" si="21"/>
        <v>0</v>
      </c>
      <c r="K49" s="2"/>
      <c r="L49" s="7">
        <f t="shared" si="22"/>
        <v>0</v>
      </c>
      <c r="M49" s="2"/>
      <c r="N49" s="6">
        <f t="shared" si="23"/>
        <v>0</v>
      </c>
      <c r="O49" s="11"/>
      <c r="P49" s="7"/>
      <c r="Q49" s="2"/>
      <c r="R49" s="6">
        <f t="shared" si="24"/>
        <v>0</v>
      </c>
      <c r="S49" s="2"/>
      <c r="T49" s="7">
        <v>0</v>
      </c>
      <c r="U49" s="2"/>
      <c r="V49" s="6">
        <f t="shared" si="25"/>
        <v>0</v>
      </c>
      <c r="W49" s="2"/>
      <c r="X49" s="7">
        <f t="shared" si="26"/>
        <v>0</v>
      </c>
      <c r="Y49" s="2"/>
      <c r="Z49" s="6">
        <f t="shared" si="27"/>
        <v>0</v>
      </c>
    </row>
    <row r="50" spans="1:26" s="26" customFormat="1" outlineLevel="1" collapsed="1" x14ac:dyDescent="0.25">
      <c r="A50" s="27"/>
      <c r="B50" s="13" t="str">
        <f>CONCATENATE("     ","Advertising/Promo                                 ")</f>
        <v xml:space="preserve">     Advertising/Promo                                 </v>
      </c>
      <c r="C50" s="13"/>
      <c r="D50" s="1">
        <f>SUM(OSRRefD22_2x_0)</f>
        <v>95.17</v>
      </c>
      <c r="E50" s="1"/>
      <c r="F50" s="5">
        <f t="shared" ref="F50:F54" si="28">IF(D$12=0,0,D50/D$12)</f>
        <v>6.521696375665061E-5</v>
      </c>
      <c r="G50" s="1"/>
      <c r="H50" s="1">
        <f>SUM(OSRRefH22_2x_0)</f>
        <v>3775</v>
      </c>
      <c r="I50" s="1"/>
      <c r="J50" s="5">
        <f t="shared" ref="J50:J54" si="29">IF(H$12=0,0,H50/H$12)</f>
        <v>2.5189521959591336E-3</v>
      </c>
      <c r="K50" s="1"/>
      <c r="L50" s="1">
        <f t="shared" ref="L50:L54" si="30">+D50-H50</f>
        <v>-3679.83</v>
      </c>
      <c r="M50" s="1"/>
      <c r="N50" s="5">
        <f t="shared" ref="N50:N54" si="31">IF(H50=0,0,L50/H50)</f>
        <v>-0.97478940397350988</v>
      </c>
      <c r="O50" s="13"/>
      <c r="P50" s="1">
        <f>SUM(OSRRefP22_2x_0)</f>
        <v>6882.37</v>
      </c>
      <c r="Q50" s="1"/>
      <c r="R50" s="5">
        <f t="shared" ref="R50:R54" si="32">IF(P$12=0,0,P50/P$12)</f>
        <v>2.7803982491041977E-3</v>
      </c>
      <c r="S50" s="1"/>
      <c r="T50" s="1">
        <f>SUM(OSRRefT22_2x_0)</f>
        <v>8975</v>
      </c>
      <c r="U50" s="1"/>
      <c r="V50" s="5">
        <f t="shared" ref="V50:V54" si="33">IF(T$12=0,0,T50/T$12)</f>
        <v>3.6331796130653592E-3</v>
      </c>
      <c r="W50" s="1"/>
      <c r="X50" s="1">
        <f t="shared" ref="X50:X54" si="34">+P50-T50</f>
        <v>-2092.63</v>
      </c>
      <c r="Y50" s="1"/>
      <c r="Z50" s="5">
        <f t="shared" ref="Z50:Z54" si="35">IF(T50=0,0,X50/T50)</f>
        <v>-0.23316211699164346</v>
      </c>
    </row>
    <row r="51" spans="1:26" s="24" customFormat="1" hidden="1" outlineLevel="2" x14ac:dyDescent="0.25">
      <c r="A51" s="25"/>
      <c r="B51" s="11" t="str">
        <f>CONCATENATE("          ", "6362", " - ", "ADVERTISING EXPENSE")</f>
        <v xml:space="preserve">          6362 - ADVERTISING EXPENSE</v>
      </c>
      <c r="C51" s="11"/>
      <c r="D51" s="7">
        <v>95.17</v>
      </c>
      <c r="E51" s="2"/>
      <c r="F51" s="6">
        <f t="shared" si="28"/>
        <v>6.521696375665061E-5</v>
      </c>
      <c r="G51" s="2"/>
      <c r="H51" s="7">
        <v>3775</v>
      </c>
      <c r="I51" s="2"/>
      <c r="J51" s="6">
        <f t="shared" si="29"/>
        <v>2.5189521959591336E-3</v>
      </c>
      <c r="K51" s="2"/>
      <c r="L51" s="7">
        <f t="shared" si="30"/>
        <v>-3679.83</v>
      </c>
      <c r="M51" s="2"/>
      <c r="N51" s="6">
        <f t="shared" si="31"/>
        <v>-0.97478940397350988</v>
      </c>
      <c r="O51" s="11"/>
      <c r="P51" s="7">
        <v>6882.37</v>
      </c>
      <c r="Q51" s="2"/>
      <c r="R51" s="6">
        <f t="shared" si="32"/>
        <v>2.7803982491041977E-3</v>
      </c>
      <c r="S51" s="2"/>
      <c r="T51" s="7">
        <v>8975</v>
      </c>
      <c r="U51" s="2"/>
      <c r="V51" s="6">
        <f t="shared" si="33"/>
        <v>3.6331796130653592E-3</v>
      </c>
      <c r="W51" s="2"/>
      <c r="X51" s="7">
        <f t="shared" si="34"/>
        <v>-2092.63</v>
      </c>
      <c r="Y51" s="2"/>
      <c r="Z51" s="6">
        <f t="shared" si="35"/>
        <v>-0.23316211699164346</v>
      </c>
    </row>
    <row r="52" spans="1:26" s="26" customFormat="1" outlineLevel="1" collapsed="1" x14ac:dyDescent="0.25">
      <c r="A52" s="27"/>
      <c r="B52" s="13" t="str">
        <f>CONCATENATE("     ","Bad Debts/Over/Short                              ")</f>
        <v xml:space="preserve">     Bad Debts/Over/Short                              </v>
      </c>
      <c r="C52" s="13"/>
      <c r="D52" s="1">
        <f>SUM(OSRRefD22_3x_0)</f>
        <v>19.36</v>
      </c>
      <c r="E52" s="1"/>
      <c r="F52" s="5">
        <f t="shared" si="28"/>
        <v>1.3266790147407332E-5</v>
      </c>
      <c r="G52" s="1"/>
      <c r="H52" s="1">
        <f>SUM(OSRRefH22_3x_0)</f>
        <v>113</v>
      </c>
      <c r="I52" s="1"/>
      <c r="J52" s="5">
        <f t="shared" si="29"/>
        <v>7.5401747852551552E-5</v>
      </c>
      <c r="K52" s="1"/>
      <c r="L52" s="1">
        <f t="shared" si="30"/>
        <v>-93.64</v>
      </c>
      <c r="M52" s="1"/>
      <c r="N52" s="5">
        <f t="shared" si="31"/>
        <v>-0.82867256637168141</v>
      </c>
      <c r="O52" s="13"/>
      <c r="P52" s="1">
        <f>SUM(OSRRefP22_3x_0)</f>
        <v>16.97</v>
      </c>
      <c r="Q52" s="1"/>
      <c r="R52" s="5">
        <f t="shared" si="32"/>
        <v>6.8556846387651687E-6</v>
      </c>
      <c r="S52" s="1"/>
      <c r="T52" s="1">
        <f>SUM(OSRRefT22_3x_0)</f>
        <v>271</v>
      </c>
      <c r="U52" s="1"/>
      <c r="V52" s="5">
        <f t="shared" si="33"/>
        <v>1.0970380781512115E-4</v>
      </c>
      <c r="W52" s="1"/>
      <c r="X52" s="1">
        <f t="shared" si="34"/>
        <v>-254.03</v>
      </c>
      <c r="Y52" s="1"/>
      <c r="Z52" s="5">
        <f t="shared" si="35"/>
        <v>-0.93738007380073796</v>
      </c>
    </row>
    <row r="53" spans="1:26" s="24" customFormat="1" hidden="1" outlineLevel="2" x14ac:dyDescent="0.25">
      <c r="A53" s="25"/>
      <c r="B53" s="11" t="str">
        <f>CONCATENATE("          ", "6272", " - ", "CASH (OVER/SHORT)")</f>
        <v xml:space="preserve">          6272 - CASH (OVER/SHORT)</v>
      </c>
      <c r="C53" s="11"/>
      <c r="D53" s="7">
        <v>19.36</v>
      </c>
      <c r="E53" s="2"/>
      <c r="F53" s="6">
        <f t="shared" si="28"/>
        <v>1.3266790147407332E-5</v>
      </c>
      <c r="G53" s="2"/>
      <c r="H53" s="7">
        <v>63</v>
      </c>
      <c r="I53" s="2"/>
      <c r="J53" s="6">
        <f t="shared" si="29"/>
        <v>4.2038142608059713E-5</v>
      </c>
      <c r="K53" s="2"/>
      <c r="L53" s="7">
        <f t="shared" si="30"/>
        <v>-43.64</v>
      </c>
      <c r="M53" s="2"/>
      <c r="N53" s="6">
        <f t="shared" si="31"/>
        <v>-0.6926984126984127</v>
      </c>
      <c r="O53" s="11"/>
      <c r="P53" s="7">
        <v>16.97</v>
      </c>
      <c r="Q53" s="2"/>
      <c r="R53" s="6">
        <f t="shared" si="32"/>
        <v>6.8556846387651687E-6</v>
      </c>
      <c r="S53" s="2"/>
      <c r="T53" s="7">
        <v>171</v>
      </c>
      <c r="U53" s="2"/>
      <c r="V53" s="6">
        <f t="shared" si="33"/>
        <v>6.9222697920242495E-5</v>
      </c>
      <c r="W53" s="2"/>
      <c r="X53" s="7">
        <f t="shared" si="34"/>
        <v>-154.03</v>
      </c>
      <c r="Y53" s="2"/>
      <c r="Z53" s="6">
        <f t="shared" si="35"/>
        <v>-0.90076023391812865</v>
      </c>
    </row>
    <row r="54" spans="1:26" s="24" customFormat="1" hidden="1" outlineLevel="2" x14ac:dyDescent="0.25">
      <c r="A54" s="25"/>
      <c r="B54" s="11" t="str">
        <f>CONCATENATE("          ", "6342", " - ", "BAD DEBT")</f>
        <v xml:space="preserve">          6342 - BAD DEBT</v>
      </c>
      <c r="C54" s="11"/>
      <c r="D54" s="7"/>
      <c r="E54" s="2"/>
      <c r="F54" s="6">
        <f t="shared" si="28"/>
        <v>0</v>
      </c>
      <c r="G54" s="2"/>
      <c r="H54" s="7">
        <v>50</v>
      </c>
      <c r="I54" s="2"/>
      <c r="J54" s="6">
        <f t="shared" si="29"/>
        <v>3.3363605244491832E-5</v>
      </c>
      <c r="K54" s="2"/>
      <c r="L54" s="7">
        <f t="shared" si="30"/>
        <v>-50</v>
      </c>
      <c r="M54" s="2"/>
      <c r="N54" s="6">
        <f t="shared" si="31"/>
        <v>-1</v>
      </c>
      <c r="O54" s="11"/>
      <c r="P54" s="7"/>
      <c r="Q54" s="2"/>
      <c r="R54" s="6">
        <f t="shared" si="32"/>
        <v>0</v>
      </c>
      <c r="S54" s="2"/>
      <c r="T54" s="7">
        <v>100</v>
      </c>
      <c r="U54" s="2"/>
      <c r="V54" s="6">
        <f t="shared" si="33"/>
        <v>4.0481109894878653E-5</v>
      </c>
      <c r="W54" s="2"/>
      <c r="X54" s="7">
        <f t="shared" si="34"/>
        <v>-100</v>
      </c>
      <c r="Y54" s="2"/>
      <c r="Z54" s="6">
        <f t="shared" si="35"/>
        <v>-1</v>
      </c>
    </row>
    <row r="55" spans="1:26" s="26" customFormat="1" outlineLevel="1" collapsed="1" x14ac:dyDescent="0.25">
      <c r="A55" s="27"/>
      <c r="B55" s="13" t="str">
        <f>CONCATENATE("     ","Bank/card Fees                                    ")</f>
        <v xml:space="preserve">     Bank/card Fees                                    </v>
      </c>
      <c r="C55" s="13"/>
      <c r="D55" s="1">
        <f>SUM(OSRRefD22_4x_0)</f>
        <v>425.23</v>
      </c>
      <c r="E55" s="1"/>
      <c r="F55" s="5">
        <f t="shared" ref="F55:F59" si="36">IF(D$12=0,0,D55/D$12)</f>
        <v>2.913965482635341E-4</v>
      </c>
      <c r="G55" s="1"/>
      <c r="H55" s="1">
        <f>SUM(OSRRefH22_4x_0)</f>
        <v>441</v>
      </c>
      <c r="I55" s="1"/>
      <c r="J55" s="5">
        <f t="shared" ref="J55:J59" si="37">IF(H$12=0,0,H55/H$12)</f>
        <v>2.9426699825641802E-4</v>
      </c>
      <c r="K55" s="1"/>
      <c r="L55" s="1">
        <f t="shared" ref="L55:L59" si="38">+D55-H55</f>
        <v>-15.769999999999982</v>
      </c>
      <c r="M55" s="1"/>
      <c r="N55" s="5">
        <f t="shared" ref="N55:N59" si="39">IF(H55=0,0,L55/H55)</f>
        <v>-3.5759637188208578E-2</v>
      </c>
      <c r="O55" s="13"/>
      <c r="P55" s="1">
        <f>SUM(OSRRefP22_4x_0)</f>
        <v>986</v>
      </c>
      <c r="Q55" s="1"/>
      <c r="R55" s="5">
        <f t="shared" ref="R55:R59" si="40">IF(P$12=0,0,P55/P$12)</f>
        <v>3.9833264901723378E-4</v>
      </c>
      <c r="S55" s="1"/>
      <c r="T55" s="1">
        <f>SUM(OSRRefT22_4x_0)</f>
        <v>1280</v>
      </c>
      <c r="U55" s="1"/>
      <c r="V55" s="5">
        <f t="shared" ref="V55:V59" si="41">IF(T$12=0,0,T55/T$12)</f>
        <v>5.1815820665444682E-4</v>
      </c>
      <c r="W55" s="1"/>
      <c r="X55" s="1">
        <f t="shared" ref="X55:X59" si="42">+P55-T55</f>
        <v>-294</v>
      </c>
      <c r="Y55" s="1"/>
      <c r="Z55" s="5">
        <f t="shared" ref="Z55:Z59" si="43">IF(T55=0,0,X55/T55)</f>
        <v>-0.22968749999999999</v>
      </c>
    </row>
    <row r="56" spans="1:26" s="24" customFormat="1" hidden="1" outlineLevel="2" x14ac:dyDescent="0.25">
      <c r="A56" s="25"/>
      <c r="B56" s="11" t="str">
        <f>CONCATENATE("          ", "6381", " - ", "BANK/CREDIT CARD FEES")</f>
        <v xml:space="preserve">          6381 - BANK/CREDIT CARD FEES</v>
      </c>
      <c r="C56" s="11"/>
      <c r="D56" s="7">
        <v>425.23</v>
      </c>
      <c r="E56" s="2"/>
      <c r="F56" s="6">
        <f t="shared" si="36"/>
        <v>2.913965482635341E-4</v>
      </c>
      <c r="G56" s="2"/>
      <c r="H56" s="7">
        <v>441</v>
      </c>
      <c r="I56" s="2"/>
      <c r="J56" s="6">
        <f t="shared" si="37"/>
        <v>2.9426699825641802E-4</v>
      </c>
      <c r="K56" s="2"/>
      <c r="L56" s="7">
        <f t="shared" si="38"/>
        <v>-15.769999999999982</v>
      </c>
      <c r="M56" s="2"/>
      <c r="N56" s="6">
        <f t="shared" si="39"/>
        <v>-3.5759637188208578E-2</v>
      </c>
      <c r="O56" s="11"/>
      <c r="P56" s="7">
        <v>986</v>
      </c>
      <c r="Q56" s="2"/>
      <c r="R56" s="6">
        <f t="shared" si="40"/>
        <v>3.9833264901723378E-4</v>
      </c>
      <c r="S56" s="2"/>
      <c r="T56" s="7">
        <v>1280</v>
      </c>
      <c r="U56" s="2"/>
      <c r="V56" s="6">
        <f t="shared" si="41"/>
        <v>5.1815820665444682E-4</v>
      </c>
      <c r="W56" s="2"/>
      <c r="X56" s="7">
        <f t="shared" si="42"/>
        <v>-294</v>
      </c>
      <c r="Y56" s="2"/>
      <c r="Z56" s="6">
        <f t="shared" si="43"/>
        <v>-0.22968749999999999</v>
      </c>
    </row>
    <row r="57" spans="1:26" s="26" customFormat="1" outlineLevel="1" collapsed="1" x14ac:dyDescent="0.25">
      <c r="A57" s="27"/>
      <c r="B57" s="13" t="str">
        <f>CONCATENATE("     ","Donations                                         ")</f>
        <v xml:space="preserve">     Donations                                         </v>
      </c>
      <c r="C57" s="13"/>
      <c r="D57" s="1">
        <f>SUM(OSRRefD22_5x_0)</f>
        <v>18816</v>
      </c>
      <c r="E57" s="1"/>
      <c r="F57" s="5">
        <f t="shared" si="36"/>
        <v>1.2894004308554563E-2</v>
      </c>
      <c r="G57" s="1"/>
      <c r="H57" s="1">
        <f>SUM(OSRRefH22_5x_0)</f>
        <v>17030</v>
      </c>
      <c r="I57" s="1"/>
      <c r="J57" s="5">
        <f t="shared" si="37"/>
        <v>1.136364394627392E-2</v>
      </c>
      <c r="K57" s="1"/>
      <c r="L57" s="1">
        <f t="shared" si="38"/>
        <v>1786</v>
      </c>
      <c r="M57" s="1"/>
      <c r="N57" s="5">
        <f t="shared" si="39"/>
        <v>0.10487375220199648</v>
      </c>
      <c r="O57" s="13"/>
      <c r="P57" s="1">
        <f>SUM(OSRRefP22_5x_0)</f>
        <v>26596.75</v>
      </c>
      <c r="Q57" s="1"/>
      <c r="R57" s="5">
        <f t="shared" si="40"/>
        <v>1.0744780814147172E-2</v>
      </c>
      <c r="S57" s="1"/>
      <c r="T57" s="1">
        <f>SUM(OSRRefT22_5x_0)</f>
        <v>26037</v>
      </c>
      <c r="U57" s="1"/>
      <c r="V57" s="5">
        <f t="shared" si="41"/>
        <v>1.0540066583329556E-2</v>
      </c>
      <c r="W57" s="1"/>
      <c r="X57" s="1">
        <f t="shared" si="42"/>
        <v>559.75</v>
      </c>
      <c r="Y57" s="1"/>
      <c r="Z57" s="5">
        <f t="shared" si="43"/>
        <v>2.1498252486845643E-2</v>
      </c>
    </row>
    <row r="58" spans="1:26" s="24" customFormat="1" hidden="1" outlineLevel="2" x14ac:dyDescent="0.25">
      <c r="A58" s="25"/>
      <c r="B58" s="11" t="str">
        <f>CONCATENATE("          ", "6396", " - ", "COUPONS-CHARTROOM")</f>
        <v xml:space="preserve">          6396 - COUPONS-CHARTROOM</v>
      </c>
      <c r="C58" s="11"/>
      <c r="D58" s="7"/>
      <c r="E58" s="2"/>
      <c r="F58" s="6">
        <f t="shared" si="36"/>
        <v>0</v>
      </c>
      <c r="G58" s="2"/>
      <c r="H58" s="7">
        <v>100</v>
      </c>
      <c r="I58" s="2"/>
      <c r="J58" s="6">
        <f t="shared" si="37"/>
        <v>6.6727210488983665E-5</v>
      </c>
      <c r="K58" s="2"/>
      <c r="L58" s="7">
        <f t="shared" si="38"/>
        <v>-100</v>
      </c>
      <c r="M58" s="2"/>
      <c r="N58" s="6">
        <f t="shared" si="39"/>
        <v>-1</v>
      </c>
      <c r="O58" s="11"/>
      <c r="P58" s="7"/>
      <c r="Q58" s="2"/>
      <c r="R58" s="6">
        <f t="shared" si="40"/>
        <v>0</v>
      </c>
      <c r="S58" s="2"/>
      <c r="T58" s="7">
        <v>300</v>
      </c>
      <c r="U58" s="2"/>
      <c r="V58" s="6">
        <f t="shared" si="41"/>
        <v>1.2144332968463596E-4</v>
      </c>
      <c r="W58" s="2"/>
      <c r="X58" s="7">
        <f t="shared" si="42"/>
        <v>-300</v>
      </c>
      <c r="Y58" s="2"/>
      <c r="Z58" s="6">
        <f t="shared" si="43"/>
        <v>-1</v>
      </c>
    </row>
    <row r="59" spans="1:26" s="24" customFormat="1" hidden="1" outlineLevel="2" x14ac:dyDescent="0.25">
      <c r="A59" s="25"/>
      <c r="B59" s="11" t="str">
        <f>CONCATENATE("          ", "6399", " - ", "DONATION-ON CAMPUS")</f>
        <v xml:space="preserve">          6399 - DONATION-ON CAMPUS</v>
      </c>
      <c r="C59" s="11"/>
      <c r="D59" s="7">
        <v>18816</v>
      </c>
      <c r="E59" s="2"/>
      <c r="F59" s="6">
        <f t="shared" si="36"/>
        <v>1.2894004308554563E-2</v>
      </c>
      <c r="G59" s="2"/>
      <c r="H59" s="7">
        <v>16930</v>
      </c>
      <c r="I59" s="2"/>
      <c r="J59" s="6">
        <f t="shared" si="37"/>
        <v>1.1296916735784935E-2</v>
      </c>
      <c r="K59" s="2"/>
      <c r="L59" s="7">
        <f t="shared" si="38"/>
        <v>1886</v>
      </c>
      <c r="M59" s="2"/>
      <c r="N59" s="6">
        <f t="shared" si="39"/>
        <v>0.11139988186650916</v>
      </c>
      <c r="O59" s="11"/>
      <c r="P59" s="7">
        <v>26596.75</v>
      </c>
      <c r="Q59" s="2"/>
      <c r="R59" s="6">
        <f t="shared" si="40"/>
        <v>1.0744780814147172E-2</v>
      </c>
      <c r="S59" s="2"/>
      <c r="T59" s="7">
        <v>25737</v>
      </c>
      <c r="U59" s="2"/>
      <c r="V59" s="6">
        <f t="shared" si="41"/>
        <v>1.0418623253644919E-2</v>
      </c>
      <c r="W59" s="2"/>
      <c r="X59" s="7">
        <f t="shared" si="42"/>
        <v>859.75</v>
      </c>
      <c r="Y59" s="2"/>
      <c r="Z59" s="6">
        <f t="shared" si="43"/>
        <v>3.340521428293896E-2</v>
      </c>
    </row>
    <row r="60" spans="1:26" s="26" customFormat="1" outlineLevel="1" collapsed="1" x14ac:dyDescent="0.25">
      <c r="A60" s="27"/>
      <c r="B60" s="13" t="str">
        <f>CONCATENATE("     ","Employees' Appreciation                           ")</f>
        <v xml:space="preserve">     Employees' Appreciation                           </v>
      </c>
      <c r="C60" s="13"/>
      <c r="D60" s="1">
        <f>SUM(OSRRefD22_6x_0)</f>
        <v>735.24</v>
      </c>
      <c r="E60" s="1"/>
      <c r="F60" s="5">
        <f t="shared" ref="F60:F76" si="44">IF(D$12=0,0,D60/D$12)</f>
        <v>5.03836507643583E-4</v>
      </c>
      <c r="G60" s="1"/>
      <c r="H60" s="1">
        <f>SUM(OSRRefH22_6x_0)</f>
        <v>595</v>
      </c>
      <c r="I60" s="1"/>
      <c r="J60" s="5">
        <f t="shared" ref="J60:J76" si="45">IF(H$12=0,0,H60/H$12)</f>
        <v>3.9702690240945286E-4</v>
      </c>
      <c r="K60" s="1"/>
      <c r="L60" s="1">
        <f t="shared" ref="L60:L76" si="46">+D60-H60</f>
        <v>140.24</v>
      </c>
      <c r="M60" s="1"/>
      <c r="N60" s="5">
        <f t="shared" ref="N60:N76" si="47">IF(H60=0,0,L60/H60)</f>
        <v>0.23569747899159665</v>
      </c>
      <c r="O60" s="13"/>
      <c r="P60" s="1">
        <f>SUM(OSRRefP22_6x_0)</f>
        <v>848.3</v>
      </c>
      <c r="Q60" s="1"/>
      <c r="R60" s="5">
        <f t="shared" ref="R60:R76" si="48">IF(P$12=0,0,P60/P$12)</f>
        <v>3.4270343424068901E-4</v>
      </c>
      <c r="S60" s="1"/>
      <c r="T60" s="1">
        <f>SUM(OSRRefT22_6x_0)</f>
        <v>1795</v>
      </c>
      <c r="U60" s="1"/>
      <c r="V60" s="5">
        <f t="shared" ref="V60:V76" si="49">IF(T$12=0,0,T60/T$12)</f>
        <v>7.2663592261307188E-4</v>
      </c>
      <c r="W60" s="1"/>
      <c r="X60" s="1">
        <f t="shared" ref="X60:X76" si="50">+P60-T60</f>
        <v>-946.7</v>
      </c>
      <c r="Y60" s="1"/>
      <c r="Z60" s="5">
        <f t="shared" ref="Z60:Z76" si="51">IF(T60=0,0,X60/T60)</f>
        <v>-0.52740947075208922</v>
      </c>
    </row>
    <row r="61" spans="1:26" s="24" customFormat="1" hidden="1" outlineLevel="2" x14ac:dyDescent="0.25">
      <c r="A61" s="25"/>
      <c r="B61" s="11" t="str">
        <f>CONCATENATE("          ", "6277", " - ", "EMPLOYEE APPRECIATION")</f>
        <v xml:space="preserve">          6277 - EMPLOYEE APPRECIATION</v>
      </c>
      <c r="C61" s="11"/>
      <c r="D61" s="7">
        <v>735.24</v>
      </c>
      <c r="E61" s="2"/>
      <c r="F61" s="6">
        <f t="shared" si="44"/>
        <v>5.03836507643583E-4</v>
      </c>
      <c r="G61" s="2"/>
      <c r="H61" s="7">
        <v>595</v>
      </c>
      <c r="I61" s="2"/>
      <c r="J61" s="6">
        <f t="shared" si="45"/>
        <v>3.9702690240945286E-4</v>
      </c>
      <c r="K61" s="2"/>
      <c r="L61" s="7">
        <f t="shared" si="46"/>
        <v>140.24</v>
      </c>
      <c r="M61" s="2"/>
      <c r="N61" s="6">
        <f t="shared" si="47"/>
        <v>0.23569747899159665</v>
      </c>
      <c r="O61" s="11"/>
      <c r="P61" s="7">
        <v>848.3</v>
      </c>
      <c r="Q61" s="2"/>
      <c r="R61" s="6">
        <f t="shared" si="48"/>
        <v>3.4270343424068901E-4</v>
      </c>
      <c r="S61" s="2"/>
      <c r="T61" s="7">
        <v>1795</v>
      </c>
      <c r="U61" s="2"/>
      <c r="V61" s="6">
        <f t="shared" si="49"/>
        <v>7.2663592261307188E-4</v>
      </c>
      <c r="W61" s="2"/>
      <c r="X61" s="7">
        <f t="shared" si="50"/>
        <v>-946.7</v>
      </c>
      <c r="Y61" s="2"/>
      <c r="Z61" s="6">
        <f t="shared" si="51"/>
        <v>-0.52740947075208922</v>
      </c>
    </row>
    <row r="62" spans="1:26" s="26" customFormat="1" outlineLevel="1" collapsed="1" x14ac:dyDescent="0.25">
      <c r="A62" s="27"/>
      <c r="B62" s="13" t="str">
        <f>CONCATENATE("     ","Equipment Rental                                  ")</f>
        <v xml:space="preserve">     Equipment Rental                                  </v>
      </c>
      <c r="C62" s="13"/>
      <c r="D62" s="1">
        <f>SUM(OSRRefD22_7x_0)</f>
        <v>-1455.85</v>
      </c>
      <c r="E62" s="1"/>
      <c r="F62" s="5">
        <f t="shared" si="44"/>
        <v>-9.9764754318713649E-4</v>
      </c>
      <c r="G62" s="1"/>
      <c r="H62" s="1">
        <f>SUM(OSRRefH22_7x_0)</f>
        <v>670</v>
      </c>
      <c r="I62" s="1"/>
      <c r="J62" s="5">
        <f t="shared" si="45"/>
        <v>4.4707231027619061E-4</v>
      </c>
      <c r="K62" s="1"/>
      <c r="L62" s="1">
        <f t="shared" si="46"/>
        <v>-2125.85</v>
      </c>
      <c r="M62" s="1"/>
      <c r="N62" s="5">
        <f t="shared" si="47"/>
        <v>-3.1729104477611938</v>
      </c>
      <c r="O62" s="13"/>
      <c r="P62" s="1">
        <f>SUM(OSRRefP22_7x_0)</f>
        <v>1245.22</v>
      </c>
      <c r="Q62" s="1"/>
      <c r="R62" s="5">
        <f t="shared" si="48"/>
        <v>5.0305454483695719E-4</v>
      </c>
      <c r="S62" s="1"/>
      <c r="T62" s="1">
        <f>SUM(OSRRefT22_7x_0)</f>
        <v>2210</v>
      </c>
      <c r="U62" s="1"/>
      <c r="V62" s="5">
        <f t="shared" si="49"/>
        <v>8.9463252867681827E-4</v>
      </c>
      <c r="W62" s="1"/>
      <c r="X62" s="1">
        <f t="shared" si="50"/>
        <v>-964.78</v>
      </c>
      <c r="Y62" s="1"/>
      <c r="Z62" s="5">
        <f t="shared" si="51"/>
        <v>-0.43655203619909499</v>
      </c>
    </row>
    <row r="63" spans="1:26" s="24" customFormat="1" hidden="1" outlineLevel="2" x14ac:dyDescent="0.25">
      <c r="A63" s="25"/>
      <c r="B63" s="11" t="str">
        <f>CONCATENATE("          ", "6351", " - ", "EQUIPMENT RENTAL")</f>
        <v xml:space="preserve">          6351 - EQUIPMENT RENTAL</v>
      </c>
      <c r="C63" s="11"/>
      <c r="D63" s="7">
        <v>-1455.85</v>
      </c>
      <c r="E63" s="2"/>
      <c r="F63" s="6">
        <f t="shared" si="44"/>
        <v>-9.9764754318713649E-4</v>
      </c>
      <c r="G63" s="2"/>
      <c r="H63" s="7">
        <v>670</v>
      </c>
      <c r="I63" s="2"/>
      <c r="J63" s="6">
        <f t="shared" si="45"/>
        <v>4.4707231027619061E-4</v>
      </c>
      <c r="K63" s="2"/>
      <c r="L63" s="7">
        <f t="shared" si="46"/>
        <v>-2125.85</v>
      </c>
      <c r="M63" s="2"/>
      <c r="N63" s="6">
        <f t="shared" si="47"/>
        <v>-3.1729104477611938</v>
      </c>
      <c r="O63" s="11"/>
      <c r="P63" s="7">
        <v>1245.22</v>
      </c>
      <c r="Q63" s="2"/>
      <c r="R63" s="6">
        <f t="shared" si="48"/>
        <v>5.0305454483695719E-4</v>
      </c>
      <c r="S63" s="2"/>
      <c r="T63" s="7">
        <v>2210</v>
      </c>
      <c r="U63" s="2"/>
      <c r="V63" s="6">
        <f t="shared" si="49"/>
        <v>8.9463252867681827E-4</v>
      </c>
      <c r="W63" s="2"/>
      <c r="X63" s="7">
        <f t="shared" si="50"/>
        <v>-964.78</v>
      </c>
      <c r="Y63" s="2"/>
      <c r="Z63" s="6">
        <f t="shared" si="51"/>
        <v>-0.43655203619909499</v>
      </c>
    </row>
    <row r="64" spans="1:26" s="26" customFormat="1" outlineLevel="1" collapsed="1" x14ac:dyDescent="0.25">
      <c r="A64" s="27"/>
      <c r="B64" s="13" t="str">
        <f>CONCATENATE("     ","Freight out/Postage                               ")</f>
        <v xml:space="preserve">     Freight out/Postage                               </v>
      </c>
      <c r="C64" s="13"/>
      <c r="D64" s="1">
        <f>SUM(OSRRefD22_8x_0)</f>
        <v>0</v>
      </c>
      <c r="E64" s="1"/>
      <c r="F64" s="5">
        <f t="shared" si="44"/>
        <v>0</v>
      </c>
      <c r="G64" s="1"/>
      <c r="H64" s="1">
        <f>SUM(OSRRefH22_8x_0)</f>
        <v>1</v>
      </c>
      <c r="I64" s="1"/>
      <c r="J64" s="5">
        <f t="shared" si="45"/>
        <v>6.6727210488983667E-7</v>
      </c>
      <c r="K64" s="1"/>
      <c r="L64" s="1">
        <f t="shared" si="46"/>
        <v>-1</v>
      </c>
      <c r="M64" s="1"/>
      <c r="N64" s="5">
        <f t="shared" si="47"/>
        <v>-1</v>
      </c>
      <c r="O64" s="13"/>
      <c r="P64" s="1">
        <f>SUM(OSRRefP22_8x_0)</f>
        <v>0</v>
      </c>
      <c r="Q64" s="1"/>
      <c r="R64" s="5">
        <f t="shared" si="48"/>
        <v>0</v>
      </c>
      <c r="S64" s="1"/>
      <c r="T64" s="1">
        <f>SUM(OSRRefT22_8x_0)</f>
        <v>3</v>
      </c>
      <c r="U64" s="1"/>
      <c r="V64" s="5">
        <f t="shared" si="49"/>
        <v>1.2144332968463596E-6</v>
      </c>
      <c r="W64" s="1"/>
      <c r="X64" s="1">
        <f t="shared" si="50"/>
        <v>-3</v>
      </c>
      <c r="Y64" s="1"/>
      <c r="Z64" s="5">
        <f t="shared" si="51"/>
        <v>-1</v>
      </c>
    </row>
    <row r="65" spans="1:26" s="24" customFormat="1" hidden="1" outlineLevel="2" x14ac:dyDescent="0.25">
      <c r="A65" s="25"/>
      <c r="B65" s="11" t="str">
        <f>CONCATENATE("          ", "6307", " - ", "POSTAGE")</f>
        <v xml:space="preserve">          6307 - POSTAGE</v>
      </c>
      <c r="C65" s="11"/>
      <c r="D65" s="7"/>
      <c r="E65" s="2"/>
      <c r="F65" s="6">
        <f t="shared" si="44"/>
        <v>0</v>
      </c>
      <c r="G65" s="2"/>
      <c r="H65" s="7">
        <v>1</v>
      </c>
      <c r="I65" s="2"/>
      <c r="J65" s="6">
        <f t="shared" si="45"/>
        <v>6.6727210488983667E-7</v>
      </c>
      <c r="K65" s="2"/>
      <c r="L65" s="7">
        <f t="shared" si="46"/>
        <v>-1</v>
      </c>
      <c r="M65" s="2"/>
      <c r="N65" s="6">
        <f t="shared" si="47"/>
        <v>-1</v>
      </c>
      <c r="O65" s="11"/>
      <c r="P65" s="7"/>
      <c r="Q65" s="2"/>
      <c r="R65" s="6">
        <f t="shared" si="48"/>
        <v>0</v>
      </c>
      <c r="S65" s="2"/>
      <c r="T65" s="7">
        <v>3</v>
      </c>
      <c r="U65" s="2"/>
      <c r="V65" s="6">
        <f t="shared" si="49"/>
        <v>1.2144332968463596E-6</v>
      </c>
      <c r="W65" s="2"/>
      <c r="X65" s="7">
        <f t="shared" si="50"/>
        <v>-3</v>
      </c>
      <c r="Y65" s="2"/>
      <c r="Z65" s="6">
        <f t="shared" si="51"/>
        <v>-1</v>
      </c>
    </row>
    <row r="66" spans="1:26" s="26" customFormat="1" outlineLevel="1" collapsed="1" x14ac:dyDescent="0.25">
      <c r="A66" s="27"/>
      <c r="B66" s="13" t="str">
        <f>CONCATENATE("     ","General                                           ")</f>
        <v xml:space="preserve">     General                                           </v>
      </c>
      <c r="C66" s="13"/>
      <c r="D66" s="1">
        <f>SUM(OSRRefD22_9x_0)</f>
        <v>84</v>
      </c>
      <c r="E66" s="1"/>
      <c r="F66" s="5">
        <f t="shared" si="44"/>
        <v>5.7562519234618587E-5</v>
      </c>
      <c r="G66" s="1"/>
      <c r="H66" s="1">
        <f>SUM(OSRRefH22_9x_0)</f>
        <v>1150</v>
      </c>
      <c r="I66" s="1"/>
      <c r="J66" s="5">
        <f t="shared" si="45"/>
        <v>7.6736292062331223E-4</v>
      </c>
      <c r="K66" s="1"/>
      <c r="L66" s="1">
        <f t="shared" si="46"/>
        <v>-1066</v>
      </c>
      <c r="M66" s="1"/>
      <c r="N66" s="5">
        <f t="shared" si="47"/>
        <v>-0.92695652173913046</v>
      </c>
      <c r="O66" s="13"/>
      <c r="P66" s="1">
        <f>SUM(OSRRefP22_9x_0)</f>
        <v>6194.86</v>
      </c>
      <c r="Q66" s="1"/>
      <c r="R66" s="5">
        <f t="shared" si="48"/>
        <v>2.5026521238244426E-3</v>
      </c>
      <c r="S66" s="1"/>
      <c r="T66" s="1">
        <f>SUM(OSRRefT22_9x_0)</f>
        <v>5774</v>
      </c>
      <c r="U66" s="1"/>
      <c r="V66" s="5">
        <f t="shared" si="49"/>
        <v>2.3373792853302934E-3</v>
      </c>
      <c r="W66" s="1"/>
      <c r="X66" s="1">
        <f t="shared" si="50"/>
        <v>420.85999999999967</v>
      </c>
      <c r="Y66" s="1"/>
      <c r="Z66" s="5">
        <f t="shared" si="51"/>
        <v>7.2888811915483145E-2</v>
      </c>
    </row>
    <row r="67" spans="1:26" s="24" customFormat="1" hidden="1" outlineLevel="2" x14ac:dyDescent="0.25">
      <c r="A67" s="25"/>
      <c r="B67" s="11" t="str">
        <f>CONCATENATE("          ", "6279", " - ", "GENERAL EXPENSE")</f>
        <v xml:space="preserve">          6279 - GENERAL EXPENSE</v>
      </c>
      <c r="C67" s="11"/>
      <c r="D67" s="7">
        <v>84</v>
      </c>
      <c r="E67" s="2"/>
      <c r="F67" s="6">
        <f t="shared" si="44"/>
        <v>5.7562519234618587E-5</v>
      </c>
      <c r="G67" s="2"/>
      <c r="H67" s="7">
        <v>1150</v>
      </c>
      <c r="I67" s="2"/>
      <c r="J67" s="6">
        <f t="shared" si="45"/>
        <v>7.6736292062331223E-4</v>
      </c>
      <c r="K67" s="2"/>
      <c r="L67" s="7">
        <f t="shared" si="46"/>
        <v>-1066</v>
      </c>
      <c r="M67" s="2"/>
      <c r="N67" s="6">
        <f t="shared" si="47"/>
        <v>-0.92695652173913046</v>
      </c>
      <c r="O67" s="11"/>
      <c r="P67" s="7">
        <v>6194.86</v>
      </c>
      <c r="Q67" s="2"/>
      <c r="R67" s="6">
        <f t="shared" si="48"/>
        <v>2.5026521238244426E-3</v>
      </c>
      <c r="S67" s="2"/>
      <c r="T67" s="7">
        <v>5774</v>
      </c>
      <c r="U67" s="2"/>
      <c r="V67" s="6">
        <f t="shared" si="49"/>
        <v>2.3373792853302934E-3</v>
      </c>
      <c r="W67" s="2"/>
      <c r="X67" s="7">
        <f t="shared" si="50"/>
        <v>420.85999999999967</v>
      </c>
      <c r="Y67" s="2"/>
      <c r="Z67" s="6">
        <f t="shared" si="51"/>
        <v>7.2888811915483145E-2</v>
      </c>
    </row>
    <row r="68" spans="1:26" s="26" customFormat="1" outlineLevel="1" collapsed="1" x14ac:dyDescent="0.25">
      <c r="A68" s="27"/>
      <c r="B68" s="13" t="str">
        <f>CONCATENATE("     ","Insurance                                         ")</f>
        <v xml:space="preserve">     Insurance                                         </v>
      </c>
      <c r="C68" s="13"/>
      <c r="D68" s="1">
        <f>SUM(OSRRefD22_10x_0)</f>
        <v>5.9</v>
      </c>
      <c r="E68" s="1"/>
      <c r="F68" s="5">
        <f t="shared" si="44"/>
        <v>4.0430817081458299E-6</v>
      </c>
      <c r="G68" s="1"/>
      <c r="H68" s="1">
        <f>SUM(OSRRefH22_10x_0)</f>
        <v>5</v>
      </c>
      <c r="I68" s="1"/>
      <c r="J68" s="5">
        <f t="shared" si="45"/>
        <v>3.3363605244491836E-6</v>
      </c>
      <c r="K68" s="1"/>
      <c r="L68" s="1">
        <f t="shared" si="46"/>
        <v>0.90000000000000036</v>
      </c>
      <c r="M68" s="1"/>
      <c r="N68" s="5">
        <f t="shared" si="47"/>
        <v>0.18000000000000008</v>
      </c>
      <c r="O68" s="13"/>
      <c r="P68" s="1">
        <f>SUM(OSRRefP22_10x_0)</f>
        <v>17.7</v>
      </c>
      <c r="Q68" s="1"/>
      <c r="R68" s="5">
        <f t="shared" si="48"/>
        <v>7.1505962348935472E-6</v>
      </c>
      <c r="S68" s="1"/>
      <c r="T68" s="1">
        <f>SUM(OSRRefT22_10x_0)</f>
        <v>15</v>
      </c>
      <c r="U68" s="1"/>
      <c r="V68" s="5">
        <f t="shared" si="49"/>
        <v>6.0721664842317982E-6</v>
      </c>
      <c r="W68" s="1"/>
      <c r="X68" s="1">
        <f t="shared" si="50"/>
        <v>2.6999999999999993</v>
      </c>
      <c r="Y68" s="1"/>
      <c r="Z68" s="5">
        <f t="shared" si="51"/>
        <v>0.17999999999999997</v>
      </c>
    </row>
    <row r="69" spans="1:26" s="24" customFormat="1" hidden="1" outlineLevel="2" x14ac:dyDescent="0.25">
      <c r="A69" s="25"/>
      <c r="B69" s="11" t="str">
        <f>CONCATENATE("          ", "6314", " - ", "LIABILITY INSURANCE")</f>
        <v xml:space="preserve">          6314 - LIABILITY INSURANCE</v>
      </c>
      <c r="C69" s="11"/>
      <c r="D69" s="7">
        <v>5.9</v>
      </c>
      <c r="E69" s="2"/>
      <c r="F69" s="6">
        <f t="shared" si="44"/>
        <v>4.0430817081458299E-6</v>
      </c>
      <c r="G69" s="2"/>
      <c r="H69" s="7">
        <v>5</v>
      </c>
      <c r="I69" s="2"/>
      <c r="J69" s="6">
        <f t="shared" si="45"/>
        <v>3.3363605244491836E-6</v>
      </c>
      <c r="K69" s="2"/>
      <c r="L69" s="7">
        <f t="shared" si="46"/>
        <v>0.90000000000000036</v>
      </c>
      <c r="M69" s="2"/>
      <c r="N69" s="6">
        <f t="shared" si="47"/>
        <v>0.18000000000000008</v>
      </c>
      <c r="O69" s="11"/>
      <c r="P69" s="7">
        <v>17.7</v>
      </c>
      <c r="Q69" s="2"/>
      <c r="R69" s="6">
        <f t="shared" si="48"/>
        <v>7.1505962348935472E-6</v>
      </c>
      <c r="S69" s="2"/>
      <c r="T69" s="7">
        <v>15</v>
      </c>
      <c r="U69" s="2"/>
      <c r="V69" s="6">
        <f t="shared" si="49"/>
        <v>6.0721664842317982E-6</v>
      </c>
      <c r="W69" s="2"/>
      <c r="X69" s="7">
        <f t="shared" si="50"/>
        <v>2.6999999999999993</v>
      </c>
      <c r="Y69" s="2"/>
      <c r="Z69" s="6">
        <f t="shared" si="51"/>
        <v>0.17999999999999997</v>
      </c>
    </row>
    <row r="70" spans="1:26" s="26" customFormat="1" outlineLevel="1" collapsed="1" x14ac:dyDescent="0.25">
      <c r="A70" s="27"/>
      <c r="B70" s="13" t="str">
        <f>CONCATENATE("     ","R/H Commissions                                   ")</f>
        <v xml:space="preserve">     R/H Commissions                                   </v>
      </c>
      <c r="C70" s="13"/>
      <c r="D70" s="1">
        <f>SUM(OSRRefD22_11x_0)</f>
        <v>115888.45000000001</v>
      </c>
      <c r="E70" s="1"/>
      <c r="F70" s="5">
        <f t="shared" si="44"/>
        <v>7.9414656335656364E-2</v>
      </c>
      <c r="G70" s="1"/>
      <c r="H70" s="1">
        <f>SUM(OSRRefH22_11x_0)</f>
        <v>119869</v>
      </c>
      <c r="I70" s="1"/>
      <c r="J70" s="5">
        <f t="shared" si="45"/>
        <v>7.9985239941039843E-2</v>
      </c>
      <c r="K70" s="1"/>
      <c r="L70" s="1">
        <f t="shared" si="46"/>
        <v>-3980.5499999999884</v>
      </c>
      <c r="M70" s="1"/>
      <c r="N70" s="5">
        <f t="shared" si="47"/>
        <v>-3.320750152249529E-2</v>
      </c>
      <c r="O70" s="13"/>
      <c r="P70" s="1">
        <f>SUM(OSRRefP22_11x_0)</f>
        <v>187921.28</v>
      </c>
      <c r="Q70" s="1"/>
      <c r="R70" s="5">
        <f t="shared" si="48"/>
        <v>7.5918033741490171E-2</v>
      </c>
      <c r="S70" s="1"/>
      <c r="T70" s="1">
        <f>SUM(OSRRefT22_11x_0)</f>
        <v>197593</v>
      </c>
      <c r="U70" s="1"/>
      <c r="V70" s="5">
        <f t="shared" si="49"/>
        <v>7.9987839474587583E-2</v>
      </c>
      <c r="W70" s="1"/>
      <c r="X70" s="1">
        <f t="shared" si="50"/>
        <v>-9671.7200000000012</v>
      </c>
      <c r="Y70" s="1"/>
      <c r="Z70" s="5">
        <f t="shared" si="51"/>
        <v>-4.8947685393713344E-2</v>
      </c>
    </row>
    <row r="71" spans="1:26" s="24" customFormat="1" hidden="1" outlineLevel="2" x14ac:dyDescent="0.25">
      <c r="A71" s="25"/>
      <c r="B71" s="11" t="str">
        <f>CONCATENATE("          ", "6387", " - ", "COMMISSION DUE HOUSING")</f>
        <v xml:space="preserve">          6387 - COMMISSION DUE HOUSING</v>
      </c>
      <c r="C71" s="11"/>
      <c r="D71" s="7">
        <v>115888.45000000001</v>
      </c>
      <c r="E71" s="2"/>
      <c r="F71" s="6">
        <f t="shared" si="44"/>
        <v>7.9414656335656364E-2</v>
      </c>
      <c r="G71" s="2"/>
      <c r="H71" s="7">
        <v>119869</v>
      </c>
      <c r="I71" s="2"/>
      <c r="J71" s="6">
        <f t="shared" si="45"/>
        <v>7.9985239941039843E-2</v>
      </c>
      <c r="K71" s="2"/>
      <c r="L71" s="7">
        <f t="shared" si="46"/>
        <v>-3980.5499999999884</v>
      </c>
      <c r="M71" s="2"/>
      <c r="N71" s="6">
        <f t="shared" si="47"/>
        <v>-3.320750152249529E-2</v>
      </c>
      <c r="O71" s="11"/>
      <c r="P71" s="7">
        <v>187921.28</v>
      </c>
      <c r="Q71" s="2"/>
      <c r="R71" s="6">
        <f t="shared" si="48"/>
        <v>7.5918033741490171E-2</v>
      </c>
      <c r="S71" s="2"/>
      <c r="T71" s="7">
        <v>197593</v>
      </c>
      <c r="U71" s="2"/>
      <c r="V71" s="6">
        <f t="shared" si="49"/>
        <v>7.9987839474587583E-2</v>
      </c>
      <c r="W71" s="2"/>
      <c r="X71" s="7">
        <f t="shared" si="50"/>
        <v>-9671.7200000000012</v>
      </c>
      <c r="Y71" s="2"/>
      <c r="Z71" s="6">
        <f t="shared" si="51"/>
        <v>-4.8947685393713344E-2</v>
      </c>
    </row>
    <row r="72" spans="1:26" s="26" customFormat="1" outlineLevel="1" collapsed="1" x14ac:dyDescent="0.25">
      <c r="A72" s="27"/>
      <c r="B72" s="13" t="str">
        <f>CONCATENATE("     ","Repair and Maintenance                            ")</f>
        <v xml:space="preserve">     Repair and Maintenance                            </v>
      </c>
      <c r="C72" s="13"/>
      <c r="D72" s="1">
        <f>SUM(OSRRefD22_12x_0)</f>
        <v>6454.72</v>
      </c>
      <c r="E72" s="1"/>
      <c r="F72" s="5">
        <f t="shared" si="44"/>
        <v>4.4232136208818724E-3</v>
      </c>
      <c r="G72" s="1"/>
      <c r="H72" s="1">
        <f>SUM(OSRRefH22_12x_0)</f>
        <v>2107</v>
      </c>
      <c r="I72" s="1"/>
      <c r="J72" s="5">
        <f t="shared" si="45"/>
        <v>1.405942325002886E-3</v>
      </c>
      <c r="K72" s="1"/>
      <c r="L72" s="1">
        <f t="shared" si="46"/>
        <v>4347.72</v>
      </c>
      <c r="M72" s="1"/>
      <c r="N72" s="5">
        <f t="shared" si="47"/>
        <v>2.0634646416706217</v>
      </c>
      <c r="O72" s="13"/>
      <c r="P72" s="1">
        <f>SUM(OSRRefP22_12x_0)</f>
        <v>6483.93</v>
      </c>
      <c r="Q72" s="1"/>
      <c r="R72" s="5">
        <f t="shared" si="48"/>
        <v>2.6194330760064021E-3</v>
      </c>
      <c r="S72" s="1"/>
      <c r="T72" s="1">
        <f>SUM(OSRRefT22_12x_0)</f>
        <v>7981</v>
      </c>
      <c r="U72" s="1"/>
      <c r="V72" s="5">
        <f t="shared" si="49"/>
        <v>3.2307973807102655E-3</v>
      </c>
      <c r="W72" s="1"/>
      <c r="X72" s="1">
        <f t="shared" si="50"/>
        <v>-1497.0699999999997</v>
      </c>
      <c r="Y72" s="1"/>
      <c r="Z72" s="5">
        <f t="shared" si="51"/>
        <v>-0.18757925072046105</v>
      </c>
    </row>
    <row r="73" spans="1:26" s="24" customFormat="1" hidden="1" outlineLevel="2" x14ac:dyDescent="0.25">
      <c r="A73" s="25"/>
      <c r="B73" s="11" t="str">
        <f>CONCATENATE("          ", "6371", " - ", "COMPUTER SOFTWARE MAINTENANCE")</f>
        <v xml:space="preserve">          6371 - COMPUTER SOFTWARE MAINTENANCE</v>
      </c>
      <c r="C73" s="11"/>
      <c r="D73" s="7">
        <v>6340.43</v>
      </c>
      <c r="E73" s="2"/>
      <c r="F73" s="6">
        <f t="shared" si="44"/>
        <v>4.344894331318485E-3</v>
      </c>
      <c r="G73" s="2"/>
      <c r="H73" s="7">
        <v>1497</v>
      </c>
      <c r="I73" s="2"/>
      <c r="J73" s="6">
        <f t="shared" si="45"/>
        <v>9.9890634102008558E-4</v>
      </c>
      <c r="K73" s="2"/>
      <c r="L73" s="7">
        <f t="shared" si="46"/>
        <v>4843.43</v>
      </c>
      <c r="M73" s="2"/>
      <c r="N73" s="6">
        <f t="shared" si="47"/>
        <v>3.2354241816967271</v>
      </c>
      <c r="O73" s="11"/>
      <c r="P73" s="7">
        <v>6340.43</v>
      </c>
      <c r="Q73" s="2"/>
      <c r="R73" s="6">
        <f t="shared" si="48"/>
        <v>2.5614607280003442E-3</v>
      </c>
      <c r="S73" s="2"/>
      <c r="T73" s="7">
        <v>4491</v>
      </c>
      <c r="U73" s="2"/>
      <c r="V73" s="6">
        <f t="shared" si="49"/>
        <v>1.8180066453790003E-3</v>
      </c>
      <c r="W73" s="2"/>
      <c r="X73" s="7">
        <f t="shared" si="50"/>
        <v>1849.4300000000003</v>
      </c>
      <c r="Y73" s="2"/>
      <c r="Z73" s="6">
        <f t="shared" si="51"/>
        <v>0.41180806056557567</v>
      </c>
    </row>
    <row r="74" spans="1:26" s="24" customFormat="1" hidden="1" outlineLevel="2" x14ac:dyDescent="0.25">
      <c r="A74" s="25"/>
      <c r="B74" s="11" t="str">
        <f>CONCATENATE("          ", "6372", " - ", "COMPUTER HARDWARE MAINTENANCE")</f>
        <v xml:space="preserve">          6372 - COMPUTER HARDWARE MAINTENANCE</v>
      </c>
      <c r="C74" s="11"/>
      <c r="D74" s="7"/>
      <c r="E74" s="2"/>
      <c r="F74" s="6">
        <f t="shared" si="44"/>
        <v>0</v>
      </c>
      <c r="G74" s="2"/>
      <c r="H74" s="7">
        <v>70</v>
      </c>
      <c r="I74" s="2"/>
      <c r="J74" s="6">
        <f t="shared" si="45"/>
        <v>4.6709047342288567E-5</v>
      </c>
      <c r="K74" s="2"/>
      <c r="L74" s="7">
        <f t="shared" si="46"/>
        <v>-70</v>
      </c>
      <c r="M74" s="2"/>
      <c r="N74" s="6">
        <f t="shared" si="47"/>
        <v>-1</v>
      </c>
      <c r="O74" s="11"/>
      <c r="P74" s="7"/>
      <c r="Q74" s="2"/>
      <c r="R74" s="6">
        <f t="shared" si="48"/>
        <v>0</v>
      </c>
      <c r="S74" s="2"/>
      <c r="T74" s="7">
        <v>70</v>
      </c>
      <c r="U74" s="2"/>
      <c r="V74" s="6">
        <f t="shared" si="49"/>
        <v>2.8336776926415056E-5</v>
      </c>
      <c r="W74" s="2"/>
      <c r="X74" s="7">
        <f t="shared" si="50"/>
        <v>-70</v>
      </c>
      <c r="Y74" s="2"/>
      <c r="Z74" s="6">
        <f t="shared" si="51"/>
        <v>-1</v>
      </c>
    </row>
    <row r="75" spans="1:26" s="24" customFormat="1" hidden="1" outlineLevel="2" x14ac:dyDescent="0.25">
      <c r="A75" s="25"/>
      <c r="B75" s="11" t="str">
        <f>CONCATENATE("          ", "6373", " - ", "MAINTENANCE CONTRACTS")</f>
        <v xml:space="preserve">          6373 - MAINTENANCE CONTRACTS</v>
      </c>
      <c r="C75" s="11"/>
      <c r="D75" s="7">
        <v>8.8000000000000007</v>
      </c>
      <c r="E75" s="2"/>
      <c r="F75" s="6">
        <f t="shared" si="44"/>
        <v>6.0303591579124238E-6</v>
      </c>
      <c r="G75" s="2"/>
      <c r="H75" s="7">
        <v>30</v>
      </c>
      <c r="I75" s="2"/>
      <c r="J75" s="6">
        <f t="shared" si="45"/>
        <v>2.0018163146695101E-5</v>
      </c>
      <c r="K75" s="2"/>
      <c r="L75" s="7">
        <f t="shared" si="46"/>
        <v>-21.2</v>
      </c>
      <c r="M75" s="2"/>
      <c r="N75" s="6">
        <f t="shared" si="47"/>
        <v>-0.70666666666666667</v>
      </c>
      <c r="O75" s="11"/>
      <c r="P75" s="7">
        <v>38.01</v>
      </c>
      <c r="Q75" s="2"/>
      <c r="R75" s="6">
        <f t="shared" si="48"/>
        <v>1.5355602423068005E-5</v>
      </c>
      <c r="S75" s="2"/>
      <c r="T75" s="7">
        <v>1890</v>
      </c>
      <c r="U75" s="2"/>
      <c r="V75" s="6">
        <f t="shared" si="49"/>
        <v>7.6509297701320654E-4</v>
      </c>
      <c r="W75" s="2"/>
      <c r="X75" s="7">
        <f t="shared" si="50"/>
        <v>-1851.99</v>
      </c>
      <c r="Y75" s="2"/>
      <c r="Z75" s="6">
        <f t="shared" si="51"/>
        <v>-0.97988888888888892</v>
      </c>
    </row>
    <row r="76" spans="1:26" s="24" customFormat="1" hidden="1" outlineLevel="2" x14ac:dyDescent="0.25">
      <c r="A76" s="25"/>
      <c r="B76" s="11" t="str">
        <f>CONCATENATE("          ", "6375", " - ", "OUTSIDE REPAIRS &amp; MAINTENANCE")</f>
        <v xml:space="preserve">          6375 - OUTSIDE REPAIRS &amp; MAINTENANCE</v>
      </c>
      <c r="C76" s="11"/>
      <c r="D76" s="7">
        <v>105.49</v>
      </c>
      <c r="E76" s="2"/>
      <c r="F76" s="6">
        <f t="shared" si="44"/>
        <v>7.2288930405475167E-5</v>
      </c>
      <c r="G76" s="2"/>
      <c r="H76" s="7">
        <v>510</v>
      </c>
      <c r="I76" s="2"/>
      <c r="J76" s="6">
        <f t="shared" si="45"/>
        <v>3.4030877349381674E-4</v>
      </c>
      <c r="K76" s="2"/>
      <c r="L76" s="7">
        <f t="shared" si="46"/>
        <v>-404.51</v>
      </c>
      <c r="M76" s="2"/>
      <c r="N76" s="6">
        <f t="shared" si="47"/>
        <v>-0.793156862745098</v>
      </c>
      <c r="O76" s="11"/>
      <c r="P76" s="7">
        <v>105.49</v>
      </c>
      <c r="Q76" s="2"/>
      <c r="R76" s="6">
        <f t="shared" si="48"/>
        <v>4.2616745582989845E-5</v>
      </c>
      <c r="S76" s="2"/>
      <c r="T76" s="7">
        <v>1530</v>
      </c>
      <c r="U76" s="2"/>
      <c r="V76" s="6">
        <f t="shared" si="49"/>
        <v>6.1936098139164341E-4</v>
      </c>
      <c r="W76" s="2"/>
      <c r="X76" s="7">
        <f t="shared" si="50"/>
        <v>-1424.51</v>
      </c>
      <c r="Y76" s="2"/>
      <c r="Z76" s="6">
        <f t="shared" si="51"/>
        <v>-0.93105228758169933</v>
      </c>
    </row>
    <row r="77" spans="1:26" s="26" customFormat="1" outlineLevel="1" collapsed="1" x14ac:dyDescent="0.25">
      <c r="A77" s="27"/>
      <c r="B77" s="13" t="str">
        <f>CONCATENATE("     ","Services                                          ")</f>
        <v xml:space="preserve">     Services                                          </v>
      </c>
      <c r="C77" s="13"/>
      <c r="D77" s="1">
        <f>SUM(OSRRefD22_13x_0)</f>
        <v>21528.89</v>
      </c>
      <c r="E77" s="1"/>
      <c r="F77" s="5">
        <f t="shared" ref="F77:F81" si="52">IF(D$12=0,0,D77/D$12)</f>
        <v>1.4753061246726044E-2</v>
      </c>
      <c r="G77" s="1"/>
      <c r="H77" s="1">
        <f>SUM(OSRRefH22_13x_0)</f>
        <v>18589</v>
      </c>
      <c r="I77" s="1"/>
      <c r="J77" s="5">
        <f t="shared" ref="J77:J81" si="53">IF(H$12=0,0,H77/H$12)</f>
        <v>1.2403921157797175E-2</v>
      </c>
      <c r="K77" s="1"/>
      <c r="L77" s="1">
        <f t="shared" ref="L77:L81" si="54">+D77-H77</f>
        <v>2939.8899999999994</v>
      </c>
      <c r="M77" s="1"/>
      <c r="N77" s="5">
        <f t="shared" ref="N77:N81" si="55">IF(H77=0,0,L77/H77)</f>
        <v>0.15815213298187097</v>
      </c>
      <c r="O77" s="13"/>
      <c r="P77" s="1">
        <f>SUM(OSRRefP22_13x_0)</f>
        <v>59206.070000000007</v>
      </c>
      <c r="Q77" s="1"/>
      <c r="R77" s="5">
        <f t="shared" ref="R77:R81" si="56">IF(P$12=0,0,P77/P$12)</f>
        <v>2.3918570690669144E-2</v>
      </c>
      <c r="S77" s="1"/>
      <c r="T77" s="1">
        <f>SUM(OSRRefT22_13x_0)</f>
        <v>52815</v>
      </c>
      <c r="U77" s="1"/>
      <c r="V77" s="5">
        <f t="shared" ref="V77:V81" si="57">IF(T$12=0,0,T77/T$12)</f>
        <v>2.1380098190980162E-2</v>
      </c>
      <c r="W77" s="1"/>
      <c r="X77" s="1">
        <f t="shared" ref="X77:X81" si="58">+P77-T77</f>
        <v>6391.070000000007</v>
      </c>
      <c r="Y77" s="1"/>
      <c r="Z77" s="5">
        <f t="shared" ref="Z77:Z81" si="59">IF(T77=0,0,X77/T77)</f>
        <v>0.12100861497680597</v>
      </c>
    </row>
    <row r="78" spans="1:26" s="24" customFormat="1" hidden="1" outlineLevel="2" x14ac:dyDescent="0.25">
      <c r="A78" s="25"/>
      <c r="B78" s="11" t="str">
        <f>CONCATENATE("          ", "6282", " - ", "JANITORIAL/EXTERMINATOR EXPENS")</f>
        <v xml:space="preserve">          6282 - JANITORIAL/EXTERMINATOR EXPENS</v>
      </c>
      <c r="C78" s="11"/>
      <c r="D78" s="7">
        <v>1628.3</v>
      </c>
      <c r="E78" s="2"/>
      <c r="F78" s="6">
        <f t="shared" si="52"/>
        <v>1.1158220246396363E-3</v>
      </c>
      <c r="G78" s="2"/>
      <c r="H78" s="7">
        <v>1630</v>
      </c>
      <c r="I78" s="2"/>
      <c r="J78" s="6">
        <f t="shared" si="53"/>
        <v>1.0876535309704339E-3</v>
      </c>
      <c r="K78" s="2"/>
      <c r="L78" s="7">
        <f t="shared" si="54"/>
        <v>-1.7000000000000455</v>
      </c>
      <c r="M78" s="2"/>
      <c r="N78" s="6">
        <f t="shared" si="55"/>
        <v>-1.0429447852761016E-3</v>
      </c>
      <c r="O78" s="11"/>
      <c r="P78" s="7">
        <v>4794.8999999999996</v>
      </c>
      <c r="Q78" s="2"/>
      <c r="R78" s="6">
        <f t="shared" si="56"/>
        <v>1.9370844003780265E-3</v>
      </c>
      <c r="S78" s="2"/>
      <c r="T78" s="7">
        <v>4890</v>
      </c>
      <c r="U78" s="2"/>
      <c r="V78" s="6">
        <f t="shared" si="57"/>
        <v>1.9795262738595662E-3</v>
      </c>
      <c r="W78" s="2"/>
      <c r="X78" s="7">
        <f t="shared" si="58"/>
        <v>-95.100000000000364</v>
      </c>
      <c r="Y78" s="2"/>
      <c r="Z78" s="6">
        <f t="shared" si="59"/>
        <v>-1.9447852760736271E-2</v>
      </c>
    </row>
    <row r="79" spans="1:26" s="24" customFormat="1" hidden="1" outlineLevel="2" x14ac:dyDescent="0.25">
      <c r="A79" s="25"/>
      <c r="B79" s="11" t="str">
        <f>CONCATENATE("          ", "6284", " - ", "TRASH REMOVAL EXPENSE")</f>
        <v xml:space="preserve">          6284 - TRASH REMOVAL EXPENSE</v>
      </c>
      <c r="C79" s="11"/>
      <c r="D79" s="7"/>
      <c r="E79" s="2"/>
      <c r="F79" s="6">
        <f t="shared" si="52"/>
        <v>0</v>
      </c>
      <c r="G79" s="2"/>
      <c r="H79" s="7">
        <v>500</v>
      </c>
      <c r="I79" s="2"/>
      <c r="J79" s="6">
        <f t="shared" si="53"/>
        <v>3.3363605244491836E-4</v>
      </c>
      <c r="K79" s="2"/>
      <c r="L79" s="7">
        <f t="shared" si="54"/>
        <v>-500</v>
      </c>
      <c r="M79" s="2"/>
      <c r="N79" s="6">
        <f t="shared" si="55"/>
        <v>-1</v>
      </c>
      <c r="O79" s="11"/>
      <c r="P79" s="7"/>
      <c r="Q79" s="2"/>
      <c r="R79" s="6">
        <f t="shared" si="56"/>
        <v>0</v>
      </c>
      <c r="S79" s="2"/>
      <c r="T79" s="7">
        <v>1600</v>
      </c>
      <c r="U79" s="2"/>
      <c r="V79" s="6">
        <f t="shared" si="57"/>
        <v>6.4769775831805844E-4</v>
      </c>
      <c r="W79" s="2"/>
      <c r="X79" s="7">
        <f t="shared" si="58"/>
        <v>-1600</v>
      </c>
      <c r="Y79" s="2"/>
      <c r="Z79" s="6">
        <f t="shared" si="59"/>
        <v>-1</v>
      </c>
    </row>
    <row r="80" spans="1:26" s="24" customFormat="1" hidden="1" outlineLevel="2" x14ac:dyDescent="0.25">
      <c r="A80" s="25"/>
      <c r="B80" s="11" t="str">
        <f>CONCATENATE("          ", "6285", " - ", "JANITORIAL SERVICES")</f>
        <v xml:space="preserve">          6285 - JANITORIAL SERVICES</v>
      </c>
      <c r="C80" s="11"/>
      <c r="D80" s="7">
        <v>15099.009999999998</v>
      </c>
      <c r="E80" s="2"/>
      <c r="F80" s="6">
        <f t="shared" si="52"/>
        <v>1.0346869685103552E-2</v>
      </c>
      <c r="G80" s="2"/>
      <c r="H80" s="7">
        <v>11659</v>
      </c>
      <c r="I80" s="2"/>
      <c r="J80" s="6">
        <f t="shared" si="53"/>
        <v>7.779725470910606E-3</v>
      </c>
      <c r="K80" s="2"/>
      <c r="L80" s="7">
        <f t="shared" si="54"/>
        <v>3440.0099999999984</v>
      </c>
      <c r="M80" s="2"/>
      <c r="N80" s="6">
        <f t="shared" si="55"/>
        <v>0.29505189124281656</v>
      </c>
      <c r="O80" s="11"/>
      <c r="P80" s="7">
        <v>39770.990000000005</v>
      </c>
      <c r="Q80" s="2"/>
      <c r="R80" s="6">
        <f t="shared" si="56"/>
        <v>1.606702211028186E-2</v>
      </c>
      <c r="S80" s="2"/>
      <c r="T80" s="7">
        <v>33525</v>
      </c>
      <c r="U80" s="2"/>
      <c r="V80" s="6">
        <f t="shared" si="57"/>
        <v>1.3571292092258068E-2</v>
      </c>
      <c r="W80" s="2"/>
      <c r="X80" s="7">
        <f t="shared" si="58"/>
        <v>6245.9900000000052</v>
      </c>
      <c r="Y80" s="2"/>
      <c r="Z80" s="6">
        <f t="shared" si="59"/>
        <v>0.18630842654735288</v>
      </c>
    </row>
    <row r="81" spans="1:26" s="24" customFormat="1" hidden="1" outlineLevel="2" x14ac:dyDescent="0.25">
      <c r="A81" s="25"/>
      <c r="B81" s="11" t="str">
        <f>CONCATENATE("          ", "6286", " - ", "LAUNDRY EXPENSE")</f>
        <v xml:space="preserve">          6286 - LAUNDRY EXPENSE</v>
      </c>
      <c r="C81" s="11"/>
      <c r="D81" s="7">
        <v>4801.58</v>
      </c>
      <c r="E81" s="2"/>
      <c r="F81" s="6">
        <f t="shared" si="52"/>
        <v>3.2903695369828562E-3</v>
      </c>
      <c r="G81" s="2"/>
      <c r="H81" s="7">
        <v>4800</v>
      </c>
      <c r="I81" s="2"/>
      <c r="J81" s="6">
        <f t="shared" si="53"/>
        <v>3.2029061034712161E-3</v>
      </c>
      <c r="K81" s="2"/>
      <c r="L81" s="7">
        <f t="shared" si="54"/>
        <v>1.5799999999999272</v>
      </c>
      <c r="M81" s="2"/>
      <c r="N81" s="6">
        <f t="shared" si="55"/>
        <v>3.291666666666515E-4</v>
      </c>
      <c r="O81" s="11"/>
      <c r="P81" s="7">
        <v>14640.18</v>
      </c>
      <c r="Q81" s="2"/>
      <c r="R81" s="6">
        <f t="shared" si="56"/>
        <v>5.9144641800092553E-3</v>
      </c>
      <c r="S81" s="2"/>
      <c r="T81" s="7">
        <v>12800</v>
      </c>
      <c r="U81" s="2"/>
      <c r="V81" s="6">
        <f t="shared" si="57"/>
        <v>5.1815820665444675E-3</v>
      </c>
      <c r="W81" s="2"/>
      <c r="X81" s="7">
        <f t="shared" si="58"/>
        <v>1840.1800000000003</v>
      </c>
      <c r="Y81" s="2"/>
      <c r="Z81" s="6">
        <f t="shared" si="59"/>
        <v>0.14376406250000001</v>
      </c>
    </row>
    <row r="82" spans="1:26" s="26" customFormat="1" outlineLevel="1" collapsed="1" x14ac:dyDescent="0.25">
      <c r="A82" s="27"/>
      <c r="B82" s="13" t="str">
        <f>CONCATENATE("     ","Supplies                                          ")</f>
        <v xml:space="preserve">     Supplies                                          </v>
      </c>
      <c r="C82" s="13"/>
      <c r="D82" s="1">
        <f>SUM(OSRRefD22_14x_0)</f>
        <v>24794.589999999997</v>
      </c>
      <c r="E82" s="1"/>
      <c r="F82" s="5">
        <f t="shared" ref="F82:F91" si="60">IF(D$12=0,0,D82/D$12)</f>
        <v>1.6990941235589065E-2</v>
      </c>
      <c r="G82" s="1"/>
      <c r="H82" s="1">
        <f>SUM(OSRRefH22_14x_0)</f>
        <v>23778</v>
      </c>
      <c r="I82" s="1"/>
      <c r="J82" s="5">
        <f t="shared" ref="J82:J91" si="61">IF(H$12=0,0,H82/H$12)</f>
        <v>1.5866396110070537E-2</v>
      </c>
      <c r="K82" s="1"/>
      <c r="L82" s="1">
        <f t="shared" ref="L82:L91" si="62">+D82-H82</f>
        <v>1016.5899999999965</v>
      </c>
      <c r="M82" s="1"/>
      <c r="N82" s="5">
        <f t="shared" ref="N82:N91" si="63">IF(H82=0,0,L82/H82)</f>
        <v>4.2753385482378524E-2</v>
      </c>
      <c r="O82" s="13"/>
      <c r="P82" s="1">
        <f>SUM(OSRRefP22_14x_0)</f>
        <v>75568.78</v>
      </c>
      <c r="Q82" s="1"/>
      <c r="R82" s="5">
        <f t="shared" ref="R82:R91" si="64">IF(P$12=0,0,P82/P$12)</f>
        <v>3.0528917160649649E-2</v>
      </c>
      <c r="S82" s="1"/>
      <c r="T82" s="1">
        <f>SUM(OSRRefT22_14x_0)</f>
        <v>73694</v>
      </c>
      <c r="U82" s="1"/>
      <c r="V82" s="5">
        <f t="shared" ref="V82:V91" si="65">IF(T$12=0,0,T82/T$12)</f>
        <v>2.9832149125931875E-2</v>
      </c>
      <c r="W82" s="1"/>
      <c r="X82" s="1">
        <f t="shared" ref="X82:X91" si="66">+P82-T82</f>
        <v>1874.7799999999988</v>
      </c>
      <c r="Y82" s="1"/>
      <c r="Z82" s="5">
        <f t="shared" ref="Z82:Z91" si="67">IF(T82=0,0,X82/T82)</f>
        <v>2.5440062963063462E-2</v>
      </c>
    </row>
    <row r="83" spans="1:26" s="24" customFormat="1" hidden="1" outlineLevel="2" x14ac:dyDescent="0.25">
      <c r="A83" s="25"/>
      <c r="B83" s="11" t="str">
        <f>CONCATENATE("          ", "6234", " - ", "EXPENDABLE SUPPLIES &amp; EQUIPMEN")</f>
        <v xml:space="preserve">          6234 - EXPENDABLE SUPPLIES &amp; EQUIPMEN</v>
      </c>
      <c r="C83" s="11"/>
      <c r="D83" s="7"/>
      <c r="E83" s="2"/>
      <c r="F83" s="6">
        <f t="shared" si="60"/>
        <v>0</v>
      </c>
      <c r="G83" s="2"/>
      <c r="H83" s="7">
        <v>200</v>
      </c>
      <c r="I83" s="2"/>
      <c r="J83" s="6">
        <f t="shared" si="61"/>
        <v>1.3345442097796733E-4</v>
      </c>
      <c r="K83" s="2"/>
      <c r="L83" s="7">
        <f t="shared" si="62"/>
        <v>-200</v>
      </c>
      <c r="M83" s="2"/>
      <c r="N83" s="6">
        <f t="shared" si="63"/>
        <v>-1</v>
      </c>
      <c r="O83" s="11"/>
      <c r="P83" s="7"/>
      <c r="Q83" s="2"/>
      <c r="R83" s="6">
        <f t="shared" si="64"/>
        <v>0</v>
      </c>
      <c r="S83" s="2"/>
      <c r="T83" s="7">
        <v>400</v>
      </c>
      <c r="U83" s="2"/>
      <c r="V83" s="6">
        <f t="shared" si="65"/>
        <v>1.6192443957951461E-4</v>
      </c>
      <c r="W83" s="2"/>
      <c r="X83" s="7">
        <f t="shared" si="66"/>
        <v>-400</v>
      </c>
      <c r="Y83" s="2"/>
      <c r="Z83" s="6">
        <f t="shared" si="67"/>
        <v>-1</v>
      </c>
    </row>
    <row r="84" spans="1:26" s="24" customFormat="1" hidden="1" outlineLevel="2" x14ac:dyDescent="0.25">
      <c r="A84" s="25"/>
      <c r="B84" s="11" t="str">
        <f>CONCATENATE("          ", "6237", " - ", "JANITORIAL SUPPLIES")</f>
        <v xml:space="preserve">          6237 - JANITORIAL SUPPLIES</v>
      </c>
      <c r="C84" s="11"/>
      <c r="D84" s="7">
        <v>7155.63</v>
      </c>
      <c r="E84" s="2"/>
      <c r="F84" s="6">
        <f t="shared" si="60"/>
        <v>4.9035248751287354E-3</v>
      </c>
      <c r="G84" s="2"/>
      <c r="H84" s="7">
        <v>9905</v>
      </c>
      <c r="I84" s="2"/>
      <c r="J84" s="6">
        <f t="shared" si="61"/>
        <v>6.609330198933833E-3</v>
      </c>
      <c r="K84" s="2"/>
      <c r="L84" s="7">
        <f t="shared" si="62"/>
        <v>-2749.37</v>
      </c>
      <c r="M84" s="2"/>
      <c r="N84" s="6">
        <f t="shared" si="63"/>
        <v>-0.27757395254921757</v>
      </c>
      <c r="O84" s="11"/>
      <c r="P84" s="7">
        <v>23089.040000000001</v>
      </c>
      <c r="Q84" s="2"/>
      <c r="R84" s="6">
        <f t="shared" si="64"/>
        <v>9.3277063554410462E-3</v>
      </c>
      <c r="S84" s="2"/>
      <c r="T84" s="7">
        <v>28010</v>
      </c>
      <c r="U84" s="2"/>
      <c r="V84" s="6">
        <f t="shared" si="65"/>
        <v>1.1338758881555512E-2</v>
      </c>
      <c r="W84" s="2"/>
      <c r="X84" s="7">
        <f t="shared" si="66"/>
        <v>-4920.9599999999991</v>
      </c>
      <c r="Y84" s="2"/>
      <c r="Z84" s="6">
        <f t="shared" si="67"/>
        <v>-0.17568582649053907</v>
      </c>
    </row>
    <row r="85" spans="1:26" s="24" customFormat="1" hidden="1" outlineLevel="2" x14ac:dyDescent="0.25">
      <c r="A85" s="25"/>
      <c r="B85" s="11" t="str">
        <f>CONCATENATE("          ", "6239", " - ", "KITCHEN SUPPLIES")</f>
        <v xml:space="preserve">          6239 - KITCHEN SUPPLIES</v>
      </c>
      <c r="C85" s="11"/>
      <c r="D85" s="7">
        <v>9388.08</v>
      </c>
      <c r="E85" s="2"/>
      <c r="F85" s="6">
        <f t="shared" si="60"/>
        <v>6.4333516140016433E-3</v>
      </c>
      <c r="G85" s="2"/>
      <c r="H85" s="7">
        <v>4750</v>
      </c>
      <c r="I85" s="2"/>
      <c r="J85" s="6">
        <f t="shared" si="61"/>
        <v>3.1695424982267242E-3</v>
      </c>
      <c r="K85" s="2"/>
      <c r="L85" s="7">
        <f t="shared" si="62"/>
        <v>4638.08</v>
      </c>
      <c r="M85" s="2"/>
      <c r="N85" s="6">
        <f t="shared" si="63"/>
        <v>0.97643789473684206</v>
      </c>
      <c r="O85" s="11"/>
      <c r="P85" s="7">
        <v>15180.769999999999</v>
      </c>
      <c r="Q85" s="2"/>
      <c r="R85" s="6">
        <f t="shared" si="64"/>
        <v>6.1328563166545141E-3</v>
      </c>
      <c r="S85" s="2"/>
      <c r="T85" s="7">
        <v>14350</v>
      </c>
      <c r="U85" s="2"/>
      <c r="V85" s="6">
        <f t="shared" si="65"/>
        <v>5.809039269915087E-3</v>
      </c>
      <c r="W85" s="2"/>
      <c r="X85" s="7">
        <f t="shared" si="66"/>
        <v>830.76999999999862</v>
      </c>
      <c r="Y85" s="2"/>
      <c r="Z85" s="6">
        <f t="shared" si="67"/>
        <v>5.7893379790940669E-2</v>
      </c>
    </row>
    <row r="86" spans="1:26" s="24" customFormat="1" hidden="1" outlineLevel="2" x14ac:dyDescent="0.25">
      <c r="A86" s="25"/>
      <c r="B86" s="11" t="str">
        <f>CONCATENATE("          ", "6241", " - ", "OFFICE EXPENSE")</f>
        <v xml:space="preserve">          6241 - OFFICE EXPENSE</v>
      </c>
      <c r="C86" s="11"/>
      <c r="D86" s="7">
        <v>1783.8</v>
      </c>
      <c r="E86" s="2"/>
      <c r="F86" s="6">
        <f t="shared" si="60"/>
        <v>1.2223812120322932E-3</v>
      </c>
      <c r="G86" s="2"/>
      <c r="H86" s="7">
        <v>1379</v>
      </c>
      <c r="I86" s="2"/>
      <c r="J86" s="6">
        <f t="shared" si="61"/>
        <v>9.2016823264308477E-4</v>
      </c>
      <c r="K86" s="2"/>
      <c r="L86" s="7">
        <f t="shared" si="62"/>
        <v>404.79999999999995</v>
      </c>
      <c r="M86" s="2"/>
      <c r="N86" s="6">
        <f t="shared" si="63"/>
        <v>0.29354604786076866</v>
      </c>
      <c r="O86" s="11"/>
      <c r="P86" s="7">
        <v>23666.42</v>
      </c>
      <c r="Q86" s="2"/>
      <c r="R86" s="6">
        <f t="shared" si="64"/>
        <v>9.5609612285541996E-3</v>
      </c>
      <c r="S86" s="2"/>
      <c r="T86" s="7">
        <v>3663</v>
      </c>
      <c r="U86" s="2"/>
      <c r="V86" s="6">
        <f t="shared" si="65"/>
        <v>1.4828230554494051E-3</v>
      </c>
      <c r="W86" s="2"/>
      <c r="X86" s="7">
        <f t="shared" si="66"/>
        <v>20003.419999999998</v>
      </c>
      <c r="Y86" s="2"/>
      <c r="Z86" s="6">
        <f t="shared" si="67"/>
        <v>5.4609391209391207</v>
      </c>
    </row>
    <row r="87" spans="1:26" s="24" customFormat="1" hidden="1" outlineLevel="2" x14ac:dyDescent="0.25">
      <c r="A87" s="25"/>
      <c r="B87" s="11" t="str">
        <f>CONCATENATE("          ", "6243", " - ", "PAPER SUPPLIES")</f>
        <v xml:space="preserve">          6243 - PAPER SUPPLIES</v>
      </c>
      <c r="C87" s="11"/>
      <c r="D87" s="7">
        <v>6437.08</v>
      </c>
      <c r="E87" s="2"/>
      <c r="F87" s="6">
        <f t="shared" si="60"/>
        <v>4.4111254918426024E-3</v>
      </c>
      <c r="G87" s="2"/>
      <c r="H87" s="7">
        <v>6859</v>
      </c>
      <c r="I87" s="2"/>
      <c r="J87" s="6">
        <f t="shared" si="61"/>
        <v>4.5768193674393899E-3</v>
      </c>
      <c r="K87" s="2"/>
      <c r="L87" s="7">
        <f t="shared" si="62"/>
        <v>-421.92000000000007</v>
      </c>
      <c r="M87" s="2"/>
      <c r="N87" s="6">
        <f t="shared" si="63"/>
        <v>-6.1513340137046228E-2</v>
      </c>
      <c r="O87" s="11"/>
      <c r="P87" s="7">
        <v>16358.950000000003</v>
      </c>
      <c r="Q87" s="2"/>
      <c r="R87" s="6">
        <f t="shared" si="64"/>
        <v>6.6088274732662043E-3</v>
      </c>
      <c r="S87" s="2"/>
      <c r="T87" s="7">
        <v>18768</v>
      </c>
      <c r="U87" s="2"/>
      <c r="V87" s="6">
        <f t="shared" si="65"/>
        <v>7.5974947050708262E-3</v>
      </c>
      <c r="W87" s="2"/>
      <c r="X87" s="7">
        <f t="shared" si="66"/>
        <v>-2409.0499999999975</v>
      </c>
      <c r="Y87" s="2"/>
      <c r="Z87" s="6">
        <f t="shared" si="67"/>
        <v>-0.12835944160272791</v>
      </c>
    </row>
    <row r="88" spans="1:26" s="24" customFormat="1" hidden="1" outlineLevel="2" x14ac:dyDescent="0.25">
      <c r="A88" s="25"/>
      <c r="B88" s="11" t="str">
        <f>CONCATENATE("          ", "6244", " - ", "SAFETY SUPPLY EXPENSE")</f>
        <v xml:space="preserve">          6244 - SAFETY SUPPLY EXPENSE</v>
      </c>
      <c r="C88" s="11"/>
      <c r="D88" s="7"/>
      <c r="E88" s="2"/>
      <c r="F88" s="6">
        <f t="shared" si="60"/>
        <v>0</v>
      </c>
      <c r="G88" s="2"/>
      <c r="H88" s="7">
        <v>125</v>
      </c>
      <c r="I88" s="2"/>
      <c r="J88" s="6">
        <f t="shared" si="61"/>
        <v>8.3409013111229591E-5</v>
      </c>
      <c r="K88" s="2"/>
      <c r="L88" s="7">
        <f t="shared" si="62"/>
        <v>-125</v>
      </c>
      <c r="M88" s="2"/>
      <c r="N88" s="6">
        <f t="shared" si="63"/>
        <v>-1</v>
      </c>
      <c r="O88" s="11"/>
      <c r="P88" s="7"/>
      <c r="Q88" s="2"/>
      <c r="R88" s="6">
        <f t="shared" si="64"/>
        <v>0</v>
      </c>
      <c r="S88" s="2"/>
      <c r="T88" s="7">
        <v>375</v>
      </c>
      <c r="U88" s="2"/>
      <c r="V88" s="6">
        <f t="shared" si="65"/>
        <v>1.5180416210579495E-4</v>
      </c>
      <c r="W88" s="2"/>
      <c r="X88" s="7">
        <f t="shared" si="66"/>
        <v>-375</v>
      </c>
      <c r="Y88" s="2"/>
      <c r="Z88" s="6">
        <f t="shared" si="67"/>
        <v>-1</v>
      </c>
    </row>
    <row r="89" spans="1:26" s="24" customFormat="1" hidden="1" outlineLevel="2" x14ac:dyDescent="0.25">
      <c r="A89" s="25"/>
      <c r="B89" s="11" t="str">
        <f>CONCATENATE("          ", "6245", " - ", "PRINTING")</f>
        <v xml:space="preserve">          6245 - PRINTING</v>
      </c>
      <c r="C89" s="11"/>
      <c r="D89" s="7"/>
      <c r="E89" s="2"/>
      <c r="F89" s="6">
        <f t="shared" si="60"/>
        <v>0</v>
      </c>
      <c r="G89" s="2"/>
      <c r="H89" s="7">
        <v>160</v>
      </c>
      <c r="I89" s="2"/>
      <c r="J89" s="6">
        <f t="shared" si="61"/>
        <v>1.0676353678237387E-4</v>
      </c>
      <c r="K89" s="2"/>
      <c r="L89" s="7">
        <f t="shared" si="62"/>
        <v>-160</v>
      </c>
      <c r="M89" s="2"/>
      <c r="N89" s="6">
        <f t="shared" si="63"/>
        <v>-1</v>
      </c>
      <c r="O89" s="11"/>
      <c r="P89" s="7">
        <v>1323</v>
      </c>
      <c r="Q89" s="2"/>
      <c r="R89" s="6">
        <f t="shared" si="64"/>
        <v>5.3447676942170418E-4</v>
      </c>
      <c r="S89" s="2"/>
      <c r="T89" s="7">
        <v>470</v>
      </c>
      <c r="U89" s="2"/>
      <c r="V89" s="6">
        <f t="shared" si="65"/>
        <v>1.9026121650592967E-4</v>
      </c>
      <c r="W89" s="2"/>
      <c r="X89" s="7">
        <f t="shared" si="66"/>
        <v>853</v>
      </c>
      <c r="Y89" s="2"/>
      <c r="Z89" s="6">
        <f t="shared" si="67"/>
        <v>1.8148936170212766</v>
      </c>
    </row>
    <row r="90" spans="1:26" s="24" customFormat="1" hidden="1" outlineLevel="2" x14ac:dyDescent="0.25">
      <c r="A90" s="25"/>
      <c r="B90" s="11" t="str">
        <f>CONCATENATE("          ", "6247", " - ", "STORE SUPPLIES")</f>
        <v xml:space="preserve">          6247 - STORE SUPPLIES</v>
      </c>
      <c r="C90" s="11"/>
      <c r="D90" s="7">
        <v>30</v>
      </c>
      <c r="E90" s="2"/>
      <c r="F90" s="6">
        <f t="shared" si="60"/>
        <v>2.0558042583792353E-5</v>
      </c>
      <c r="G90" s="2"/>
      <c r="H90" s="7">
        <v>25</v>
      </c>
      <c r="I90" s="2"/>
      <c r="J90" s="6">
        <f t="shared" si="61"/>
        <v>1.6681802622245916E-5</v>
      </c>
      <c r="K90" s="2"/>
      <c r="L90" s="7">
        <f t="shared" si="62"/>
        <v>5</v>
      </c>
      <c r="M90" s="2"/>
      <c r="N90" s="6">
        <f t="shared" si="63"/>
        <v>0.2</v>
      </c>
      <c r="O90" s="11"/>
      <c r="P90" s="7">
        <v>406.35</v>
      </c>
      <c r="Q90" s="2"/>
      <c r="R90" s="6">
        <f t="shared" si="64"/>
        <v>1.6416072203666627E-4</v>
      </c>
      <c r="S90" s="2"/>
      <c r="T90" s="7">
        <v>33</v>
      </c>
      <c r="U90" s="2"/>
      <c r="V90" s="6">
        <f t="shared" si="65"/>
        <v>1.3358766265309955E-5</v>
      </c>
      <c r="W90" s="2"/>
      <c r="X90" s="7">
        <f t="shared" si="66"/>
        <v>373.35</v>
      </c>
      <c r="Y90" s="2"/>
      <c r="Z90" s="6">
        <f t="shared" si="67"/>
        <v>11.313636363636364</v>
      </c>
    </row>
    <row r="91" spans="1:26" s="24" customFormat="1" hidden="1" outlineLevel="2" x14ac:dyDescent="0.25">
      <c r="A91" s="25"/>
      <c r="B91" s="11" t="str">
        <f>CONCATENATE("          ", "6248", " - ", "UNIFORMS")</f>
        <v xml:space="preserve">          6248 - UNIFORMS</v>
      </c>
      <c r="C91" s="11"/>
      <c r="D91" s="7"/>
      <c r="E91" s="2"/>
      <c r="F91" s="6">
        <f t="shared" si="60"/>
        <v>0</v>
      </c>
      <c r="G91" s="2"/>
      <c r="H91" s="7">
        <v>375</v>
      </c>
      <c r="I91" s="2"/>
      <c r="J91" s="6">
        <f t="shared" si="61"/>
        <v>2.5022703933368876E-4</v>
      </c>
      <c r="K91" s="2"/>
      <c r="L91" s="7">
        <f t="shared" si="62"/>
        <v>-375</v>
      </c>
      <c r="M91" s="2"/>
      <c r="N91" s="6">
        <f t="shared" si="63"/>
        <v>-1</v>
      </c>
      <c r="O91" s="11"/>
      <c r="P91" s="7">
        <v>-4455.75</v>
      </c>
      <c r="Q91" s="2"/>
      <c r="R91" s="6">
        <f t="shared" si="64"/>
        <v>-1.800071704724685E-3</v>
      </c>
      <c r="S91" s="2"/>
      <c r="T91" s="7">
        <v>7625</v>
      </c>
      <c r="U91" s="2"/>
      <c r="V91" s="6">
        <f t="shared" si="65"/>
        <v>3.0866846294844972E-3</v>
      </c>
      <c r="W91" s="2"/>
      <c r="X91" s="7">
        <f t="shared" si="66"/>
        <v>-12080.75</v>
      </c>
      <c r="Y91" s="2"/>
      <c r="Z91" s="6">
        <f t="shared" si="67"/>
        <v>-1.584360655737705</v>
      </c>
    </row>
    <row r="92" spans="1:26" s="26" customFormat="1" outlineLevel="1" collapsed="1" x14ac:dyDescent="0.25">
      <c r="A92" s="27"/>
      <c r="B92" s="13" t="str">
        <f>CONCATENATE("     ","Telephone/Data Lines                              ")</f>
        <v xml:space="preserve">     Telephone/Data Lines                              </v>
      </c>
      <c r="C92" s="13"/>
      <c r="D92" s="1">
        <f>SUM(OSRRefD22_15x_0)</f>
        <v>1143</v>
      </c>
      <c r="E92" s="1"/>
      <c r="F92" s="5">
        <f t="shared" ref="F92:F98" si="68">IF(D$12=0,0,D92/D$12)</f>
        <v>7.8326142244248859E-4</v>
      </c>
      <c r="G92" s="1"/>
      <c r="H92" s="1">
        <f>SUM(OSRRefH22_15x_0)</f>
        <v>793</v>
      </c>
      <c r="I92" s="1"/>
      <c r="J92" s="5">
        <f t="shared" ref="J92:J98" si="69">IF(H$12=0,0,H92/H$12)</f>
        <v>5.2914677917764046E-4</v>
      </c>
      <c r="K92" s="1"/>
      <c r="L92" s="1">
        <f t="shared" ref="L92:L98" si="70">+D92-H92</f>
        <v>350</v>
      </c>
      <c r="M92" s="1"/>
      <c r="N92" s="5">
        <f t="shared" ref="N92:N98" si="71">IF(H92=0,0,L92/H92)</f>
        <v>0.44136191677175285</v>
      </c>
      <c r="O92" s="13"/>
      <c r="P92" s="1">
        <f>SUM(OSRRefP22_15x_0)</f>
        <v>1467.15</v>
      </c>
      <c r="Q92" s="1"/>
      <c r="R92" s="5">
        <f t="shared" ref="R92:R98" si="72">IF(P$12=0,0,P92/P$12)</f>
        <v>5.9271170994486266E-4</v>
      </c>
      <c r="S92" s="1"/>
      <c r="T92" s="1">
        <f>SUM(OSRRefT22_15x_0)</f>
        <v>2379</v>
      </c>
      <c r="U92" s="1"/>
      <c r="V92" s="5">
        <f t="shared" ref="V92:V98" si="73">IF(T$12=0,0,T92/T$12)</f>
        <v>9.6304560439916314E-4</v>
      </c>
      <c r="W92" s="1"/>
      <c r="X92" s="1">
        <f t="shared" ref="X92:X98" si="74">+P92-T92</f>
        <v>-911.84999999999991</v>
      </c>
      <c r="Y92" s="1"/>
      <c r="Z92" s="5">
        <f t="shared" ref="Z92:Z98" si="75">IF(T92=0,0,X92/T92)</f>
        <v>-0.3832912988650693</v>
      </c>
    </row>
    <row r="93" spans="1:26" s="24" customFormat="1" hidden="1" outlineLevel="2" x14ac:dyDescent="0.25">
      <c r="A93" s="25"/>
      <c r="B93" s="11" t="str">
        <f>CONCATENATE("          ", "6309", " - ", "TELEPHONE")</f>
        <v xml:space="preserve">          6309 - TELEPHONE</v>
      </c>
      <c r="C93" s="11"/>
      <c r="D93" s="7">
        <v>1143</v>
      </c>
      <c r="E93" s="2"/>
      <c r="F93" s="6">
        <f t="shared" si="68"/>
        <v>7.8326142244248859E-4</v>
      </c>
      <c r="G93" s="2"/>
      <c r="H93" s="7">
        <v>793</v>
      </c>
      <c r="I93" s="2"/>
      <c r="J93" s="6">
        <f t="shared" si="69"/>
        <v>5.2914677917764046E-4</v>
      </c>
      <c r="K93" s="2"/>
      <c r="L93" s="7">
        <f t="shared" si="70"/>
        <v>350</v>
      </c>
      <c r="M93" s="2"/>
      <c r="N93" s="6">
        <f t="shared" si="71"/>
        <v>0.44136191677175285</v>
      </c>
      <c r="O93" s="11"/>
      <c r="P93" s="7">
        <v>1467.15</v>
      </c>
      <c r="Q93" s="2"/>
      <c r="R93" s="6">
        <f t="shared" si="72"/>
        <v>5.9271170994486266E-4</v>
      </c>
      <c r="S93" s="2"/>
      <c r="T93" s="7">
        <v>2379</v>
      </c>
      <c r="U93" s="2"/>
      <c r="V93" s="6">
        <f t="shared" si="73"/>
        <v>9.6304560439916314E-4</v>
      </c>
      <c r="W93" s="2"/>
      <c r="X93" s="7">
        <f t="shared" si="74"/>
        <v>-911.84999999999991</v>
      </c>
      <c r="Y93" s="2"/>
      <c r="Z93" s="6">
        <f t="shared" si="75"/>
        <v>-0.3832912988650693</v>
      </c>
    </row>
    <row r="94" spans="1:26" s="26" customFormat="1" outlineLevel="1" collapsed="1" x14ac:dyDescent="0.25">
      <c r="A94" s="27"/>
      <c r="B94" s="13" t="str">
        <f>CONCATENATE("     ","Training                                          ")</f>
        <v xml:space="preserve">     Training                                          </v>
      </c>
      <c r="C94" s="13"/>
      <c r="D94" s="1">
        <f>SUM(OSRRefD22_16x_0)</f>
        <v>192</v>
      </c>
      <c r="E94" s="1"/>
      <c r="F94" s="5">
        <f t="shared" si="68"/>
        <v>1.3157147253627105E-4</v>
      </c>
      <c r="G94" s="1"/>
      <c r="H94" s="1">
        <f>SUM(OSRRefH22_16x_0)</f>
        <v>1000</v>
      </c>
      <c r="I94" s="1"/>
      <c r="J94" s="5">
        <f t="shared" si="69"/>
        <v>6.6727210488983673E-4</v>
      </c>
      <c r="K94" s="1"/>
      <c r="L94" s="1">
        <f t="shared" si="70"/>
        <v>-808</v>
      </c>
      <c r="M94" s="1"/>
      <c r="N94" s="5">
        <f t="shared" si="71"/>
        <v>-0.80800000000000005</v>
      </c>
      <c r="O94" s="13"/>
      <c r="P94" s="1">
        <f>SUM(OSRRefP22_16x_0)</f>
        <v>3588.27</v>
      </c>
      <c r="Q94" s="1"/>
      <c r="R94" s="5">
        <f t="shared" si="72"/>
        <v>1.4496197712870885E-3</v>
      </c>
      <c r="S94" s="1"/>
      <c r="T94" s="1">
        <f>SUM(OSRRefT22_16x_0)</f>
        <v>5758</v>
      </c>
      <c r="U94" s="1"/>
      <c r="V94" s="5">
        <f t="shared" si="73"/>
        <v>2.3309023077471131E-3</v>
      </c>
      <c r="W94" s="1"/>
      <c r="X94" s="1">
        <f t="shared" si="74"/>
        <v>-2169.73</v>
      </c>
      <c r="Y94" s="1"/>
      <c r="Z94" s="5">
        <f t="shared" si="75"/>
        <v>-0.37682007641542203</v>
      </c>
    </row>
    <row r="95" spans="1:26" s="24" customFormat="1" hidden="1" outlineLevel="2" x14ac:dyDescent="0.25">
      <c r="A95" s="25"/>
      <c r="B95" s="11" t="str">
        <f>CONCATENATE("          ", "6376", " - ", "TRAINING")</f>
        <v xml:space="preserve">          6376 - TRAINING</v>
      </c>
      <c r="C95" s="11"/>
      <c r="D95" s="7">
        <v>192</v>
      </c>
      <c r="E95" s="2"/>
      <c r="F95" s="6">
        <f t="shared" si="68"/>
        <v>1.3157147253627105E-4</v>
      </c>
      <c r="G95" s="2"/>
      <c r="H95" s="7">
        <v>1000</v>
      </c>
      <c r="I95" s="2"/>
      <c r="J95" s="6">
        <f t="shared" si="69"/>
        <v>6.6727210488983673E-4</v>
      </c>
      <c r="K95" s="2"/>
      <c r="L95" s="7">
        <f t="shared" si="70"/>
        <v>-808</v>
      </c>
      <c r="M95" s="2"/>
      <c r="N95" s="6">
        <f t="shared" si="71"/>
        <v>-0.80800000000000005</v>
      </c>
      <c r="O95" s="11"/>
      <c r="P95" s="7">
        <v>3588.27</v>
      </c>
      <c r="Q95" s="2"/>
      <c r="R95" s="6">
        <f t="shared" si="72"/>
        <v>1.4496197712870885E-3</v>
      </c>
      <c r="S95" s="2"/>
      <c r="T95" s="7">
        <v>5758</v>
      </c>
      <c r="U95" s="2"/>
      <c r="V95" s="6">
        <f t="shared" si="73"/>
        <v>2.3309023077471131E-3</v>
      </c>
      <c r="W95" s="2"/>
      <c r="X95" s="7">
        <f t="shared" si="74"/>
        <v>-2169.73</v>
      </c>
      <c r="Y95" s="2"/>
      <c r="Z95" s="6">
        <f t="shared" si="75"/>
        <v>-0.37682007641542203</v>
      </c>
    </row>
    <row r="96" spans="1:26" s="26" customFormat="1" outlineLevel="1" collapsed="1" x14ac:dyDescent="0.25">
      <c r="A96" s="27"/>
      <c r="B96" s="13" t="str">
        <f>CONCATENATE("     ","Travel                                            ")</f>
        <v xml:space="preserve">     Travel                                            </v>
      </c>
      <c r="C96" s="13"/>
      <c r="D96" s="1">
        <f>SUM(OSRRefD22_17x_0)</f>
        <v>0</v>
      </c>
      <c r="E96" s="1"/>
      <c r="F96" s="5">
        <f t="shared" si="68"/>
        <v>0</v>
      </c>
      <c r="G96" s="1"/>
      <c r="H96" s="1">
        <f>SUM(OSRRefH22_17x_0)</f>
        <v>410</v>
      </c>
      <c r="I96" s="1"/>
      <c r="J96" s="5">
        <f t="shared" si="69"/>
        <v>2.7358156300483303E-4</v>
      </c>
      <c r="K96" s="1"/>
      <c r="L96" s="1">
        <f t="shared" si="70"/>
        <v>-410</v>
      </c>
      <c r="M96" s="1"/>
      <c r="N96" s="5">
        <f t="shared" si="71"/>
        <v>-1</v>
      </c>
      <c r="O96" s="13"/>
      <c r="P96" s="1">
        <f>SUM(OSRRefP22_17x_0)</f>
        <v>1688.41</v>
      </c>
      <c r="Q96" s="1"/>
      <c r="R96" s="5">
        <f t="shared" si="72"/>
        <v>6.8209820276591041E-4</v>
      </c>
      <c r="S96" s="1"/>
      <c r="T96" s="1">
        <f>SUM(OSRRefT22_17x_0)</f>
        <v>1230</v>
      </c>
      <c r="U96" s="1"/>
      <c r="V96" s="5">
        <f t="shared" si="73"/>
        <v>4.9791765170700743E-4</v>
      </c>
      <c r="W96" s="1"/>
      <c r="X96" s="1">
        <f t="shared" si="74"/>
        <v>458.41000000000008</v>
      </c>
      <c r="Y96" s="1"/>
      <c r="Z96" s="5">
        <f t="shared" si="75"/>
        <v>0.3726910569105692</v>
      </c>
    </row>
    <row r="97" spans="1:26" s="24" customFormat="1" hidden="1" outlineLevel="2" x14ac:dyDescent="0.25">
      <c r="A97" s="25"/>
      <c r="B97" s="11" t="str">
        <f>CONCATENATE("          ", "6292", " - ", "TRAVEL/CONFERENCE")</f>
        <v xml:space="preserve">          6292 - TRAVEL/CONFERENCE</v>
      </c>
      <c r="C97" s="11"/>
      <c r="D97" s="7"/>
      <c r="E97" s="2"/>
      <c r="F97" s="6">
        <f t="shared" si="68"/>
        <v>0</v>
      </c>
      <c r="G97" s="2"/>
      <c r="H97" s="7">
        <v>300</v>
      </c>
      <c r="I97" s="2"/>
      <c r="J97" s="6">
        <f t="shared" si="69"/>
        <v>2.0018163146695101E-4</v>
      </c>
      <c r="K97" s="2"/>
      <c r="L97" s="7">
        <f t="shared" si="70"/>
        <v>-300</v>
      </c>
      <c r="M97" s="2"/>
      <c r="N97" s="6">
        <f t="shared" si="71"/>
        <v>-1</v>
      </c>
      <c r="O97" s="11"/>
      <c r="P97" s="7">
        <v>1688.41</v>
      </c>
      <c r="Q97" s="2"/>
      <c r="R97" s="6">
        <f t="shared" si="72"/>
        <v>6.8209820276591041E-4</v>
      </c>
      <c r="S97" s="2"/>
      <c r="T97" s="7">
        <v>900</v>
      </c>
      <c r="U97" s="2"/>
      <c r="V97" s="6">
        <f t="shared" si="73"/>
        <v>3.6432998905390788E-4</v>
      </c>
      <c r="W97" s="2"/>
      <c r="X97" s="7">
        <f t="shared" si="74"/>
        <v>788.41000000000008</v>
      </c>
      <c r="Y97" s="2"/>
      <c r="Z97" s="6">
        <f t="shared" si="75"/>
        <v>0.87601111111111118</v>
      </c>
    </row>
    <row r="98" spans="1:26" s="24" customFormat="1" hidden="1" outlineLevel="2" x14ac:dyDescent="0.25">
      <c r="A98" s="25"/>
      <c r="B98" s="11" t="str">
        <f>CONCATENATE("          ", "6298", " - ", "VEHICLE MILEAGE")</f>
        <v xml:space="preserve">          6298 - VEHICLE MILEAGE</v>
      </c>
      <c r="C98" s="11"/>
      <c r="D98" s="7"/>
      <c r="E98" s="2"/>
      <c r="F98" s="6">
        <f t="shared" si="68"/>
        <v>0</v>
      </c>
      <c r="G98" s="2"/>
      <c r="H98" s="7">
        <v>110</v>
      </c>
      <c r="I98" s="2"/>
      <c r="J98" s="6">
        <f t="shared" si="69"/>
        <v>7.3399931537882035E-5</v>
      </c>
      <c r="K98" s="2"/>
      <c r="L98" s="7">
        <f t="shared" si="70"/>
        <v>-110</v>
      </c>
      <c r="M98" s="2"/>
      <c r="N98" s="6">
        <f t="shared" si="71"/>
        <v>-1</v>
      </c>
      <c r="O98" s="11"/>
      <c r="P98" s="7"/>
      <c r="Q98" s="2"/>
      <c r="R98" s="6">
        <f t="shared" si="72"/>
        <v>0</v>
      </c>
      <c r="S98" s="2"/>
      <c r="T98" s="7">
        <v>330</v>
      </c>
      <c r="U98" s="2"/>
      <c r="V98" s="6">
        <f t="shared" si="73"/>
        <v>1.3358766265309955E-4</v>
      </c>
      <c r="W98" s="2"/>
      <c r="X98" s="7">
        <f t="shared" si="74"/>
        <v>-330</v>
      </c>
      <c r="Y98" s="2"/>
      <c r="Z98" s="6">
        <f t="shared" si="75"/>
        <v>-1</v>
      </c>
    </row>
    <row r="99" spans="1:26" s="63" customFormat="1" x14ac:dyDescent="0.25">
      <c r="A99" s="36"/>
      <c r="B99" s="36"/>
      <c r="C99" s="36"/>
      <c r="D99" s="1"/>
      <c r="E99" s="1"/>
      <c r="F99" s="5"/>
      <c r="G99" s="1"/>
      <c r="H99" s="1"/>
      <c r="I99" s="1"/>
      <c r="J99" s="5"/>
      <c r="K99" s="1"/>
      <c r="L99" s="1"/>
      <c r="M99" s="1"/>
      <c r="N99" s="5"/>
      <c r="O99" s="36"/>
      <c r="P99" s="1"/>
      <c r="Q99" s="1"/>
      <c r="R99" s="5"/>
      <c r="S99" s="1"/>
      <c r="T99" s="1"/>
      <c r="U99" s="1"/>
      <c r="V99" s="5"/>
      <c r="W99" s="1"/>
      <c r="X99" s="1"/>
      <c r="Y99" s="1"/>
      <c r="Z99" s="5"/>
    </row>
    <row r="100" spans="1:26" s="23" customFormat="1" x14ac:dyDescent="0.25">
      <c r="A100" s="10"/>
      <c r="B100" s="28" t="s">
        <v>0</v>
      </c>
      <c r="C100" s="10"/>
      <c r="D100" s="4">
        <f>SUM(0)</f>
        <v>0</v>
      </c>
      <c r="E100" s="4"/>
      <c r="F100" s="12">
        <f>IF(D$12=0,0,D100/D$12)</f>
        <v>0</v>
      </c>
      <c r="G100" s="4"/>
      <c r="H100" s="4">
        <f>SUM(0)</f>
        <v>0</v>
      </c>
      <c r="I100" s="4"/>
      <c r="J100" s="12">
        <f>IF(H$12=0,0,H100/H$12)</f>
        <v>0</v>
      </c>
      <c r="K100" s="4"/>
      <c r="L100" s="4">
        <f>+D100-H100</f>
        <v>0</v>
      </c>
      <c r="M100" s="4"/>
      <c r="N100" s="12">
        <f>IF(H100=0,0,L100/H100)</f>
        <v>0</v>
      </c>
      <c r="O100" s="10"/>
      <c r="P100" s="4">
        <f>SUM(0)</f>
        <v>0</v>
      </c>
      <c r="Q100" s="4"/>
      <c r="R100" s="12">
        <f>IF(P$12=0,0,P100/P$12)</f>
        <v>0</v>
      </c>
      <c r="S100" s="4"/>
      <c r="T100" s="4">
        <f>SUM(0)</f>
        <v>0</v>
      </c>
      <c r="U100" s="4"/>
      <c r="V100" s="12">
        <f>IF(T$12=0,0,T100/T$12)</f>
        <v>0</v>
      </c>
      <c r="W100" s="4"/>
      <c r="X100" s="4">
        <f>+P100-T100</f>
        <v>0</v>
      </c>
      <c r="Y100" s="4"/>
      <c r="Z100" s="12">
        <f>IF(T100=0,0,X100/T100)</f>
        <v>0</v>
      </c>
    </row>
    <row r="101" spans="1:26" x14ac:dyDescent="0.25">
      <c r="A101" s="9"/>
      <c r="B101" s="10"/>
      <c r="C101" s="10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O101" s="10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25">
      <c r="A102" s="10"/>
      <c r="B102" s="29" t="s">
        <v>3</v>
      </c>
      <c r="C102" s="29"/>
      <c r="D102" s="22">
        <f>+D25-D27+D100</f>
        <v>582145.55000000028</v>
      </c>
      <c r="E102" s="14"/>
      <c r="F102" s="20">
        <f>IF(D$12=0,0,D102/D$12)</f>
        <v>0.39892576689550752</v>
      </c>
      <c r="G102" s="14"/>
      <c r="H102" s="22">
        <f>+H25-H27+H100</f>
        <v>565455.66627822584</v>
      </c>
      <c r="I102" s="14"/>
      <c r="J102" s="20">
        <f>IF(H$12=0,0,H102/H$12)</f>
        <v>0.3773127926593568</v>
      </c>
      <c r="K102" s="15"/>
      <c r="L102" s="22">
        <f>+D102-H102</f>
        <v>16689.883721774444</v>
      </c>
      <c r="M102" s="15"/>
      <c r="N102" s="20">
        <f>IF(H102=0,0,L102/H102)</f>
        <v>2.9515813028500773E-2</v>
      </c>
      <c r="O102" s="28"/>
      <c r="P102" s="22">
        <f>+P25-P27+P100</f>
        <v>521569.20000000042</v>
      </c>
      <c r="Q102" s="14"/>
      <c r="R102" s="20">
        <f>IF(P$12=0,0,P102/P$12)</f>
        <v>0.21070795241561821</v>
      </c>
      <c r="S102" s="14"/>
      <c r="T102" s="22">
        <f>+T25-T27+T100</f>
        <v>427488.8630027636</v>
      </c>
      <c r="U102" s="14"/>
      <c r="V102" s="20">
        <f>IF(T$12=0,0,T102/T$12)</f>
        <v>0.17305223642051598</v>
      </c>
      <c r="W102" s="15"/>
      <c r="X102" s="22">
        <f>+P102-T102</f>
        <v>94080.336997236824</v>
      </c>
      <c r="Y102" s="15"/>
      <c r="Z102" s="20">
        <f>IF(T102=0,0,X102/T102)</f>
        <v>0.22007669705451161</v>
      </c>
    </row>
    <row r="103" spans="1:26" x14ac:dyDescent="0.25">
      <c r="A103" s="9"/>
      <c r="B103" s="10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x14ac:dyDescent="0.25">
      <c r="A104" s="52"/>
      <c r="B104" s="10" t="s">
        <v>14</v>
      </c>
      <c r="C104" s="10"/>
      <c r="D104" s="4">
        <v>139200.93</v>
      </c>
      <c r="E104" s="4"/>
      <c r="F104" s="12">
        <f>IF(D$12=0,0,D104/D$12)</f>
        <v>9.5389954888116607E-2</v>
      </c>
      <c r="G104" s="4"/>
      <c r="H104" s="4">
        <v>154656</v>
      </c>
      <c r="I104" s="4"/>
      <c r="J104" s="12">
        <f>IF(H$12=0,0,H104/H$12)</f>
        <v>0.10319763465384259</v>
      </c>
      <c r="K104" s="4"/>
      <c r="L104" s="4">
        <f>+D104-H104</f>
        <v>-15455.070000000007</v>
      </c>
      <c r="M104" s="4"/>
      <c r="N104" s="12">
        <f>IF(H104=0,0,L104/H104)</f>
        <v>-9.9931913407821274E-2</v>
      </c>
      <c r="O104" s="10"/>
      <c r="P104" s="4">
        <v>265881.95</v>
      </c>
      <c r="Q104" s="4"/>
      <c r="R104" s="12">
        <f>IF(P$12=0,0,P104/P$12)</f>
        <v>0.10741324692633641</v>
      </c>
      <c r="S104" s="4"/>
      <c r="T104" s="4">
        <v>312456</v>
      </c>
      <c r="U104" s="4"/>
      <c r="V104" s="12">
        <f>IF(T$12=0,0,T104/T$12)</f>
        <v>0.12648565673314205</v>
      </c>
      <c r="W104" s="4"/>
      <c r="X104" s="4">
        <f>+P104-T104</f>
        <v>-46574.049999999988</v>
      </c>
      <c r="Y104" s="4"/>
      <c r="Z104" s="12">
        <f>IF(T104=0,0,X104/T104)</f>
        <v>-0.14905794735898811</v>
      </c>
    </row>
    <row r="105" spans="1:26" x14ac:dyDescent="0.25">
      <c r="A105" s="9"/>
      <c r="B105" s="10"/>
      <c r="C105" s="10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O105" s="10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ht="15.75" thickBot="1" x14ac:dyDescent="0.3">
      <c r="A106" s="10"/>
      <c r="B106" s="29" t="s">
        <v>4</v>
      </c>
      <c r="C106" s="29"/>
      <c r="D106" s="35">
        <f>+D102-D104</f>
        <v>442944.62000000029</v>
      </c>
      <c r="E106" s="14"/>
      <c r="F106" s="32">
        <f>IF(D$12=0,0,D106/D$12)</f>
        <v>0.30353581200739094</v>
      </c>
      <c r="G106" s="14"/>
      <c r="H106" s="35">
        <f>+H102-H104</f>
        <v>410799.66627822584</v>
      </c>
      <c r="I106" s="14"/>
      <c r="J106" s="32">
        <f>IF(H$12=0,0,H106/H$12)</f>
        <v>0.27411515800551423</v>
      </c>
      <c r="K106" s="15"/>
      <c r="L106" s="35">
        <f>D106-H106</f>
        <v>32144.953721774451</v>
      </c>
      <c r="M106" s="15"/>
      <c r="N106" s="32">
        <f>IF(H106=0,0,L106/H106)</f>
        <v>7.8249707486381839E-2</v>
      </c>
      <c r="O106" s="28"/>
      <c r="P106" s="35">
        <f>+P102-P104</f>
        <v>255687.25000000041</v>
      </c>
      <c r="Q106" s="14"/>
      <c r="R106" s="32">
        <f>IF(P$12=0,0,P106/P$12)</f>
        <v>0.10329470548928181</v>
      </c>
      <c r="S106" s="14"/>
      <c r="T106" s="35">
        <f>+T102-T104</f>
        <v>115032.8630027636</v>
      </c>
      <c r="U106" s="14"/>
      <c r="V106" s="32">
        <f>IF(T$12=0,0,T106/T$12)</f>
        <v>4.6566579687373939E-2</v>
      </c>
      <c r="W106" s="15"/>
      <c r="X106" s="35">
        <f>P106-T106</f>
        <v>140654.38699723681</v>
      </c>
      <c r="Y106" s="15"/>
      <c r="Z106" s="32">
        <f>IF(T106=0,0,X106/T106)</f>
        <v>1.2227322116972579</v>
      </c>
    </row>
    <row r="107" spans="1:26" ht="15.75" thickTop="1" x14ac:dyDescent="0.25">
      <c r="A107" s="9"/>
      <c r="B107" s="9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x14ac:dyDescent="0.25">
      <c r="A108" s="9"/>
      <c r="B108" s="9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ht="15.75" thickBot="1" x14ac:dyDescent="0.3">
      <c r="A109" s="10"/>
      <c r="B109" s="29" t="s">
        <v>5</v>
      </c>
      <c r="C109" s="29"/>
      <c r="D109" s="30">
        <f>SUM(D106:D108)</f>
        <v>442944.62000000029</v>
      </c>
      <c r="E109" s="14"/>
      <c r="F109" s="31">
        <f>IF(D$12=0,0,D109/D$12)</f>
        <v>0.30353581200739094</v>
      </c>
      <c r="G109" s="14"/>
      <c r="H109" s="30">
        <f>SUM(H106:H108)</f>
        <v>410799.66627822584</v>
      </c>
      <c r="I109" s="14"/>
      <c r="J109" s="31">
        <f>IF(H$12=0,0,H109/H$12)</f>
        <v>0.27411515800551423</v>
      </c>
      <c r="K109" s="15"/>
      <c r="L109" s="30">
        <f>+D109-H109</f>
        <v>32144.953721774451</v>
      </c>
      <c r="M109" s="15"/>
      <c r="N109" s="31">
        <f>IF(H109=0,0,L109/H109)</f>
        <v>7.8249707486381839E-2</v>
      </c>
      <c r="O109" s="28"/>
      <c r="P109" s="30">
        <f>SUM(P106:P108)</f>
        <v>255687.25000000041</v>
      </c>
      <c r="Q109" s="14"/>
      <c r="R109" s="31">
        <f>IF(P$12=0,0,P109/P$12)</f>
        <v>0.10329470548928181</v>
      </c>
      <c r="S109" s="14"/>
      <c r="T109" s="30">
        <f>SUM(T106:T108)</f>
        <v>115032.8630027636</v>
      </c>
      <c r="U109" s="14"/>
      <c r="V109" s="31">
        <f>IF(T$12=0,0,T109/T$12)</f>
        <v>4.6566579687373939E-2</v>
      </c>
      <c r="W109" s="15"/>
      <c r="X109" s="30">
        <f>+P109-T109</f>
        <v>140654.38699723681</v>
      </c>
      <c r="Y109" s="15"/>
      <c r="Z109" s="31">
        <f>IF(T109=0,0,X109/T109)</f>
        <v>1.2227322116972579</v>
      </c>
    </row>
    <row r="110" spans="1:26" ht="15.75" thickTop="1" x14ac:dyDescent="0.25">
      <c r="A110" s="9"/>
      <c r="C110" s="9"/>
      <c r="D110" s="18"/>
      <c r="E110" s="18"/>
      <c r="G110" s="18"/>
      <c r="H110" s="18"/>
      <c r="I110" s="18"/>
      <c r="J110" s="43"/>
      <c r="K110" s="18"/>
      <c r="L110" s="18"/>
      <c r="M110" s="18"/>
      <c r="P110" s="18"/>
      <c r="Q110" s="18"/>
      <c r="R110" s="43"/>
      <c r="S110" s="18"/>
      <c r="T110" s="18"/>
      <c r="U110" s="18"/>
      <c r="V110" s="43"/>
      <c r="W110" s="18"/>
      <c r="X110" s="18"/>
    </row>
    <row r="111" spans="1:26" x14ac:dyDescent="0.25">
      <c r="A111" s="9"/>
      <c r="B111" s="53">
        <v>43756.451986377317</v>
      </c>
      <c r="D111" s="18"/>
      <c r="E111" s="18"/>
      <c r="G111" s="18"/>
      <c r="H111" s="18"/>
      <c r="I111" s="18"/>
      <c r="J111" s="43"/>
      <c r="K111" s="18"/>
      <c r="L111" s="18"/>
      <c r="M111" s="18"/>
      <c r="P111" s="18"/>
      <c r="Q111" s="18"/>
      <c r="R111" s="43"/>
      <c r="S111" s="18"/>
      <c r="T111" s="18"/>
      <c r="U111" s="18"/>
      <c r="V111" s="43"/>
      <c r="W111" s="18"/>
      <c r="X111" s="18"/>
    </row>
    <row r="112" spans="1:26" x14ac:dyDescent="0.25">
      <c r="A112" s="9"/>
      <c r="B112" s="55" t="s">
        <v>314</v>
      </c>
      <c r="D112" s="18"/>
      <c r="E112" s="18"/>
      <c r="G112" s="18"/>
      <c r="H112" s="18"/>
      <c r="I112" s="18"/>
      <c r="J112" s="43"/>
      <c r="K112" s="18"/>
      <c r="L112" s="18"/>
      <c r="M112" s="18"/>
      <c r="P112" s="18"/>
      <c r="Q112" s="18"/>
      <c r="R112" s="43"/>
      <c r="S112" s="18"/>
      <c r="T112" s="18"/>
      <c r="U112" s="18"/>
      <c r="V112" s="43"/>
      <c r="W112" s="18"/>
      <c r="X112" s="18"/>
    </row>
    <row r="113" spans="1:24" x14ac:dyDescent="0.25">
      <c r="A113" s="9"/>
      <c r="B113" s="56"/>
      <c r="D113" s="18"/>
      <c r="E113" s="18"/>
      <c r="G113" s="18"/>
      <c r="H113" s="18"/>
      <c r="I113" s="18"/>
      <c r="J113" s="43"/>
      <c r="K113" s="18"/>
      <c r="L113" s="18"/>
      <c r="M113" s="18"/>
      <c r="P113" s="18"/>
      <c r="Q113" s="18"/>
      <c r="R113" s="43"/>
      <c r="S113" s="18"/>
      <c r="T113" s="18"/>
      <c r="U113" s="18"/>
      <c r="V113" s="43"/>
      <c r="W113" s="18"/>
      <c r="X113" s="18"/>
    </row>
    <row r="114" spans="1:24" x14ac:dyDescent="0.25">
      <c r="D114" s="18"/>
      <c r="E114" s="18"/>
      <c r="G114" s="18"/>
      <c r="H114" s="18"/>
      <c r="I114" s="18"/>
      <c r="J114" s="43"/>
      <c r="K114" s="18"/>
      <c r="L114" s="18"/>
      <c r="M114" s="18"/>
      <c r="P114" s="18"/>
      <c r="Q114" s="18"/>
      <c r="R114" s="43"/>
      <c r="S114" s="18"/>
      <c r="T114" s="18"/>
      <c r="U114" s="18"/>
      <c r="V114" s="43"/>
      <c r="W114" s="18"/>
      <c r="X114" s="18"/>
    </row>
  </sheetData>
  <pageMargins left="0.25" right="0.25" top="0.75" bottom="0.75" header="0.3" footer="0.3"/>
  <pageSetup scale="55" fitToWidth="2" orientation="landscape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str">
        <f>CONCATENATE("Period ",RIGHT(202003,2),", ",2020)</f>
        <v>Period 03, 2020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43736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tr">
        <f>CONCATENATE("Department ","430", " - ", "Res Hall Management")</f>
        <v>Department 430 - Res Hall Management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21665.649999999998</v>
      </c>
      <c r="E18" s="21"/>
      <c r="F18" s="33">
        <f t="shared" ref="F18:F28" si="0">IF(D$12=0,0,D18/D$12)</f>
        <v>0</v>
      </c>
      <c r="G18" s="21"/>
      <c r="H18" s="21">
        <f>SUM(OSRRefH22x_0)</f>
        <v>13608.050783619999</v>
      </c>
      <c r="I18" s="21"/>
      <c r="J18" s="33">
        <f t="shared" ref="J18:J28" si="1">IF(H$12=0,0,H18/H$12)</f>
        <v>0</v>
      </c>
      <c r="K18" s="4"/>
      <c r="L18" s="21">
        <f t="shared" ref="L18:L28" si="2">+D18-H18</f>
        <v>8057.5992163799983</v>
      </c>
      <c r="M18" s="4"/>
      <c r="N18" s="33">
        <f t="shared" ref="N18:N28" si="3">IF(H18=0,0,L18/H18)</f>
        <v>0.5921200136965189</v>
      </c>
      <c r="O18" s="10"/>
      <c r="P18" s="21">
        <f>SUM(OSRRefP22x_0)</f>
        <v>47700.020000000004</v>
      </c>
      <c r="Q18" s="21"/>
      <c r="R18" s="33">
        <f t="shared" ref="R18:R28" si="4">IF(P$12=0,0,P18/P$12)</f>
        <v>0</v>
      </c>
      <c r="S18" s="21"/>
      <c r="T18" s="21">
        <f>SUM(OSRRefT22x_0)</f>
        <v>43075.665046765003</v>
      </c>
      <c r="U18" s="21"/>
      <c r="V18" s="33">
        <f t="shared" ref="V18:V28" si="5">IF(T$12=0,0,T18/T$12)</f>
        <v>0</v>
      </c>
      <c r="W18" s="4"/>
      <c r="X18" s="21">
        <f t="shared" ref="X18:X28" si="6">+P18-T18</f>
        <v>4624.3549532350007</v>
      </c>
      <c r="Y18" s="4"/>
      <c r="Z18" s="33">
        <f t="shared" ref="Z18:Z28" si="7">IF(T18=0,0,X18/T18)</f>
        <v>0.10735423233082018</v>
      </c>
    </row>
    <row r="19" spans="1:26" s="26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5559.99</v>
      </c>
      <c r="E19" s="1"/>
      <c r="F19" s="5">
        <f t="shared" si="0"/>
        <v>0</v>
      </c>
      <c r="G19" s="1"/>
      <c r="H19" s="1">
        <f>SUM(OSRRefH22_0x_0)</f>
        <v>4452.5201836199994</v>
      </c>
      <c r="I19" s="1"/>
      <c r="J19" s="5">
        <f t="shared" si="1"/>
        <v>0</v>
      </c>
      <c r="K19" s="1"/>
      <c r="L19" s="1">
        <f t="shared" si="2"/>
        <v>1107.4698163800003</v>
      </c>
      <c r="M19" s="1"/>
      <c r="N19" s="5">
        <f t="shared" si="3"/>
        <v>0.2487287582556453</v>
      </c>
      <c r="O19" s="13"/>
      <c r="P19" s="1">
        <f>SUM(OSRRefP22_0x_0)</f>
        <v>17159.629999999997</v>
      </c>
      <c r="Q19" s="1"/>
      <c r="R19" s="5">
        <f t="shared" si="4"/>
        <v>0</v>
      </c>
      <c r="S19" s="1"/>
      <c r="T19" s="1">
        <f>SUM(OSRRefT22_0x_0)</f>
        <v>13976.440596765</v>
      </c>
      <c r="U19" s="1"/>
      <c r="V19" s="5">
        <f t="shared" si="5"/>
        <v>0</v>
      </c>
      <c r="W19" s="1"/>
      <c r="X19" s="1">
        <f t="shared" si="6"/>
        <v>3183.1894032349974</v>
      </c>
      <c r="Y19" s="1"/>
      <c r="Z19" s="5">
        <f t="shared" si="7"/>
        <v>0.22775393929494334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7">
        <v>623.1</v>
      </c>
      <c r="E20" s="2"/>
      <c r="F20" s="6">
        <f t="shared" si="0"/>
        <v>0</v>
      </c>
      <c r="G20" s="2"/>
      <c r="H20" s="7">
        <v>623.33945201999995</v>
      </c>
      <c r="I20" s="2"/>
      <c r="J20" s="6">
        <f t="shared" si="1"/>
        <v>0</v>
      </c>
      <c r="K20" s="2"/>
      <c r="L20" s="7">
        <f t="shared" si="2"/>
        <v>-0.2394520199999306</v>
      </c>
      <c r="M20" s="2"/>
      <c r="N20" s="6">
        <f t="shared" si="3"/>
        <v>-3.8414385488349894E-4</v>
      </c>
      <c r="O20" s="11"/>
      <c r="P20" s="7">
        <v>1869.3</v>
      </c>
      <c r="Q20" s="2"/>
      <c r="R20" s="6">
        <f t="shared" si="4"/>
        <v>0</v>
      </c>
      <c r="S20" s="2"/>
      <c r="T20" s="7">
        <v>2025.8532190649998</v>
      </c>
      <c r="U20" s="2"/>
      <c r="V20" s="6">
        <f t="shared" si="5"/>
        <v>0</v>
      </c>
      <c r="W20" s="2"/>
      <c r="X20" s="7">
        <f t="shared" si="6"/>
        <v>-156.55321906499989</v>
      </c>
      <c r="Y20" s="2"/>
      <c r="Z20" s="6">
        <f t="shared" si="7"/>
        <v>-7.7277671250661747E-2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7">
        <v>316.02999999999997</v>
      </c>
      <c r="E21" s="2"/>
      <c r="F21" s="6">
        <f t="shared" si="0"/>
        <v>0</v>
      </c>
      <c r="G21" s="2"/>
      <c r="H21" s="7">
        <v>316.02731920000002</v>
      </c>
      <c r="I21" s="2"/>
      <c r="J21" s="6">
        <f t="shared" si="1"/>
        <v>0</v>
      </c>
      <c r="K21" s="2"/>
      <c r="L21" s="7">
        <f t="shared" si="2"/>
        <v>2.6807999999505228E-3</v>
      </c>
      <c r="M21" s="2"/>
      <c r="N21" s="6">
        <f t="shared" si="3"/>
        <v>8.4828109377909844E-6</v>
      </c>
      <c r="O21" s="11"/>
      <c r="P21" s="7">
        <v>948.09</v>
      </c>
      <c r="Q21" s="2"/>
      <c r="R21" s="6">
        <f t="shared" si="4"/>
        <v>0</v>
      </c>
      <c r="S21" s="2"/>
      <c r="T21" s="7">
        <v>1027.0887874</v>
      </c>
      <c r="U21" s="2"/>
      <c r="V21" s="6">
        <f t="shared" si="5"/>
        <v>0</v>
      </c>
      <c r="W21" s="2"/>
      <c r="X21" s="7">
        <f t="shared" si="6"/>
        <v>-78.998787399999969</v>
      </c>
      <c r="Y21" s="2"/>
      <c r="Z21" s="6">
        <f t="shared" si="7"/>
        <v>-7.6915246636057255E-2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7">
        <v>2730.6</v>
      </c>
      <c r="E22" s="2"/>
      <c r="F22" s="6">
        <f t="shared" si="0"/>
        <v>0</v>
      </c>
      <c r="G22" s="2"/>
      <c r="H22" s="7">
        <v>1977</v>
      </c>
      <c r="I22" s="2"/>
      <c r="J22" s="6">
        <f t="shared" si="1"/>
        <v>0</v>
      </c>
      <c r="K22" s="2"/>
      <c r="L22" s="7">
        <f t="shared" si="2"/>
        <v>753.59999999999991</v>
      </c>
      <c r="M22" s="2"/>
      <c r="N22" s="6">
        <f t="shared" si="3"/>
        <v>0.38118361153262514</v>
      </c>
      <c r="O22" s="11"/>
      <c r="P22" s="7">
        <v>8191.8</v>
      </c>
      <c r="Q22" s="2"/>
      <c r="R22" s="6">
        <f t="shared" si="4"/>
        <v>0</v>
      </c>
      <c r="S22" s="2"/>
      <c r="T22" s="7">
        <v>5931</v>
      </c>
      <c r="U22" s="2"/>
      <c r="V22" s="6">
        <f t="shared" si="5"/>
        <v>0</v>
      </c>
      <c r="W22" s="2"/>
      <c r="X22" s="7">
        <f t="shared" si="6"/>
        <v>2260.8000000000002</v>
      </c>
      <c r="Y22" s="2"/>
      <c r="Z22" s="6">
        <f t="shared" si="7"/>
        <v>0.3811836115326252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7">
        <v>21.18</v>
      </c>
      <c r="E23" s="2"/>
      <c r="F23" s="6">
        <f t="shared" si="0"/>
        <v>0</v>
      </c>
      <c r="G23" s="2"/>
      <c r="H23" s="7">
        <v>21.177088399999999</v>
      </c>
      <c r="I23" s="2"/>
      <c r="J23" s="6">
        <f t="shared" si="1"/>
        <v>0</v>
      </c>
      <c r="K23" s="2"/>
      <c r="L23" s="7">
        <f t="shared" si="2"/>
        <v>2.9116000000009024E-3</v>
      </c>
      <c r="M23" s="2"/>
      <c r="N23" s="6">
        <f t="shared" si="3"/>
        <v>1.3748821108008891E-4</v>
      </c>
      <c r="O23" s="11"/>
      <c r="P23" s="7">
        <v>63.54</v>
      </c>
      <c r="Q23" s="2"/>
      <c r="R23" s="6">
        <f t="shared" si="4"/>
        <v>0</v>
      </c>
      <c r="S23" s="2"/>
      <c r="T23" s="7">
        <v>68.825537299999993</v>
      </c>
      <c r="U23" s="2"/>
      <c r="V23" s="6">
        <f t="shared" si="5"/>
        <v>0</v>
      </c>
      <c r="W23" s="2"/>
      <c r="X23" s="7">
        <f t="shared" si="6"/>
        <v>-5.2855372999999943</v>
      </c>
      <c r="Y23" s="2"/>
      <c r="Z23" s="6">
        <f t="shared" si="7"/>
        <v>-7.6796164728233723E-2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7">
        <v>568.92999999999995</v>
      </c>
      <c r="E24" s="2"/>
      <c r="F24" s="6">
        <f t="shared" si="0"/>
        <v>0</v>
      </c>
      <c r="G24" s="2"/>
      <c r="H24" s="7">
        <v>700.47292400000003</v>
      </c>
      <c r="I24" s="2"/>
      <c r="J24" s="6">
        <f t="shared" si="1"/>
        <v>0</v>
      </c>
      <c r="K24" s="2"/>
      <c r="L24" s="7">
        <f t="shared" si="2"/>
        <v>-131.54292400000008</v>
      </c>
      <c r="M24" s="2"/>
      <c r="N24" s="6">
        <f t="shared" si="3"/>
        <v>-0.18779158978598876</v>
      </c>
      <c r="O24" s="11"/>
      <c r="P24" s="7">
        <v>1706.79</v>
      </c>
      <c r="Q24" s="2"/>
      <c r="R24" s="6">
        <f t="shared" si="4"/>
        <v>0</v>
      </c>
      <c r="S24" s="2"/>
      <c r="T24" s="7">
        <v>2276.5370029999999</v>
      </c>
      <c r="U24" s="2"/>
      <c r="V24" s="6">
        <f t="shared" si="5"/>
        <v>0</v>
      </c>
      <c r="W24" s="2"/>
      <c r="X24" s="7">
        <f t="shared" si="6"/>
        <v>-569.74700299999995</v>
      </c>
      <c r="Y24" s="2"/>
      <c r="Z24" s="6">
        <f t="shared" si="7"/>
        <v>-0.25026915980245107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5"/>
      <c r="B26" s="11" t="str">
        <f>CONCATENATE("          ", "6118", " - ", "VACATION")</f>
        <v xml:space="preserve">          6118 - VACATION</v>
      </c>
      <c r="C26" s="11"/>
      <c r="D26" s="7">
        <v>752.4</v>
      </c>
      <c r="E26" s="2"/>
      <c r="F26" s="6">
        <f t="shared" si="0"/>
        <v>0</v>
      </c>
      <c r="G26" s="2"/>
      <c r="H26" s="7">
        <v>570.15237999999999</v>
      </c>
      <c r="I26" s="2"/>
      <c r="J26" s="6">
        <f t="shared" si="1"/>
        <v>0</v>
      </c>
      <c r="K26" s="2"/>
      <c r="L26" s="7">
        <f t="shared" si="2"/>
        <v>182.24761999999998</v>
      </c>
      <c r="M26" s="2"/>
      <c r="N26" s="6">
        <f t="shared" si="3"/>
        <v>0.31964721431137405</v>
      </c>
      <c r="O26" s="11"/>
      <c r="P26" s="7">
        <v>2597.65</v>
      </c>
      <c r="Q26" s="2"/>
      <c r="R26" s="6">
        <f t="shared" si="4"/>
        <v>0</v>
      </c>
      <c r="S26" s="2"/>
      <c r="T26" s="7">
        <v>1852.9952350000001</v>
      </c>
      <c r="U26" s="2"/>
      <c r="V26" s="6">
        <f t="shared" si="5"/>
        <v>0</v>
      </c>
      <c r="W26" s="2"/>
      <c r="X26" s="7">
        <f t="shared" si="6"/>
        <v>744.654765</v>
      </c>
      <c r="Y26" s="2"/>
      <c r="Z26" s="6">
        <f t="shared" si="7"/>
        <v>0.40186545056064321</v>
      </c>
    </row>
    <row r="27" spans="1:26" s="24" customFormat="1" hidden="1" outlineLevel="2" x14ac:dyDescent="0.25">
      <c r="A27" s="25"/>
      <c r="B27" s="11" t="str">
        <f>CONCATENATE("          ", "6119", " - ", "SICK LEAVE")</f>
        <v xml:space="preserve">          6119 - SICK LEAVE</v>
      </c>
      <c r="C27" s="11"/>
      <c r="D27" s="7">
        <v>375.68</v>
      </c>
      <c r="E27" s="2"/>
      <c r="F27" s="6">
        <f t="shared" si="0"/>
        <v>0</v>
      </c>
      <c r="G27" s="2"/>
      <c r="H27" s="7">
        <v>244.35102000000001</v>
      </c>
      <c r="I27" s="2"/>
      <c r="J27" s="6">
        <f t="shared" si="1"/>
        <v>0</v>
      </c>
      <c r="K27" s="2"/>
      <c r="L27" s="7">
        <f t="shared" si="2"/>
        <v>131.32898</v>
      </c>
      <c r="M27" s="2"/>
      <c r="N27" s="6">
        <f t="shared" si="3"/>
        <v>0.53746033063418353</v>
      </c>
      <c r="O27" s="11"/>
      <c r="P27" s="7">
        <v>1357.54</v>
      </c>
      <c r="Q27" s="2"/>
      <c r="R27" s="6">
        <f t="shared" si="4"/>
        <v>0</v>
      </c>
      <c r="S27" s="2"/>
      <c r="T27" s="7">
        <v>794.14081499999998</v>
      </c>
      <c r="U27" s="2"/>
      <c r="V27" s="6">
        <f t="shared" si="5"/>
        <v>0</v>
      </c>
      <c r="W27" s="2"/>
      <c r="X27" s="7">
        <f t="shared" si="6"/>
        <v>563.39918499999999</v>
      </c>
      <c r="Y27" s="2"/>
      <c r="Z27" s="6">
        <f t="shared" si="7"/>
        <v>0.70944494270830294</v>
      </c>
    </row>
    <row r="28" spans="1:26" s="24" customFormat="1" hidden="1" outlineLevel="2" x14ac:dyDescent="0.25">
      <c r="A28" s="25"/>
      <c r="B28" s="11" t="str">
        <f>CONCATENATE("          ", "6156", " - ", "EMPLOYEE MEALS")</f>
        <v xml:space="preserve">          6156 - EMPLOYEE MEALS</v>
      </c>
      <c r="C28" s="11"/>
      <c r="D28" s="7">
        <v>172.07</v>
      </c>
      <c r="E28" s="2"/>
      <c r="F28" s="6">
        <f t="shared" si="0"/>
        <v>0</v>
      </c>
      <c r="G28" s="2"/>
      <c r="H28" s="7"/>
      <c r="I28" s="2"/>
      <c r="J28" s="6">
        <f t="shared" si="1"/>
        <v>0</v>
      </c>
      <c r="K28" s="2"/>
      <c r="L28" s="7">
        <f t="shared" si="2"/>
        <v>172.07</v>
      </c>
      <c r="M28" s="2"/>
      <c r="N28" s="6">
        <f t="shared" si="3"/>
        <v>0</v>
      </c>
      <c r="O28" s="11"/>
      <c r="P28" s="7">
        <v>424.92</v>
      </c>
      <c r="Q28" s="2"/>
      <c r="R28" s="6">
        <f t="shared" si="4"/>
        <v>0</v>
      </c>
      <c r="S28" s="2"/>
      <c r="T28" s="7"/>
      <c r="U28" s="2"/>
      <c r="V28" s="6">
        <f t="shared" si="5"/>
        <v>0</v>
      </c>
      <c r="W28" s="2"/>
      <c r="X28" s="7">
        <f t="shared" si="6"/>
        <v>424.92</v>
      </c>
      <c r="Y28" s="2"/>
      <c r="Z28" s="6">
        <f t="shared" si="7"/>
        <v>0</v>
      </c>
    </row>
    <row r="29" spans="1:26" s="26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8145.04</v>
      </c>
      <c r="E29" s="1"/>
      <c r="F29" s="5">
        <f t="shared" ref="F29:F39" si="8">IF(D$12=0,0,D29/D$12)</f>
        <v>0</v>
      </c>
      <c r="G29" s="1"/>
      <c r="H29" s="1">
        <f>SUM(OSRRefH22_1x_0)</f>
        <v>7330.5306</v>
      </c>
      <c r="I29" s="1"/>
      <c r="J29" s="5">
        <f t="shared" ref="J29:J39" si="9">IF(H$12=0,0,H29/H$12)</f>
        <v>0</v>
      </c>
      <c r="K29" s="1"/>
      <c r="L29" s="1">
        <f t="shared" ref="L29:L39" si="10">+D29-H29</f>
        <v>814.50939999999991</v>
      </c>
      <c r="M29" s="1"/>
      <c r="N29" s="5">
        <f t="shared" ref="N29:N39" si="11">IF(H29=0,0,L29/H29)</f>
        <v>0.11111192960575049</v>
      </c>
      <c r="O29" s="13"/>
      <c r="P29" s="1">
        <f>SUM(OSRRefP22_1x_0)</f>
        <v>21176.85</v>
      </c>
      <c r="Q29" s="1"/>
      <c r="R29" s="5">
        <f t="shared" ref="R29:R39" si="12">IF(P$12=0,0,P29/P$12)</f>
        <v>0</v>
      </c>
      <c r="S29" s="1"/>
      <c r="T29" s="1">
        <f>SUM(OSRRefT22_1x_0)</f>
        <v>23824.224450000002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-2647.374450000003</v>
      </c>
      <c r="Y29" s="1"/>
      <c r="Z29" s="5">
        <f t="shared" ref="Z29:Z39" si="15">IF(T29=0,0,X29/T29)</f>
        <v>-0.11112111773275385</v>
      </c>
    </row>
    <row r="30" spans="1:26" s="24" customFormat="1" hidden="1" outlineLevel="2" x14ac:dyDescent="0.25">
      <c r="A30" s="25"/>
      <c r="B30" s="11" t="str">
        <f>CONCATENATE("          ", "6001", " - ", "ADMINISTRATIVE SALARIES")</f>
        <v xml:space="preserve">          6001 - ADMINISTRATIVE SALARIES</v>
      </c>
      <c r="C30" s="11"/>
      <c r="D30" s="7">
        <v>8145.04</v>
      </c>
      <c r="E30" s="2"/>
      <c r="F30" s="6">
        <f t="shared" si="8"/>
        <v>0</v>
      </c>
      <c r="G30" s="2"/>
      <c r="H30" s="7">
        <v>0</v>
      </c>
      <c r="I30" s="2"/>
      <c r="J30" s="6">
        <f t="shared" si="9"/>
        <v>0</v>
      </c>
      <c r="K30" s="2"/>
      <c r="L30" s="7">
        <f t="shared" si="10"/>
        <v>8145.04</v>
      </c>
      <c r="M30" s="2"/>
      <c r="N30" s="6">
        <f t="shared" si="11"/>
        <v>0</v>
      </c>
      <c r="O30" s="11"/>
      <c r="P30" s="7">
        <v>21176.85</v>
      </c>
      <c r="Q30" s="2"/>
      <c r="R30" s="6">
        <f t="shared" si="12"/>
        <v>0</v>
      </c>
      <c r="S30" s="2"/>
      <c r="T30" s="7">
        <v>0</v>
      </c>
      <c r="U30" s="2"/>
      <c r="V30" s="6">
        <f t="shared" si="13"/>
        <v>0</v>
      </c>
      <c r="W30" s="2"/>
      <c r="X30" s="7">
        <f t="shared" si="14"/>
        <v>21176.85</v>
      </c>
      <c r="Y30" s="2"/>
      <c r="Z30" s="6">
        <f t="shared" si="15"/>
        <v>0</v>
      </c>
    </row>
    <row r="31" spans="1:26" s="24" customFormat="1" hidden="1" outlineLevel="2" x14ac:dyDescent="0.25">
      <c r="A31" s="25"/>
      <c r="B31" s="11" t="str">
        <f>CONCATENATE("          ", "6002", " - ", "STAFF SALARIES")</f>
        <v xml:space="preserve">          6002 - STAFF SALARIES</v>
      </c>
      <c r="C31" s="11"/>
      <c r="D31" s="7"/>
      <c r="E31" s="2"/>
      <c r="F31" s="6">
        <f t="shared" si="8"/>
        <v>0</v>
      </c>
      <c r="G31" s="2"/>
      <c r="H31" s="7">
        <v>7330.5306</v>
      </c>
      <c r="I31" s="2"/>
      <c r="J31" s="6">
        <f t="shared" si="9"/>
        <v>0</v>
      </c>
      <c r="K31" s="2"/>
      <c r="L31" s="7">
        <f t="shared" si="10"/>
        <v>-7330.5306</v>
      </c>
      <c r="M31" s="2"/>
      <c r="N31" s="6">
        <f t="shared" si="11"/>
        <v>-1</v>
      </c>
      <c r="O31" s="11"/>
      <c r="P31" s="7"/>
      <c r="Q31" s="2"/>
      <c r="R31" s="6">
        <f t="shared" si="12"/>
        <v>0</v>
      </c>
      <c r="S31" s="2"/>
      <c r="T31" s="7">
        <v>23824.224450000002</v>
      </c>
      <c r="U31" s="2"/>
      <c r="V31" s="6">
        <f t="shared" si="13"/>
        <v>0</v>
      </c>
      <c r="W31" s="2"/>
      <c r="X31" s="7">
        <f t="shared" si="14"/>
        <v>-23824.224450000002</v>
      </c>
      <c r="Y31" s="2"/>
      <c r="Z31" s="6">
        <f t="shared" si="15"/>
        <v>-1</v>
      </c>
    </row>
    <row r="32" spans="1:26" s="24" customFormat="1" hidden="1" outlineLevel="2" x14ac:dyDescent="0.25">
      <c r="A32" s="25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5"/>
      <c r="B33" s="11" t="str">
        <f>CONCATENATE("          ", "6004", " - ", "STAFF HOURLY")</f>
        <v xml:space="preserve">          6004 - STAFF HOURLY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5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25">
      <c r="A35" s="25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5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5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5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5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6" customFormat="1" outlineLevel="1" collapsed="1" x14ac:dyDescent="0.25">
      <c r="A40" s="27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0</v>
      </c>
      <c r="E40" s="1"/>
      <c r="F40" s="5">
        <f t="shared" ref="F40:F53" si="16">IF(D$12=0,0,D40/D$12)</f>
        <v>0</v>
      </c>
      <c r="G40" s="1"/>
      <c r="H40" s="1">
        <f>SUM(OSRRefH22_2x_0)</f>
        <v>125</v>
      </c>
      <c r="I40" s="1"/>
      <c r="J40" s="5">
        <f t="shared" ref="J40:J53" si="17">IF(H$12=0,0,H40/H$12)</f>
        <v>0</v>
      </c>
      <c r="K40" s="1"/>
      <c r="L40" s="1">
        <f t="shared" ref="L40:L53" si="18">+D40-H40</f>
        <v>-125</v>
      </c>
      <c r="M40" s="1"/>
      <c r="N40" s="5">
        <f t="shared" ref="N40:N53" si="19">IF(H40=0,0,L40/H40)</f>
        <v>-1</v>
      </c>
      <c r="O40" s="13"/>
      <c r="P40" s="1">
        <f>SUM(OSRRefP22_2x_0)</f>
        <v>0</v>
      </c>
      <c r="Q40" s="1"/>
      <c r="R40" s="5">
        <f t="shared" ref="R40:R53" si="20">IF(P$12=0,0,P40/P$12)</f>
        <v>0</v>
      </c>
      <c r="S40" s="1"/>
      <c r="T40" s="1">
        <f>SUM(OSRRefT22_2x_0)</f>
        <v>375</v>
      </c>
      <c r="U40" s="1"/>
      <c r="V40" s="5">
        <f t="shared" ref="V40:V53" si="21">IF(T$12=0,0,T40/T$12)</f>
        <v>0</v>
      </c>
      <c r="W40" s="1"/>
      <c r="X40" s="1">
        <f t="shared" ref="X40:X53" si="22">+P40-T40</f>
        <v>-375</v>
      </c>
      <c r="Y40" s="1"/>
      <c r="Z40" s="5">
        <f t="shared" ref="Z40:Z53" si="23">IF(T40=0,0,X40/T40)</f>
        <v>-1</v>
      </c>
    </row>
    <row r="41" spans="1:26" s="24" customFormat="1" hidden="1" outlineLevel="2" x14ac:dyDescent="0.25">
      <c r="A41" s="25"/>
      <c r="B41" s="11" t="str">
        <f>CONCATENATE("          ", "6362", " - ", "ADVERTISING EXPENSE")</f>
        <v xml:space="preserve">          6362 - ADVERTISING EXPENSE</v>
      </c>
      <c r="C41" s="11"/>
      <c r="D41" s="7"/>
      <c r="E41" s="2"/>
      <c r="F41" s="6">
        <f t="shared" si="16"/>
        <v>0</v>
      </c>
      <c r="G41" s="2"/>
      <c r="H41" s="7">
        <v>125</v>
      </c>
      <c r="I41" s="2"/>
      <c r="J41" s="6">
        <f t="shared" si="17"/>
        <v>0</v>
      </c>
      <c r="K41" s="2"/>
      <c r="L41" s="7">
        <f t="shared" si="18"/>
        <v>-125</v>
      </c>
      <c r="M41" s="2"/>
      <c r="N41" s="6">
        <f t="shared" si="19"/>
        <v>-1</v>
      </c>
      <c r="O41" s="11"/>
      <c r="P41" s="7"/>
      <c r="Q41" s="2"/>
      <c r="R41" s="6">
        <f t="shared" si="20"/>
        <v>0</v>
      </c>
      <c r="S41" s="2"/>
      <c r="T41" s="7">
        <v>375</v>
      </c>
      <c r="U41" s="2"/>
      <c r="V41" s="6">
        <f t="shared" si="21"/>
        <v>0</v>
      </c>
      <c r="W41" s="2"/>
      <c r="X41" s="7">
        <f t="shared" si="22"/>
        <v>-375</v>
      </c>
      <c r="Y41" s="2"/>
      <c r="Z41" s="6">
        <f t="shared" si="23"/>
        <v>-1</v>
      </c>
    </row>
    <row r="42" spans="1:26" s="26" customFormat="1" outlineLevel="1" collapsed="1" x14ac:dyDescent="0.25">
      <c r="A42" s="27"/>
      <c r="B42" s="13" t="str">
        <f>CONCATENATE("     ","Donations                                         ")</f>
        <v xml:space="preserve">     Donations                                         </v>
      </c>
      <c r="C42" s="13"/>
      <c r="D42" s="1">
        <f>SUM(OSRRefD22_3x_0)</f>
        <v>0</v>
      </c>
      <c r="E42" s="1"/>
      <c r="F42" s="5">
        <f t="shared" si="16"/>
        <v>0</v>
      </c>
      <c r="G42" s="1"/>
      <c r="H42" s="1">
        <f>SUM(OSRRefH22_3x_0)</f>
        <v>100</v>
      </c>
      <c r="I42" s="1"/>
      <c r="J42" s="5">
        <f t="shared" si="17"/>
        <v>0</v>
      </c>
      <c r="K42" s="1"/>
      <c r="L42" s="1">
        <f t="shared" si="18"/>
        <v>-100</v>
      </c>
      <c r="M42" s="1"/>
      <c r="N42" s="5">
        <f t="shared" si="19"/>
        <v>-1</v>
      </c>
      <c r="O42" s="13"/>
      <c r="P42" s="1">
        <f>SUM(OSRRefP22_3x_0)</f>
        <v>0</v>
      </c>
      <c r="Q42" s="1"/>
      <c r="R42" s="5">
        <f t="shared" si="20"/>
        <v>0</v>
      </c>
      <c r="S42" s="1"/>
      <c r="T42" s="1">
        <f>SUM(OSRRefT22_3x_0)</f>
        <v>300</v>
      </c>
      <c r="U42" s="1"/>
      <c r="V42" s="5">
        <f t="shared" si="21"/>
        <v>0</v>
      </c>
      <c r="W42" s="1"/>
      <c r="X42" s="1">
        <f t="shared" si="22"/>
        <v>-300</v>
      </c>
      <c r="Y42" s="1"/>
      <c r="Z42" s="5">
        <f t="shared" si="23"/>
        <v>-1</v>
      </c>
    </row>
    <row r="43" spans="1:26" s="24" customFormat="1" hidden="1" outlineLevel="2" x14ac:dyDescent="0.25">
      <c r="A43" s="25"/>
      <c r="B43" s="11" t="str">
        <f>CONCATENATE("          ", "6396", " - ", "COUPONS-CHARTROOM")</f>
        <v xml:space="preserve">          6396 - COUPONS-CHARTROOM</v>
      </c>
      <c r="C43" s="11"/>
      <c r="D43" s="7"/>
      <c r="E43" s="2"/>
      <c r="F43" s="6">
        <f t="shared" si="16"/>
        <v>0</v>
      </c>
      <c r="G43" s="2"/>
      <c r="H43" s="7">
        <v>100</v>
      </c>
      <c r="I43" s="2"/>
      <c r="J43" s="6">
        <f t="shared" si="17"/>
        <v>0</v>
      </c>
      <c r="K43" s="2"/>
      <c r="L43" s="7">
        <f t="shared" si="18"/>
        <v>-100</v>
      </c>
      <c r="M43" s="2"/>
      <c r="N43" s="6">
        <f t="shared" si="19"/>
        <v>-1</v>
      </c>
      <c r="O43" s="11"/>
      <c r="P43" s="7"/>
      <c r="Q43" s="2"/>
      <c r="R43" s="6">
        <f t="shared" si="20"/>
        <v>0</v>
      </c>
      <c r="S43" s="2"/>
      <c r="T43" s="7">
        <v>300</v>
      </c>
      <c r="U43" s="2"/>
      <c r="V43" s="6">
        <f t="shared" si="21"/>
        <v>0</v>
      </c>
      <c r="W43" s="2"/>
      <c r="X43" s="7">
        <f t="shared" si="22"/>
        <v>-300</v>
      </c>
      <c r="Y43" s="2"/>
      <c r="Z43" s="6">
        <f t="shared" si="23"/>
        <v>-1</v>
      </c>
    </row>
    <row r="44" spans="1:26" s="26" customFormat="1" outlineLevel="1" collapsed="1" x14ac:dyDescent="0.25">
      <c r="A44" s="27"/>
      <c r="B44" s="13" t="str">
        <f>CONCATENATE("     ","Employees' Appreciation                           ")</f>
        <v xml:space="preserve">     Employees' Appreciation                           </v>
      </c>
      <c r="C44" s="13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300</v>
      </c>
      <c r="I44" s="1"/>
      <c r="J44" s="5">
        <f t="shared" si="17"/>
        <v>0</v>
      </c>
      <c r="K44" s="1"/>
      <c r="L44" s="1">
        <f t="shared" si="18"/>
        <v>-300</v>
      </c>
      <c r="M44" s="1"/>
      <c r="N44" s="5">
        <f t="shared" si="19"/>
        <v>-1</v>
      </c>
      <c r="O44" s="13"/>
      <c r="P44" s="1">
        <f>SUM(OSRRefP22_4x_0)</f>
        <v>0</v>
      </c>
      <c r="Q44" s="1"/>
      <c r="R44" s="5">
        <f t="shared" si="20"/>
        <v>0</v>
      </c>
      <c r="S44" s="1"/>
      <c r="T44" s="1">
        <f>SUM(OSRRefT22_4x_0)</f>
        <v>900</v>
      </c>
      <c r="U44" s="1"/>
      <c r="V44" s="5">
        <f t="shared" si="21"/>
        <v>0</v>
      </c>
      <c r="W44" s="1"/>
      <c r="X44" s="1">
        <f t="shared" si="22"/>
        <v>-900</v>
      </c>
      <c r="Y44" s="1"/>
      <c r="Z44" s="5">
        <f t="shared" si="23"/>
        <v>-1</v>
      </c>
    </row>
    <row r="45" spans="1:26" s="24" customFormat="1" hidden="1" outlineLevel="2" x14ac:dyDescent="0.25">
      <c r="A45" s="25"/>
      <c r="B45" s="11" t="str">
        <f>CONCATENATE("          ", "6277", " - ", "EMPLOYEE APPRECIATION")</f>
        <v xml:space="preserve">          6277 - EMPLOYEE APPRECIATION</v>
      </c>
      <c r="C45" s="11"/>
      <c r="D45" s="7"/>
      <c r="E45" s="2"/>
      <c r="F45" s="6">
        <f t="shared" si="16"/>
        <v>0</v>
      </c>
      <c r="G45" s="2"/>
      <c r="H45" s="7">
        <v>300</v>
      </c>
      <c r="I45" s="2"/>
      <c r="J45" s="6">
        <f t="shared" si="17"/>
        <v>0</v>
      </c>
      <c r="K45" s="2"/>
      <c r="L45" s="7">
        <f t="shared" si="18"/>
        <v>-300</v>
      </c>
      <c r="M45" s="2"/>
      <c r="N45" s="6">
        <f t="shared" si="19"/>
        <v>-1</v>
      </c>
      <c r="O45" s="11"/>
      <c r="P45" s="7"/>
      <c r="Q45" s="2"/>
      <c r="R45" s="6">
        <f t="shared" si="20"/>
        <v>0</v>
      </c>
      <c r="S45" s="2"/>
      <c r="T45" s="7">
        <v>900</v>
      </c>
      <c r="U45" s="2"/>
      <c r="V45" s="6">
        <f t="shared" si="21"/>
        <v>0</v>
      </c>
      <c r="W45" s="2"/>
      <c r="X45" s="7">
        <f t="shared" si="22"/>
        <v>-900</v>
      </c>
      <c r="Y45" s="2"/>
      <c r="Z45" s="6">
        <f t="shared" si="23"/>
        <v>-1</v>
      </c>
    </row>
    <row r="46" spans="1:26" s="26" customFormat="1" outlineLevel="1" collapsed="1" x14ac:dyDescent="0.25">
      <c r="A46" s="27"/>
      <c r="B46" s="13" t="str">
        <f>CONCATENATE("     ","General                                           ")</f>
        <v xml:space="preserve">     General                                           </v>
      </c>
      <c r="C46" s="13"/>
      <c r="D46" s="1">
        <f>SUM(OSRRefD22_5x_0)</f>
        <v>0</v>
      </c>
      <c r="E46" s="1"/>
      <c r="F46" s="5">
        <f t="shared" si="16"/>
        <v>0</v>
      </c>
      <c r="G46" s="1"/>
      <c r="H46" s="1">
        <f>SUM(OSRRefH22_5x_0)</f>
        <v>200</v>
      </c>
      <c r="I46" s="1"/>
      <c r="J46" s="5">
        <f t="shared" si="17"/>
        <v>0</v>
      </c>
      <c r="K46" s="1"/>
      <c r="L46" s="1">
        <f t="shared" si="18"/>
        <v>-200</v>
      </c>
      <c r="M46" s="1"/>
      <c r="N46" s="5">
        <f t="shared" si="19"/>
        <v>-1</v>
      </c>
      <c r="O46" s="13"/>
      <c r="P46" s="1">
        <f>SUM(OSRRefP22_5x_0)</f>
        <v>127.55</v>
      </c>
      <c r="Q46" s="1"/>
      <c r="R46" s="5">
        <f t="shared" si="20"/>
        <v>0</v>
      </c>
      <c r="S46" s="1"/>
      <c r="T46" s="1">
        <f>SUM(OSRRefT22_5x_0)</f>
        <v>600</v>
      </c>
      <c r="U46" s="1"/>
      <c r="V46" s="5">
        <f t="shared" si="21"/>
        <v>0</v>
      </c>
      <c r="W46" s="1"/>
      <c r="X46" s="1">
        <f t="shared" si="22"/>
        <v>-472.45</v>
      </c>
      <c r="Y46" s="1"/>
      <c r="Z46" s="5">
        <f t="shared" si="23"/>
        <v>-0.78741666666666665</v>
      </c>
    </row>
    <row r="47" spans="1:26" s="24" customFormat="1" hidden="1" outlineLevel="2" x14ac:dyDescent="0.25">
      <c r="A47" s="25"/>
      <c r="B47" s="11" t="str">
        <f>CONCATENATE("          ", "6279", " - ", "GENERAL EXPENSE")</f>
        <v xml:space="preserve">          6279 - GENERAL EXPENSE</v>
      </c>
      <c r="C47" s="11"/>
      <c r="D47" s="7"/>
      <c r="E47" s="2"/>
      <c r="F47" s="6">
        <f t="shared" si="16"/>
        <v>0</v>
      </c>
      <c r="G47" s="2"/>
      <c r="H47" s="7">
        <v>200</v>
      </c>
      <c r="I47" s="2"/>
      <c r="J47" s="6">
        <f t="shared" si="17"/>
        <v>0</v>
      </c>
      <c r="K47" s="2"/>
      <c r="L47" s="7">
        <f t="shared" si="18"/>
        <v>-200</v>
      </c>
      <c r="M47" s="2"/>
      <c r="N47" s="6">
        <f t="shared" si="19"/>
        <v>-1</v>
      </c>
      <c r="O47" s="11"/>
      <c r="P47" s="7">
        <v>127.55</v>
      </c>
      <c r="Q47" s="2"/>
      <c r="R47" s="6">
        <f t="shared" si="20"/>
        <v>0</v>
      </c>
      <c r="S47" s="2"/>
      <c r="T47" s="7">
        <v>600</v>
      </c>
      <c r="U47" s="2"/>
      <c r="V47" s="6">
        <f t="shared" si="21"/>
        <v>0</v>
      </c>
      <c r="W47" s="2"/>
      <c r="X47" s="7">
        <f t="shared" si="22"/>
        <v>-472.45</v>
      </c>
      <c r="Y47" s="2"/>
      <c r="Z47" s="6">
        <f t="shared" si="23"/>
        <v>-0.78741666666666665</v>
      </c>
    </row>
    <row r="48" spans="1:26" s="26" customFormat="1" outlineLevel="1" collapsed="1" x14ac:dyDescent="0.25">
      <c r="A48" s="27"/>
      <c r="B48" s="13" t="str">
        <f>CONCATENATE("     ","Repair and Maintenance                            ")</f>
        <v xml:space="preserve">     Repair and Maintenance                            </v>
      </c>
      <c r="C48" s="13"/>
      <c r="D48" s="1">
        <f>SUM(OSRRefD22_6x_0)</f>
        <v>6340.43</v>
      </c>
      <c r="E48" s="1"/>
      <c r="F48" s="5">
        <f t="shared" si="16"/>
        <v>0</v>
      </c>
      <c r="G48" s="1"/>
      <c r="H48" s="1">
        <f>SUM(OSRRefH22_6x_0)</f>
        <v>0</v>
      </c>
      <c r="I48" s="1"/>
      <c r="J48" s="5">
        <f t="shared" si="17"/>
        <v>0</v>
      </c>
      <c r="K48" s="1"/>
      <c r="L48" s="1">
        <f t="shared" si="18"/>
        <v>6340.43</v>
      </c>
      <c r="M48" s="1"/>
      <c r="N48" s="5">
        <f t="shared" si="19"/>
        <v>0</v>
      </c>
      <c r="O48" s="13"/>
      <c r="P48" s="1">
        <f>SUM(OSRRefP22_6x_0)</f>
        <v>6340.43</v>
      </c>
      <c r="Q48" s="1"/>
      <c r="R48" s="5">
        <f t="shared" si="20"/>
        <v>0</v>
      </c>
      <c r="S48" s="1"/>
      <c r="T48" s="1">
        <f>SUM(OSRRefT22_6x_0)</f>
        <v>0</v>
      </c>
      <c r="U48" s="1"/>
      <c r="V48" s="5">
        <f t="shared" si="21"/>
        <v>0</v>
      </c>
      <c r="W48" s="1"/>
      <c r="X48" s="1">
        <f t="shared" si="22"/>
        <v>6340.43</v>
      </c>
      <c r="Y48" s="1"/>
      <c r="Z48" s="5">
        <f t="shared" si="23"/>
        <v>0</v>
      </c>
    </row>
    <row r="49" spans="1:26" s="24" customFormat="1" hidden="1" outlineLevel="2" x14ac:dyDescent="0.25">
      <c r="A49" s="25"/>
      <c r="B49" s="11" t="str">
        <f>CONCATENATE("          ", "6371", " - ", "COMPUTER SOFTWARE MAINTENANCE")</f>
        <v xml:space="preserve">          6371 - COMPUTER SOFTWARE MAINTENANCE</v>
      </c>
      <c r="C49" s="11"/>
      <c r="D49" s="7">
        <v>6340.43</v>
      </c>
      <c r="E49" s="2"/>
      <c r="F49" s="6">
        <f t="shared" si="16"/>
        <v>0</v>
      </c>
      <c r="G49" s="2"/>
      <c r="H49" s="7"/>
      <c r="I49" s="2"/>
      <c r="J49" s="6">
        <f t="shared" si="17"/>
        <v>0</v>
      </c>
      <c r="K49" s="2"/>
      <c r="L49" s="7">
        <f t="shared" si="18"/>
        <v>6340.43</v>
      </c>
      <c r="M49" s="2"/>
      <c r="N49" s="6">
        <f t="shared" si="19"/>
        <v>0</v>
      </c>
      <c r="O49" s="11"/>
      <c r="P49" s="7">
        <v>6340.43</v>
      </c>
      <c r="Q49" s="2"/>
      <c r="R49" s="6">
        <f t="shared" si="20"/>
        <v>0</v>
      </c>
      <c r="S49" s="2"/>
      <c r="T49" s="7">
        <v>0</v>
      </c>
      <c r="U49" s="2"/>
      <c r="V49" s="6">
        <f t="shared" si="21"/>
        <v>0</v>
      </c>
      <c r="W49" s="2"/>
      <c r="X49" s="7">
        <f t="shared" si="22"/>
        <v>6340.43</v>
      </c>
      <c r="Y49" s="2"/>
      <c r="Z49" s="6">
        <f t="shared" si="23"/>
        <v>0</v>
      </c>
    </row>
    <row r="50" spans="1:26" s="26" customFormat="1" outlineLevel="1" collapsed="1" x14ac:dyDescent="0.25">
      <c r="A50" s="27"/>
      <c r="B50" s="13" t="str">
        <f>CONCATENATE("     ","Supplies                                          ")</f>
        <v xml:space="preserve">     Supplies                                          </v>
      </c>
      <c r="C50" s="13"/>
      <c r="D50" s="1">
        <f>SUM(OSRRefD22_7x_0)</f>
        <v>1470.19</v>
      </c>
      <c r="E50" s="1"/>
      <c r="F50" s="5">
        <f t="shared" si="16"/>
        <v>0</v>
      </c>
      <c r="G50" s="1"/>
      <c r="H50" s="1">
        <f>SUM(OSRRefH22_7x_0)</f>
        <v>400</v>
      </c>
      <c r="I50" s="1"/>
      <c r="J50" s="5">
        <f t="shared" si="17"/>
        <v>0</v>
      </c>
      <c r="K50" s="1"/>
      <c r="L50" s="1">
        <f t="shared" si="18"/>
        <v>1070.19</v>
      </c>
      <c r="M50" s="1"/>
      <c r="N50" s="5">
        <f t="shared" si="19"/>
        <v>2.675475</v>
      </c>
      <c r="O50" s="13"/>
      <c r="P50" s="1">
        <f>SUM(OSRRefP22_7x_0)</f>
        <v>2204.54</v>
      </c>
      <c r="Q50" s="1"/>
      <c r="R50" s="5">
        <f t="shared" si="20"/>
        <v>0</v>
      </c>
      <c r="S50" s="1"/>
      <c r="T50" s="1">
        <f>SUM(OSRRefT22_7x_0)</f>
        <v>1000</v>
      </c>
      <c r="U50" s="1"/>
      <c r="V50" s="5">
        <f t="shared" si="21"/>
        <v>0</v>
      </c>
      <c r="W50" s="1"/>
      <c r="X50" s="1">
        <f t="shared" si="22"/>
        <v>1204.54</v>
      </c>
      <c r="Y50" s="1"/>
      <c r="Z50" s="5">
        <f t="shared" si="23"/>
        <v>1.2045399999999999</v>
      </c>
    </row>
    <row r="51" spans="1:26" s="24" customFormat="1" hidden="1" outlineLevel="2" x14ac:dyDescent="0.25">
      <c r="A51" s="25"/>
      <c r="B51" s="11" t="str">
        <f>CONCATENATE("          ", "6234", " - ", "EXPENDABLE SUPPLIES &amp; EQUIPMEN")</f>
        <v xml:space="preserve">          6234 - EXPENDABLE SUPPLIES &amp; EQUIPMEN</v>
      </c>
      <c r="C51" s="11"/>
      <c r="D51" s="7"/>
      <c r="E51" s="2"/>
      <c r="F51" s="6">
        <f t="shared" si="16"/>
        <v>0</v>
      </c>
      <c r="G51" s="2"/>
      <c r="H51" s="7">
        <v>200</v>
      </c>
      <c r="I51" s="2"/>
      <c r="J51" s="6">
        <f t="shared" si="17"/>
        <v>0</v>
      </c>
      <c r="K51" s="2"/>
      <c r="L51" s="7">
        <f t="shared" si="18"/>
        <v>-200</v>
      </c>
      <c r="M51" s="2"/>
      <c r="N51" s="6">
        <f t="shared" si="19"/>
        <v>-1</v>
      </c>
      <c r="O51" s="11"/>
      <c r="P51" s="7"/>
      <c r="Q51" s="2"/>
      <c r="R51" s="6">
        <f t="shared" si="20"/>
        <v>0</v>
      </c>
      <c r="S51" s="2"/>
      <c r="T51" s="7">
        <v>400</v>
      </c>
      <c r="U51" s="2"/>
      <c r="V51" s="6">
        <f t="shared" si="21"/>
        <v>0</v>
      </c>
      <c r="W51" s="2"/>
      <c r="X51" s="7">
        <f t="shared" si="22"/>
        <v>-400</v>
      </c>
      <c r="Y51" s="2"/>
      <c r="Z51" s="6">
        <f t="shared" si="23"/>
        <v>-1</v>
      </c>
    </row>
    <row r="52" spans="1:26" s="24" customFormat="1" hidden="1" outlineLevel="2" x14ac:dyDescent="0.25">
      <c r="A52" s="25"/>
      <c r="B52" s="11" t="str">
        <f>CONCATENATE("          ", "6239", " - ", "KITCHEN SUPPLIES")</f>
        <v xml:space="preserve">          6239 - KITCHEN SUPPLIES</v>
      </c>
      <c r="C52" s="11"/>
      <c r="D52" s="7"/>
      <c r="E52" s="2"/>
      <c r="F52" s="6">
        <f t="shared" si="16"/>
        <v>0</v>
      </c>
      <c r="G52" s="2"/>
      <c r="H52" s="7">
        <v>100</v>
      </c>
      <c r="I52" s="2"/>
      <c r="J52" s="6">
        <f t="shared" si="17"/>
        <v>0</v>
      </c>
      <c r="K52" s="2"/>
      <c r="L52" s="7">
        <f t="shared" si="18"/>
        <v>-100</v>
      </c>
      <c r="M52" s="2"/>
      <c r="N52" s="6">
        <f t="shared" si="19"/>
        <v>-1</v>
      </c>
      <c r="O52" s="11"/>
      <c r="P52" s="7"/>
      <c r="Q52" s="2"/>
      <c r="R52" s="6">
        <f t="shared" si="20"/>
        <v>0</v>
      </c>
      <c r="S52" s="2"/>
      <c r="T52" s="7">
        <v>300</v>
      </c>
      <c r="U52" s="2"/>
      <c r="V52" s="6">
        <f t="shared" si="21"/>
        <v>0</v>
      </c>
      <c r="W52" s="2"/>
      <c r="X52" s="7">
        <f t="shared" si="22"/>
        <v>-300</v>
      </c>
      <c r="Y52" s="2"/>
      <c r="Z52" s="6">
        <f t="shared" si="23"/>
        <v>-1</v>
      </c>
    </row>
    <row r="53" spans="1:26" s="24" customFormat="1" hidden="1" outlineLevel="2" x14ac:dyDescent="0.25">
      <c r="A53" s="25"/>
      <c r="B53" s="11" t="str">
        <f>CONCATENATE("          ", "6241", " - ", "OFFICE EXPENSE")</f>
        <v xml:space="preserve">          6241 - OFFICE EXPENSE</v>
      </c>
      <c r="C53" s="11"/>
      <c r="D53" s="7">
        <v>1470.19</v>
      </c>
      <c r="E53" s="2"/>
      <c r="F53" s="6">
        <f t="shared" si="16"/>
        <v>0</v>
      </c>
      <c r="G53" s="2"/>
      <c r="H53" s="7">
        <v>100</v>
      </c>
      <c r="I53" s="2"/>
      <c r="J53" s="6">
        <f t="shared" si="17"/>
        <v>0</v>
      </c>
      <c r="K53" s="2"/>
      <c r="L53" s="7">
        <f t="shared" si="18"/>
        <v>1370.19</v>
      </c>
      <c r="M53" s="2"/>
      <c r="N53" s="6">
        <f t="shared" si="19"/>
        <v>13.7019</v>
      </c>
      <c r="O53" s="11"/>
      <c r="P53" s="7">
        <v>2204.54</v>
      </c>
      <c r="Q53" s="2"/>
      <c r="R53" s="6">
        <f t="shared" si="20"/>
        <v>0</v>
      </c>
      <c r="S53" s="2"/>
      <c r="T53" s="7">
        <v>300</v>
      </c>
      <c r="U53" s="2"/>
      <c r="V53" s="6">
        <f t="shared" si="21"/>
        <v>0</v>
      </c>
      <c r="W53" s="2"/>
      <c r="X53" s="7">
        <f t="shared" si="22"/>
        <v>1904.54</v>
      </c>
      <c r="Y53" s="2"/>
      <c r="Z53" s="6">
        <f t="shared" si="23"/>
        <v>6.3484666666666669</v>
      </c>
    </row>
    <row r="54" spans="1:26" s="26" customFormat="1" outlineLevel="1" collapsed="1" x14ac:dyDescent="0.25">
      <c r="A54" s="27"/>
      <c r="B54" s="13" t="str">
        <f>CONCATENATE("     ","Telephone/Data Lines                              ")</f>
        <v xml:space="preserve">     Telephone/Data Lines                              </v>
      </c>
      <c r="C54" s="13"/>
      <c r="D54" s="1">
        <f>SUM(OSRRefD22_8x_0)</f>
        <v>150</v>
      </c>
      <c r="E54" s="1"/>
      <c r="F54" s="5">
        <f t="shared" ref="F54:F59" si="24">IF(D$12=0,0,D54/D$12)</f>
        <v>0</v>
      </c>
      <c r="G54" s="1"/>
      <c r="H54" s="1">
        <f>SUM(OSRRefH22_8x_0)</f>
        <v>100</v>
      </c>
      <c r="I54" s="1"/>
      <c r="J54" s="5">
        <f t="shared" ref="J54:J59" si="25">IF(H$12=0,0,H54/H$12)</f>
        <v>0</v>
      </c>
      <c r="K54" s="1"/>
      <c r="L54" s="1">
        <f t="shared" ref="L54:L59" si="26">+D54-H54</f>
        <v>50</v>
      </c>
      <c r="M54" s="1"/>
      <c r="N54" s="5">
        <f t="shared" ref="N54:N59" si="27">IF(H54=0,0,L54/H54)</f>
        <v>0.5</v>
      </c>
      <c r="O54" s="13"/>
      <c r="P54" s="1">
        <f>SUM(OSRRefP22_8x_0)</f>
        <v>-750</v>
      </c>
      <c r="Q54" s="1"/>
      <c r="R54" s="5">
        <f t="shared" ref="R54:R59" si="28">IF(P$12=0,0,P54/P$12)</f>
        <v>0</v>
      </c>
      <c r="S54" s="1"/>
      <c r="T54" s="1">
        <f>SUM(OSRRefT22_8x_0)</f>
        <v>300</v>
      </c>
      <c r="U54" s="1"/>
      <c r="V54" s="5">
        <f t="shared" ref="V54:V59" si="29">IF(T$12=0,0,T54/T$12)</f>
        <v>0</v>
      </c>
      <c r="W54" s="1"/>
      <c r="X54" s="1">
        <f t="shared" ref="X54:X59" si="30">+P54-T54</f>
        <v>-1050</v>
      </c>
      <c r="Y54" s="1"/>
      <c r="Z54" s="5">
        <f t="shared" ref="Z54:Z59" si="31">IF(T54=0,0,X54/T54)</f>
        <v>-3.5</v>
      </c>
    </row>
    <row r="55" spans="1:26" s="24" customFormat="1" hidden="1" outlineLevel="2" x14ac:dyDescent="0.25">
      <c r="A55" s="25"/>
      <c r="B55" s="11" t="str">
        <f>CONCATENATE("          ", "6309", " - ", "TELEPHONE")</f>
        <v xml:space="preserve">          6309 - TELEPHONE</v>
      </c>
      <c r="C55" s="11"/>
      <c r="D55" s="7">
        <v>150</v>
      </c>
      <c r="E55" s="2"/>
      <c r="F55" s="6">
        <f t="shared" si="24"/>
        <v>0</v>
      </c>
      <c r="G55" s="2"/>
      <c r="H55" s="7">
        <v>100</v>
      </c>
      <c r="I55" s="2"/>
      <c r="J55" s="6">
        <f t="shared" si="25"/>
        <v>0</v>
      </c>
      <c r="K55" s="2"/>
      <c r="L55" s="7">
        <f t="shared" si="26"/>
        <v>50</v>
      </c>
      <c r="M55" s="2"/>
      <c r="N55" s="6">
        <f t="shared" si="27"/>
        <v>0.5</v>
      </c>
      <c r="O55" s="11"/>
      <c r="P55" s="7">
        <v>-750</v>
      </c>
      <c r="Q55" s="2"/>
      <c r="R55" s="6">
        <f t="shared" si="28"/>
        <v>0</v>
      </c>
      <c r="S55" s="2"/>
      <c r="T55" s="7">
        <v>300</v>
      </c>
      <c r="U55" s="2"/>
      <c r="V55" s="6">
        <f t="shared" si="29"/>
        <v>0</v>
      </c>
      <c r="W55" s="2"/>
      <c r="X55" s="7">
        <f t="shared" si="30"/>
        <v>-1050</v>
      </c>
      <c r="Y55" s="2"/>
      <c r="Z55" s="6">
        <f t="shared" si="31"/>
        <v>-3.5</v>
      </c>
    </row>
    <row r="56" spans="1:26" s="26" customFormat="1" outlineLevel="1" collapsed="1" x14ac:dyDescent="0.25">
      <c r="A56" s="27"/>
      <c r="B56" s="13" t="str">
        <f>CONCATENATE("     ","Training                                          ")</f>
        <v xml:space="preserve">     Training                                          </v>
      </c>
      <c r="C56" s="13"/>
      <c r="D56" s="1">
        <f>SUM(OSRRefD22_9x_0)</f>
        <v>0</v>
      </c>
      <c r="E56" s="1"/>
      <c r="F56" s="5">
        <f t="shared" si="24"/>
        <v>0</v>
      </c>
      <c r="G56" s="1"/>
      <c r="H56" s="1">
        <f>SUM(OSRRefH22_9x_0)</f>
        <v>300</v>
      </c>
      <c r="I56" s="1"/>
      <c r="J56" s="5">
        <f t="shared" si="25"/>
        <v>0</v>
      </c>
      <c r="K56" s="1"/>
      <c r="L56" s="1">
        <f t="shared" si="26"/>
        <v>-300</v>
      </c>
      <c r="M56" s="1"/>
      <c r="N56" s="5">
        <f t="shared" si="27"/>
        <v>-1</v>
      </c>
      <c r="O56" s="13"/>
      <c r="P56" s="1">
        <f>SUM(OSRRefP22_9x_0)</f>
        <v>1321.12</v>
      </c>
      <c r="Q56" s="1"/>
      <c r="R56" s="5">
        <f t="shared" si="28"/>
        <v>0</v>
      </c>
      <c r="S56" s="1"/>
      <c r="T56" s="1">
        <f>SUM(OSRRefT22_9x_0)</f>
        <v>900</v>
      </c>
      <c r="U56" s="1"/>
      <c r="V56" s="5">
        <f t="shared" si="29"/>
        <v>0</v>
      </c>
      <c r="W56" s="1"/>
      <c r="X56" s="1">
        <f t="shared" si="30"/>
        <v>421.11999999999989</v>
      </c>
      <c r="Y56" s="1"/>
      <c r="Z56" s="5">
        <f t="shared" si="31"/>
        <v>0.467911111111111</v>
      </c>
    </row>
    <row r="57" spans="1:26" s="24" customFormat="1" hidden="1" outlineLevel="2" x14ac:dyDescent="0.25">
      <c r="A57" s="25"/>
      <c r="B57" s="11" t="str">
        <f>CONCATENATE("          ", "6376", " - ", "TRAINING")</f>
        <v xml:space="preserve">          6376 - TRAINING</v>
      </c>
      <c r="C57" s="11"/>
      <c r="D57" s="7"/>
      <c r="E57" s="2"/>
      <c r="F57" s="6">
        <f t="shared" si="24"/>
        <v>0</v>
      </c>
      <c r="G57" s="2"/>
      <c r="H57" s="7">
        <v>300</v>
      </c>
      <c r="I57" s="2"/>
      <c r="J57" s="6">
        <f t="shared" si="25"/>
        <v>0</v>
      </c>
      <c r="K57" s="2"/>
      <c r="L57" s="7">
        <f t="shared" si="26"/>
        <v>-300</v>
      </c>
      <c r="M57" s="2"/>
      <c r="N57" s="6">
        <f t="shared" si="27"/>
        <v>-1</v>
      </c>
      <c r="O57" s="11"/>
      <c r="P57" s="7">
        <v>1321.12</v>
      </c>
      <c r="Q57" s="2"/>
      <c r="R57" s="6">
        <f t="shared" si="28"/>
        <v>0</v>
      </c>
      <c r="S57" s="2"/>
      <c r="T57" s="7">
        <v>900</v>
      </c>
      <c r="U57" s="2"/>
      <c r="V57" s="6">
        <f t="shared" si="29"/>
        <v>0</v>
      </c>
      <c r="W57" s="2"/>
      <c r="X57" s="7">
        <f t="shared" si="30"/>
        <v>421.11999999999989</v>
      </c>
      <c r="Y57" s="2"/>
      <c r="Z57" s="6">
        <f t="shared" si="31"/>
        <v>0.467911111111111</v>
      </c>
    </row>
    <row r="58" spans="1:26" s="26" customFormat="1" outlineLevel="1" collapsed="1" x14ac:dyDescent="0.25">
      <c r="A58" s="27"/>
      <c r="B58" s="13" t="str">
        <f>CONCATENATE("     ","Travel                                            ")</f>
        <v xml:space="preserve">     Travel                                            </v>
      </c>
      <c r="C58" s="13"/>
      <c r="D58" s="1">
        <f>SUM(OSRRefD22_10x_0)</f>
        <v>0</v>
      </c>
      <c r="E58" s="1"/>
      <c r="F58" s="5">
        <f t="shared" si="24"/>
        <v>0</v>
      </c>
      <c r="G58" s="1"/>
      <c r="H58" s="1">
        <f>SUM(OSRRefH22_10x_0)</f>
        <v>300</v>
      </c>
      <c r="I58" s="1"/>
      <c r="J58" s="5">
        <f t="shared" si="25"/>
        <v>0</v>
      </c>
      <c r="K58" s="1"/>
      <c r="L58" s="1">
        <f t="shared" si="26"/>
        <v>-300</v>
      </c>
      <c r="M58" s="1"/>
      <c r="N58" s="5">
        <f t="shared" si="27"/>
        <v>-1</v>
      </c>
      <c r="O58" s="13"/>
      <c r="P58" s="1">
        <f>SUM(OSRRefP22_10x_0)</f>
        <v>119.9</v>
      </c>
      <c r="Q58" s="1"/>
      <c r="R58" s="5">
        <f t="shared" si="28"/>
        <v>0</v>
      </c>
      <c r="S58" s="1"/>
      <c r="T58" s="1">
        <f>SUM(OSRRefT22_10x_0)</f>
        <v>900</v>
      </c>
      <c r="U58" s="1"/>
      <c r="V58" s="5">
        <f t="shared" si="29"/>
        <v>0</v>
      </c>
      <c r="W58" s="1"/>
      <c r="X58" s="1">
        <f t="shared" si="30"/>
        <v>-780.1</v>
      </c>
      <c r="Y58" s="1"/>
      <c r="Z58" s="5">
        <f t="shared" si="31"/>
        <v>-0.86677777777777776</v>
      </c>
    </row>
    <row r="59" spans="1:26" s="24" customFormat="1" hidden="1" outlineLevel="2" x14ac:dyDescent="0.25">
      <c r="A59" s="25"/>
      <c r="B59" s="11" t="str">
        <f>CONCATENATE("          ", "6292", " - ", "TRAVEL/CONFERENCE")</f>
        <v xml:space="preserve">          6292 - TRAVEL/CONFERENCE</v>
      </c>
      <c r="C59" s="11"/>
      <c r="D59" s="7"/>
      <c r="E59" s="2"/>
      <c r="F59" s="6">
        <f t="shared" si="24"/>
        <v>0</v>
      </c>
      <c r="G59" s="2"/>
      <c r="H59" s="7">
        <v>300</v>
      </c>
      <c r="I59" s="2"/>
      <c r="J59" s="6">
        <f t="shared" si="25"/>
        <v>0</v>
      </c>
      <c r="K59" s="2"/>
      <c r="L59" s="7">
        <f t="shared" si="26"/>
        <v>-300</v>
      </c>
      <c r="M59" s="2"/>
      <c r="N59" s="6">
        <f t="shared" si="27"/>
        <v>-1</v>
      </c>
      <c r="O59" s="11"/>
      <c r="P59" s="7">
        <v>119.9</v>
      </c>
      <c r="Q59" s="2"/>
      <c r="R59" s="6">
        <f t="shared" si="28"/>
        <v>0</v>
      </c>
      <c r="S59" s="2"/>
      <c r="T59" s="7">
        <v>900</v>
      </c>
      <c r="U59" s="2"/>
      <c r="V59" s="6">
        <f t="shared" si="29"/>
        <v>0</v>
      </c>
      <c r="W59" s="2"/>
      <c r="X59" s="7">
        <f t="shared" si="30"/>
        <v>-780.1</v>
      </c>
      <c r="Y59" s="2"/>
      <c r="Z59" s="6">
        <f t="shared" si="31"/>
        <v>-0.86677777777777776</v>
      </c>
    </row>
    <row r="60" spans="1:26" s="63" customFormat="1" x14ac:dyDescent="0.25">
      <c r="A60" s="36"/>
      <c r="B60" s="36"/>
      <c r="C60" s="36"/>
      <c r="D60" s="1"/>
      <c r="E60" s="1"/>
      <c r="F60" s="5"/>
      <c r="G60" s="1"/>
      <c r="H60" s="1"/>
      <c r="I60" s="1"/>
      <c r="J60" s="5"/>
      <c r="K60" s="1"/>
      <c r="L60" s="1"/>
      <c r="M60" s="1"/>
      <c r="N60" s="5"/>
      <c r="O60" s="36"/>
      <c r="P60" s="1"/>
      <c r="Q60" s="1"/>
      <c r="R60" s="5"/>
      <c r="S60" s="1"/>
      <c r="T60" s="1"/>
      <c r="U60" s="1"/>
      <c r="V60" s="5"/>
      <c r="W60" s="1"/>
      <c r="X60" s="1"/>
      <c r="Y60" s="1"/>
      <c r="Z60" s="5"/>
    </row>
    <row r="61" spans="1:26" s="23" customFormat="1" x14ac:dyDescent="0.25">
      <c r="A61" s="10"/>
      <c r="B61" s="28" t="s">
        <v>0</v>
      </c>
      <c r="C61" s="10"/>
      <c r="D61" s="4">
        <f>SUM(0)</f>
        <v>0</v>
      </c>
      <c r="E61" s="4"/>
      <c r="F61" s="12">
        <f>IF(D$12=0,0,D61/D$12)</f>
        <v>0</v>
      </c>
      <c r="G61" s="4"/>
      <c r="H61" s="4">
        <f>SUM(0)</f>
        <v>0</v>
      </c>
      <c r="I61" s="4"/>
      <c r="J61" s="12">
        <f>IF(H$12=0,0,H61/H$12)</f>
        <v>0</v>
      </c>
      <c r="K61" s="4"/>
      <c r="L61" s="4">
        <f>+D61-H61</f>
        <v>0</v>
      </c>
      <c r="M61" s="4"/>
      <c r="N61" s="12">
        <f>IF(H61=0,0,L61/H61)</f>
        <v>0</v>
      </c>
      <c r="O61" s="10"/>
      <c r="P61" s="4">
        <f>SUM(0)</f>
        <v>0</v>
      </c>
      <c r="Q61" s="4"/>
      <c r="R61" s="12">
        <f>IF(P$12=0,0,P61/P$12)</f>
        <v>0</v>
      </c>
      <c r="S61" s="4"/>
      <c r="T61" s="4">
        <f>SUM(0)</f>
        <v>0</v>
      </c>
      <c r="U61" s="4"/>
      <c r="V61" s="12">
        <f>IF(T$12=0,0,T61/T$12)</f>
        <v>0</v>
      </c>
      <c r="W61" s="4"/>
      <c r="X61" s="4">
        <f>+P61-T61</f>
        <v>0</v>
      </c>
      <c r="Y61" s="4"/>
      <c r="Z61" s="12">
        <f>IF(T61=0,0,X61/T61)</f>
        <v>0</v>
      </c>
    </row>
    <row r="62" spans="1:26" x14ac:dyDescent="0.25">
      <c r="A62" s="9"/>
      <c r="B62" s="10"/>
      <c r="C62" s="10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0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25">
      <c r="A63" s="10"/>
      <c r="B63" s="29" t="s">
        <v>3</v>
      </c>
      <c r="C63" s="29"/>
      <c r="D63" s="22">
        <f>+D16-D18+D61</f>
        <v>-21665.649999999998</v>
      </c>
      <c r="E63" s="14"/>
      <c r="F63" s="20">
        <f>IF(D$12=0,0,D63/D$12)</f>
        <v>0</v>
      </c>
      <c r="G63" s="14"/>
      <c r="H63" s="22">
        <f>+H16-H18+H61</f>
        <v>-13608.050783619999</v>
      </c>
      <c r="I63" s="14"/>
      <c r="J63" s="20">
        <f>IF(H$12=0,0,H63/H$12)</f>
        <v>0</v>
      </c>
      <c r="K63" s="15"/>
      <c r="L63" s="22">
        <f>+D63-H63</f>
        <v>-8057.5992163799983</v>
      </c>
      <c r="M63" s="15"/>
      <c r="N63" s="20">
        <f>IF(H63=0,0,L63/H63)</f>
        <v>0.5921200136965189</v>
      </c>
      <c r="O63" s="28"/>
      <c r="P63" s="22">
        <f>+P16-P18+P61</f>
        <v>-47700.020000000004</v>
      </c>
      <c r="Q63" s="14"/>
      <c r="R63" s="20">
        <f>IF(P$12=0,0,P63/P$12)</f>
        <v>0</v>
      </c>
      <c r="S63" s="14"/>
      <c r="T63" s="22">
        <f>+T16-T18+T61</f>
        <v>-43075.665046765003</v>
      </c>
      <c r="U63" s="14"/>
      <c r="V63" s="20">
        <f>IF(T$12=0,0,T63/T$12)</f>
        <v>0</v>
      </c>
      <c r="W63" s="15"/>
      <c r="X63" s="22">
        <f>+P63-T63</f>
        <v>-4624.3549532350007</v>
      </c>
      <c r="Y63" s="15"/>
      <c r="Z63" s="20">
        <f>IF(T63=0,0,X63/T63)</f>
        <v>0.10735423233082018</v>
      </c>
    </row>
    <row r="64" spans="1:26" x14ac:dyDescent="0.25">
      <c r="A64" s="9"/>
      <c r="B64" s="10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52"/>
      <c r="B65" s="10" t="s">
        <v>14</v>
      </c>
      <c r="C65" s="10"/>
      <c r="D65" s="4"/>
      <c r="E65" s="4"/>
      <c r="F65" s="12">
        <f>IF(D$12=0,0,D65/D$12)</f>
        <v>0</v>
      </c>
      <c r="G65" s="4"/>
      <c r="H65" s="4"/>
      <c r="I65" s="4"/>
      <c r="J65" s="12">
        <f>IF(H$12=0,0,H65/H$12)</f>
        <v>0</v>
      </c>
      <c r="K65" s="4"/>
      <c r="L65" s="4">
        <f>+D65-H65</f>
        <v>0</v>
      </c>
      <c r="M65" s="4"/>
      <c r="N65" s="12">
        <f>IF(H65=0,0,L65/H65)</f>
        <v>0</v>
      </c>
      <c r="O65" s="10"/>
      <c r="P65" s="4"/>
      <c r="Q65" s="4"/>
      <c r="R65" s="12">
        <f>IF(P$12=0,0,P65/P$12)</f>
        <v>0</v>
      </c>
      <c r="S65" s="4"/>
      <c r="T65" s="4"/>
      <c r="U65" s="4"/>
      <c r="V65" s="12">
        <f>IF(T$12=0,0,T65/T$12)</f>
        <v>0</v>
      </c>
      <c r="W65" s="4"/>
      <c r="X65" s="4">
        <f>+P65-T65</f>
        <v>0</v>
      </c>
      <c r="Y65" s="4"/>
      <c r="Z65" s="12">
        <f>IF(T65=0,0,X65/T65)</f>
        <v>0</v>
      </c>
    </row>
    <row r="66" spans="1:26" x14ac:dyDescent="0.25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ht="15.75" thickBot="1" x14ac:dyDescent="0.3">
      <c r="A67" s="10"/>
      <c r="B67" s="29" t="s">
        <v>4</v>
      </c>
      <c r="C67" s="29"/>
      <c r="D67" s="35">
        <f>+D63-D65</f>
        <v>-21665.649999999998</v>
      </c>
      <c r="E67" s="14"/>
      <c r="F67" s="32">
        <f>IF(D$12=0,0,D67/D$12)</f>
        <v>0</v>
      </c>
      <c r="G67" s="14"/>
      <c r="H67" s="35">
        <f>+H63-H65</f>
        <v>-13608.050783619999</v>
      </c>
      <c r="I67" s="14"/>
      <c r="J67" s="32">
        <f>IF(H$12=0,0,H67/H$12)</f>
        <v>0</v>
      </c>
      <c r="K67" s="15"/>
      <c r="L67" s="35">
        <f>D67-H67</f>
        <v>-8057.5992163799983</v>
      </c>
      <c r="M67" s="15"/>
      <c r="N67" s="32">
        <f>IF(H67=0,0,L67/H67)</f>
        <v>0.5921200136965189</v>
      </c>
      <c r="O67" s="28"/>
      <c r="P67" s="35">
        <f>+P63-P65</f>
        <v>-47700.020000000004</v>
      </c>
      <c r="Q67" s="14"/>
      <c r="R67" s="32">
        <f>IF(P$12=0,0,P67/P$12)</f>
        <v>0</v>
      </c>
      <c r="S67" s="14"/>
      <c r="T67" s="35">
        <f>+T63-T65</f>
        <v>-43075.665046765003</v>
      </c>
      <c r="U67" s="14"/>
      <c r="V67" s="32">
        <f>IF(T$12=0,0,T67/T$12)</f>
        <v>0</v>
      </c>
      <c r="W67" s="15"/>
      <c r="X67" s="35">
        <f>P67-T67</f>
        <v>-4624.3549532350007</v>
      </c>
      <c r="Y67" s="15"/>
      <c r="Z67" s="32">
        <f>IF(T67=0,0,X67/T67)</f>
        <v>0.10735423233082018</v>
      </c>
    </row>
    <row r="68" spans="1:26" ht="15.75" thickTop="1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x14ac:dyDescent="0.25">
      <c r="A69" s="9"/>
      <c r="B69" s="9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ht="15.75" thickBot="1" x14ac:dyDescent="0.3">
      <c r="A70" s="10"/>
      <c r="B70" s="29" t="s">
        <v>5</v>
      </c>
      <c r="C70" s="29"/>
      <c r="D70" s="30">
        <f>SUM(D67:D69)</f>
        <v>-21665.649999999998</v>
      </c>
      <c r="E70" s="14"/>
      <c r="F70" s="31">
        <f>IF(D$12=0,0,D70/D$12)</f>
        <v>0</v>
      </c>
      <c r="G70" s="14"/>
      <c r="H70" s="30">
        <f>SUM(H67:H69)</f>
        <v>-13608.050783619999</v>
      </c>
      <c r="I70" s="14"/>
      <c r="J70" s="31">
        <f>IF(H$12=0,0,H70/H$12)</f>
        <v>0</v>
      </c>
      <c r="K70" s="15"/>
      <c r="L70" s="30">
        <f>+D70-H70</f>
        <v>-8057.5992163799983</v>
      </c>
      <c r="M70" s="15"/>
      <c r="N70" s="31">
        <f>IF(H70=0,0,L70/H70)</f>
        <v>0.5921200136965189</v>
      </c>
      <c r="O70" s="28"/>
      <c r="P70" s="30">
        <f>SUM(P67:P69)</f>
        <v>-47700.020000000004</v>
      </c>
      <c r="Q70" s="14"/>
      <c r="R70" s="31">
        <f>IF(P$12=0,0,P70/P$12)</f>
        <v>0</v>
      </c>
      <c r="S70" s="14"/>
      <c r="T70" s="30">
        <f>SUM(T67:T69)</f>
        <v>-43075.665046765003</v>
      </c>
      <c r="U70" s="14"/>
      <c r="V70" s="31">
        <f>IF(T$12=0,0,T70/T$12)</f>
        <v>0</v>
      </c>
      <c r="W70" s="15"/>
      <c r="X70" s="30">
        <f>+P70-T70</f>
        <v>-4624.3549532350007</v>
      </c>
      <c r="Y70" s="15"/>
      <c r="Z70" s="31">
        <f>IF(T70=0,0,X70/T70)</f>
        <v>0.10735423233082018</v>
      </c>
    </row>
    <row r="71" spans="1:26" ht="15.75" thickTop="1" x14ac:dyDescent="0.25">
      <c r="A71" s="9"/>
      <c r="C71" s="9"/>
      <c r="D71" s="18"/>
      <c r="E71" s="18"/>
      <c r="G71" s="18"/>
      <c r="H71" s="18"/>
      <c r="I71" s="18"/>
      <c r="J71" s="43"/>
      <c r="K71" s="18"/>
      <c r="L71" s="18"/>
      <c r="M71" s="18"/>
      <c r="P71" s="18"/>
      <c r="Q71" s="18"/>
      <c r="R71" s="43"/>
      <c r="S71" s="18"/>
      <c r="T71" s="18"/>
      <c r="U71" s="18"/>
      <c r="V71" s="43"/>
      <c r="W71" s="18"/>
      <c r="X71" s="18"/>
    </row>
    <row r="72" spans="1:26" x14ac:dyDescent="0.25">
      <c r="A72" s="9"/>
      <c r="B72" s="53">
        <v>43756.452784143519</v>
      </c>
      <c r="D72" s="18"/>
      <c r="E72" s="18"/>
      <c r="G72" s="18"/>
      <c r="H72" s="18"/>
      <c r="I72" s="18"/>
      <c r="J72" s="43"/>
      <c r="K72" s="18"/>
      <c r="L72" s="18"/>
      <c r="M72" s="18"/>
      <c r="P72" s="18"/>
      <c r="Q72" s="18"/>
      <c r="R72" s="43"/>
      <c r="S72" s="18"/>
      <c r="T72" s="18"/>
      <c r="U72" s="18"/>
      <c r="V72" s="43"/>
      <c r="W72" s="18"/>
      <c r="X72" s="18"/>
    </row>
    <row r="73" spans="1:26" x14ac:dyDescent="0.25">
      <c r="A73" s="9"/>
      <c r="B73" s="55" t="s">
        <v>314</v>
      </c>
      <c r="D73" s="18"/>
      <c r="E73" s="18"/>
      <c r="G73" s="18"/>
      <c r="H73" s="18"/>
      <c r="I73" s="18"/>
      <c r="J73" s="43"/>
      <c r="K73" s="18"/>
      <c r="L73" s="18"/>
      <c r="M73" s="18"/>
      <c r="P73" s="18"/>
      <c r="Q73" s="18"/>
      <c r="R73" s="43"/>
      <c r="S73" s="18"/>
      <c r="T73" s="18"/>
      <c r="U73" s="18"/>
      <c r="V73" s="43"/>
      <c r="W73" s="18"/>
      <c r="X73" s="18"/>
    </row>
    <row r="74" spans="1:26" x14ac:dyDescent="0.25">
      <c r="A74" s="9"/>
      <c r="B74" s="56"/>
      <c r="D74" s="18"/>
      <c r="E74" s="18"/>
      <c r="G74" s="18"/>
      <c r="H74" s="18"/>
      <c r="I74" s="18"/>
      <c r="J74" s="43"/>
      <c r="K74" s="18"/>
      <c r="L74" s="18"/>
      <c r="M74" s="18"/>
      <c r="P74" s="18"/>
      <c r="Q74" s="18"/>
      <c r="R74" s="43"/>
      <c r="S74" s="18"/>
      <c r="T74" s="18"/>
      <c r="U74" s="18"/>
      <c r="V74" s="43"/>
      <c r="W74" s="18"/>
      <c r="X74" s="18"/>
    </row>
    <row r="75" spans="1:26" x14ac:dyDescent="0.25">
      <c r="D75" s="18"/>
      <c r="E75" s="18"/>
      <c r="G75" s="18"/>
      <c r="H75" s="18"/>
      <c r="I75" s="18"/>
      <c r="J75" s="43"/>
      <c r="K75" s="18"/>
      <c r="L75" s="18"/>
      <c r="M75" s="18"/>
      <c r="P75" s="18"/>
      <c r="Q75" s="18"/>
      <c r="R75" s="43"/>
      <c r="S75" s="18"/>
      <c r="T75" s="18"/>
      <c r="U75" s="18"/>
      <c r="V75" s="43"/>
      <c r="W75" s="18"/>
      <c r="X75" s="18"/>
    </row>
  </sheetData>
  <pageMargins left="0.25" right="0.25" top="0.75" bottom="0.75" header="0.3" footer="0.3"/>
  <pageSetup scale="55" fitToWidth="2" orientation="landscape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str">
        <f>CONCATENATE("Period ",RIGHT(202003,2),", ",2020)</f>
        <v>Period 03, 2020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43736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tr">
        <f>CONCATENATE("Department ","433", " - ", "Hillside Dining Hall")</f>
        <v>Department 433 - Hillside Dining Hall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576765.42000000004</v>
      </c>
      <c r="E12" s="4"/>
      <c r="F12" s="12"/>
      <c r="G12" s="4"/>
      <c r="H12" s="4">
        <f>SUM(OSRRefH13x_0)</f>
        <v>608670</v>
      </c>
      <c r="I12" s="4"/>
      <c r="J12" s="12"/>
      <c r="K12" s="4"/>
      <c r="L12" s="4">
        <f t="shared" ref="L12:L16" si="0">+D12-H12</f>
        <v>-31904.579999999958</v>
      </c>
      <c r="M12" s="4"/>
      <c r="N12" s="12">
        <f t="shared" ref="N12:N16" si="1">IF(H12=0,0,L12/H12)</f>
        <v>-5.2416876139780105E-2</v>
      </c>
      <c r="O12" s="10"/>
      <c r="P12" s="4">
        <f>SUM(OSRRefP13x_0)</f>
        <v>1065250.58</v>
      </c>
      <c r="Q12" s="4"/>
      <c r="R12" s="12"/>
      <c r="S12" s="4"/>
      <c r="T12" s="4">
        <f>SUM(OSRRefT13x_0)</f>
        <v>1104670</v>
      </c>
      <c r="U12" s="4"/>
      <c r="V12" s="12"/>
      <c r="W12" s="4"/>
      <c r="X12" s="4">
        <f t="shared" ref="X12:X16" si="2">+P12-T12</f>
        <v>-39419.419999999925</v>
      </c>
      <c r="Y12" s="4"/>
      <c r="Z12" s="12">
        <f t="shared" ref="Z12:Z16" si="3">IF(T12=0,0,X12/T12)</f>
        <v>-3.5684340119673683E-2</v>
      </c>
    </row>
    <row r="13" spans="1:26" s="24" customFormat="1" hidden="1" outlineLevel="1" x14ac:dyDescent="0.25">
      <c r="A13" s="46"/>
      <c r="B13" s="11" t="str">
        <f>CONCATENATE("          ", "4053", " - ", "TAXABLE SALES-FOOD")</f>
        <v xml:space="preserve">          4053 - TAXABLE SALES-FOOD</v>
      </c>
      <c r="C13" s="11"/>
      <c r="D13" s="2">
        <f>--1253.12</f>
        <v>1253.1199999999999</v>
      </c>
      <c r="E13" s="2"/>
      <c r="F13" s="19"/>
      <c r="G13" s="2"/>
      <c r="H13" s="2"/>
      <c r="I13" s="2"/>
      <c r="J13" s="19"/>
      <c r="K13" s="2"/>
      <c r="L13" s="2">
        <f t="shared" si="0"/>
        <v>1253.1199999999999</v>
      </c>
      <c r="M13" s="2"/>
      <c r="N13" s="19">
        <f t="shared" si="1"/>
        <v>0</v>
      </c>
      <c r="O13" s="11"/>
      <c r="P13" s="2">
        <f>--1987.09</f>
        <v>1987.09</v>
      </c>
      <c r="Q13" s="2"/>
      <c r="R13" s="19"/>
      <c r="S13" s="2"/>
      <c r="T13" s="2"/>
      <c r="U13" s="2"/>
      <c r="V13" s="19"/>
      <c r="W13" s="2"/>
      <c r="X13" s="2">
        <f t="shared" si="2"/>
        <v>1987.09</v>
      </c>
      <c r="Y13" s="2"/>
      <c r="Z13" s="19">
        <f t="shared" si="3"/>
        <v>0</v>
      </c>
    </row>
    <row r="14" spans="1:26" s="24" customFormat="1" hidden="1" outlineLevel="1" x14ac:dyDescent="0.25">
      <c r="A14" s="46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608670</v>
      </c>
      <c r="I14" s="2"/>
      <c r="J14" s="19"/>
      <c r="K14" s="2"/>
      <c r="L14" s="2">
        <f t="shared" si="0"/>
        <v>-608670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1104670</v>
      </c>
      <c r="U14" s="2"/>
      <c r="V14" s="19"/>
      <c r="W14" s="2"/>
      <c r="X14" s="2">
        <f t="shared" si="2"/>
        <v>-1104670</v>
      </c>
      <c r="Y14" s="2"/>
      <c r="Z14" s="19">
        <f t="shared" si="3"/>
        <v>-1</v>
      </c>
    </row>
    <row r="15" spans="1:26" s="24" customFormat="1" hidden="1" outlineLevel="1" x14ac:dyDescent="0.25">
      <c r="A15" s="46"/>
      <c r="B15" s="11" t="str">
        <f>CONCATENATE("          ", "4151", " - ", "NON-TAXABLE SALES-FOOD")</f>
        <v xml:space="preserve">          4151 - NON-TAXABLE SALES-FOOD</v>
      </c>
      <c r="C15" s="11"/>
      <c r="D15" s="2">
        <f>--542876.64</f>
        <v>542876.64</v>
      </c>
      <c r="E15" s="2"/>
      <c r="F15" s="19"/>
      <c r="G15" s="2"/>
      <c r="H15" s="2"/>
      <c r="I15" s="2"/>
      <c r="J15" s="19"/>
      <c r="K15" s="2"/>
      <c r="L15" s="2">
        <f t="shared" si="0"/>
        <v>542876.64</v>
      </c>
      <c r="M15" s="2"/>
      <c r="N15" s="19">
        <f t="shared" si="1"/>
        <v>0</v>
      </c>
      <c r="O15" s="11"/>
      <c r="P15" s="2">
        <f>--930182.53</f>
        <v>930182.53</v>
      </c>
      <c r="Q15" s="2"/>
      <c r="R15" s="19"/>
      <c r="S15" s="2"/>
      <c r="T15" s="2"/>
      <c r="U15" s="2"/>
      <c r="V15" s="19"/>
      <c r="W15" s="2"/>
      <c r="X15" s="2">
        <f t="shared" si="2"/>
        <v>930182.53</v>
      </c>
      <c r="Y15" s="2"/>
      <c r="Z15" s="19">
        <f t="shared" si="3"/>
        <v>0</v>
      </c>
    </row>
    <row r="16" spans="1:26" s="24" customFormat="1" hidden="1" outlineLevel="1" x14ac:dyDescent="0.25">
      <c r="A16" s="46"/>
      <c r="B16" s="11" t="str">
        <f>CONCATENATE("          ", "4153", " - ", "NON-TAXABLE SALES-FOOD")</f>
        <v xml:space="preserve">          4153 - NON-TAXABLE SALES-FOOD</v>
      </c>
      <c r="C16" s="11"/>
      <c r="D16" s="2">
        <f>--32635.66</f>
        <v>32635.66</v>
      </c>
      <c r="E16" s="2"/>
      <c r="F16" s="19"/>
      <c r="G16" s="2"/>
      <c r="H16" s="2"/>
      <c r="I16" s="2"/>
      <c r="J16" s="19"/>
      <c r="K16" s="2"/>
      <c r="L16" s="2">
        <f t="shared" si="0"/>
        <v>32635.66</v>
      </c>
      <c r="M16" s="2"/>
      <c r="N16" s="19">
        <f t="shared" si="1"/>
        <v>0</v>
      </c>
      <c r="O16" s="11"/>
      <c r="P16" s="2">
        <f>--133080.96</f>
        <v>133080.95999999999</v>
      </c>
      <c r="Q16" s="2"/>
      <c r="R16" s="19"/>
      <c r="S16" s="2"/>
      <c r="T16" s="2"/>
      <c r="U16" s="2"/>
      <c r="V16" s="19"/>
      <c r="W16" s="2"/>
      <c r="X16" s="2">
        <f t="shared" si="2"/>
        <v>133080.95999999999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121118.31999999999</v>
      </c>
      <c r="E18" s="4"/>
      <c r="F18" s="12">
        <f t="shared" ref="F18:F21" si="4">IF(D$12=0,0,D18/D$12)</f>
        <v>0.20999580730758785</v>
      </c>
      <c r="G18" s="4"/>
      <c r="H18" s="4">
        <f>SUM(OSRRefH16x_0)</f>
        <v>158254</v>
      </c>
      <c r="I18" s="4"/>
      <c r="J18" s="12">
        <f t="shared" ref="J18:J21" si="5">IF(H$12=0,0,H18/H$12)</f>
        <v>0.25999967141472391</v>
      </c>
      <c r="K18" s="4"/>
      <c r="L18" s="4">
        <f t="shared" ref="L18:L21" si="6">+D18-H18</f>
        <v>-37135.680000000008</v>
      </c>
      <c r="M18" s="4"/>
      <c r="N18" s="12">
        <f t="shared" ref="N18:N21" si="7">IF(H18=0,0,L18/H18)</f>
        <v>-0.23465871320788104</v>
      </c>
      <c r="O18" s="10"/>
      <c r="P18" s="4">
        <f>SUM(OSRRefP16x_0)</f>
        <v>249421.85</v>
      </c>
      <c r="Q18" s="4"/>
      <c r="R18" s="12">
        <f t="shared" ref="R18:R21" si="8">IF(P$12=0,0,P18/P$12)</f>
        <v>0.23414382933262518</v>
      </c>
      <c r="S18" s="4"/>
      <c r="T18" s="4">
        <f>SUM(OSRRefT16x_0)</f>
        <v>299334</v>
      </c>
      <c r="U18" s="4"/>
      <c r="V18" s="12">
        <f t="shared" ref="V18:V21" si="9">IF(T$12=0,0,T18/T$12)</f>
        <v>0.27097142132944679</v>
      </c>
      <c r="W18" s="4"/>
      <c r="X18" s="4">
        <f t="shared" ref="X18:X21" si="10">+P18-T18</f>
        <v>-49912.149999999994</v>
      </c>
      <c r="Y18" s="4"/>
      <c r="Z18" s="12">
        <f t="shared" ref="Z18:Z21" si="11">IF(T18=0,0,X18/T18)</f>
        <v>-0.16674400502448769</v>
      </c>
    </row>
    <row r="19" spans="1:26" s="24" customFormat="1" hidden="1" outlineLevel="1" x14ac:dyDescent="0.25">
      <c r="A19" s="46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158254</v>
      </c>
      <c r="I19" s="2"/>
      <c r="J19" s="19">
        <f t="shared" si="5"/>
        <v>0.25999967141472391</v>
      </c>
      <c r="K19" s="2"/>
      <c r="L19" s="2">
        <f t="shared" si="6"/>
        <v>-158254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299334</v>
      </c>
      <c r="U19" s="2"/>
      <c r="V19" s="19">
        <f t="shared" si="9"/>
        <v>0.27097142132944679</v>
      </c>
      <c r="W19" s="2"/>
      <c r="X19" s="2">
        <f t="shared" si="10"/>
        <v>-299334</v>
      </c>
      <c r="Y19" s="2"/>
      <c r="Z19" s="19">
        <f t="shared" si="11"/>
        <v>-1</v>
      </c>
    </row>
    <row r="20" spans="1:26" s="24" customFormat="1" hidden="1" outlineLevel="1" x14ac:dyDescent="0.25">
      <c r="A20" s="46"/>
      <c r="B20" s="11" t="str">
        <f>CONCATENATE("          ", "5053", " - ", "PURCHASES @ COST-FOOD")</f>
        <v xml:space="preserve">          5053 - PURCHASES @ COST-FOOD</v>
      </c>
      <c r="C20" s="11"/>
      <c r="D20" s="2">
        <v>119484.56999999999</v>
      </c>
      <c r="E20" s="2"/>
      <c r="F20" s="19">
        <f t="shared" si="4"/>
        <v>0.20716319990196358</v>
      </c>
      <c r="G20" s="2"/>
      <c r="H20" s="2"/>
      <c r="I20" s="2"/>
      <c r="J20" s="19">
        <f t="shared" si="5"/>
        <v>0</v>
      </c>
      <c r="K20" s="2"/>
      <c r="L20" s="2">
        <f t="shared" si="6"/>
        <v>119484.56999999999</v>
      </c>
      <c r="M20" s="2"/>
      <c r="N20" s="19">
        <f t="shared" si="7"/>
        <v>0</v>
      </c>
      <c r="O20" s="11"/>
      <c r="P20" s="2">
        <v>256896.1</v>
      </c>
      <c r="Q20" s="2"/>
      <c r="R20" s="19">
        <f t="shared" si="8"/>
        <v>0.24116025358089924</v>
      </c>
      <c r="S20" s="2"/>
      <c r="T20" s="2"/>
      <c r="U20" s="2"/>
      <c r="V20" s="19">
        <f t="shared" si="9"/>
        <v>0</v>
      </c>
      <c r="W20" s="2"/>
      <c r="X20" s="2">
        <f t="shared" si="10"/>
        <v>256896.1</v>
      </c>
      <c r="Y20" s="2"/>
      <c r="Z20" s="19">
        <f t="shared" si="11"/>
        <v>0</v>
      </c>
    </row>
    <row r="21" spans="1:26" s="24" customFormat="1" hidden="1" outlineLevel="1" x14ac:dyDescent="0.25">
      <c r="A21" s="46"/>
      <c r="B21" s="11" t="str">
        <f>CONCATENATE("          ", "5059", " - ", "PURCHASES @ COST-FOOD")</f>
        <v xml:space="preserve">          5059 - PURCHASES @ COST-FOOD</v>
      </c>
      <c r="C21" s="11"/>
      <c r="D21" s="2">
        <v>1633.75</v>
      </c>
      <c r="E21" s="2"/>
      <c r="F21" s="19">
        <f t="shared" si="4"/>
        <v>2.8326074056242829E-3</v>
      </c>
      <c r="G21" s="2"/>
      <c r="H21" s="2"/>
      <c r="I21" s="2"/>
      <c r="J21" s="19">
        <f t="shared" si="5"/>
        <v>0</v>
      </c>
      <c r="K21" s="2"/>
      <c r="L21" s="2">
        <f t="shared" si="6"/>
        <v>1633.75</v>
      </c>
      <c r="M21" s="2"/>
      <c r="N21" s="19">
        <f t="shared" si="7"/>
        <v>0</v>
      </c>
      <c r="O21" s="11"/>
      <c r="P21" s="2">
        <v>-7474.25</v>
      </c>
      <c r="Q21" s="2"/>
      <c r="R21" s="19">
        <f t="shared" si="8"/>
        <v>-7.0164242482740535E-3</v>
      </c>
      <c r="S21" s="2"/>
      <c r="T21" s="2"/>
      <c r="U21" s="2"/>
      <c r="V21" s="19">
        <f t="shared" si="9"/>
        <v>0</v>
      </c>
      <c r="W21" s="2"/>
      <c r="X21" s="2">
        <f t="shared" si="10"/>
        <v>-7474.25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2">
        <f>D12-D18</f>
        <v>455647.10000000003</v>
      </c>
      <c r="E23" s="14"/>
      <c r="F23" s="20">
        <f>IF(D$12=0,0,D23/D$12)</f>
        <v>0.79000419269241207</v>
      </c>
      <c r="G23" s="14"/>
      <c r="H23" s="22">
        <f>H12-H18</f>
        <v>450416</v>
      </c>
      <c r="I23" s="14"/>
      <c r="J23" s="20">
        <f>IF(H$12=0,0,H23/H$12)</f>
        <v>0.74000032858527609</v>
      </c>
      <c r="K23" s="15"/>
      <c r="L23" s="22">
        <f>+D23-H23</f>
        <v>5231.1000000000349</v>
      </c>
      <c r="M23" s="15"/>
      <c r="N23" s="20">
        <f>IF(H23=0,0,L23/H23)</f>
        <v>1.1613930233384327E-2</v>
      </c>
      <c r="O23" s="28"/>
      <c r="P23" s="22">
        <f>P12-P18</f>
        <v>815828.7300000001</v>
      </c>
      <c r="Q23" s="14"/>
      <c r="R23" s="20">
        <f>IF(P$12=0,0,P23/P$12)</f>
        <v>0.76585617066737488</v>
      </c>
      <c r="S23" s="14"/>
      <c r="T23" s="22">
        <f>T12-T18</f>
        <v>805336</v>
      </c>
      <c r="U23" s="14"/>
      <c r="V23" s="20">
        <f>IF(T$12=0,0,T23/T$12)</f>
        <v>0.72902857867055315</v>
      </c>
      <c r="W23" s="15"/>
      <c r="X23" s="22">
        <f>+P23-T23</f>
        <v>10492.730000000098</v>
      </c>
      <c r="Y23" s="15"/>
      <c r="Z23" s="20">
        <f>IF(T23=0,0,X23/T23)</f>
        <v>1.3029009009904061E-2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21">
        <f>SUM(OSRRefD22x_0)</f>
        <v>192791.30000000005</v>
      </c>
      <c r="E25" s="21"/>
      <c r="F25" s="33">
        <f t="shared" ref="F25:F36" si="12">IF(D$12=0,0,D25/D$12)</f>
        <v>0.33426293136644708</v>
      </c>
      <c r="G25" s="21"/>
      <c r="H25" s="21">
        <f>SUM(OSRRefH22x_0)</f>
        <v>218207.88731363718</v>
      </c>
      <c r="I25" s="21"/>
      <c r="J25" s="33">
        <f t="shared" ref="J25:J36" si="13">IF(H$12=0,0,H25/H$12)</f>
        <v>0.35849949449395763</v>
      </c>
      <c r="K25" s="4"/>
      <c r="L25" s="21">
        <f t="shared" ref="L25:L36" si="14">+D25-H25</f>
        <v>-25416.587313637137</v>
      </c>
      <c r="M25" s="4"/>
      <c r="N25" s="33">
        <f t="shared" ref="N25:N36" si="15">IF(H25=0,0,L25/H25)</f>
        <v>-0.11647877456008299</v>
      </c>
      <c r="O25" s="10"/>
      <c r="P25" s="21">
        <f>SUM(OSRRefP22x_0)</f>
        <v>461959.77000000008</v>
      </c>
      <c r="Q25" s="21"/>
      <c r="R25" s="33">
        <f t="shared" ref="R25:R36" si="16">IF(P$12=0,0,P25/P$12)</f>
        <v>0.43366300725224671</v>
      </c>
      <c r="S25" s="21"/>
      <c r="T25" s="21">
        <f>SUM(OSRRefT22x_0)</f>
        <v>529851.20743647474</v>
      </c>
      <c r="U25" s="21"/>
      <c r="V25" s="33">
        <f t="shared" ref="V25:V36" si="17">IF(T$12=0,0,T25/T$12)</f>
        <v>0.47964659802155823</v>
      </c>
      <c r="W25" s="4"/>
      <c r="X25" s="21">
        <f t="shared" ref="X25:X36" si="18">+P25-T25</f>
        <v>-67891.437436474662</v>
      </c>
      <c r="Y25" s="4"/>
      <c r="Z25" s="33">
        <f t="shared" ref="Z25:Z36" si="19">IF(T25=0,0,X25/T25)</f>
        <v>-0.12813302391995463</v>
      </c>
    </row>
    <row r="26" spans="1:26" s="26" customFormat="1" outlineLevel="1" collapsed="1" x14ac:dyDescent="0.25">
      <c r="A26" s="27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26359.309999999998</v>
      </c>
      <c r="E26" s="1"/>
      <c r="F26" s="5">
        <f t="shared" si="12"/>
        <v>4.5701959732606705E-2</v>
      </c>
      <c r="G26" s="1"/>
      <c r="H26" s="1">
        <f>SUM(OSRRefH22_0x_0)</f>
        <v>32819.256938867969</v>
      </c>
      <c r="I26" s="1"/>
      <c r="J26" s="5">
        <f t="shared" si="13"/>
        <v>5.3919623012252893E-2</v>
      </c>
      <c r="K26" s="1"/>
      <c r="L26" s="1">
        <f t="shared" si="14"/>
        <v>-6459.9469388679718</v>
      </c>
      <c r="M26" s="1"/>
      <c r="N26" s="5">
        <f t="shared" si="15"/>
        <v>-0.19683404017649869</v>
      </c>
      <c r="O26" s="13"/>
      <c r="P26" s="1">
        <f>SUM(OSRRefP22_0x_0)</f>
        <v>84491.499999999985</v>
      </c>
      <c r="Q26" s="1"/>
      <c r="R26" s="5">
        <f t="shared" si="16"/>
        <v>7.9316079790353156E-2</v>
      </c>
      <c r="S26" s="1"/>
      <c r="T26" s="1">
        <f>SUM(OSRRefT22_0x_0)</f>
        <v>95461.710718474802</v>
      </c>
      <c r="U26" s="1"/>
      <c r="V26" s="5">
        <f t="shared" si="17"/>
        <v>8.641649607437045E-2</v>
      </c>
      <c r="W26" s="1"/>
      <c r="X26" s="1">
        <f t="shared" si="18"/>
        <v>-10970.210718474817</v>
      </c>
      <c r="Y26" s="1"/>
      <c r="Z26" s="5">
        <f t="shared" si="19"/>
        <v>-0.11491739081470012</v>
      </c>
    </row>
    <row r="27" spans="1:26" s="24" customFormat="1" hidden="1" outlineLevel="2" x14ac:dyDescent="0.25">
      <c r="A27" s="25"/>
      <c r="B27" s="11" t="str">
        <f>CONCATENATE("          ", "6111", " - ", "F.I.C.A.")</f>
        <v xml:space="preserve">          6111 - F.I.C.A.</v>
      </c>
      <c r="C27" s="11"/>
      <c r="D27" s="7">
        <v>3819.5</v>
      </c>
      <c r="E27" s="2"/>
      <c r="F27" s="6">
        <f t="shared" si="12"/>
        <v>6.6222763493692114E-3</v>
      </c>
      <c r="G27" s="2"/>
      <c r="H27" s="7">
        <v>4803.8198823203093</v>
      </c>
      <c r="I27" s="2"/>
      <c r="J27" s="6">
        <f t="shared" si="13"/>
        <v>7.8923224116850006E-3</v>
      </c>
      <c r="K27" s="2"/>
      <c r="L27" s="7">
        <f t="shared" si="14"/>
        <v>-984.31988232030926</v>
      </c>
      <c r="M27" s="2"/>
      <c r="N27" s="6">
        <f t="shared" si="15"/>
        <v>-0.20490357807605175</v>
      </c>
      <c r="O27" s="11"/>
      <c r="P27" s="7">
        <v>13227.06</v>
      </c>
      <c r="Q27" s="2"/>
      <c r="R27" s="6">
        <f t="shared" si="16"/>
        <v>1.2416853131401251E-2</v>
      </c>
      <c r="S27" s="2"/>
      <c r="T27" s="7">
        <v>17651.150858541008</v>
      </c>
      <c r="U27" s="2"/>
      <c r="V27" s="6">
        <f t="shared" si="17"/>
        <v>1.5978664088407406E-2</v>
      </c>
      <c r="W27" s="2"/>
      <c r="X27" s="7">
        <f t="shared" si="18"/>
        <v>-4424.0908585410089</v>
      </c>
      <c r="Y27" s="2"/>
      <c r="Z27" s="6">
        <f t="shared" si="19"/>
        <v>-0.25064036299935011</v>
      </c>
    </row>
    <row r="28" spans="1:26" s="24" customFormat="1" hidden="1" outlineLevel="2" x14ac:dyDescent="0.25">
      <c r="A28" s="25"/>
      <c r="B28" s="11" t="str">
        <f>CONCATENATE("          ", "6112", " - ", "COMPENSATION INSURANCE")</f>
        <v xml:space="preserve">          6112 - COMPENSATION INSURANCE</v>
      </c>
      <c r="C28" s="11"/>
      <c r="D28" s="7">
        <v>3558.32</v>
      </c>
      <c r="E28" s="2"/>
      <c r="F28" s="6">
        <f t="shared" si="12"/>
        <v>6.1694406020388667E-3</v>
      </c>
      <c r="G28" s="2"/>
      <c r="H28" s="7">
        <v>4321.1721133415404</v>
      </c>
      <c r="I28" s="2"/>
      <c r="J28" s="6">
        <f t="shared" si="13"/>
        <v>7.0993676595553258E-3</v>
      </c>
      <c r="K28" s="2"/>
      <c r="L28" s="7">
        <f t="shared" si="14"/>
        <v>-762.85211334154019</v>
      </c>
      <c r="M28" s="2"/>
      <c r="N28" s="6">
        <f t="shared" si="15"/>
        <v>-0.17653823854556688</v>
      </c>
      <c r="O28" s="11"/>
      <c r="P28" s="7">
        <v>8322.9599999999991</v>
      </c>
      <c r="Q28" s="2"/>
      <c r="R28" s="6">
        <f t="shared" si="16"/>
        <v>7.8131475882416302E-3</v>
      </c>
      <c r="S28" s="2"/>
      <c r="T28" s="7">
        <v>10834.649728359998</v>
      </c>
      <c r="U28" s="2"/>
      <c r="V28" s="6">
        <f t="shared" si="17"/>
        <v>9.8080419748522163E-3</v>
      </c>
      <c r="W28" s="2"/>
      <c r="X28" s="7">
        <f t="shared" si="18"/>
        <v>-2511.6897283599992</v>
      </c>
      <c r="Y28" s="2"/>
      <c r="Z28" s="6">
        <f t="shared" si="19"/>
        <v>-0.2318201133706779</v>
      </c>
    </row>
    <row r="29" spans="1:26" s="24" customFormat="1" hidden="1" outlineLevel="2" x14ac:dyDescent="0.25">
      <c r="A29" s="25"/>
      <c r="B29" s="11" t="str">
        <f>CONCATENATE("          ", "6113", " - ", "GROUP INSURANCE")</f>
        <v xml:space="preserve">          6113 - GROUP INSURANCE</v>
      </c>
      <c r="C29" s="11"/>
      <c r="D29" s="7">
        <v>12070.16</v>
      </c>
      <c r="E29" s="2"/>
      <c r="F29" s="6">
        <f t="shared" si="12"/>
        <v>2.0927329519859216E-2</v>
      </c>
      <c r="G29" s="2"/>
      <c r="H29" s="7">
        <v>17552.769230769198</v>
      </c>
      <c r="I29" s="2"/>
      <c r="J29" s="6">
        <f t="shared" si="13"/>
        <v>2.883790761951336E-2</v>
      </c>
      <c r="K29" s="2"/>
      <c r="L29" s="7">
        <f t="shared" si="14"/>
        <v>-5482.6092307691979</v>
      </c>
      <c r="M29" s="2"/>
      <c r="N29" s="6">
        <f t="shared" si="15"/>
        <v>-0.31235010035672522</v>
      </c>
      <c r="O29" s="11"/>
      <c r="P29" s="7">
        <v>38081.08</v>
      </c>
      <c r="Q29" s="2"/>
      <c r="R29" s="6">
        <f t="shared" si="16"/>
        <v>3.5748471500480196E-2</v>
      </c>
      <c r="S29" s="2"/>
      <c r="T29" s="7">
        <v>50071.1538461538</v>
      </c>
      <c r="U29" s="2"/>
      <c r="V29" s="6">
        <f t="shared" si="17"/>
        <v>4.5326797909016989E-2</v>
      </c>
      <c r="W29" s="2"/>
      <c r="X29" s="7">
        <f t="shared" si="18"/>
        <v>-11990.073846153799</v>
      </c>
      <c r="Y29" s="2"/>
      <c r="Z29" s="6">
        <f t="shared" si="19"/>
        <v>-0.23946070591849986</v>
      </c>
    </row>
    <row r="30" spans="1:26" s="24" customFormat="1" hidden="1" outlineLevel="2" x14ac:dyDescent="0.25">
      <c r="A30" s="25"/>
      <c r="B30" s="11" t="str">
        <f>CONCATENATE("          ", "6114", " - ", "STATE UNEMPLOYMENT INSURANCE")</f>
        <v xml:space="preserve">          6114 - STATE UNEMPLOYMENT INSURANCE</v>
      </c>
      <c r="C30" s="11"/>
      <c r="D30" s="7">
        <v>238.44</v>
      </c>
      <c r="E30" s="2"/>
      <c r="F30" s="6">
        <f t="shared" si="12"/>
        <v>4.1340897309689612E-4</v>
      </c>
      <c r="G30" s="2"/>
      <c r="H30" s="7">
        <v>289.56307975999999</v>
      </c>
      <c r="I30" s="2"/>
      <c r="J30" s="6">
        <f t="shared" si="13"/>
        <v>4.7573082254752163E-4</v>
      </c>
      <c r="K30" s="2"/>
      <c r="L30" s="7">
        <f t="shared" si="14"/>
        <v>-51.123079759999996</v>
      </c>
      <c r="M30" s="2"/>
      <c r="N30" s="6">
        <f t="shared" si="15"/>
        <v>-0.1765524796958666</v>
      </c>
      <c r="O30" s="11"/>
      <c r="P30" s="7">
        <v>557.71</v>
      </c>
      <c r="Q30" s="2"/>
      <c r="R30" s="6">
        <f t="shared" si="16"/>
        <v>5.2354817774424498E-4</v>
      </c>
      <c r="S30" s="2"/>
      <c r="T30" s="7">
        <v>726.03322921999995</v>
      </c>
      <c r="U30" s="2"/>
      <c r="V30" s="6">
        <f t="shared" si="17"/>
        <v>6.5723992614989083E-4</v>
      </c>
      <c r="W30" s="2"/>
      <c r="X30" s="7">
        <f t="shared" si="18"/>
        <v>-168.32322921999992</v>
      </c>
      <c r="Y30" s="2"/>
      <c r="Z30" s="6">
        <f t="shared" si="19"/>
        <v>-0.23183956662814839</v>
      </c>
    </row>
    <row r="31" spans="1:26" s="24" customFormat="1" hidden="1" outlineLevel="2" x14ac:dyDescent="0.25">
      <c r="A31" s="25"/>
      <c r="B31" s="11" t="str">
        <f>CONCATENATE("          ", "6115", " - ", "P.E.R.S.")</f>
        <v xml:space="preserve">          6115 - P.E.R.S.</v>
      </c>
      <c r="C31" s="11"/>
      <c r="D31" s="7">
        <v>1217.31</v>
      </c>
      <c r="E31" s="2"/>
      <c r="F31" s="6">
        <f t="shared" si="12"/>
        <v>2.110580762626164E-3</v>
      </c>
      <c r="G31" s="2"/>
      <c r="H31" s="7">
        <v>1270.4277151384601</v>
      </c>
      <c r="I31" s="2"/>
      <c r="J31" s="6">
        <f t="shared" si="13"/>
        <v>2.0872192076797939E-3</v>
      </c>
      <c r="K31" s="2"/>
      <c r="L31" s="7">
        <f t="shared" si="14"/>
        <v>-53.117715138460198</v>
      </c>
      <c r="M31" s="2"/>
      <c r="N31" s="6">
        <f t="shared" si="15"/>
        <v>-4.1810891328572013E-2</v>
      </c>
      <c r="O31" s="11"/>
      <c r="P31" s="7">
        <v>3651.93</v>
      </c>
      <c r="Q31" s="2"/>
      <c r="R31" s="6">
        <f t="shared" si="16"/>
        <v>3.4282356363514017E-3</v>
      </c>
      <c r="S31" s="2"/>
      <c r="T31" s="7">
        <v>4128.8900742000005</v>
      </c>
      <c r="U31" s="2"/>
      <c r="V31" s="6">
        <f t="shared" si="17"/>
        <v>3.7376683300895295E-3</v>
      </c>
      <c r="W31" s="2"/>
      <c r="X31" s="7">
        <f t="shared" si="18"/>
        <v>-476.96007420000069</v>
      </c>
      <c r="Y31" s="2"/>
      <c r="Z31" s="6">
        <f t="shared" si="19"/>
        <v>-0.11551774584175986</v>
      </c>
    </row>
    <row r="32" spans="1:26" s="24" customFormat="1" hidden="1" outlineLevel="2" x14ac:dyDescent="0.25">
      <c r="A32" s="25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25">
      <c r="A33" s="25"/>
      <c r="B33" s="11" t="str">
        <f>CONCATENATE("          ", "6117", " - ", "RETIREMENT STAFF HOURLY")</f>
        <v xml:space="preserve">          6117 - RETIREMENT STAFF HOURLY</v>
      </c>
      <c r="C33" s="11"/>
      <c r="D33" s="7">
        <v>503.84</v>
      </c>
      <c r="E33" s="2"/>
      <c r="F33" s="6">
        <f t="shared" si="12"/>
        <v>8.7356138653388749E-4</v>
      </c>
      <c r="G33" s="2"/>
      <c r="H33" s="7"/>
      <c r="I33" s="2"/>
      <c r="J33" s="6">
        <f t="shared" si="13"/>
        <v>0</v>
      </c>
      <c r="K33" s="2"/>
      <c r="L33" s="7">
        <f t="shared" si="14"/>
        <v>503.84</v>
      </c>
      <c r="M33" s="2"/>
      <c r="N33" s="6">
        <f t="shared" si="15"/>
        <v>0</v>
      </c>
      <c r="O33" s="11"/>
      <c r="P33" s="7">
        <v>1228.31</v>
      </c>
      <c r="Q33" s="2"/>
      <c r="R33" s="6">
        <f t="shared" si="16"/>
        <v>1.1530714209984283E-3</v>
      </c>
      <c r="S33" s="2"/>
      <c r="T33" s="7"/>
      <c r="U33" s="2"/>
      <c r="V33" s="6">
        <f t="shared" si="17"/>
        <v>0</v>
      </c>
      <c r="W33" s="2"/>
      <c r="X33" s="7">
        <f t="shared" si="18"/>
        <v>1228.31</v>
      </c>
      <c r="Y33" s="2"/>
      <c r="Z33" s="6">
        <f t="shared" si="19"/>
        <v>0</v>
      </c>
    </row>
    <row r="34" spans="1:26" s="24" customFormat="1" hidden="1" outlineLevel="2" x14ac:dyDescent="0.25">
      <c r="A34" s="25"/>
      <c r="B34" s="11" t="str">
        <f>CONCATENATE("          ", "6118", " - ", "VACATION")</f>
        <v xml:space="preserve">          6118 - VACATION</v>
      </c>
      <c r="C34" s="11"/>
      <c r="D34" s="7">
        <v>2207.9899999999998</v>
      </c>
      <c r="E34" s="2"/>
      <c r="F34" s="6">
        <f t="shared" si="12"/>
        <v>3.8282288144112376E-3</v>
      </c>
      <c r="G34" s="2"/>
      <c r="H34" s="7">
        <v>1506.13245876923</v>
      </c>
      <c r="I34" s="2"/>
      <c r="J34" s="6">
        <f t="shared" si="13"/>
        <v>2.4744647489924423E-3</v>
      </c>
      <c r="K34" s="2"/>
      <c r="L34" s="7">
        <f t="shared" si="14"/>
        <v>701.85754123076981</v>
      </c>
      <c r="M34" s="2"/>
      <c r="N34" s="6">
        <f t="shared" si="15"/>
        <v>0.46599987746383775</v>
      </c>
      <c r="O34" s="11"/>
      <c r="P34" s="7">
        <v>7855.66</v>
      </c>
      <c r="Q34" s="2"/>
      <c r="R34" s="6">
        <f t="shared" si="16"/>
        <v>7.3744714600390074E-3</v>
      </c>
      <c r="S34" s="2"/>
      <c r="T34" s="7">
        <v>4416.5984909999997</v>
      </c>
      <c r="U34" s="2"/>
      <c r="V34" s="6">
        <f t="shared" si="17"/>
        <v>3.9981157187214279E-3</v>
      </c>
      <c r="W34" s="2"/>
      <c r="X34" s="7">
        <f t="shared" si="18"/>
        <v>3439.0615090000001</v>
      </c>
      <c r="Y34" s="2"/>
      <c r="Z34" s="6">
        <f t="shared" si="19"/>
        <v>0.77866745551084338</v>
      </c>
    </row>
    <row r="35" spans="1:26" s="24" customFormat="1" hidden="1" outlineLevel="2" x14ac:dyDescent="0.25">
      <c r="A35" s="25"/>
      <c r="B35" s="11" t="str">
        <f>CONCATENATE("          ", "6119", " - ", "SICK LEAVE")</f>
        <v xml:space="preserve">          6119 - SICK LEAVE</v>
      </c>
      <c r="C35" s="11"/>
      <c r="D35" s="7">
        <v>1551.48</v>
      </c>
      <c r="E35" s="2"/>
      <c r="F35" s="6">
        <f t="shared" si="12"/>
        <v>2.6899670926873527E-3</v>
      </c>
      <c r="G35" s="2"/>
      <c r="H35" s="7">
        <v>3075.3724587692304</v>
      </c>
      <c r="I35" s="2"/>
      <c r="J35" s="6">
        <f t="shared" si="13"/>
        <v>5.0526105422794461E-3</v>
      </c>
      <c r="K35" s="2"/>
      <c r="L35" s="7">
        <f t="shared" si="14"/>
        <v>-1523.8924587692304</v>
      </c>
      <c r="M35" s="2"/>
      <c r="N35" s="6">
        <f t="shared" si="15"/>
        <v>-0.49551476421138757</v>
      </c>
      <c r="O35" s="11"/>
      <c r="P35" s="7">
        <v>9053.9599999999991</v>
      </c>
      <c r="Q35" s="2"/>
      <c r="R35" s="6">
        <f t="shared" si="16"/>
        <v>8.4993711057167395E-3</v>
      </c>
      <c r="S35" s="2"/>
      <c r="T35" s="7">
        <v>7633.2344909999993</v>
      </c>
      <c r="U35" s="2"/>
      <c r="V35" s="6">
        <f t="shared" si="17"/>
        <v>6.9099681271329889E-3</v>
      </c>
      <c r="W35" s="2"/>
      <c r="X35" s="7">
        <f t="shared" si="18"/>
        <v>1420.7255089999999</v>
      </c>
      <c r="Y35" s="2"/>
      <c r="Z35" s="6">
        <f t="shared" si="19"/>
        <v>0.18612365579429177</v>
      </c>
    </row>
    <row r="36" spans="1:26" s="24" customFormat="1" hidden="1" outlineLevel="2" x14ac:dyDescent="0.25">
      <c r="A36" s="25"/>
      <c r="B36" s="11" t="str">
        <f>CONCATENATE("          ", "6156", " - ", "EMPLOYEE MEALS")</f>
        <v xml:space="preserve">          6156 - EMPLOYEE MEALS</v>
      </c>
      <c r="C36" s="11"/>
      <c r="D36" s="7">
        <v>1192.27</v>
      </c>
      <c r="E36" s="2"/>
      <c r="F36" s="6">
        <f t="shared" si="12"/>
        <v>2.0671662319838796E-3</v>
      </c>
      <c r="G36" s="2"/>
      <c r="H36" s="7"/>
      <c r="I36" s="2"/>
      <c r="J36" s="6">
        <f t="shared" si="13"/>
        <v>0</v>
      </c>
      <c r="K36" s="2"/>
      <c r="L36" s="7">
        <f t="shared" si="14"/>
        <v>1192.27</v>
      </c>
      <c r="M36" s="2"/>
      <c r="N36" s="6">
        <f t="shared" si="15"/>
        <v>0</v>
      </c>
      <c r="O36" s="11"/>
      <c r="P36" s="7">
        <v>2512.83</v>
      </c>
      <c r="Q36" s="2"/>
      <c r="R36" s="6">
        <f t="shared" si="16"/>
        <v>2.358909769380271E-3</v>
      </c>
      <c r="S36" s="2"/>
      <c r="T36" s="7"/>
      <c r="U36" s="2"/>
      <c r="V36" s="6">
        <f t="shared" si="17"/>
        <v>0</v>
      </c>
      <c r="W36" s="2"/>
      <c r="X36" s="7">
        <f t="shared" si="18"/>
        <v>2512.83</v>
      </c>
      <c r="Y36" s="2"/>
      <c r="Z36" s="6">
        <f t="shared" si="19"/>
        <v>0</v>
      </c>
    </row>
    <row r="37" spans="1:26" s="26" customFormat="1" outlineLevel="1" collapsed="1" x14ac:dyDescent="0.25">
      <c r="A37" s="27"/>
      <c r="B37" s="13" t="str">
        <f>CONCATENATE("     ","*Payroll                                          ")</f>
        <v xml:space="preserve">     *Payroll                                          </v>
      </c>
      <c r="C37" s="13"/>
      <c r="D37" s="1">
        <f>SUM(OSRRefD22_1x_0)</f>
        <v>92309.95</v>
      </c>
      <c r="E37" s="1"/>
      <c r="F37" s="5">
        <f t="shared" ref="F37:F47" si="20">IF(D$12=0,0,D37/D$12)</f>
        <v>0.16004764987470987</v>
      </c>
      <c r="G37" s="1"/>
      <c r="H37" s="1">
        <f>SUM(OSRRefH22_1x_0)</f>
        <v>108889.6303747692</v>
      </c>
      <c r="I37" s="1"/>
      <c r="J37" s="5">
        <f t="shared" ref="J37:J47" si="21">IF(H$12=0,0,H37/H$12)</f>
        <v>0.178897646302215</v>
      </c>
      <c r="K37" s="1"/>
      <c r="L37" s="1">
        <f t="shared" ref="L37:L47" si="22">+D37-H37</f>
        <v>-16579.680374769203</v>
      </c>
      <c r="M37" s="1"/>
      <c r="N37" s="5">
        <f t="shared" ref="N37:N47" si="23">IF(H37=0,0,L37/H37)</f>
        <v>-0.15226133395536695</v>
      </c>
      <c r="O37" s="13"/>
      <c r="P37" s="1">
        <f>SUM(OSRRefP22_1x_0)</f>
        <v>234582.76</v>
      </c>
      <c r="Q37" s="1"/>
      <c r="R37" s="5">
        <f t="shared" ref="R37:R47" si="24">IF(P$12=0,0,P37/P$12)</f>
        <v>0.22021368906459549</v>
      </c>
      <c r="S37" s="1"/>
      <c r="T37" s="1">
        <f>SUM(OSRRefT22_1x_0)</f>
        <v>271898.49671799992</v>
      </c>
      <c r="U37" s="1"/>
      <c r="V37" s="5">
        <f t="shared" ref="V37:V47" si="25">IF(T$12=0,0,T37/T$12)</f>
        <v>0.24613549450786201</v>
      </c>
      <c r="W37" s="1"/>
      <c r="X37" s="1">
        <f t="shared" ref="X37:X47" si="26">+P37-T37</f>
        <v>-37315.736717999913</v>
      </c>
      <c r="Y37" s="1"/>
      <c r="Z37" s="5">
        <f t="shared" ref="Z37:Z47" si="27">IF(T37=0,0,X37/T37)</f>
        <v>-0.13724142342979559</v>
      </c>
    </row>
    <row r="38" spans="1:26" s="24" customFormat="1" hidden="1" outlineLevel="2" x14ac:dyDescent="0.25">
      <c r="A38" s="25"/>
      <c r="B38" s="11" t="str">
        <f>CONCATENATE("          ", "6001", " - ", "ADMINISTRATIVE SALARIES")</f>
        <v xml:space="preserve">          6001 - ADMINISTRATIVE SALARIES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5"/>
      <c r="B39" s="11" t="str">
        <f>CONCATENATE("          ", "6002", " - ", "STAFF SALARIES")</f>
        <v xml:space="preserve">          6002 - STAFF SALARIES</v>
      </c>
      <c r="C39" s="11"/>
      <c r="D39" s="7">
        <v>14240.46</v>
      </c>
      <c r="E39" s="2"/>
      <c r="F39" s="6">
        <f t="shared" si="20"/>
        <v>2.4690211143379569E-2</v>
      </c>
      <c r="G39" s="2"/>
      <c r="H39" s="7">
        <v>13886.0703747692</v>
      </c>
      <c r="I39" s="2"/>
      <c r="J39" s="6">
        <f t="shared" si="21"/>
        <v>2.2813791339755862E-2</v>
      </c>
      <c r="K39" s="2"/>
      <c r="L39" s="7">
        <f t="shared" si="22"/>
        <v>354.38962523079863</v>
      </c>
      <c r="M39" s="2"/>
      <c r="N39" s="6">
        <f t="shared" si="23"/>
        <v>2.5521232117238848E-2</v>
      </c>
      <c r="O39" s="11"/>
      <c r="P39" s="7">
        <v>44140.51</v>
      </c>
      <c r="Q39" s="2"/>
      <c r="R39" s="6">
        <f t="shared" si="24"/>
        <v>4.1436738762442166E-2</v>
      </c>
      <c r="S39" s="2"/>
      <c r="T39" s="7">
        <v>45129.728717999897</v>
      </c>
      <c r="U39" s="2"/>
      <c r="V39" s="6">
        <f t="shared" si="25"/>
        <v>4.0853584073071506E-2</v>
      </c>
      <c r="W39" s="2"/>
      <c r="X39" s="7">
        <f t="shared" si="26"/>
        <v>-989.21871799989458</v>
      </c>
      <c r="Y39" s="2"/>
      <c r="Z39" s="6">
        <f t="shared" si="27"/>
        <v>-2.1919447470672405E-2</v>
      </c>
    </row>
    <row r="40" spans="1:26" s="24" customFormat="1" hidden="1" outlineLevel="2" x14ac:dyDescent="0.25">
      <c r="A40" s="25"/>
      <c r="B40" s="11" t="str">
        <f>CONCATENATE("          ", "6003", " - ", "STAFF HOURLY-9 MONTH")</f>
        <v xml:space="preserve">          6003 - STAFF HOURLY-9 MONTH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4" customFormat="1" hidden="1" outlineLevel="2" x14ac:dyDescent="0.25">
      <c r="A41" s="25"/>
      <c r="B41" s="11" t="str">
        <f>CONCATENATE("          ", "6004", " - ", "STAFF HOURLY")</f>
        <v xml:space="preserve">          6004 - STAFF HOURLY</v>
      </c>
      <c r="C41" s="11"/>
      <c r="D41" s="7">
        <v>18636.82</v>
      </c>
      <c r="E41" s="2"/>
      <c r="F41" s="6">
        <f t="shared" si="20"/>
        <v>3.2312651476227541E-2</v>
      </c>
      <c r="G41" s="2"/>
      <c r="H41" s="7">
        <v>46403.56</v>
      </c>
      <c r="I41" s="2"/>
      <c r="J41" s="6">
        <f t="shared" si="21"/>
        <v>7.6237632871671013E-2</v>
      </c>
      <c r="K41" s="2"/>
      <c r="L41" s="7">
        <f t="shared" si="22"/>
        <v>-27766.739999999998</v>
      </c>
      <c r="M41" s="2"/>
      <c r="N41" s="6">
        <f t="shared" si="23"/>
        <v>-0.59837521086744205</v>
      </c>
      <c r="O41" s="11"/>
      <c r="P41" s="7">
        <v>42807.020000000004</v>
      </c>
      <c r="Q41" s="2"/>
      <c r="R41" s="6">
        <f t="shared" si="24"/>
        <v>4.0184930009613325E-2</v>
      </c>
      <c r="S41" s="2"/>
      <c r="T41" s="7">
        <v>130918.76800000001</v>
      </c>
      <c r="U41" s="2"/>
      <c r="V41" s="6">
        <f t="shared" si="25"/>
        <v>0.11851391637321554</v>
      </c>
      <c r="W41" s="2"/>
      <c r="X41" s="7">
        <f t="shared" si="26"/>
        <v>-88111.748000000007</v>
      </c>
      <c r="Y41" s="2"/>
      <c r="Z41" s="6">
        <f t="shared" si="27"/>
        <v>-0.67302610119276407</v>
      </c>
    </row>
    <row r="42" spans="1:26" s="24" customFormat="1" hidden="1" outlineLevel="2" x14ac:dyDescent="0.25">
      <c r="A42" s="25"/>
      <c r="B42" s="11" t="str">
        <f>CONCATENATE("          ", "6005", " - ", "TEMPORARY WAGES-HOURLY")</f>
        <v xml:space="preserve">          6005 - TEMPORARY WAGES-HOURLY</v>
      </c>
      <c r="C42" s="11"/>
      <c r="D42" s="7">
        <v>15343.849999999999</v>
      </c>
      <c r="E42" s="2"/>
      <c r="F42" s="6">
        <f t="shared" si="20"/>
        <v>2.6603276597268952E-2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15343.849999999999</v>
      </c>
      <c r="M42" s="2"/>
      <c r="N42" s="6">
        <f t="shared" si="23"/>
        <v>0</v>
      </c>
      <c r="O42" s="11"/>
      <c r="P42" s="7">
        <v>40617.58</v>
      </c>
      <c r="Q42" s="2"/>
      <c r="R42" s="6">
        <f t="shared" si="24"/>
        <v>3.812960139388049E-2</v>
      </c>
      <c r="S42" s="2"/>
      <c r="T42" s="7">
        <v>0</v>
      </c>
      <c r="U42" s="2"/>
      <c r="V42" s="6">
        <f t="shared" si="25"/>
        <v>0</v>
      </c>
      <c r="W42" s="2"/>
      <c r="X42" s="7">
        <f t="shared" si="26"/>
        <v>40617.58</v>
      </c>
      <c r="Y42" s="2"/>
      <c r="Z42" s="6">
        <f t="shared" si="27"/>
        <v>0</v>
      </c>
    </row>
    <row r="43" spans="1:26" s="24" customFormat="1" hidden="1" outlineLevel="2" x14ac:dyDescent="0.25">
      <c r="A43" s="25"/>
      <c r="B43" s="11" t="str">
        <f>CONCATENATE("          ", "6006", " - ", "TEMPORARY PART TIME")</f>
        <v xml:space="preserve">          6006 - TEMPORARY PART TIME</v>
      </c>
      <c r="C43" s="11"/>
      <c r="D43" s="7">
        <v>1140</v>
      </c>
      <c r="E43" s="2"/>
      <c r="F43" s="6">
        <f t="shared" si="20"/>
        <v>1.9765401330752454E-3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1140</v>
      </c>
      <c r="M43" s="2"/>
      <c r="N43" s="6">
        <f t="shared" si="23"/>
        <v>0</v>
      </c>
      <c r="O43" s="11"/>
      <c r="P43" s="7">
        <v>6707.07</v>
      </c>
      <c r="Q43" s="2"/>
      <c r="R43" s="6">
        <f t="shared" si="24"/>
        <v>6.2962368910421049E-3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6707.07</v>
      </c>
      <c r="Y43" s="2"/>
      <c r="Z43" s="6">
        <f t="shared" si="27"/>
        <v>0</v>
      </c>
    </row>
    <row r="44" spans="1:26" s="24" customFormat="1" hidden="1" outlineLevel="2" x14ac:dyDescent="0.25">
      <c r="A44" s="25"/>
      <c r="B44" s="11" t="str">
        <f>CONCATENATE("          ", "6007", " - ", "STUDENT HOURLY")</f>
        <v xml:space="preserve">          6007 - STUDENT HOURLY</v>
      </c>
      <c r="C44" s="11"/>
      <c r="D44" s="7">
        <v>40001.32</v>
      </c>
      <c r="E44" s="2"/>
      <c r="F44" s="6">
        <f t="shared" si="20"/>
        <v>6.93545739964785E-2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40001.32</v>
      </c>
      <c r="M44" s="2"/>
      <c r="N44" s="6">
        <f t="shared" si="23"/>
        <v>0</v>
      </c>
      <c r="O44" s="11"/>
      <c r="P44" s="7">
        <v>93880.08</v>
      </c>
      <c r="Q44" s="2"/>
      <c r="R44" s="6">
        <f t="shared" si="24"/>
        <v>8.8129574170238895E-2</v>
      </c>
      <c r="S44" s="2"/>
      <c r="T44" s="7">
        <v>47250</v>
      </c>
      <c r="U44" s="2"/>
      <c r="V44" s="6">
        <f t="shared" si="25"/>
        <v>4.2772954819086245E-2</v>
      </c>
      <c r="W44" s="2"/>
      <c r="X44" s="7">
        <f t="shared" si="26"/>
        <v>46630.080000000002</v>
      </c>
      <c r="Y44" s="2"/>
      <c r="Z44" s="6">
        <f t="shared" si="27"/>
        <v>0.98688000000000009</v>
      </c>
    </row>
    <row r="45" spans="1:26" s="24" customFormat="1" hidden="1" outlineLevel="2" x14ac:dyDescent="0.25">
      <c r="A45" s="25"/>
      <c r="B45" s="11" t="str">
        <f>CONCATENATE("          ", "6008", " - ", "STUDENT HOURLY-FICA EXEMPT")</f>
        <v xml:space="preserve">          6008 - STUDENT HOURLY-FICA EXEMPT</v>
      </c>
      <c r="C45" s="11"/>
      <c r="D45" s="7">
        <v>2947.5</v>
      </c>
      <c r="E45" s="2"/>
      <c r="F45" s="6">
        <f t="shared" si="20"/>
        <v>5.1103965282800756E-3</v>
      </c>
      <c r="G45" s="2"/>
      <c r="H45" s="7">
        <v>48600</v>
      </c>
      <c r="I45" s="2"/>
      <c r="J45" s="6">
        <f t="shared" si="21"/>
        <v>7.9846222090788108E-2</v>
      </c>
      <c r="K45" s="2"/>
      <c r="L45" s="7">
        <f t="shared" si="22"/>
        <v>-45652.5</v>
      </c>
      <c r="M45" s="2"/>
      <c r="N45" s="6">
        <f t="shared" si="23"/>
        <v>-0.93935185185185188</v>
      </c>
      <c r="O45" s="11"/>
      <c r="P45" s="7">
        <v>6430.5</v>
      </c>
      <c r="Q45" s="2"/>
      <c r="R45" s="6">
        <f t="shared" si="24"/>
        <v>6.0366078373785062E-3</v>
      </c>
      <c r="S45" s="2"/>
      <c r="T45" s="7">
        <v>48600</v>
      </c>
      <c r="U45" s="2"/>
      <c r="V45" s="6">
        <f t="shared" si="25"/>
        <v>4.3995039242488709E-2</v>
      </c>
      <c r="W45" s="2"/>
      <c r="X45" s="7">
        <f t="shared" si="26"/>
        <v>-42169.5</v>
      </c>
      <c r="Y45" s="2"/>
      <c r="Z45" s="6">
        <f t="shared" si="27"/>
        <v>-0.86768518518518523</v>
      </c>
    </row>
    <row r="46" spans="1:26" s="24" customFormat="1" hidden="1" outlineLevel="2" x14ac:dyDescent="0.25">
      <c r="A46" s="25"/>
      <c r="B46" s="11" t="str">
        <f>CONCATENATE("          ", "6009", " - ", "TEMPORARY-SEASONAL")</f>
        <v xml:space="preserve">          6009 - TEMPORARY-SEASONAL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4" customFormat="1" hidden="1" outlineLevel="2" x14ac:dyDescent="0.25">
      <c r="A47" s="25"/>
      <c r="B47" s="11" t="str">
        <f>CONCATENATE("          ", "6010", " - ", "GRATUITY")</f>
        <v xml:space="preserve">          6010 - GRATUITY</v>
      </c>
      <c r="C47" s="11"/>
      <c r="D47" s="7"/>
      <c r="E47" s="2"/>
      <c r="F47" s="6">
        <f t="shared" si="20"/>
        <v>0</v>
      </c>
      <c r="G47" s="2"/>
      <c r="H47" s="7">
        <v>0</v>
      </c>
      <c r="I47" s="2"/>
      <c r="J47" s="6">
        <f t="shared" si="21"/>
        <v>0</v>
      </c>
      <c r="K47" s="2"/>
      <c r="L47" s="7">
        <f t="shared" si="22"/>
        <v>0</v>
      </c>
      <c r="M47" s="2"/>
      <c r="N47" s="6">
        <f t="shared" si="23"/>
        <v>0</v>
      </c>
      <c r="O47" s="11"/>
      <c r="P47" s="7"/>
      <c r="Q47" s="2"/>
      <c r="R47" s="6">
        <f t="shared" si="24"/>
        <v>0</v>
      </c>
      <c r="S47" s="2"/>
      <c r="T47" s="7">
        <v>0</v>
      </c>
      <c r="U47" s="2"/>
      <c r="V47" s="6">
        <f t="shared" si="25"/>
        <v>0</v>
      </c>
      <c r="W47" s="2"/>
      <c r="X47" s="7">
        <f t="shared" si="26"/>
        <v>0</v>
      </c>
      <c r="Y47" s="2"/>
      <c r="Z47" s="6">
        <f t="shared" si="27"/>
        <v>0</v>
      </c>
    </row>
    <row r="48" spans="1:26" s="26" customFormat="1" outlineLevel="1" collapsed="1" x14ac:dyDescent="0.25">
      <c r="A48" s="27"/>
      <c r="B48" s="13" t="str">
        <f>CONCATENATE("     ","Advertising/Promo                                 ")</f>
        <v xml:space="preserve">     Advertising/Promo                                 </v>
      </c>
      <c r="C48" s="13"/>
      <c r="D48" s="1">
        <f>SUM(OSRRefD22_2x_0)</f>
        <v>74.44</v>
      </c>
      <c r="E48" s="1"/>
      <c r="F48" s="5">
        <f t="shared" ref="F48:F66" si="28">IF(D$12=0,0,D48/D$12)</f>
        <v>1.2906460307554498E-4</v>
      </c>
      <c r="G48" s="1"/>
      <c r="H48" s="1">
        <f>SUM(OSRRefH22_2x_0)</f>
        <v>550</v>
      </c>
      <c r="I48" s="1"/>
      <c r="J48" s="5">
        <f t="shared" ref="J48:J66" si="29">IF(H$12=0,0,H48/H$12)</f>
        <v>9.0360950925789019E-4</v>
      </c>
      <c r="K48" s="1"/>
      <c r="L48" s="1">
        <f t="shared" ref="L48:L66" si="30">+D48-H48</f>
        <v>-475.56</v>
      </c>
      <c r="M48" s="1"/>
      <c r="N48" s="5">
        <f t="shared" ref="N48:N66" si="31">IF(H48=0,0,L48/H48)</f>
        <v>-0.86465454545454545</v>
      </c>
      <c r="O48" s="13"/>
      <c r="P48" s="1">
        <f>SUM(OSRRefP22_2x_0)</f>
        <v>2069.6799999999998</v>
      </c>
      <c r="Q48" s="1"/>
      <c r="R48" s="5">
        <f t="shared" ref="R48:R66" si="32">IF(P$12=0,0,P48/P$12)</f>
        <v>1.9429043634033973E-3</v>
      </c>
      <c r="S48" s="1"/>
      <c r="T48" s="1">
        <f>SUM(OSRRefT22_2x_0)</f>
        <v>2600</v>
      </c>
      <c r="U48" s="1"/>
      <c r="V48" s="5">
        <f t="shared" ref="V48:V66" si="33">IF(T$12=0,0,T48/T$12)</f>
        <v>2.353644074701042E-3</v>
      </c>
      <c r="W48" s="1"/>
      <c r="X48" s="1">
        <f t="shared" ref="X48:X66" si="34">+P48-T48</f>
        <v>-530.32000000000016</v>
      </c>
      <c r="Y48" s="1"/>
      <c r="Z48" s="5">
        <f t="shared" ref="Z48:Z66" si="35">IF(T48=0,0,X48/T48)</f>
        <v>-0.20396923076923082</v>
      </c>
    </row>
    <row r="49" spans="1:26" s="24" customFormat="1" hidden="1" outlineLevel="2" x14ac:dyDescent="0.25">
      <c r="A49" s="25"/>
      <c r="B49" s="11" t="str">
        <f>CONCATENATE("          ", "6362", " - ", "ADVERTISING EXPENSE")</f>
        <v xml:space="preserve">          6362 - ADVERTISING EXPENSE</v>
      </c>
      <c r="C49" s="11"/>
      <c r="D49" s="7">
        <v>74.44</v>
      </c>
      <c r="E49" s="2"/>
      <c r="F49" s="6">
        <f t="shared" si="28"/>
        <v>1.2906460307554498E-4</v>
      </c>
      <c r="G49" s="2"/>
      <c r="H49" s="7">
        <v>550</v>
      </c>
      <c r="I49" s="2"/>
      <c r="J49" s="6">
        <f t="shared" si="29"/>
        <v>9.0360950925789019E-4</v>
      </c>
      <c r="K49" s="2"/>
      <c r="L49" s="7">
        <f t="shared" si="30"/>
        <v>-475.56</v>
      </c>
      <c r="M49" s="2"/>
      <c r="N49" s="6">
        <f t="shared" si="31"/>
        <v>-0.86465454545454545</v>
      </c>
      <c r="O49" s="11"/>
      <c r="P49" s="7">
        <v>2069.6799999999998</v>
      </c>
      <c r="Q49" s="2"/>
      <c r="R49" s="6">
        <f t="shared" si="32"/>
        <v>1.9429043634033973E-3</v>
      </c>
      <c r="S49" s="2"/>
      <c r="T49" s="7">
        <v>2600</v>
      </c>
      <c r="U49" s="2"/>
      <c r="V49" s="6">
        <f t="shared" si="33"/>
        <v>2.353644074701042E-3</v>
      </c>
      <c r="W49" s="2"/>
      <c r="X49" s="7">
        <f t="shared" si="34"/>
        <v>-530.32000000000016</v>
      </c>
      <c r="Y49" s="2"/>
      <c r="Z49" s="6">
        <f t="shared" si="35"/>
        <v>-0.20396923076923082</v>
      </c>
    </row>
    <row r="50" spans="1:26" s="26" customFormat="1" outlineLevel="1" collapsed="1" x14ac:dyDescent="0.25">
      <c r="A50" s="27"/>
      <c r="B50" s="13" t="str">
        <f>CONCATENATE("     ","Bad Debts/Over/Short                              ")</f>
        <v xml:space="preserve">     Bad Debts/Over/Short                              </v>
      </c>
      <c r="C50" s="13"/>
      <c r="D50" s="1">
        <f>SUM(OSRRefD22_3x_0)</f>
        <v>1.1000000000000001</v>
      </c>
      <c r="E50" s="1"/>
      <c r="F50" s="5">
        <f t="shared" si="28"/>
        <v>1.9071878477041844E-6</v>
      </c>
      <c r="G50" s="1"/>
      <c r="H50" s="1">
        <f>SUM(OSRRefH22_3x_0)</f>
        <v>10</v>
      </c>
      <c r="I50" s="1"/>
      <c r="J50" s="5">
        <f t="shared" si="29"/>
        <v>1.642926380468891E-5</v>
      </c>
      <c r="K50" s="1"/>
      <c r="L50" s="1">
        <f t="shared" si="30"/>
        <v>-8.9</v>
      </c>
      <c r="M50" s="1"/>
      <c r="N50" s="5">
        <f t="shared" si="31"/>
        <v>-0.89</v>
      </c>
      <c r="O50" s="13"/>
      <c r="P50" s="1">
        <f>SUM(OSRRefP22_3x_0)</f>
        <v>1</v>
      </c>
      <c r="Q50" s="1"/>
      <c r="R50" s="5">
        <f t="shared" si="32"/>
        <v>9.3874626193585356E-7</v>
      </c>
      <c r="S50" s="1"/>
      <c r="T50" s="1">
        <f>SUM(OSRRefT22_3x_0)</f>
        <v>32</v>
      </c>
      <c r="U50" s="1"/>
      <c r="V50" s="5">
        <f t="shared" si="33"/>
        <v>2.8967927073243594E-5</v>
      </c>
      <c r="W50" s="1"/>
      <c r="X50" s="1">
        <f t="shared" si="34"/>
        <v>-31</v>
      </c>
      <c r="Y50" s="1"/>
      <c r="Z50" s="5">
        <f t="shared" si="35"/>
        <v>-0.96875</v>
      </c>
    </row>
    <row r="51" spans="1:26" s="24" customFormat="1" hidden="1" outlineLevel="2" x14ac:dyDescent="0.25">
      <c r="A51" s="25"/>
      <c r="B51" s="11" t="str">
        <f>CONCATENATE("          ", "6272", " - ", "CASH (OVER/SHORT)")</f>
        <v xml:space="preserve">          6272 - CASH (OVER/SHORT)</v>
      </c>
      <c r="C51" s="11"/>
      <c r="D51" s="7">
        <v>1.1000000000000001</v>
      </c>
      <c r="E51" s="2"/>
      <c r="F51" s="6">
        <f t="shared" si="28"/>
        <v>1.9071878477041844E-6</v>
      </c>
      <c r="G51" s="2"/>
      <c r="H51" s="7">
        <v>10</v>
      </c>
      <c r="I51" s="2"/>
      <c r="J51" s="6">
        <f t="shared" si="29"/>
        <v>1.642926380468891E-5</v>
      </c>
      <c r="K51" s="2"/>
      <c r="L51" s="7">
        <f t="shared" si="30"/>
        <v>-8.9</v>
      </c>
      <c r="M51" s="2"/>
      <c r="N51" s="6">
        <f t="shared" si="31"/>
        <v>-0.89</v>
      </c>
      <c r="O51" s="11"/>
      <c r="P51" s="7">
        <v>1</v>
      </c>
      <c r="Q51" s="2"/>
      <c r="R51" s="6">
        <f t="shared" si="32"/>
        <v>9.3874626193585356E-7</v>
      </c>
      <c r="S51" s="2"/>
      <c r="T51" s="7">
        <v>32</v>
      </c>
      <c r="U51" s="2"/>
      <c r="V51" s="6">
        <f t="shared" si="33"/>
        <v>2.8967927073243594E-5</v>
      </c>
      <c r="W51" s="2"/>
      <c r="X51" s="7">
        <f t="shared" si="34"/>
        <v>-31</v>
      </c>
      <c r="Y51" s="2"/>
      <c r="Z51" s="6">
        <f t="shared" si="35"/>
        <v>-0.96875</v>
      </c>
    </row>
    <row r="52" spans="1:26" s="26" customFormat="1" outlineLevel="1" collapsed="1" x14ac:dyDescent="0.25">
      <c r="A52" s="27"/>
      <c r="B52" s="13" t="str">
        <f>CONCATENATE("     ","Bank/card Fees                                    ")</f>
        <v xml:space="preserve">     Bank/card Fees                                    </v>
      </c>
      <c r="C52" s="13"/>
      <c r="D52" s="1">
        <f>SUM(OSRRefD22_4x_0)</f>
        <v>238.34</v>
      </c>
      <c r="E52" s="1"/>
      <c r="F52" s="5">
        <f t="shared" si="28"/>
        <v>4.1323559238346847E-4</v>
      </c>
      <c r="G52" s="1"/>
      <c r="H52" s="1">
        <f>SUM(OSRRefH22_4x_0)</f>
        <v>225</v>
      </c>
      <c r="I52" s="1"/>
      <c r="J52" s="5">
        <f t="shared" si="29"/>
        <v>3.6965843560550054E-4</v>
      </c>
      <c r="K52" s="1"/>
      <c r="L52" s="1">
        <f t="shared" si="30"/>
        <v>13.340000000000003</v>
      </c>
      <c r="M52" s="1"/>
      <c r="N52" s="5">
        <f t="shared" si="31"/>
        <v>5.9288888888888905E-2</v>
      </c>
      <c r="O52" s="13"/>
      <c r="P52" s="1">
        <f>SUM(OSRRefP22_4x_0)</f>
        <v>416.27</v>
      </c>
      <c r="Q52" s="1"/>
      <c r="R52" s="5">
        <f t="shared" si="32"/>
        <v>3.9077190645603777E-4</v>
      </c>
      <c r="S52" s="1"/>
      <c r="T52" s="1">
        <f>SUM(OSRRefT22_4x_0)</f>
        <v>675</v>
      </c>
      <c r="U52" s="1"/>
      <c r="V52" s="5">
        <f t="shared" si="33"/>
        <v>6.1104221170123207E-4</v>
      </c>
      <c r="W52" s="1"/>
      <c r="X52" s="1">
        <f t="shared" si="34"/>
        <v>-258.73</v>
      </c>
      <c r="Y52" s="1"/>
      <c r="Z52" s="5">
        <f t="shared" si="35"/>
        <v>-0.38330370370370376</v>
      </c>
    </row>
    <row r="53" spans="1:26" s="24" customFormat="1" hidden="1" outlineLevel="2" x14ac:dyDescent="0.25">
      <c r="A53" s="25"/>
      <c r="B53" s="11" t="str">
        <f>CONCATENATE("          ", "6381", " - ", "BANK/CREDIT CARD FEES")</f>
        <v xml:space="preserve">          6381 - BANK/CREDIT CARD FEES</v>
      </c>
      <c r="C53" s="11"/>
      <c r="D53" s="7">
        <v>238.34</v>
      </c>
      <c r="E53" s="2"/>
      <c r="F53" s="6">
        <f t="shared" si="28"/>
        <v>4.1323559238346847E-4</v>
      </c>
      <c r="G53" s="2"/>
      <c r="H53" s="7">
        <v>225</v>
      </c>
      <c r="I53" s="2"/>
      <c r="J53" s="6">
        <f t="shared" si="29"/>
        <v>3.6965843560550054E-4</v>
      </c>
      <c r="K53" s="2"/>
      <c r="L53" s="7">
        <f t="shared" si="30"/>
        <v>13.340000000000003</v>
      </c>
      <c r="M53" s="2"/>
      <c r="N53" s="6">
        <f t="shared" si="31"/>
        <v>5.9288888888888905E-2</v>
      </c>
      <c r="O53" s="11"/>
      <c r="P53" s="7">
        <v>416.27</v>
      </c>
      <c r="Q53" s="2"/>
      <c r="R53" s="6">
        <f t="shared" si="32"/>
        <v>3.9077190645603777E-4</v>
      </c>
      <c r="S53" s="2"/>
      <c r="T53" s="7">
        <v>675</v>
      </c>
      <c r="U53" s="2"/>
      <c r="V53" s="6">
        <f t="shared" si="33"/>
        <v>6.1104221170123207E-4</v>
      </c>
      <c r="W53" s="2"/>
      <c r="X53" s="7">
        <f t="shared" si="34"/>
        <v>-258.73</v>
      </c>
      <c r="Y53" s="2"/>
      <c r="Z53" s="6">
        <f t="shared" si="35"/>
        <v>-0.38330370370370376</v>
      </c>
    </row>
    <row r="54" spans="1:26" s="26" customFormat="1" outlineLevel="1" collapsed="1" x14ac:dyDescent="0.25">
      <c r="A54" s="27"/>
      <c r="B54" s="13" t="str">
        <f>CONCATENATE("     ","Donations                                         ")</f>
        <v xml:space="preserve">     Donations                                         </v>
      </c>
      <c r="C54" s="13"/>
      <c r="D54" s="1">
        <f>SUM(OSRRefD22_5x_0)</f>
        <v>11481.77</v>
      </c>
      <c r="E54" s="1"/>
      <c r="F54" s="5">
        <f t="shared" si="28"/>
        <v>1.9907174740122248E-2</v>
      </c>
      <c r="G54" s="1"/>
      <c r="H54" s="1">
        <f>SUM(OSRRefH22_5x_0)</f>
        <v>11000</v>
      </c>
      <c r="I54" s="1"/>
      <c r="J54" s="5">
        <f t="shared" si="29"/>
        <v>1.8072190185157804E-2</v>
      </c>
      <c r="K54" s="1"/>
      <c r="L54" s="1">
        <f t="shared" si="30"/>
        <v>481.77000000000044</v>
      </c>
      <c r="M54" s="1"/>
      <c r="N54" s="5">
        <f t="shared" si="31"/>
        <v>4.3797272727272768E-2</v>
      </c>
      <c r="O54" s="13"/>
      <c r="P54" s="1">
        <f>SUM(OSRRefP22_5x_0)</f>
        <v>15377.79</v>
      </c>
      <c r="Q54" s="1"/>
      <c r="R54" s="5">
        <f t="shared" si="32"/>
        <v>1.443584287933455E-2</v>
      </c>
      <c r="S54" s="1"/>
      <c r="T54" s="1">
        <f>SUM(OSRRefT22_5x_0)</f>
        <v>16000</v>
      </c>
      <c r="U54" s="1"/>
      <c r="V54" s="5">
        <f t="shared" si="33"/>
        <v>1.4483963536621796E-2</v>
      </c>
      <c r="W54" s="1"/>
      <c r="X54" s="1">
        <f t="shared" si="34"/>
        <v>-622.20999999999913</v>
      </c>
      <c r="Y54" s="1"/>
      <c r="Z54" s="5">
        <f t="shared" si="35"/>
        <v>-3.8888124999999947E-2</v>
      </c>
    </row>
    <row r="55" spans="1:26" s="24" customFormat="1" hidden="1" outlineLevel="2" x14ac:dyDescent="0.25">
      <c r="A55" s="25"/>
      <c r="B55" s="11" t="str">
        <f>CONCATENATE("          ", "6399", " - ", "DONATION-ON CAMPUS")</f>
        <v xml:space="preserve">          6399 - DONATION-ON CAMPUS</v>
      </c>
      <c r="C55" s="11"/>
      <c r="D55" s="7">
        <v>11481.77</v>
      </c>
      <c r="E55" s="2"/>
      <c r="F55" s="6">
        <f t="shared" si="28"/>
        <v>1.9907174740122248E-2</v>
      </c>
      <c r="G55" s="2"/>
      <c r="H55" s="7">
        <v>11000</v>
      </c>
      <c r="I55" s="2"/>
      <c r="J55" s="6">
        <f t="shared" si="29"/>
        <v>1.8072190185157804E-2</v>
      </c>
      <c r="K55" s="2"/>
      <c r="L55" s="7">
        <f t="shared" si="30"/>
        <v>481.77000000000044</v>
      </c>
      <c r="M55" s="2"/>
      <c r="N55" s="6">
        <f t="shared" si="31"/>
        <v>4.3797272727272768E-2</v>
      </c>
      <c r="O55" s="11"/>
      <c r="P55" s="7">
        <v>15377.79</v>
      </c>
      <c r="Q55" s="2"/>
      <c r="R55" s="6">
        <f t="shared" si="32"/>
        <v>1.443584287933455E-2</v>
      </c>
      <c r="S55" s="2"/>
      <c r="T55" s="7">
        <v>16000</v>
      </c>
      <c r="U55" s="2"/>
      <c r="V55" s="6">
        <f t="shared" si="33"/>
        <v>1.4483963536621796E-2</v>
      </c>
      <c r="W55" s="2"/>
      <c r="X55" s="7">
        <f t="shared" si="34"/>
        <v>-622.20999999999913</v>
      </c>
      <c r="Y55" s="2"/>
      <c r="Z55" s="6">
        <f t="shared" si="35"/>
        <v>-3.8888124999999947E-2</v>
      </c>
    </row>
    <row r="56" spans="1:26" s="26" customFormat="1" outlineLevel="1" collapsed="1" x14ac:dyDescent="0.25">
      <c r="A56" s="27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SUM(OSRRefD22_6x_0)</f>
        <v>21.33</v>
      </c>
      <c r="E56" s="1"/>
      <c r="F56" s="5">
        <f t="shared" si="28"/>
        <v>3.6982106174118406E-5</v>
      </c>
      <c r="G56" s="1"/>
      <c r="H56" s="1">
        <f>SUM(OSRRefH22_6x_0)</f>
        <v>150</v>
      </c>
      <c r="I56" s="1"/>
      <c r="J56" s="5">
        <f t="shared" si="29"/>
        <v>2.4643895707033366E-4</v>
      </c>
      <c r="K56" s="1"/>
      <c r="L56" s="1">
        <f t="shared" si="30"/>
        <v>-128.67000000000002</v>
      </c>
      <c r="M56" s="1"/>
      <c r="N56" s="5">
        <f t="shared" si="31"/>
        <v>-0.85780000000000012</v>
      </c>
      <c r="O56" s="13"/>
      <c r="P56" s="1">
        <f>SUM(OSRRefP22_6x_0)</f>
        <v>21.33</v>
      </c>
      <c r="Q56" s="1"/>
      <c r="R56" s="5">
        <f t="shared" si="32"/>
        <v>2.0023457767091754E-5</v>
      </c>
      <c r="S56" s="1"/>
      <c r="T56" s="1">
        <f>SUM(OSRRefT22_6x_0)</f>
        <v>460</v>
      </c>
      <c r="U56" s="1"/>
      <c r="V56" s="5">
        <f t="shared" si="33"/>
        <v>4.1641395167787667E-4</v>
      </c>
      <c r="W56" s="1"/>
      <c r="X56" s="1">
        <f t="shared" si="34"/>
        <v>-438.67</v>
      </c>
      <c r="Y56" s="1"/>
      <c r="Z56" s="5">
        <f t="shared" si="35"/>
        <v>-0.95363043478260878</v>
      </c>
    </row>
    <row r="57" spans="1:26" s="24" customFormat="1" hidden="1" outlineLevel="2" x14ac:dyDescent="0.25">
      <c r="A57" s="25"/>
      <c r="B57" s="11" t="str">
        <f>CONCATENATE("          ", "6277", " - ", "EMPLOYEE APPRECIATION")</f>
        <v xml:space="preserve">          6277 - EMPLOYEE APPRECIATION</v>
      </c>
      <c r="C57" s="11"/>
      <c r="D57" s="7">
        <v>21.33</v>
      </c>
      <c r="E57" s="2"/>
      <c r="F57" s="6">
        <f t="shared" si="28"/>
        <v>3.6982106174118406E-5</v>
      </c>
      <c r="G57" s="2"/>
      <c r="H57" s="7">
        <v>150</v>
      </c>
      <c r="I57" s="2"/>
      <c r="J57" s="6">
        <f t="shared" si="29"/>
        <v>2.4643895707033366E-4</v>
      </c>
      <c r="K57" s="2"/>
      <c r="L57" s="7">
        <f t="shared" si="30"/>
        <v>-128.67000000000002</v>
      </c>
      <c r="M57" s="2"/>
      <c r="N57" s="6">
        <f t="shared" si="31"/>
        <v>-0.85780000000000012</v>
      </c>
      <c r="O57" s="11"/>
      <c r="P57" s="7">
        <v>21.33</v>
      </c>
      <c r="Q57" s="2"/>
      <c r="R57" s="6">
        <f t="shared" si="32"/>
        <v>2.0023457767091754E-5</v>
      </c>
      <c r="S57" s="2"/>
      <c r="T57" s="7">
        <v>460</v>
      </c>
      <c r="U57" s="2"/>
      <c r="V57" s="6">
        <f t="shared" si="33"/>
        <v>4.1641395167787667E-4</v>
      </c>
      <c r="W57" s="2"/>
      <c r="X57" s="7">
        <f t="shared" si="34"/>
        <v>-438.67</v>
      </c>
      <c r="Y57" s="2"/>
      <c r="Z57" s="6">
        <f t="shared" si="35"/>
        <v>-0.95363043478260878</v>
      </c>
    </row>
    <row r="58" spans="1:26" s="26" customFormat="1" outlineLevel="1" collapsed="1" x14ac:dyDescent="0.25">
      <c r="A58" s="27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SUM(OSRRefD22_7x_0)</f>
        <v>-355.28</v>
      </c>
      <c r="E58" s="1"/>
      <c r="F58" s="5">
        <f t="shared" si="28"/>
        <v>-6.1598699866576598E-4</v>
      </c>
      <c r="G58" s="1"/>
      <c r="H58" s="1">
        <f>SUM(OSRRefH22_7x_0)</f>
        <v>400</v>
      </c>
      <c r="I58" s="1"/>
      <c r="J58" s="5">
        <f t="shared" si="29"/>
        <v>6.5717055218755653E-4</v>
      </c>
      <c r="K58" s="1"/>
      <c r="L58" s="1">
        <f t="shared" si="30"/>
        <v>-755.28</v>
      </c>
      <c r="M58" s="1"/>
      <c r="N58" s="5">
        <f t="shared" si="31"/>
        <v>-1.8881999999999999</v>
      </c>
      <c r="O58" s="13"/>
      <c r="P58" s="1">
        <f>SUM(OSRRefP22_7x_0)</f>
        <v>544.88</v>
      </c>
      <c r="Q58" s="1"/>
      <c r="R58" s="5">
        <f t="shared" si="32"/>
        <v>5.115040632036079E-4</v>
      </c>
      <c r="S58" s="1"/>
      <c r="T58" s="1">
        <f>SUM(OSRRefT22_7x_0)</f>
        <v>1400</v>
      </c>
      <c r="U58" s="1"/>
      <c r="V58" s="5">
        <f t="shared" si="33"/>
        <v>1.2673468094544073E-3</v>
      </c>
      <c r="W58" s="1"/>
      <c r="X58" s="1">
        <f t="shared" si="34"/>
        <v>-855.12</v>
      </c>
      <c r="Y58" s="1"/>
      <c r="Z58" s="5">
        <f t="shared" si="35"/>
        <v>-0.61080000000000001</v>
      </c>
    </row>
    <row r="59" spans="1:26" s="24" customFormat="1" hidden="1" outlineLevel="2" x14ac:dyDescent="0.25">
      <c r="A59" s="25"/>
      <c r="B59" s="11" t="str">
        <f>CONCATENATE("          ", "6351", " - ", "EQUIPMENT RENTAL")</f>
        <v xml:space="preserve">          6351 - EQUIPMENT RENTAL</v>
      </c>
      <c r="C59" s="11"/>
      <c r="D59" s="7">
        <v>-355.28</v>
      </c>
      <c r="E59" s="2"/>
      <c r="F59" s="6">
        <f t="shared" si="28"/>
        <v>-6.1598699866576598E-4</v>
      </c>
      <c r="G59" s="2"/>
      <c r="H59" s="7">
        <v>400</v>
      </c>
      <c r="I59" s="2"/>
      <c r="J59" s="6">
        <f t="shared" si="29"/>
        <v>6.5717055218755653E-4</v>
      </c>
      <c r="K59" s="2"/>
      <c r="L59" s="7">
        <f t="shared" si="30"/>
        <v>-755.28</v>
      </c>
      <c r="M59" s="2"/>
      <c r="N59" s="6">
        <f t="shared" si="31"/>
        <v>-1.8881999999999999</v>
      </c>
      <c r="O59" s="11"/>
      <c r="P59" s="7">
        <v>544.88</v>
      </c>
      <c r="Q59" s="2"/>
      <c r="R59" s="6">
        <f t="shared" si="32"/>
        <v>5.115040632036079E-4</v>
      </c>
      <c r="S59" s="2"/>
      <c r="T59" s="7">
        <v>1400</v>
      </c>
      <c r="U59" s="2"/>
      <c r="V59" s="6">
        <f t="shared" si="33"/>
        <v>1.2673468094544073E-3</v>
      </c>
      <c r="W59" s="2"/>
      <c r="X59" s="7">
        <f t="shared" si="34"/>
        <v>-855.12</v>
      </c>
      <c r="Y59" s="2"/>
      <c r="Z59" s="6">
        <f t="shared" si="35"/>
        <v>-0.61080000000000001</v>
      </c>
    </row>
    <row r="60" spans="1:26" s="26" customFormat="1" outlineLevel="1" collapsed="1" x14ac:dyDescent="0.25">
      <c r="A60" s="27"/>
      <c r="B60" s="13" t="str">
        <f>CONCATENATE("     ","General                                           ")</f>
        <v xml:space="preserve">     General                                           </v>
      </c>
      <c r="C60" s="13"/>
      <c r="D60" s="1">
        <f>SUM(OSRRefD22_8x_0)</f>
        <v>0</v>
      </c>
      <c r="E60" s="1"/>
      <c r="F60" s="5">
        <f t="shared" si="28"/>
        <v>0</v>
      </c>
      <c r="G60" s="1"/>
      <c r="H60" s="1">
        <f>SUM(OSRRefH22_8x_0)</f>
        <v>150</v>
      </c>
      <c r="I60" s="1"/>
      <c r="J60" s="5">
        <f t="shared" si="29"/>
        <v>2.4643895707033366E-4</v>
      </c>
      <c r="K60" s="1"/>
      <c r="L60" s="1">
        <f t="shared" si="30"/>
        <v>-150</v>
      </c>
      <c r="M60" s="1"/>
      <c r="N60" s="5">
        <f t="shared" si="31"/>
        <v>-1</v>
      </c>
      <c r="O60" s="13"/>
      <c r="P60" s="1">
        <f>SUM(OSRRefP22_8x_0)</f>
        <v>1499.55</v>
      </c>
      <c r="Q60" s="1"/>
      <c r="R60" s="5">
        <f t="shared" si="32"/>
        <v>1.4076969570859092E-3</v>
      </c>
      <c r="S60" s="1"/>
      <c r="T60" s="1">
        <f>SUM(OSRRefT22_8x_0)</f>
        <v>1900</v>
      </c>
      <c r="U60" s="1"/>
      <c r="V60" s="5">
        <f t="shared" si="33"/>
        <v>1.7199706699738383E-3</v>
      </c>
      <c r="W60" s="1"/>
      <c r="X60" s="1">
        <f t="shared" si="34"/>
        <v>-400.45000000000005</v>
      </c>
      <c r="Y60" s="1"/>
      <c r="Z60" s="5">
        <f t="shared" si="35"/>
        <v>-0.21076315789473687</v>
      </c>
    </row>
    <row r="61" spans="1:26" s="24" customFormat="1" hidden="1" outlineLevel="2" x14ac:dyDescent="0.25">
      <c r="A61" s="25"/>
      <c r="B61" s="11" t="str">
        <f>CONCATENATE("          ", "6279", " - ", "GENERAL EXPENSE")</f>
        <v xml:space="preserve">          6279 - GENERAL EXPENSE</v>
      </c>
      <c r="C61" s="11"/>
      <c r="D61" s="7"/>
      <c r="E61" s="2"/>
      <c r="F61" s="6">
        <f t="shared" si="28"/>
        <v>0</v>
      </c>
      <c r="G61" s="2"/>
      <c r="H61" s="7">
        <v>150</v>
      </c>
      <c r="I61" s="2"/>
      <c r="J61" s="6">
        <f t="shared" si="29"/>
        <v>2.4643895707033366E-4</v>
      </c>
      <c r="K61" s="2"/>
      <c r="L61" s="7">
        <f t="shared" si="30"/>
        <v>-150</v>
      </c>
      <c r="M61" s="2"/>
      <c r="N61" s="6">
        <f t="shared" si="31"/>
        <v>-1</v>
      </c>
      <c r="O61" s="11"/>
      <c r="P61" s="7">
        <v>1499.55</v>
      </c>
      <c r="Q61" s="2"/>
      <c r="R61" s="6">
        <f t="shared" si="32"/>
        <v>1.4076969570859092E-3</v>
      </c>
      <c r="S61" s="2"/>
      <c r="T61" s="7">
        <v>1900</v>
      </c>
      <c r="U61" s="2"/>
      <c r="V61" s="6">
        <f t="shared" si="33"/>
        <v>1.7199706699738383E-3</v>
      </c>
      <c r="W61" s="2"/>
      <c r="X61" s="7">
        <f t="shared" si="34"/>
        <v>-400.45000000000005</v>
      </c>
      <c r="Y61" s="2"/>
      <c r="Z61" s="6">
        <f t="shared" si="35"/>
        <v>-0.21076315789473687</v>
      </c>
    </row>
    <row r="62" spans="1:26" s="26" customFormat="1" outlineLevel="1" collapsed="1" x14ac:dyDescent="0.25">
      <c r="A62" s="27"/>
      <c r="B62" s="13" t="str">
        <f>CONCATENATE("     ","R/H Commissions                                   ")</f>
        <v xml:space="preserve">     R/H Commissions                                   </v>
      </c>
      <c r="C62" s="13"/>
      <c r="D62" s="1">
        <f>SUM(OSRRefD22_9x_0)</f>
        <v>49689.440000000002</v>
      </c>
      <c r="E62" s="1"/>
      <c r="F62" s="5">
        <f t="shared" si="28"/>
        <v>8.6151905570205647E-2</v>
      </c>
      <c r="G62" s="1"/>
      <c r="H62" s="1">
        <f>SUM(OSRRefH22_9x_0)</f>
        <v>48694</v>
      </c>
      <c r="I62" s="1"/>
      <c r="J62" s="5">
        <f t="shared" si="29"/>
        <v>8.0000657170552186E-2</v>
      </c>
      <c r="K62" s="1"/>
      <c r="L62" s="1">
        <f t="shared" si="30"/>
        <v>995.44000000000233</v>
      </c>
      <c r="M62" s="1"/>
      <c r="N62" s="5">
        <f t="shared" si="31"/>
        <v>2.0442765022384735E-2</v>
      </c>
      <c r="O62" s="13"/>
      <c r="P62" s="1">
        <f>SUM(OSRRefP22_9x_0)</f>
        <v>80444.280000000013</v>
      </c>
      <c r="Q62" s="1"/>
      <c r="R62" s="5">
        <f t="shared" si="32"/>
        <v>7.5516767144121158E-2</v>
      </c>
      <c r="S62" s="1"/>
      <c r="T62" s="1">
        <f>SUM(OSRRefT22_9x_0)</f>
        <v>88374</v>
      </c>
      <c r="U62" s="1"/>
      <c r="V62" s="5">
        <f t="shared" si="33"/>
        <v>8.000036209908841E-2</v>
      </c>
      <c r="W62" s="1"/>
      <c r="X62" s="1">
        <f t="shared" si="34"/>
        <v>-7929.7199999999866</v>
      </c>
      <c r="Y62" s="1"/>
      <c r="Z62" s="5">
        <f t="shared" si="35"/>
        <v>-8.9729105845610543E-2</v>
      </c>
    </row>
    <row r="63" spans="1:26" s="24" customFormat="1" hidden="1" outlineLevel="2" x14ac:dyDescent="0.25">
      <c r="A63" s="25"/>
      <c r="B63" s="11" t="str">
        <f>CONCATENATE("          ", "6387", " - ", "COMMISSION DUE HOUSING")</f>
        <v xml:space="preserve">          6387 - COMMISSION DUE HOUSING</v>
      </c>
      <c r="C63" s="11"/>
      <c r="D63" s="7">
        <v>49689.440000000002</v>
      </c>
      <c r="E63" s="2"/>
      <c r="F63" s="6">
        <f t="shared" si="28"/>
        <v>8.6151905570205647E-2</v>
      </c>
      <c r="G63" s="2"/>
      <c r="H63" s="7">
        <v>48694</v>
      </c>
      <c r="I63" s="2"/>
      <c r="J63" s="6">
        <f t="shared" si="29"/>
        <v>8.0000657170552186E-2</v>
      </c>
      <c r="K63" s="2"/>
      <c r="L63" s="7">
        <f t="shared" si="30"/>
        <v>995.44000000000233</v>
      </c>
      <c r="M63" s="2"/>
      <c r="N63" s="6">
        <f t="shared" si="31"/>
        <v>2.0442765022384735E-2</v>
      </c>
      <c r="O63" s="11"/>
      <c r="P63" s="7">
        <v>80444.280000000013</v>
      </c>
      <c r="Q63" s="2"/>
      <c r="R63" s="6">
        <f t="shared" si="32"/>
        <v>7.5516767144121158E-2</v>
      </c>
      <c r="S63" s="2"/>
      <c r="T63" s="7">
        <v>88374</v>
      </c>
      <c r="U63" s="2"/>
      <c r="V63" s="6">
        <f t="shared" si="33"/>
        <v>8.000036209908841E-2</v>
      </c>
      <c r="W63" s="2"/>
      <c r="X63" s="7">
        <f t="shared" si="34"/>
        <v>-7929.7199999999866</v>
      </c>
      <c r="Y63" s="2"/>
      <c r="Z63" s="6">
        <f t="shared" si="35"/>
        <v>-8.9729105845610543E-2</v>
      </c>
    </row>
    <row r="64" spans="1:26" s="26" customFormat="1" outlineLevel="1" collapsed="1" x14ac:dyDescent="0.25">
      <c r="A64" s="27"/>
      <c r="B64" s="13" t="str">
        <f>CONCATENATE("     ","Repair and Maintenance                            ")</f>
        <v xml:space="preserve">     Repair and Maintenance                            </v>
      </c>
      <c r="C64" s="13"/>
      <c r="D64" s="1">
        <f>SUM(OSRRefD22_10x_0)</f>
        <v>0</v>
      </c>
      <c r="E64" s="1"/>
      <c r="F64" s="5">
        <f t="shared" si="28"/>
        <v>0</v>
      </c>
      <c r="G64" s="1"/>
      <c r="H64" s="1">
        <f>SUM(OSRRefH22_10x_0)</f>
        <v>250</v>
      </c>
      <c r="I64" s="1"/>
      <c r="J64" s="5">
        <f t="shared" si="29"/>
        <v>4.1073159511722282E-4</v>
      </c>
      <c r="K64" s="1"/>
      <c r="L64" s="1">
        <f t="shared" si="30"/>
        <v>-250</v>
      </c>
      <c r="M64" s="1"/>
      <c r="N64" s="5">
        <f t="shared" si="31"/>
        <v>-1</v>
      </c>
      <c r="O64" s="13"/>
      <c r="P64" s="1">
        <f>SUM(OSRRefP22_10x_0)</f>
        <v>0</v>
      </c>
      <c r="Q64" s="1"/>
      <c r="R64" s="5">
        <f t="shared" si="32"/>
        <v>0</v>
      </c>
      <c r="S64" s="1"/>
      <c r="T64" s="1">
        <f>SUM(OSRRefT22_10x_0)</f>
        <v>2550</v>
      </c>
      <c r="U64" s="1"/>
      <c r="V64" s="5">
        <f t="shared" si="33"/>
        <v>2.3083816886490987E-3</v>
      </c>
      <c r="W64" s="1"/>
      <c r="X64" s="1">
        <f t="shared" si="34"/>
        <v>-2550</v>
      </c>
      <c r="Y64" s="1"/>
      <c r="Z64" s="5">
        <f t="shared" si="35"/>
        <v>-1</v>
      </c>
    </row>
    <row r="65" spans="1:26" s="24" customFormat="1" hidden="1" outlineLevel="2" x14ac:dyDescent="0.25">
      <c r="A65" s="25"/>
      <c r="B65" s="11" t="str">
        <f>CONCATENATE("          ", "6373", " - ", "MAINTENANCE CONTRACTS")</f>
        <v xml:space="preserve">          6373 - MAINTENANCE CONTRACTS</v>
      </c>
      <c r="C65" s="11"/>
      <c r="D65" s="7"/>
      <c r="E65" s="2"/>
      <c r="F65" s="6">
        <f t="shared" si="28"/>
        <v>0</v>
      </c>
      <c r="G65" s="2"/>
      <c r="H65" s="7"/>
      <c r="I65" s="2"/>
      <c r="J65" s="6">
        <f t="shared" si="29"/>
        <v>0</v>
      </c>
      <c r="K65" s="2"/>
      <c r="L65" s="7">
        <f t="shared" si="30"/>
        <v>0</v>
      </c>
      <c r="M65" s="2"/>
      <c r="N65" s="6">
        <f t="shared" si="31"/>
        <v>0</v>
      </c>
      <c r="O65" s="11"/>
      <c r="P65" s="7"/>
      <c r="Q65" s="2"/>
      <c r="R65" s="6">
        <f t="shared" si="32"/>
        <v>0</v>
      </c>
      <c r="S65" s="2"/>
      <c r="T65" s="7">
        <v>1800</v>
      </c>
      <c r="U65" s="2"/>
      <c r="V65" s="6">
        <f t="shared" si="33"/>
        <v>1.6294458978699522E-3</v>
      </c>
      <c r="W65" s="2"/>
      <c r="X65" s="7">
        <f t="shared" si="34"/>
        <v>-1800</v>
      </c>
      <c r="Y65" s="2"/>
      <c r="Z65" s="6">
        <f t="shared" si="35"/>
        <v>-1</v>
      </c>
    </row>
    <row r="66" spans="1:26" s="24" customFormat="1" hidden="1" outlineLevel="2" x14ac:dyDescent="0.25">
      <c r="A66" s="25"/>
      <c r="B66" s="11" t="str">
        <f>CONCATENATE("          ", "6375", " - ", "OUTSIDE REPAIRS &amp; MAINTENANCE")</f>
        <v xml:space="preserve">          6375 - OUTSIDE REPAIRS &amp; MAINTENANCE</v>
      </c>
      <c r="C66" s="11"/>
      <c r="D66" s="7"/>
      <c r="E66" s="2"/>
      <c r="F66" s="6">
        <f t="shared" si="28"/>
        <v>0</v>
      </c>
      <c r="G66" s="2"/>
      <c r="H66" s="7">
        <v>250</v>
      </c>
      <c r="I66" s="2"/>
      <c r="J66" s="6">
        <f t="shared" si="29"/>
        <v>4.1073159511722282E-4</v>
      </c>
      <c r="K66" s="2"/>
      <c r="L66" s="7">
        <f t="shared" si="30"/>
        <v>-250</v>
      </c>
      <c r="M66" s="2"/>
      <c r="N66" s="6">
        <f t="shared" si="31"/>
        <v>-1</v>
      </c>
      <c r="O66" s="11"/>
      <c r="P66" s="7"/>
      <c r="Q66" s="2"/>
      <c r="R66" s="6">
        <f t="shared" si="32"/>
        <v>0</v>
      </c>
      <c r="S66" s="2"/>
      <c r="T66" s="7">
        <v>750</v>
      </c>
      <c r="U66" s="2"/>
      <c r="V66" s="6">
        <f t="shared" si="33"/>
        <v>6.7893579077914668E-4</v>
      </c>
      <c r="W66" s="2"/>
      <c r="X66" s="7">
        <f t="shared" si="34"/>
        <v>-750</v>
      </c>
      <c r="Y66" s="2"/>
      <c r="Z66" s="6">
        <f t="shared" si="35"/>
        <v>-1</v>
      </c>
    </row>
    <row r="67" spans="1:26" s="26" customFormat="1" outlineLevel="1" collapsed="1" x14ac:dyDescent="0.25">
      <c r="A67" s="27"/>
      <c r="B67" s="13" t="str">
        <f>CONCATENATE("     ","Services                                          ")</f>
        <v xml:space="preserve">     Services                                          </v>
      </c>
      <c r="C67" s="13"/>
      <c r="D67" s="1">
        <f>SUM(OSRRefD22_11x_0)</f>
        <v>7161.7699999999995</v>
      </c>
      <c r="E67" s="1"/>
      <c r="F67" s="5">
        <f t="shared" ref="F67:F71" si="36">IF(D$12=0,0,D67/D$12)</f>
        <v>1.2417127920047632E-2</v>
      </c>
      <c r="G67" s="1"/>
      <c r="H67" s="1">
        <f>SUM(OSRRefH22_11x_0)</f>
        <v>6440</v>
      </c>
      <c r="I67" s="1"/>
      <c r="J67" s="5">
        <f t="shared" ref="J67:J71" si="37">IF(H$12=0,0,H67/H$12)</f>
        <v>1.0580445890219659E-2</v>
      </c>
      <c r="K67" s="1"/>
      <c r="L67" s="1">
        <f t="shared" ref="L67:L71" si="38">+D67-H67</f>
        <v>721.76999999999953</v>
      </c>
      <c r="M67" s="1"/>
      <c r="N67" s="5">
        <f t="shared" ref="N67:N71" si="39">IF(H67=0,0,L67/H67)</f>
        <v>0.11207608695652166</v>
      </c>
      <c r="O67" s="13"/>
      <c r="P67" s="1">
        <f>SUM(OSRRefP22_11x_0)</f>
        <v>19908.07</v>
      </c>
      <c r="Q67" s="1"/>
      <c r="R67" s="5">
        <f t="shared" ref="R67:R71" si="40">IF(P$12=0,0,P67/P$12)</f>
        <v>1.8688626294857309E-2</v>
      </c>
      <c r="S67" s="1"/>
      <c r="T67" s="1">
        <f>SUM(OSRRefT22_11x_0)</f>
        <v>19420</v>
      </c>
      <c r="U67" s="1"/>
      <c r="V67" s="5">
        <f t="shared" ref="V67:V71" si="41">IF(T$12=0,0,T67/T$12)</f>
        <v>1.7579910742574707E-2</v>
      </c>
      <c r="W67" s="1"/>
      <c r="X67" s="1">
        <f t="shared" ref="X67:X71" si="42">+P67-T67</f>
        <v>488.06999999999971</v>
      </c>
      <c r="Y67" s="1"/>
      <c r="Z67" s="5">
        <f t="shared" ref="Z67:Z71" si="43">IF(T67=0,0,X67/T67)</f>
        <v>2.5132337796086493E-2</v>
      </c>
    </row>
    <row r="68" spans="1:26" s="24" customFormat="1" hidden="1" outlineLevel="2" x14ac:dyDescent="0.25">
      <c r="A68" s="25"/>
      <c r="B68" s="11" t="str">
        <f>CONCATENATE("          ", "6282", " - ", "JANITORIAL/EXTERMINATOR EXPENS")</f>
        <v xml:space="preserve">          6282 - JANITORIAL/EXTERMINATOR EXPENS</v>
      </c>
      <c r="C68" s="11"/>
      <c r="D68" s="7">
        <v>537.32000000000005</v>
      </c>
      <c r="E68" s="2"/>
      <c r="F68" s="6">
        <f t="shared" si="36"/>
        <v>9.316092493894658E-4</v>
      </c>
      <c r="G68" s="2"/>
      <c r="H68" s="7">
        <v>450</v>
      </c>
      <c r="I68" s="2"/>
      <c r="J68" s="6">
        <f t="shared" si="37"/>
        <v>7.3931687121100108E-4</v>
      </c>
      <c r="K68" s="2"/>
      <c r="L68" s="7">
        <f t="shared" si="38"/>
        <v>87.32000000000005</v>
      </c>
      <c r="M68" s="2"/>
      <c r="N68" s="6">
        <f t="shared" si="39"/>
        <v>0.19404444444444455</v>
      </c>
      <c r="O68" s="11"/>
      <c r="P68" s="7">
        <v>1371.96</v>
      </c>
      <c r="Q68" s="2"/>
      <c r="R68" s="6">
        <f t="shared" si="40"/>
        <v>1.2879223215255136E-3</v>
      </c>
      <c r="S68" s="2"/>
      <c r="T68" s="7">
        <v>1350</v>
      </c>
      <c r="U68" s="2"/>
      <c r="V68" s="6">
        <f t="shared" si="41"/>
        <v>1.2220844234024641E-3</v>
      </c>
      <c r="W68" s="2"/>
      <c r="X68" s="7">
        <f t="shared" si="42"/>
        <v>21.960000000000036</v>
      </c>
      <c r="Y68" s="2"/>
      <c r="Z68" s="6">
        <f t="shared" si="43"/>
        <v>1.6266666666666693E-2</v>
      </c>
    </row>
    <row r="69" spans="1:26" s="24" customFormat="1" hidden="1" outlineLevel="2" x14ac:dyDescent="0.25">
      <c r="A69" s="25"/>
      <c r="B69" s="11" t="str">
        <f>CONCATENATE("          ", "6284", " - ", "TRASH REMOVAL EXPENSE")</f>
        <v xml:space="preserve">          6284 - TRASH REMOVAL EXPENSE</v>
      </c>
      <c r="C69" s="11"/>
      <c r="D69" s="7"/>
      <c r="E69" s="2"/>
      <c r="F69" s="6">
        <f t="shared" si="36"/>
        <v>0</v>
      </c>
      <c r="G69" s="2"/>
      <c r="H69" s="7">
        <v>500</v>
      </c>
      <c r="I69" s="2"/>
      <c r="J69" s="6">
        <f t="shared" si="37"/>
        <v>8.2146319023444563E-4</v>
      </c>
      <c r="K69" s="2"/>
      <c r="L69" s="7">
        <f t="shared" si="38"/>
        <v>-500</v>
      </c>
      <c r="M69" s="2"/>
      <c r="N69" s="6">
        <f t="shared" si="39"/>
        <v>-1</v>
      </c>
      <c r="O69" s="11"/>
      <c r="P69" s="7"/>
      <c r="Q69" s="2"/>
      <c r="R69" s="6">
        <f t="shared" si="40"/>
        <v>0</v>
      </c>
      <c r="S69" s="2"/>
      <c r="T69" s="7">
        <v>1600</v>
      </c>
      <c r="U69" s="2"/>
      <c r="V69" s="6">
        <f t="shared" si="41"/>
        <v>1.4483963536621796E-3</v>
      </c>
      <c r="W69" s="2"/>
      <c r="X69" s="7">
        <f t="shared" si="42"/>
        <v>-1600</v>
      </c>
      <c r="Y69" s="2"/>
      <c r="Z69" s="6">
        <f t="shared" si="43"/>
        <v>-1</v>
      </c>
    </row>
    <row r="70" spans="1:26" s="24" customFormat="1" hidden="1" outlineLevel="2" x14ac:dyDescent="0.25">
      <c r="A70" s="25"/>
      <c r="B70" s="11" t="str">
        <f>CONCATENATE("          ", "6285", " - ", "JANITORIAL SERVICES")</f>
        <v xml:space="preserve">          6285 - JANITORIAL SERVICES</v>
      </c>
      <c r="C70" s="11"/>
      <c r="D70" s="7">
        <v>4916.07</v>
      </c>
      <c r="E70" s="2"/>
      <c r="F70" s="6">
        <f t="shared" si="36"/>
        <v>8.5235172386028263E-3</v>
      </c>
      <c r="G70" s="2"/>
      <c r="H70" s="7">
        <v>3890</v>
      </c>
      <c r="I70" s="2"/>
      <c r="J70" s="6">
        <f t="shared" si="37"/>
        <v>6.3909836200239864E-3</v>
      </c>
      <c r="K70" s="2"/>
      <c r="L70" s="7">
        <f t="shared" si="38"/>
        <v>1026.0699999999997</v>
      </c>
      <c r="M70" s="2"/>
      <c r="N70" s="6">
        <f t="shared" si="39"/>
        <v>0.26377120822622102</v>
      </c>
      <c r="O70" s="11"/>
      <c r="P70" s="7">
        <v>12903.17</v>
      </c>
      <c r="Q70" s="2"/>
      <c r="R70" s="6">
        <f t="shared" si="40"/>
        <v>1.2112802604622847E-2</v>
      </c>
      <c r="S70" s="2"/>
      <c r="T70" s="7">
        <v>11670</v>
      </c>
      <c r="U70" s="2"/>
      <c r="V70" s="6">
        <f t="shared" si="41"/>
        <v>1.0564240904523523E-2</v>
      </c>
      <c r="W70" s="2"/>
      <c r="X70" s="7">
        <f t="shared" si="42"/>
        <v>1233.17</v>
      </c>
      <c r="Y70" s="2"/>
      <c r="Z70" s="6">
        <f t="shared" si="43"/>
        <v>0.10567009425878321</v>
      </c>
    </row>
    <row r="71" spans="1:26" s="24" customFormat="1" hidden="1" outlineLevel="2" x14ac:dyDescent="0.25">
      <c r="A71" s="25"/>
      <c r="B71" s="11" t="str">
        <f>CONCATENATE("          ", "6286", " - ", "LAUNDRY EXPENSE")</f>
        <v xml:space="preserve">          6286 - LAUNDRY EXPENSE</v>
      </c>
      <c r="C71" s="11"/>
      <c r="D71" s="7">
        <v>1708.38</v>
      </c>
      <c r="E71" s="2"/>
      <c r="F71" s="6">
        <f t="shared" si="36"/>
        <v>2.9620014320553404E-3</v>
      </c>
      <c r="G71" s="2"/>
      <c r="H71" s="7">
        <v>1600</v>
      </c>
      <c r="I71" s="2"/>
      <c r="J71" s="6">
        <f t="shared" si="37"/>
        <v>2.6286822087502261E-3</v>
      </c>
      <c r="K71" s="2"/>
      <c r="L71" s="7">
        <f t="shared" si="38"/>
        <v>108.38000000000011</v>
      </c>
      <c r="M71" s="2"/>
      <c r="N71" s="6">
        <f t="shared" si="39"/>
        <v>6.7737500000000062E-2</v>
      </c>
      <c r="O71" s="11"/>
      <c r="P71" s="7">
        <v>5632.94</v>
      </c>
      <c r="Q71" s="2"/>
      <c r="R71" s="6">
        <f t="shared" si="40"/>
        <v>5.2879013687089464E-3</v>
      </c>
      <c r="S71" s="2"/>
      <c r="T71" s="7">
        <v>4800</v>
      </c>
      <c r="U71" s="2"/>
      <c r="V71" s="6">
        <f t="shared" si="41"/>
        <v>4.3451890609865389E-3</v>
      </c>
      <c r="W71" s="2"/>
      <c r="X71" s="7">
        <f t="shared" si="42"/>
        <v>832.9399999999996</v>
      </c>
      <c r="Y71" s="2"/>
      <c r="Z71" s="6">
        <f t="shared" si="43"/>
        <v>0.1735291666666666</v>
      </c>
    </row>
    <row r="72" spans="1:26" s="26" customFormat="1" outlineLevel="1" collapsed="1" x14ac:dyDescent="0.25">
      <c r="A72" s="27"/>
      <c r="B72" s="13" t="str">
        <f>CONCATENATE("     ","Supplies                                          ")</f>
        <v xml:space="preserve">     Supplies                                          </v>
      </c>
      <c r="C72" s="13"/>
      <c r="D72" s="1">
        <f>SUM(OSRRefD22_12x_0)</f>
        <v>5428.13</v>
      </c>
      <c r="E72" s="1"/>
      <c r="F72" s="5">
        <f t="shared" ref="F72:F79" si="44">IF(D$12=0,0,D72/D$12)</f>
        <v>9.4113305197804677E-3</v>
      </c>
      <c r="G72" s="1"/>
      <c r="H72" s="1">
        <f>SUM(OSRRefH22_12x_0)</f>
        <v>8385</v>
      </c>
      <c r="I72" s="1"/>
      <c r="J72" s="5">
        <f t="shared" ref="J72:J79" si="45">IF(H$12=0,0,H72/H$12)</f>
        <v>1.3775937700231652E-2</v>
      </c>
      <c r="K72" s="1"/>
      <c r="L72" s="1">
        <f t="shared" ref="L72:L79" si="46">+D72-H72</f>
        <v>-2956.87</v>
      </c>
      <c r="M72" s="1"/>
      <c r="N72" s="5">
        <f t="shared" ref="N72:N79" si="47">IF(H72=0,0,L72/H72)</f>
        <v>-0.35263804412641619</v>
      </c>
      <c r="O72" s="13"/>
      <c r="P72" s="1">
        <f>SUM(OSRRefP22_12x_0)</f>
        <v>20048.129999999997</v>
      </c>
      <c r="Q72" s="1"/>
      <c r="R72" s="5">
        <f t="shared" ref="R72:R79" si="48">IF(P$12=0,0,P72/P$12)</f>
        <v>1.882010709630404E-2</v>
      </c>
      <c r="S72" s="1"/>
      <c r="T72" s="1">
        <f>SUM(OSRRefT22_12x_0)</f>
        <v>28345</v>
      </c>
      <c r="U72" s="1"/>
      <c r="V72" s="5">
        <f t="shared" ref="V72:V79" si="49">IF(T$12=0,0,T72/T$12)</f>
        <v>2.5659246652846551E-2</v>
      </c>
      <c r="W72" s="1"/>
      <c r="X72" s="1">
        <f t="shared" ref="X72:X79" si="50">+P72-T72</f>
        <v>-8296.8700000000026</v>
      </c>
      <c r="Y72" s="1"/>
      <c r="Z72" s="5">
        <f t="shared" ref="Z72:Z79" si="51">IF(T72=0,0,X72/T72)</f>
        <v>-0.2927101781619334</v>
      </c>
    </row>
    <row r="73" spans="1:26" s="24" customFormat="1" hidden="1" outlineLevel="2" x14ac:dyDescent="0.25">
      <c r="A73" s="25"/>
      <c r="B73" s="11" t="str">
        <f>CONCATENATE("          ", "6237", " - ", "JANITORIAL SUPPLIES")</f>
        <v xml:space="preserve">          6237 - JANITORIAL SUPPLIES</v>
      </c>
      <c r="C73" s="11"/>
      <c r="D73" s="7">
        <v>2438.08</v>
      </c>
      <c r="E73" s="2"/>
      <c r="F73" s="6">
        <f t="shared" si="44"/>
        <v>4.227160497936925E-3</v>
      </c>
      <c r="G73" s="2"/>
      <c r="H73" s="7">
        <v>3900</v>
      </c>
      <c r="I73" s="2"/>
      <c r="J73" s="6">
        <f t="shared" si="45"/>
        <v>6.4074128838286755E-3</v>
      </c>
      <c r="K73" s="2"/>
      <c r="L73" s="7">
        <f t="shared" si="46"/>
        <v>-1461.92</v>
      </c>
      <c r="M73" s="2"/>
      <c r="N73" s="6">
        <f t="shared" si="47"/>
        <v>-0.3748512820512821</v>
      </c>
      <c r="O73" s="11"/>
      <c r="P73" s="7">
        <v>8275.76</v>
      </c>
      <c r="Q73" s="2"/>
      <c r="R73" s="6">
        <f t="shared" si="48"/>
        <v>7.7688387646782601E-3</v>
      </c>
      <c r="S73" s="2"/>
      <c r="T73" s="7">
        <v>12000</v>
      </c>
      <c r="U73" s="2"/>
      <c r="V73" s="6">
        <f t="shared" si="49"/>
        <v>1.0862972652466347E-2</v>
      </c>
      <c r="W73" s="2"/>
      <c r="X73" s="7">
        <f t="shared" si="50"/>
        <v>-3724.24</v>
      </c>
      <c r="Y73" s="2"/>
      <c r="Z73" s="6">
        <f t="shared" si="51"/>
        <v>-0.31035333333333331</v>
      </c>
    </row>
    <row r="74" spans="1:26" s="24" customFormat="1" hidden="1" outlineLevel="2" x14ac:dyDescent="0.25">
      <c r="A74" s="25"/>
      <c r="B74" s="11" t="str">
        <f>CONCATENATE("          ", "6239", " - ", "KITCHEN SUPPLIES")</f>
        <v xml:space="preserve">          6239 - KITCHEN SUPPLIES</v>
      </c>
      <c r="C74" s="11"/>
      <c r="D74" s="7">
        <v>351.88</v>
      </c>
      <c r="E74" s="2"/>
      <c r="F74" s="6">
        <f t="shared" si="44"/>
        <v>6.1009205440922584E-4</v>
      </c>
      <c r="G74" s="2"/>
      <c r="H74" s="7">
        <v>1900</v>
      </c>
      <c r="I74" s="2"/>
      <c r="J74" s="6">
        <f t="shared" si="45"/>
        <v>3.1215601228908934E-3</v>
      </c>
      <c r="K74" s="2"/>
      <c r="L74" s="7">
        <f t="shared" si="46"/>
        <v>-1548.12</v>
      </c>
      <c r="M74" s="2"/>
      <c r="N74" s="6">
        <f t="shared" si="47"/>
        <v>-0.81479999999999997</v>
      </c>
      <c r="O74" s="11"/>
      <c r="P74" s="7">
        <v>2531.77</v>
      </c>
      <c r="Q74" s="2"/>
      <c r="R74" s="6">
        <f t="shared" si="48"/>
        <v>2.3766896235813358E-3</v>
      </c>
      <c r="S74" s="2"/>
      <c r="T74" s="7">
        <v>5550</v>
      </c>
      <c r="U74" s="2"/>
      <c r="V74" s="6">
        <f t="shared" si="49"/>
        <v>5.0241248517656854E-3</v>
      </c>
      <c r="W74" s="2"/>
      <c r="X74" s="7">
        <f t="shared" si="50"/>
        <v>-3018.23</v>
      </c>
      <c r="Y74" s="2"/>
      <c r="Z74" s="6">
        <f t="shared" si="51"/>
        <v>-0.54382522522522525</v>
      </c>
    </row>
    <row r="75" spans="1:26" s="24" customFormat="1" hidden="1" outlineLevel="2" x14ac:dyDescent="0.25">
      <c r="A75" s="25"/>
      <c r="B75" s="11" t="str">
        <f>CONCATENATE("          ", "6241", " - ", "OFFICE EXPENSE")</f>
        <v xml:space="preserve">          6241 - OFFICE EXPENSE</v>
      </c>
      <c r="C75" s="11"/>
      <c r="D75" s="7">
        <v>29.5</v>
      </c>
      <c r="E75" s="2"/>
      <c r="F75" s="6">
        <f t="shared" si="44"/>
        <v>5.1147310461157674E-5</v>
      </c>
      <c r="G75" s="2"/>
      <c r="H75" s="7">
        <v>450</v>
      </c>
      <c r="I75" s="2"/>
      <c r="J75" s="6">
        <f t="shared" si="45"/>
        <v>7.3931687121100108E-4</v>
      </c>
      <c r="K75" s="2"/>
      <c r="L75" s="7">
        <f t="shared" si="46"/>
        <v>-420.5</v>
      </c>
      <c r="M75" s="2"/>
      <c r="N75" s="6">
        <f t="shared" si="47"/>
        <v>-0.93444444444444441</v>
      </c>
      <c r="O75" s="11"/>
      <c r="P75" s="7">
        <v>1122.9000000000001</v>
      </c>
      <c r="Q75" s="2"/>
      <c r="R75" s="6">
        <f t="shared" si="48"/>
        <v>1.05411817752777E-3</v>
      </c>
      <c r="S75" s="2"/>
      <c r="T75" s="7">
        <v>1400</v>
      </c>
      <c r="U75" s="2"/>
      <c r="V75" s="6">
        <f t="shared" si="49"/>
        <v>1.2673468094544073E-3</v>
      </c>
      <c r="W75" s="2"/>
      <c r="X75" s="7">
        <f t="shared" si="50"/>
        <v>-277.09999999999991</v>
      </c>
      <c r="Y75" s="2"/>
      <c r="Z75" s="6">
        <f t="shared" si="51"/>
        <v>-0.19792857142857137</v>
      </c>
    </row>
    <row r="76" spans="1:26" s="24" customFormat="1" hidden="1" outlineLevel="2" x14ac:dyDescent="0.25">
      <c r="A76" s="25"/>
      <c r="B76" s="11" t="str">
        <f>CONCATENATE("          ", "6243", " - ", "PAPER SUPPLIES")</f>
        <v xml:space="preserve">          6243 - PAPER SUPPLIES</v>
      </c>
      <c r="C76" s="11"/>
      <c r="D76" s="7">
        <v>2608.67</v>
      </c>
      <c r="E76" s="2"/>
      <c r="F76" s="6">
        <f t="shared" si="44"/>
        <v>4.5229306569731587E-3</v>
      </c>
      <c r="G76" s="2"/>
      <c r="H76" s="7">
        <v>1850</v>
      </c>
      <c r="I76" s="2"/>
      <c r="J76" s="6">
        <f t="shared" si="45"/>
        <v>3.0394138038674487E-3</v>
      </c>
      <c r="K76" s="2"/>
      <c r="L76" s="7">
        <f t="shared" si="46"/>
        <v>758.67000000000007</v>
      </c>
      <c r="M76" s="2"/>
      <c r="N76" s="6">
        <f t="shared" si="47"/>
        <v>0.41009189189189194</v>
      </c>
      <c r="O76" s="11"/>
      <c r="P76" s="7">
        <v>6454.28</v>
      </c>
      <c r="Q76" s="2"/>
      <c r="R76" s="6">
        <f t="shared" si="48"/>
        <v>6.0589312234873407E-3</v>
      </c>
      <c r="S76" s="2"/>
      <c r="T76" s="7">
        <v>5550</v>
      </c>
      <c r="U76" s="2"/>
      <c r="V76" s="6">
        <f t="shared" si="49"/>
        <v>5.0241248517656854E-3</v>
      </c>
      <c r="W76" s="2"/>
      <c r="X76" s="7">
        <f t="shared" si="50"/>
        <v>904.27999999999975</v>
      </c>
      <c r="Y76" s="2"/>
      <c r="Z76" s="6">
        <f t="shared" si="51"/>
        <v>0.16293333333333329</v>
      </c>
    </row>
    <row r="77" spans="1:26" s="24" customFormat="1" hidden="1" outlineLevel="2" x14ac:dyDescent="0.25">
      <c r="A77" s="25"/>
      <c r="B77" s="11" t="str">
        <f>CONCATENATE("          ", "6244", " - ", "SAFETY SUPPLY EXPENSE")</f>
        <v xml:space="preserve">          6244 - SAFETY SUPPLY EXPENSE</v>
      </c>
      <c r="C77" s="11"/>
      <c r="D77" s="7"/>
      <c r="E77" s="2"/>
      <c r="F77" s="6">
        <f t="shared" si="44"/>
        <v>0</v>
      </c>
      <c r="G77" s="2"/>
      <c r="H77" s="7">
        <v>125</v>
      </c>
      <c r="I77" s="2"/>
      <c r="J77" s="6">
        <f t="shared" si="45"/>
        <v>2.0536579755861141E-4</v>
      </c>
      <c r="K77" s="2"/>
      <c r="L77" s="7">
        <f t="shared" si="46"/>
        <v>-125</v>
      </c>
      <c r="M77" s="2"/>
      <c r="N77" s="6">
        <f t="shared" si="47"/>
        <v>-1</v>
      </c>
      <c r="O77" s="11"/>
      <c r="P77" s="7"/>
      <c r="Q77" s="2"/>
      <c r="R77" s="6">
        <f t="shared" si="48"/>
        <v>0</v>
      </c>
      <c r="S77" s="2"/>
      <c r="T77" s="7">
        <v>375</v>
      </c>
      <c r="U77" s="2"/>
      <c r="V77" s="6">
        <f t="shared" si="49"/>
        <v>3.3946789538957334E-4</v>
      </c>
      <c r="W77" s="2"/>
      <c r="X77" s="7">
        <f t="shared" si="50"/>
        <v>-375</v>
      </c>
      <c r="Y77" s="2"/>
      <c r="Z77" s="6">
        <f t="shared" si="51"/>
        <v>-1</v>
      </c>
    </row>
    <row r="78" spans="1:26" s="24" customFormat="1" hidden="1" outlineLevel="2" x14ac:dyDescent="0.25">
      <c r="A78" s="25"/>
      <c r="B78" s="11" t="str">
        <f>CONCATENATE("          ", "6245", " - ", "PRINTING")</f>
        <v xml:space="preserve">          6245 - PRINTING</v>
      </c>
      <c r="C78" s="11"/>
      <c r="D78" s="7"/>
      <c r="E78" s="2"/>
      <c r="F78" s="6">
        <f t="shared" si="44"/>
        <v>0</v>
      </c>
      <c r="G78" s="2"/>
      <c r="H78" s="7">
        <v>160</v>
      </c>
      <c r="I78" s="2"/>
      <c r="J78" s="6">
        <f t="shared" si="45"/>
        <v>2.6286822087502257E-4</v>
      </c>
      <c r="K78" s="2"/>
      <c r="L78" s="7">
        <f t="shared" si="46"/>
        <v>-160</v>
      </c>
      <c r="M78" s="2"/>
      <c r="N78" s="6">
        <f t="shared" si="47"/>
        <v>-1</v>
      </c>
      <c r="O78" s="11"/>
      <c r="P78" s="7">
        <v>441</v>
      </c>
      <c r="Q78" s="2"/>
      <c r="R78" s="6">
        <f t="shared" si="48"/>
        <v>4.1398710151371144E-4</v>
      </c>
      <c r="S78" s="2"/>
      <c r="T78" s="7">
        <v>470</v>
      </c>
      <c r="U78" s="2"/>
      <c r="V78" s="6">
        <f t="shared" si="49"/>
        <v>4.2546642888826528E-4</v>
      </c>
      <c r="W78" s="2"/>
      <c r="X78" s="7">
        <f t="shared" si="50"/>
        <v>-29</v>
      </c>
      <c r="Y78" s="2"/>
      <c r="Z78" s="6">
        <f t="shared" si="51"/>
        <v>-6.1702127659574467E-2</v>
      </c>
    </row>
    <row r="79" spans="1:26" s="24" customFormat="1" hidden="1" outlineLevel="2" x14ac:dyDescent="0.25">
      <c r="A79" s="25"/>
      <c r="B79" s="11" t="str">
        <f>CONCATENATE("          ", "6248", " - ", "UNIFORMS")</f>
        <v xml:space="preserve">          6248 - UNIFORMS</v>
      </c>
      <c r="C79" s="11"/>
      <c r="D79" s="7"/>
      <c r="E79" s="2"/>
      <c r="F79" s="6">
        <f t="shared" si="44"/>
        <v>0</v>
      </c>
      <c r="G79" s="2"/>
      <c r="H79" s="7"/>
      <c r="I79" s="2"/>
      <c r="J79" s="6">
        <f t="shared" si="45"/>
        <v>0</v>
      </c>
      <c r="K79" s="2"/>
      <c r="L79" s="7">
        <f t="shared" si="46"/>
        <v>0</v>
      </c>
      <c r="M79" s="2"/>
      <c r="N79" s="6">
        <f t="shared" si="47"/>
        <v>0</v>
      </c>
      <c r="O79" s="11"/>
      <c r="P79" s="7">
        <v>1222.42</v>
      </c>
      <c r="Q79" s="2"/>
      <c r="R79" s="6">
        <f t="shared" si="48"/>
        <v>1.1475422055156261E-3</v>
      </c>
      <c r="S79" s="2"/>
      <c r="T79" s="7">
        <v>3000</v>
      </c>
      <c r="U79" s="2"/>
      <c r="V79" s="6">
        <f t="shared" si="49"/>
        <v>2.7157431631165867E-3</v>
      </c>
      <c r="W79" s="2"/>
      <c r="X79" s="7">
        <f t="shared" si="50"/>
        <v>-1777.58</v>
      </c>
      <c r="Y79" s="2"/>
      <c r="Z79" s="6">
        <f t="shared" si="51"/>
        <v>-0.59252666666666665</v>
      </c>
    </row>
    <row r="80" spans="1:26" s="26" customFormat="1" outlineLevel="1" collapsed="1" x14ac:dyDescent="0.25">
      <c r="A80" s="27"/>
      <c r="B80" s="13" t="str">
        <f>CONCATENATE("     ","Telephone/Data Lines                              ")</f>
        <v xml:space="preserve">     Telephone/Data Lines                              </v>
      </c>
      <c r="C80" s="13"/>
      <c r="D80" s="1">
        <f>SUM(OSRRefD22_13x_0)</f>
        <v>285</v>
      </c>
      <c r="E80" s="1"/>
      <c r="F80" s="5">
        <f t="shared" ref="F80:F86" si="52">IF(D$12=0,0,D80/D$12)</f>
        <v>4.9413503326881136E-4</v>
      </c>
      <c r="G80" s="1"/>
      <c r="H80" s="1">
        <f>SUM(OSRRefH22_13x_0)</f>
        <v>185</v>
      </c>
      <c r="I80" s="1"/>
      <c r="J80" s="5">
        <f t="shared" ref="J80:J86" si="53">IF(H$12=0,0,H80/H$12)</f>
        <v>3.0394138038674484E-4</v>
      </c>
      <c r="K80" s="1"/>
      <c r="L80" s="1">
        <f t="shared" ref="L80:L86" si="54">+D80-H80</f>
        <v>100</v>
      </c>
      <c r="M80" s="1"/>
      <c r="N80" s="5">
        <f t="shared" ref="N80:N86" si="55">IF(H80=0,0,L80/H80)</f>
        <v>0.54054054054054057</v>
      </c>
      <c r="O80" s="13"/>
      <c r="P80" s="1">
        <f>SUM(OSRRefP22_13x_0)</f>
        <v>555.29999999999995</v>
      </c>
      <c r="Q80" s="1"/>
      <c r="R80" s="5">
        <f t="shared" ref="R80:R86" si="56">IF(P$12=0,0,P80/P$12)</f>
        <v>5.2128579925297947E-4</v>
      </c>
      <c r="S80" s="1"/>
      <c r="T80" s="1">
        <f>SUM(OSRRefT22_13x_0)</f>
        <v>555</v>
      </c>
      <c r="U80" s="1"/>
      <c r="V80" s="5">
        <f t="shared" ref="V80:V86" si="57">IF(T$12=0,0,T80/T$12)</f>
        <v>5.0241248517656856E-4</v>
      </c>
      <c r="W80" s="1"/>
      <c r="X80" s="1">
        <f t="shared" ref="X80:X86" si="58">+P80-T80</f>
        <v>0.29999999999995453</v>
      </c>
      <c r="Y80" s="1"/>
      <c r="Z80" s="5">
        <f t="shared" ref="Z80:Z86" si="59">IF(T80=0,0,X80/T80)</f>
        <v>5.4054054054045858E-4</v>
      </c>
    </row>
    <row r="81" spans="1:26" s="24" customFormat="1" hidden="1" outlineLevel="2" x14ac:dyDescent="0.25">
      <c r="A81" s="25"/>
      <c r="B81" s="11" t="str">
        <f>CONCATENATE("          ", "6309", " - ", "TELEPHONE")</f>
        <v xml:space="preserve">          6309 - TELEPHONE</v>
      </c>
      <c r="C81" s="11"/>
      <c r="D81" s="7">
        <v>285</v>
      </c>
      <c r="E81" s="2"/>
      <c r="F81" s="6">
        <f t="shared" si="52"/>
        <v>4.9413503326881136E-4</v>
      </c>
      <c r="G81" s="2"/>
      <c r="H81" s="7">
        <v>185</v>
      </c>
      <c r="I81" s="2"/>
      <c r="J81" s="6">
        <f t="shared" si="53"/>
        <v>3.0394138038674484E-4</v>
      </c>
      <c r="K81" s="2"/>
      <c r="L81" s="7">
        <f t="shared" si="54"/>
        <v>100</v>
      </c>
      <c r="M81" s="2"/>
      <c r="N81" s="6">
        <f t="shared" si="55"/>
        <v>0.54054054054054057</v>
      </c>
      <c r="O81" s="11"/>
      <c r="P81" s="7">
        <v>555.29999999999995</v>
      </c>
      <c r="Q81" s="2"/>
      <c r="R81" s="6">
        <f t="shared" si="56"/>
        <v>5.2128579925297947E-4</v>
      </c>
      <c r="S81" s="2"/>
      <c r="T81" s="7">
        <v>555</v>
      </c>
      <c r="U81" s="2"/>
      <c r="V81" s="6">
        <f t="shared" si="57"/>
        <v>5.0241248517656856E-4</v>
      </c>
      <c r="W81" s="2"/>
      <c r="X81" s="7">
        <f t="shared" si="58"/>
        <v>0.29999999999995453</v>
      </c>
      <c r="Y81" s="2"/>
      <c r="Z81" s="6">
        <f t="shared" si="59"/>
        <v>5.4054054054045858E-4</v>
      </c>
    </row>
    <row r="82" spans="1:26" s="26" customFormat="1" outlineLevel="1" collapsed="1" x14ac:dyDescent="0.25">
      <c r="A82" s="27"/>
      <c r="B82" s="13" t="str">
        <f>CONCATENATE("     ","Training                                          ")</f>
        <v xml:space="preserve">     Training                                          </v>
      </c>
      <c r="C82" s="13"/>
      <c r="D82" s="1">
        <f>SUM(OSRRefD22_14x_0)</f>
        <v>96</v>
      </c>
      <c r="E82" s="1"/>
      <c r="F82" s="5">
        <f t="shared" si="52"/>
        <v>1.66445484890547E-4</v>
      </c>
      <c r="G82" s="1"/>
      <c r="H82" s="1">
        <f>SUM(OSRRefH22_14x_0)</f>
        <v>0</v>
      </c>
      <c r="I82" s="1"/>
      <c r="J82" s="5">
        <f t="shared" si="53"/>
        <v>0</v>
      </c>
      <c r="K82" s="1"/>
      <c r="L82" s="1">
        <f t="shared" si="54"/>
        <v>96</v>
      </c>
      <c r="M82" s="1"/>
      <c r="N82" s="5">
        <f t="shared" si="55"/>
        <v>0</v>
      </c>
      <c r="O82" s="13"/>
      <c r="P82" s="1">
        <f>SUM(OSRRefP22_14x_0)</f>
        <v>569.37</v>
      </c>
      <c r="Q82" s="1"/>
      <c r="R82" s="5">
        <f t="shared" si="56"/>
        <v>5.344939591584169E-4</v>
      </c>
      <c r="S82" s="1"/>
      <c r="T82" s="1">
        <f>SUM(OSRRefT22_14x_0)</f>
        <v>0</v>
      </c>
      <c r="U82" s="1"/>
      <c r="V82" s="5">
        <f t="shared" si="57"/>
        <v>0</v>
      </c>
      <c r="W82" s="1"/>
      <c r="X82" s="1">
        <f t="shared" si="58"/>
        <v>569.37</v>
      </c>
      <c r="Y82" s="1"/>
      <c r="Z82" s="5">
        <f t="shared" si="59"/>
        <v>0</v>
      </c>
    </row>
    <row r="83" spans="1:26" s="24" customFormat="1" hidden="1" outlineLevel="2" x14ac:dyDescent="0.25">
      <c r="A83" s="25"/>
      <c r="B83" s="11" t="str">
        <f>CONCATENATE("          ", "6376", " - ", "TRAINING")</f>
        <v xml:space="preserve">          6376 - TRAINING</v>
      </c>
      <c r="C83" s="11"/>
      <c r="D83" s="7">
        <v>96</v>
      </c>
      <c r="E83" s="2"/>
      <c r="F83" s="6">
        <f t="shared" si="52"/>
        <v>1.66445484890547E-4</v>
      </c>
      <c r="G83" s="2"/>
      <c r="H83" s="7"/>
      <c r="I83" s="2"/>
      <c r="J83" s="6">
        <f t="shared" si="53"/>
        <v>0</v>
      </c>
      <c r="K83" s="2"/>
      <c r="L83" s="7">
        <f t="shared" si="54"/>
        <v>96</v>
      </c>
      <c r="M83" s="2"/>
      <c r="N83" s="6">
        <f t="shared" si="55"/>
        <v>0</v>
      </c>
      <c r="O83" s="11"/>
      <c r="P83" s="7">
        <v>569.37</v>
      </c>
      <c r="Q83" s="2"/>
      <c r="R83" s="6">
        <f t="shared" si="56"/>
        <v>5.344939591584169E-4</v>
      </c>
      <c r="S83" s="2"/>
      <c r="T83" s="7"/>
      <c r="U83" s="2"/>
      <c r="V83" s="6">
        <f t="shared" si="57"/>
        <v>0</v>
      </c>
      <c r="W83" s="2"/>
      <c r="X83" s="7">
        <f t="shared" si="58"/>
        <v>569.37</v>
      </c>
      <c r="Y83" s="2"/>
      <c r="Z83" s="6">
        <f t="shared" si="59"/>
        <v>0</v>
      </c>
    </row>
    <row r="84" spans="1:26" s="26" customFormat="1" outlineLevel="1" collapsed="1" x14ac:dyDescent="0.25">
      <c r="A84" s="27"/>
      <c r="B84" s="13" t="str">
        <f>CONCATENATE("     ","Travel                                            ")</f>
        <v xml:space="preserve">     Travel                                            </v>
      </c>
      <c r="C84" s="13"/>
      <c r="D84" s="1">
        <f>SUM(OSRRefD22_15x_0)</f>
        <v>0</v>
      </c>
      <c r="E84" s="1"/>
      <c r="F84" s="5">
        <f t="shared" si="52"/>
        <v>0</v>
      </c>
      <c r="G84" s="1"/>
      <c r="H84" s="1">
        <f>SUM(OSRRefH22_15x_0)</f>
        <v>60</v>
      </c>
      <c r="I84" s="1"/>
      <c r="J84" s="5">
        <f t="shared" si="53"/>
        <v>9.8575582828133477E-5</v>
      </c>
      <c r="K84" s="1"/>
      <c r="L84" s="1">
        <f t="shared" si="54"/>
        <v>-60</v>
      </c>
      <c r="M84" s="1"/>
      <c r="N84" s="5">
        <f t="shared" si="55"/>
        <v>-1</v>
      </c>
      <c r="O84" s="13"/>
      <c r="P84" s="1">
        <f>SUM(OSRRefP22_15x_0)</f>
        <v>1429.86</v>
      </c>
      <c r="Q84" s="1"/>
      <c r="R84" s="5">
        <f t="shared" si="56"/>
        <v>1.3422757300915996E-3</v>
      </c>
      <c r="S84" s="1"/>
      <c r="T84" s="1">
        <f>SUM(OSRRefT22_15x_0)</f>
        <v>180</v>
      </c>
      <c r="U84" s="1"/>
      <c r="V84" s="5">
        <f t="shared" si="57"/>
        <v>1.6294458978699522E-4</v>
      </c>
      <c r="W84" s="1"/>
      <c r="X84" s="1">
        <f t="shared" si="58"/>
        <v>1249.8599999999999</v>
      </c>
      <c r="Y84" s="1"/>
      <c r="Z84" s="5">
        <f t="shared" si="59"/>
        <v>6.9436666666666662</v>
      </c>
    </row>
    <row r="85" spans="1:26" s="24" customFormat="1" hidden="1" outlineLevel="2" x14ac:dyDescent="0.25">
      <c r="A85" s="25"/>
      <c r="B85" s="11" t="str">
        <f>CONCATENATE("          ", "6292", " - ", "TRAVEL/CONFERENCE")</f>
        <v xml:space="preserve">          6292 - TRAVEL/CONFERENCE</v>
      </c>
      <c r="C85" s="11"/>
      <c r="D85" s="7"/>
      <c r="E85" s="2"/>
      <c r="F85" s="6">
        <f t="shared" si="52"/>
        <v>0</v>
      </c>
      <c r="G85" s="2"/>
      <c r="H85" s="7"/>
      <c r="I85" s="2"/>
      <c r="J85" s="6">
        <f t="shared" si="53"/>
        <v>0</v>
      </c>
      <c r="K85" s="2"/>
      <c r="L85" s="7">
        <f t="shared" si="54"/>
        <v>0</v>
      </c>
      <c r="M85" s="2"/>
      <c r="N85" s="6">
        <f t="shared" si="55"/>
        <v>0</v>
      </c>
      <c r="O85" s="11"/>
      <c r="P85" s="7">
        <v>1429.86</v>
      </c>
      <c r="Q85" s="2"/>
      <c r="R85" s="6">
        <f t="shared" si="56"/>
        <v>1.3422757300915996E-3</v>
      </c>
      <c r="S85" s="2"/>
      <c r="T85" s="7"/>
      <c r="U85" s="2"/>
      <c r="V85" s="6">
        <f t="shared" si="57"/>
        <v>0</v>
      </c>
      <c r="W85" s="2"/>
      <c r="X85" s="7">
        <f t="shared" si="58"/>
        <v>1429.86</v>
      </c>
      <c r="Y85" s="2"/>
      <c r="Z85" s="6">
        <f t="shared" si="59"/>
        <v>0</v>
      </c>
    </row>
    <row r="86" spans="1:26" s="24" customFormat="1" hidden="1" outlineLevel="2" x14ac:dyDescent="0.25">
      <c r="A86" s="25"/>
      <c r="B86" s="11" t="str">
        <f>CONCATENATE("          ", "6298", " - ", "VEHICLE MILEAGE")</f>
        <v xml:space="preserve">          6298 - VEHICLE MILEAGE</v>
      </c>
      <c r="C86" s="11"/>
      <c r="D86" s="7"/>
      <c r="E86" s="2"/>
      <c r="F86" s="6">
        <f t="shared" si="52"/>
        <v>0</v>
      </c>
      <c r="G86" s="2"/>
      <c r="H86" s="7">
        <v>60</v>
      </c>
      <c r="I86" s="2"/>
      <c r="J86" s="6">
        <f t="shared" si="53"/>
        <v>9.8575582828133477E-5</v>
      </c>
      <c r="K86" s="2"/>
      <c r="L86" s="7">
        <f t="shared" si="54"/>
        <v>-60</v>
      </c>
      <c r="M86" s="2"/>
      <c r="N86" s="6">
        <f t="shared" si="55"/>
        <v>-1</v>
      </c>
      <c r="O86" s="11"/>
      <c r="P86" s="7"/>
      <c r="Q86" s="2"/>
      <c r="R86" s="6">
        <f t="shared" si="56"/>
        <v>0</v>
      </c>
      <c r="S86" s="2"/>
      <c r="T86" s="7">
        <v>180</v>
      </c>
      <c r="U86" s="2"/>
      <c r="V86" s="6">
        <f t="shared" si="57"/>
        <v>1.6294458978699522E-4</v>
      </c>
      <c r="W86" s="2"/>
      <c r="X86" s="7">
        <f t="shared" si="58"/>
        <v>-180</v>
      </c>
      <c r="Y86" s="2"/>
      <c r="Z86" s="6">
        <f t="shared" si="59"/>
        <v>-1</v>
      </c>
    </row>
    <row r="87" spans="1:26" s="63" customFormat="1" x14ac:dyDescent="0.25">
      <c r="A87" s="36"/>
      <c r="B87" s="36"/>
      <c r="C87" s="36"/>
      <c r="D87" s="1"/>
      <c r="E87" s="1"/>
      <c r="F87" s="5"/>
      <c r="G87" s="1"/>
      <c r="H87" s="1"/>
      <c r="I87" s="1"/>
      <c r="J87" s="5"/>
      <c r="K87" s="1"/>
      <c r="L87" s="1"/>
      <c r="M87" s="1"/>
      <c r="N87" s="5"/>
      <c r="O87" s="36"/>
      <c r="P87" s="1"/>
      <c r="Q87" s="1"/>
      <c r="R87" s="5"/>
      <c r="S87" s="1"/>
      <c r="T87" s="1"/>
      <c r="U87" s="1"/>
      <c r="V87" s="5"/>
      <c r="W87" s="1"/>
      <c r="X87" s="1"/>
      <c r="Y87" s="1"/>
      <c r="Z87" s="5"/>
    </row>
    <row r="88" spans="1:26" s="23" customFormat="1" x14ac:dyDescent="0.25">
      <c r="A88" s="10"/>
      <c r="B88" s="28" t="s">
        <v>0</v>
      </c>
      <c r="C88" s="10"/>
      <c r="D88" s="4">
        <f>SUM(0)</f>
        <v>0</v>
      </c>
      <c r="E88" s="4"/>
      <c r="F88" s="12">
        <f>IF(D$12=0,0,D88/D$12)</f>
        <v>0</v>
      </c>
      <c r="G88" s="4"/>
      <c r="H88" s="4">
        <f>SUM(0)</f>
        <v>0</v>
      </c>
      <c r="I88" s="4"/>
      <c r="J88" s="12">
        <f>IF(H$12=0,0,H88/H$12)</f>
        <v>0</v>
      </c>
      <c r="K88" s="4"/>
      <c r="L88" s="4">
        <f>+D88-H88</f>
        <v>0</v>
      </c>
      <c r="M88" s="4"/>
      <c r="N88" s="12">
        <f>IF(H88=0,0,L88/H88)</f>
        <v>0</v>
      </c>
      <c r="O88" s="10"/>
      <c r="P88" s="4">
        <f>SUM(0)</f>
        <v>0</v>
      </c>
      <c r="Q88" s="4"/>
      <c r="R88" s="12">
        <f>IF(P$12=0,0,P88/P$12)</f>
        <v>0</v>
      </c>
      <c r="S88" s="4"/>
      <c r="T88" s="4">
        <f>SUM(0)</f>
        <v>0</v>
      </c>
      <c r="U88" s="4"/>
      <c r="V88" s="12">
        <f>IF(T$12=0,0,T88/T$12)</f>
        <v>0</v>
      </c>
      <c r="W88" s="4"/>
      <c r="X88" s="4">
        <f>+P88-T88</f>
        <v>0</v>
      </c>
      <c r="Y88" s="4"/>
      <c r="Z88" s="12">
        <f>IF(T88=0,0,X88/T88)</f>
        <v>0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x14ac:dyDescent="0.25">
      <c r="A90" s="10"/>
      <c r="B90" s="29" t="s">
        <v>3</v>
      </c>
      <c r="C90" s="29"/>
      <c r="D90" s="22">
        <f>+D23-D25+D88</f>
        <v>262855.8</v>
      </c>
      <c r="E90" s="14"/>
      <c r="F90" s="20">
        <f>IF(D$12=0,0,D90/D$12)</f>
        <v>0.45574126132596504</v>
      </c>
      <c r="G90" s="14"/>
      <c r="H90" s="22">
        <f>+H23-H25+H88</f>
        <v>232208.11268636282</v>
      </c>
      <c r="I90" s="14"/>
      <c r="J90" s="20">
        <f>IF(H$12=0,0,H90/H$12)</f>
        <v>0.38150083409131846</v>
      </c>
      <c r="K90" s="15"/>
      <c r="L90" s="22">
        <f>+D90-H90</f>
        <v>30647.687313637172</v>
      </c>
      <c r="M90" s="15"/>
      <c r="N90" s="20">
        <f>IF(H90=0,0,L90/H90)</f>
        <v>0.13198370616375565</v>
      </c>
      <c r="O90" s="28"/>
      <c r="P90" s="22">
        <f>+P23-P25+P88</f>
        <v>353868.96</v>
      </c>
      <c r="Q90" s="14"/>
      <c r="R90" s="20">
        <f>IF(P$12=0,0,P90/P$12)</f>
        <v>0.33219316341512811</v>
      </c>
      <c r="S90" s="14"/>
      <c r="T90" s="22">
        <f>+T23-T25+T88</f>
        <v>275484.79256352526</v>
      </c>
      <c r="U90" s="14"/>
      <c r="V90" s="20">
        <f>IF(T$12=0,0,T90/T$12)</f>
        <v>0.24938198064899497</v>
      </c>
      <c r="W90" s="15"/>
      <c r="X90" s="22">
        <f>+P90-T90</f>
        <v>78384.16743647476</v>
      </c>
      <c r="Y90" s="15"/>
      <c r="Z90" s="20">
        <f>IF(T90=0,0,X90/T90)</f>
        <v>0.28453174023535183</v>
      </c>
    </row>
    <row r="91" spans="1:26" x14ac:dyDescent="0.25">
      <c r="A91" s="9"/>
      <c r="B91" s="10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52"/>
      <c r="B92" s="10" t="s">
        <v>14</v>
      </c>
      <c r="C92" s="10"/>
      <c r="D92" s="4">
        <v>53516.83</v>
      </c>
      <c r="E92" s="4"/>
      <c r="F92" s="12">
        <f>IF(D$12=0,0,D92/D$12)</f>
        <v>9.2787861657864304E-2</v>
      </c>
      <c r="G92" s="4"/>
      <c r="H92" s="4">
        <v>59172</v>
      </c>
      <c r="I92" s="4"/>
      <c r="J92" s="12">
        <f>IF(H$12=0,0,H92/H$12)</f>
        <v>9.7215239785105226E-2</v>
      </c>
      <c r="K92" s="4"/>
      <c r="L92" s="4">
        <f>+D92-H92</f>
        <v>-5655.1699999999983</v>
      </c>
      <c r="M92" s="4"/>
      <c r="N92" s="12">
        <f>IF(H92=0,0,L92/H92)</f>
        <v>-9.5571723112282805E-2</v>
      </c>
      <c r="O92" s="10"/>
      <c r="P92" s="4">
        <v>114422.01999999999</v>
      </c>
      <c r="Q92" s="4"/>
      <c r="R92" s="12">
        <f>IF(P$12=0,0,P92/P$12)</f>
        <v>0.10741324355814946</v>
      </c>
      <c r="S92" s="4"/>
      <c r="T92" s="4">
        <v>139724</v>
      </c>
      <c r="U92" s="4"/>
      <c r="V92" s="12">
        <f>IF(T$12=0,0,T92/T$12)</f>
        <v>0.12648483257443399</v>
      </c>
      <c r="W92" s="4"/>
      <c r="X92" s="4">
        <f>+P92-T92</f>
        <v>-25301.98000000001</v>
      </c>
      <c r="Y92" s="4"/>
      <c r="Z92" s="12">
        <f>IF(T92=0,0,X92/T92)</f>
        <v>-0.18108542555323359</v>
      </c>
    </row>
    <row r="93" spans="1:26" x14ac:dyDescent="0.25">
      <c r="A93" s="9"/>
      <c r="B93" s="10"/>
      <c r="C93" s="10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O93" s="10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.75" thickBot="1" x14ac:dyDescent="0.3">
      <c r="A94" s="10"/>
      <c r="B94" s="29" t="s">
        <v>4</v>
      </c>
      <c r="C94" s="29"/>
      <c r="D94" s="35">
        <f>+D90-D92</f>
        <v>209338.96999999997</v>
      </c>
      <c r="E94" s="14"/>
      <c r="F94" s="32">
        <f>IF(D$12=0,0,D94/D$12)</f>
        <v>0.3629533996681007</v>
      </c>
      <c r="G94" s="14"/>
      <c r="H94" s="35">
        <f>+H90-H92</f>
        <v>173036.11268636282</v>
      </c>
      <c r="I94" s="14"/>
      <c r="J94" s="32">
        <f>IF(H$12=0,0,H94/H$12)</f>
        <v>0.28428559430621325</v>
      </c>
      <c r="K94" s="15"/>
      <c r="L94" s="35">
        <f>D94-H94</f>
        <v>36302.857313637156</v>
      </c>
      <c r="M94" s="15"/>
      <c r="N94" s="32">
        <f>IF(H94=0,0,L94/H94)</f>
        <v>0.20979931154277617</v>
      </c>
      <c r="O94" s="28"/>
      <c r="P94" s="35">
        <f>+P90-P92</f>
        <v>239446.94000000003</v>
      </c>
      <c r="Q94" s="14"/>
      <c r="R94" s="32">
        <f>IF(P$12=0,0,P94/P$12)</f>
        <v>0.22477991985697865</v>
      </c>
      <c r="S94" s="14"/>
      <c r="T94" s="35">
        <f>+T90-T92</f>
        <v>135760.79256352526</v>
      </c>
      <c r="U94" s="14"/>
      <c r="V94" s="32">
        <f>IF(T$12=0,0,T94/T$12)</f>
        <v>0.12289714807456097</v>
      </c>
      <c r="W94" s="15"/>
      <c r="X94" s="35">
        <f>P94-T94</f>
        <v>103686.14743647477</v>
      </c>
      <c r="Y94" s="15"/>
      <c r="Z94" s="32">
        <f>IF(T94=0,0,X94/T94)</f>
        <v>0.76374147114644964</v>
      </c>
    </row>
    <row r="95" spans="1:26" ht="15.75" thickTop="1" x14ac:dyDescent="0.25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.75" thickBot="1" x14ac:dyDescent="0.3">
      <c r="A97" s="10"/>
      <c r="B97" s="29" t="s">
        <v>5</v>
      </c>
      <c r="C97" s="29"/>
      <c r="D97" s="30">
        <f>SUM(D94:D96)</f>
        <v>209338.96999999997</v>
      </c>
      <c r="E97" s="14"/>
      <c r="F97" s="31">
        <f>IF(D$12=0,0,D97/D$12)</f>
        <v>0.3629533996681007</v>
      </c>
      <c r="G97" s="14"/>
      <c r="H97" s="30">
        <f>SUM(H94:H96)</f>
        <v>173036.11268636282</v>
      </c>
      <c r="I97" s="14"/>
      <c r="J97" s="31">
        <f>IF(H$12=0,0,H97/H$12)</f>
        <v>0.28428559430621325</v>
      </c>
      <c r="K97" s="15"/>
      <c r="L97" s="30">
        <f>+D97-H97</f>
        <v>36302.857313637156</v>
      </c>
      <c r="M97" s="15"/>
      <c r="N97" s="31">
        <f>IF(H97=0,0,L97/H97)</f>
        <v>0.20979931154277617</v>
      </c>
      <c r="O97" s="28"/>
      <c r="P97" s="30">
        <f>SUM(P94:P96)</f>
        <v>239446.94000000003</v>
      </c>
      <c r="Q97" s="14"/>
      <c r="R97" s="31">
        <f>IF(P$12=0,0,P97/P$12)</f>
        <v>0.22477991985697865</v>
      </c>
      <c r="S97" s="14"/>
      <c r="T97" s="30">
        <f>SUM(T94:T96)</f>
        <v>135760.79256352526</v>
      </c>
      <c r="U97" s="14"/>
      <c r="V97" s="31">
        <f>IF(T$12=0,0,T97/T$12)</f>
        <v>0.12289714807456097</v>
      </c>
      <c r="W97" s="15"/>
      <c r="X97" s="30">
        <f>+P97-T97</f>
        <v>103686.14743647477</v>
      </c>
      <c r="Y97" s="15"/>
      <c r="Z97" s="31">
        <f>IF(T97=0,0,X97/T97)</f>
        <v>0.76374147114644964</v>
      </c>
    </row>
    <row r="98" spans="1:26" ht="15.75" thickTop="1" x14ac:dyDescent="0.25">
      <c r="A98" s="9"/>
      <c r="C98" s="9"/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  <row r="99" spans="1:26" x14ac:dyDescent="0.25">
      <c r="A99" s="9"/>
      <c r="B99" s="53">
        <v>43756.452800115738</v>
      </c>
      <c r="D99" s="18"/>
      <c r="E99" s="18"/>
      <c r="G99" s="18"/>
      <c r="H99" s="18"/>
      <c r="I99" s="18"/>
      <c r="J99" s="43"/>
      <c r="K99" s="18"/>
      <c r="L99" s="18"/>
      <c r="M99" s="18"/>
      <c r="P99" s="18"/>
      <c r="Q99" s="18"/>
      <c r="R99" s="43"/>
      <c r="S99" s="18"/>
      <c r="T99" s="18"/>
      <c r="U99" s="18"/>
      <c r="V99" s="43"/>
      <c r="W99" s="18"/>
      <c r="X99" s="18"/>
    </row>
    <row r="100" spans="1:26" x14ac:dyDescent="0.25">
      <c r="A100" s="9"/>
      <c r="B100" s="55" t="s">
        <v>314</v>
      </c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6" x14ac:dyDescent="0.25">
      <c r="A101" s="9"/>
      <c r="B101" s="56"/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  <row r="102" spans="1:26" x14ac:dyDescent="0.25"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</sheetData>
  <pageMargins left="0.25" right="0.25" top="0.75" bottom="0.75" header="0.3" footer="0.3"/>
  <pageSetup scale="55" fitToWidth="2" orientation="landscape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str">
        <f>CONCATENATE("Period ",RIGHT(202003,2),", ",2020)</f>
        <v>Period 03, 2020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43736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tr">
        <f>CONCATENATE("Department ","435", " - ", "Ground Floor Coffee House")</f>
        <v>Department 435 - Ground Floor Coffee House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1194.07</v>
      </c>
      <c r="E12" s="4"/>
      <c r="F12" s="12"/>
      <c r="G12" s="4"/>
      <c r="H12" s="4">
        <f>SUM(OSRRefH13x_0)</f>
        <v>1228</v>
      </c>
      <c r="I12" s="4"/>
      <c r="J12" s="12"/>
      <c r="K12" s="4"/>
      <c r="L12" s="4">
        <f t="shared" ref="L12:L16" si="0">+D12-H12</f>
        <v>-33.930000000000064</v>
      </c>
      <c r="M12" s="4"/>
      <c r="N12" s="12">
        <f t="shared" ref="N12:N16" si="1">IF(H12=0,0,L12/H12)</f>
        <v>-2.7630293159609173E-2</v>
      </c>
      <c r="O12" s="10"/>
      <c r="P12" s="4">
        <f>SUM(OSRRefP13x_0)</f>
        <v>1510.71</v>
      </c>
      <c r="Q12" s="4"/>
      <c r="R12" s="12"/>
      <c r="S12" s="4"/>
      <c r="T12" s="4">
        <f>SUM(OSRRefT13x_0)</f>
        <v>1633</v>
      </c>
      <c r="U12" s="4"/>
      <c r="V12" s="12"/>
      <c r="W12" s="4"/>
      <c r="X12" s="4">
        <f t="shared" ref="X12:X16" si="2">+P12-T12</f>
        <v>-122.28999999999996</v>
      </c>
      <c r="Y12" s="4"/>
      <c r="Z12" s="12">
        <f t="shared" ref="Z12:Z16" si="3">IF(T12=0,0,X12/T12)</f>
        <v>-7.4886711573790551E-2</v>
      </c>
    </row>
    <row r="13" spans="1:26" s="24" customFormat="1" hidden="1" outlineLevel="1" x14ac:dyDescent="0.25">
      <c r="A13" s="46"/>
      <c r="B13" s="11" t="str">
        <f>CONCATENATE("          ", "4055", " - ", "TAXABLE SALES-FOOD")</f>
        <v xml:space="preserve">          4055 - TAXABLE SALES-FOOD</v>
      </c>
      <c r="C13" s="11"/>
      <c r="D13" s="2">
        <f>--233.67</f>
        <v>233.67</v>
      </c>
      <c r="E13" s="2"/>
      <c r="F13" s="19"/>
      <c r="G13" s="2"/>
      <c r="H13" s="2"/>
      <c r="I13" s="2"/>
      <c r="J13" s="19"/>
      <c r="K13" s="2"/>
      <c r="L13" s="2">
        <f t="shared" si="0"/>
        <v>233.67</v>
      </c>
      <c r="M13" s="2"/>
      <c r="N13" s="19">
        <f t="shared" si="1"/>
        <v>0</v>
      </c>
      <c r="O13" s="11"/>
      <c r="P13" s="2">
        <f>--279.32</f>
        <v>279.32</v>
      </c>
      <c r="Q13" s="2"/>
      <c r="R13" s="19"/>
      <c r="S13" s="2"/>
      <c r="T13" s="2"/>
      <c r="U13" s="2"/>
      <c r="V13" s="19"/>
      <c r="W13" s="2"/>
      <c r="X13" s="2">
        <f t="shared" si="2"/>
        <v>279.32</v>
      </c>
      <c r="Y13" s="2"/>
      <c r="Z13" s="19">
        <f t="shared" si="3"/>
        <v>0</v>
      </c>
    </row>
    <row r="14" spans="1:26" s="24" customFormat="1" hidden="1" outlineLevel="1" x14ac:dyDescent="0.25">
      <c r="A14" s="46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1228</v>
      </c>
      <c r="I14" s="2"/>
      <c r="J14" s="19"/>
      <c r="K14" s="2"/>
      <c r="L14" s="2">
        <f t="shared" si="0"/>
        <v>-1228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1633</v>
      </c>
      <c r="U14" s="2"/>
      <c r="V14" s="19"/>
      <c r="W14" s="2"/>
      <c r="X14" s="2">
        <f t="shared" si="2"/>
        <v>-1633</v>
      </c>
      <c r="Y14" s="2"/>
      <c r="Z14" s="19">
        <f t="shared" si="3"/>
        <v>-1</v>
      </c>
    </row>
    <row r="15" spans="1:26" s="24" customFormat="1" hidden="1" outlineLevel="1" x14ac:dyDescent="0.25">
      <c r="A15" s="46"/>
      <c r="B15" s="11" t="str">
        <f>CONCATENATE("          ", "4153", " - ", "NON-TAXABLE SALES-FOOD")</f>
        <v xml:space="preserve">          4153 - NON-TAXABLE SALES-FOOD</v>
      </c>
      <c r="C15" s="11"/>
      <c r="D15" s="2">
        <f>--260.28</f>
        <v>260.27999999999997</v>
      </c>
      <c r="E15" s="2"/>
      <c r="F15" s="19"/>
      <c r="G15" s="2"/>
      <c r="H15" s="2"/>
      <c r="I15" s="2"/>
      <c r="J15" s="19"/>
      <c r="K15" s="2"/>
      <c r="L15" s="2">
        <f t="shared" si="0"/>
        <v>260.27999999999997</v>
      </c>
      <c r="M15" s="2"/>
      <c r="N15" s="19">
        <f t="shared" si="1"/>
        <v>0</v>
      </c>
      <c r="O15" s="11"/>
      <c r="P15" s="2">
        <f>--260.28</f>
        <v>260.27999999999997</v>
      </c>
      <c r="Q15" s="2"/>
      <c r="R15" s="19"/>
      <c r="S15" s="2"/>
      <c r="T15" s="2"/>
      <c r="U15" s="2"/>
      <c r="V15" s="19"/>
      <c r="W15" s="2"/>
      <c r="X15" s="2">
        <f t="shared" si="2"/>
        <v>260.27999999999997</v>
      </c>
      <c r="Y15" s="2"/>
      <c r="Z15" s="19">
        <f t="shared" si="3"/>
        <v>0</v>
      </c>
    </row>
    <row r="16" spans="1:26" s="24" customFormat="1" hidden="1" outlineLevel="1" x14ac:dyDescent="0.25">
      <c r="A16" s="46"/>
      <c r="B16" s="11" t="str">
        <f>CONCATENATE("          ", "4155", " - ", "NON-TAXABLE SALES-FOOD")</f>
        <v xml:space="preserve">          4155 - NON-TAXABLE SALES-FOOD</v>
      </c>
      <c r="C16" s="11"/>
      <c r="D16" s="2">
        <f>--700.12</f>
        <v>700.12</v>
      </c>
      <c r="E16" s="2"/>
      <c r="F16" s="19"/>
      <c r="G16" s="2"/>
      <c r="H16" s="2"/>
      <c r="I16" s="2"/>
      <c r="J16" s="19"/>
      <c r="K16" s="2"/>
      <c r="L16" s="2">
        <f t="shared" si="0"/>
        <v>700.12</v>
      </c>
      <c r="M16" s="2"/>
      <c r="N16" s="19">
        <f t="shared" si="1"/>
        <v>0</v>
      </c>
      <c r="O16" s="11"/>
      <c r="P16" s="2">
        <f>--971.11</f>
        <v>971.11</v>
      </c>
      <c r="Q16" s="2"/>
      <c r="R16" s="19"/>
      <c r="S16" s="2"/>
      <c r="T16" s="2"/>
      <c r="U16" s="2"/>
      <c r="V16" s="19"/>
      <c r="W16" s="2"/>
      <c r="X16" s="2">
        <f t="shared" si="2"/>
        <v>971.11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91.539999999999964</v>
      </c>
      <c r="E18" s="4"/>
      <c r="F18" s="12">
        <f t="shared" ref="F18:F21" si="4">IF(D$12=0,0,D18/D$12)</f>
        <v>7.6662172234458592E-2</v>
      </c>
      <c r="G18" s="4"/>
      <c r="H18" s="4">
        <f>SUM(OSRRefH16x_0)</f>
        <v>654.57000000000005</v>
      </c>
      <c r="I18" s="4"/>
      <c r="J18" s="12">
        <f t="shared" ref="J18:J21" si="5">IF(H$12=0,0,H18/H$12)</f>
        <v>0.53303745928338764</v>
      </c>
      <c r="K18" s="4"/>
      <c r="L18" s="4">
        <f t="shared" ref="L18:L21" si="6">+D18-H18</f>
        <v>-563.03000000000009</v>
      </c>
      <c r="M18" s="4"/>
      <c r="N18" s="12">
        <f t="shared" ref="N18:N21" si="7">IF(H18=0,0,L18/H18)</f>
        <v>-0.86015246650472832</v>
      </c>
      <c r="O18" s="10"/>
      <c r="P18" s="4">
        <f>SUM(OSRRefP16x_0)</f>
        <v>440.59999999999991</v>
      </c>
      <c r="Q18" s="4"/>
      <c r="R18" s="12">
        <f t="shared" ref="R18:R21" si="8">IF(P$12=0,0,P18/P$12)</f>
        <v>0.29165094558187865</v>
      </c>
      <c r="S18" s="4"/>
      <c r="T18" s="4">
        <f>SUM(OSRRefT16x_0)</f>
        <v>870.4</v>
      </c>
      <c r="U18" s="4"/>
      <c r="V18" s="12">
        <f t="shared" ref="V18:V21" si="9">IF(T$12=0,0,T18/T$12)</f>
        <v>0.5330067360685854</v>
      </c>
      <c r="W18" s="4"/>
      <c r="X18" s="4">
        <f t="shared" ref="X18:X21" si="10">+P18-T18</f>
        <v>-429.80000000000007</v>
      </c>
      <c r="Y18" s="4"/>
      <c r="Z18" s="12">
        <f t="shared" ref="Z18:Z21" si="11">IF(T18=0,0,X18/T18)</f>
        <v>-0.49379595588235303</v>
      </c>
    </row>
    <row r="19" spans="1:26" s="24" customFormat="1" hidden="1" outlineLevel="1" x14ac:dyDescent="0.25">
      <c r="A19" s="46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654.57000000000005</v>
      </c>
      <c r="I19" s="2"/>
      <c r="J19" s="19">
        <f t="shared" si="5"/>
        <v>0.53303745928338764</v>
      </c>
      <c r="K19" s="2"/>
      <c r="L19" s="2">
        <f t="shared" si="6"/>
        <v>-654.57000000000005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870.4</v>
      </c>
      <c r="U19" s="2"/>
      <c r="V19" s="19">
        <f t="shared" si="9"/>
        <v>0.5330067360685854</v>
      </c>
      <c r="W19" s="2"/>
      <c r="X19" s="2">
        <f t="shared" si="10"/>
        <v>-870.4</v>
      </c>
      <c r="Y19" s="2"/>
      <c r="Z19" s="19">
        <f t="shared" si="11"/>
        <v>-1</v>
      </c>
    </row>
    <row r="20" spans="1:26" s="24" customFormat="1" hidden="1" outlineLevel="1" x14ac:dyDescent="0.25">
      <c r="A20" s="46"/>
      <c r="B20" s="11" t="str">
        <f>CONCATENATE("          ", "5053", " - ", "PURCHASES @ COST-FOOD")</f>
        <v xml:space="preserve">          5053 - PURCHASES @ COST-FOOD</v>
      </c>
      <c r="C20" s="11"/>
      <c r="D20" s="2">
        <v>396.14</v>
      </c>
      <c r="E20" s="2"/>
      <c r="F20" s="19">
        <f t="shared" si="4"/>
        <v>0.33175609470131567</v>
      </c>
      <c r="G20" s="2"/>
      <c r="H20" s="2"/>
      <c r="I20" s="2"/>
      <c r="J20" s="19">
        <f t="shared" si="5"/>
        <v>0</v>
      </c>
      <c r="K20" s="2"/>
      <c r="L20" s="2">
        <f t="shared" si="6"/>
        <v>396.14</v>
      </c>
      <c r="M20" s="2"/>
      <c r="N20" s="19">
        <f t="shared" si="7"/>
        <v>0</v>
      </c>
      <c r="O20" s="11"/>
      <c r="P20" s="2">
        <v>2704.4</v>
      </c>
      <c r="Q20" s="2"/>
      <c r="R20" s="19">
        <f t="shared" si="8"/>
        <v>1.7901516505484176</v>
      </c>
      <c r="S20" s="2"/>
      <c r="T20" s="2"/>
      <c r="U20" s="2"/>
      <c r="V20" s="19">
        <f t="shared" si="9"/>
        <v>0</v>
      </c>
      <c r="W20" s="2"/>
      <c r="X20" s="2">
        <f t="shared" si="10"/>
        <v>2704.4</v>
      </c>
      <c r="Y20" s="2"/>
      <c r="Z20" s="19">
        <f t="shared" si="11"/>
        <v>0</v>
      </c>
    </row>
    <row r="21" spans="1:26" s="24" customFormat="1" hidden="1" outlineLevel="1" x14ac:dyDescent="0.25">
      <c r="A21" s="46"/>
      <c r="B21" s="11" t="str">
        <f>CONCATENATE("          ", "5059", " - ", "PURCHASES @ COST-FOOD")</f>
        <v xml:space="preserve">          5059 - PURCHASES @ COST-FOOD</v>
      </c>
      <c r="C21" s="11"/>
      <c r="D21" s="2">
        <v>-304.60000000000002</v>
      </c>
      <c r="E21" s="2"/>
      <c r="F21" s="19">
        <f t="shared" si="4"/>
        <v>-0.25509392246685708</v>
      </c>
      <c r="G21" s="2"/>
      <c r="H21" s="2"/>
      <c r="I21" s="2"/>
      <c r="J21" s="19">
        <f t="shared" si="5"/>
        <v>0</v>
      </c>
      <c r="K21" s="2"/>
      <c r="L21" s="2">
        <f t="shared" si="6"/>
        <v>-304.60000000000002</v>
      </c>
      <c r="M21" s="2"/>
      <c r="N21" s="19">
        <f t="shared" si="7"/>
        <v>0</v>
      </c>
      <c r="O21" s="11"/>
      <c r="P21" s="2">
        <v>-2263.8000000000002</v>
      </c>
      <c r="Q21" s="2"/>
      <c r="R21" s="19">
        <f t="shared" si="8"/>
        <v>-1.4985007049665391</v>
      </c>
      <c r="S21" s="2"/>
      <c r="T21" s="2"/>
      <c r="U21" s="2"/>
      <c r="V21" s="19">
        <f t="shared" si="9"/>
        <v>0</v>
      </c>
      <c r="W21" s="2"/>
      <c r="X21" s="2">
        <f t="shared" si="10"/>
        <v>-2263.8000000000002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2">
        <f>D12-D18</f>
        <v>1102.53</v>
      </c>
      <c r="E23" s="14"/>
      <c r="F23" s="20">
        <f>IF(D$12=0,0,D23/D$12)</f>
        <v>0.92333782776554141</v>
      </c>
      <c r="G23" s="14"/>
      <c r="H23" s="22">
        <f>H12-H18</f>
        <v>573.42999999999995</v>
      </c>
      <c r="I23" s="14"/>
      <c r="J23" s="20">
        <f>IF(H$12=0,0,H23/H$12)</f>
        <v>0.46696254071661236</v>
      </c>
      <c r="K23" s="15"/>
      <c r="L23" s="22">
        <f>+D23-H23</f>
        <v>529.1</v>
      </c>
      <c r="M23" s="15"/>
      <c r="N23" s="20">
        <f>IF(H23=0,0,L23/H23)</f>
        <v>0.92269326683291786</v>
      </c>
      <c r="O23" s="28"/>
      <c r="P23" s="22">
        <f>P12-P18</f>
        <v>1070.1100000000001</v>
      </c>
      <c r="Q23" s="14"/>
      <c r="R23" s="20">
        <f>IF(P$12=0,0,P23/P$12)</f>
        <v>0.70834905441812135</v>
      </c>
      <c r="S23" s="14"/>
      <c r="T23" s="22">
        <f>T12-T18</f>
        <v>762.6</v>
      </c>
      <c r="U23" s="14"/>
      <c r="V23" s="20">
        <f>IF(T$12=0,0,T23/T$12)</f>
        <v>0.4669932639314146</v>
      </c>
      <c r="W23" s="15"/>
      <c r="X23" s="22">
        <f>+P23-T23</f>
        <v>307.5100000000001</v>
      </c>
      <c r="Y23" s="15"/>
      <c r="Z23" s="20">
        <f>IF(T23=0,0,X23/T23)</f>
        <v>0.40323891948596918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21">
        <f>SUM(OSRRefD22x_0)</f>
        <v>2603.64</v>
      </c>
      <c r="E25" s="21"/>
      <c r="F25" s="33">
        <f t="shared" ref="F25:F34" si="12">IF(D$12=0,0,D25/D$12)</f>
        <v>2.1804751815220214</v>
      </c>
      <c r="G25" s="21"/>
      <c r="H25" s="21">
        <f>SUM(OSRRefH22x_0)</f>
        <v>2691.52</v>
      </c>
      <c r="I25" s="21"/>
      <c r="J25" s="33">
        <f t="shared" ref="J25:J34" si="13">IF(H$12=0,0,H25/H$12)</f>
        <v>2.1917915309446254</v>
      </c>
      <c r="K25" s="4"/>
      <c r="L25" s="21">
        <f t="shared" ref="L25:L34" si="14">+D25-H25</f>
        <v>-87.880000000000109</v>
      </c>
      <c r="M25" s="4"/>
      <c r="N25" s="33">
        <f t="shared" ref="N25:N34" si="15">IF(H25=0,0,L25/H25)</f>
        <v>-3.2650695517774386E-2</v>
      </c>
      <c r="O25" s="10"/>
      <c r="P25" s="21">
        <f>SUM(OSRRefP22x_0)</f>
        <v>6508.5999999999985</v>
      </c>
      <c r="Q25" s="21"/>
      <c r="R25" s="33">
        <f t="shared" ref="R25:R34" si="16">IF(P$12=0,0,P25/P$12)</f>
        <v>4.3083053663509201</v>
      </c>
      <c r="S25" s="21"/>
      <c r="T25" s="21">
        <f>SUM(OSRRefT22x_0)</f>
        <v>4329.7083999999995</v>
      </c>
      <c r="U25" s="21"/>
      <c r="V25" s="33">
        <f t="shared" ref="V25:V34" si="17">IF(T$12=0,0,T25/T$12)</f>
        <v>2.6513829761175747</v>
      </c>
      <c r="W25" s="4"/>
      <c r="X25" s="21">
        <f t="shared" ref="X25:X34" si="18">+P25-T25</f>
        <v>2178.891599999999</v>
      </c>
      <c r="Y25" s="4"/>
      <c r="Z25" s="33">
        <f t="shared" ref="Z25:Z34" si="19">IF(T25=0,0,X25/T25)</f>
        <v>0.50324211210159076</v>
      </c>
    </row>
    <row r="26" spans="1:26" s="26" customFormat="1" outlineLevel="1" collapsed="1" x14ac:dyDescent="0.25">
      <c r="A26" s="27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171.34</v>
      </c>
      <c r="E26" s="1"/>
      <c r="F26" s="5">
        <f t="shared" si="12"/>
        <v>0.14349242506720714</v>
      </c>
      <c r="G26" s="1"/>
      <c r="H26" s="1">
        <f>SUM(OSRRefH22_0x_0)</f>
        <v>113.52</v>
      </c>
      <c r="I26" s="1"/>
      <c r="J26" s="5">
        <f t="shared" si="13"/>
        <v>9.2442996742671008E-2</v>
      </c>
      <c r="K26" s="1"/>
      <c r="L26" s="1">
        <f t="shared" si="14"/>
        <v>57.820000000000007</v>
      </c>
      <c r="M26" s="1"/>
      <c r="N26" s="5">
        <f t="shared" si="15"/>
        <v>0.50933756166314315</v>
      </c>
      <c r="O26" s="13"/>
      <c r="P26" s="1">
        <f>SUM(OSRRefP22_0x_0)</f>
        <v>267.70999999999998</v>
      </c>
      <c r="Q26" s="1"/>
      <c r="R26" s="5">
        <f t="shared" si="16"/>
        <v>0.17720806772974296</v>
      </c>
      <c r="S26" s="1"/>
      <c r="T26" s="1">
        <f>SUM(OSRRefT22_0x_0)</f>
        <v>185.70839999999998</v>
      </c>
      <c r="U26" s="1"/>
      <c r="V26" s="5">
        <f t="shared" si="17"/>
        <v>0.11372222902633189</v>
      </c>
      <c r="W26" s="1"/>
      <c r="X26" s="1">
        <f t="shared" si="18"/>
        <v>82.001599999999996</v>
      </c>
      <c r="Y26" s="1"/>
      <c r="Z26" s="5">
        <f t="shared" si="19"/>
        <v>0.44156107101240444</v>
      </c>
    </row>
    <row r="27" spans="1:26" s="24" customFormat="1" hidden="1" outlineLevel="2" x14ac:dyDescent="0.25">
      <c r="A27" s="25"/>
      <c r="B27" s="11" t="str">
        <f>CONCATENATE("          ", "6111", " - ", "F.I.C.A.")</f>
        <v xml:space="preserve">          6111 - F.I.C.A.</v>
      </c>
      <c r="C27" s="11"/>
      <c r="D27" s="7">
        <v>115.84</v>
      </c>
      <c r="E27" s="2"/>
      <c r="F27" s="6">
        <f t="shared" si="12"/>
        <v>9.701273794668655E-2</v>
      </c>
      <c r="G27" s="2"/>
      <c r="H27" s="7">
        <v>0</v>
      </c>
      <c r="I27" s="2"/>
      <c r="J27" s="6">
        <f t="shared" si="13"/>
        <v>0</v>
      </c>
      <c r="K27" s="2"/>
      <c r="L27" s="7">
        <f t="shared" si="14"/>
        <v>115.84</v>
      </c>
      <c r="M27" s="2"/>
      <c r="N27" s="6">
        <f t="shared" si="15"/>
        <v>0</v>
      </c>
      <c r="O27" s="11"/>
      <c r="P27" s="7">
        <v>161.16</v>
      </c>
      <c r="Q27" s="2"/>
      <c r="R27" s="6">
        <f t="shared" si="16"/>
        <v>0.10667831681792005</v>
      </c>
      <c r="S27" s="2"/>
      <c r="T27" s="7">
        <v>0</v>
      </c>
      <c r="U27" s="2"/>
      <c r="V27" s="6">
        <f t="shared" si="17"/>
        <v>0</v>
      </c>
      <c r="W27" s="2"/>
      <c r="X27" s="7">
        <f t="shared" si="18"/>
        <v>161.16</v>
      </c>
      <c r="Y27" s="2"/>
      <c r="Z27" s="6">
        <f t="shared" si="19"/>
        <v>0</v>
      </c>
    </row>
    <row r="28" spans="1:26" s="24" customFormat="1" hidden="1" outlineLevel="2" x14ac:dyDescent="0.25">
      <c r="A28" s="25"/>
      <c r="B28" s="11" t="str">
        <f>CONCATENATE("          ", "6112", " - ", "COMPENSATION INSURANCE")</f>
        <v xml:space="preserve">          6112 - COMPENSATION INSURANCE</v>
      </c>
      <c r="C28" s="11"/>
      <c r="D28" s="7">
        <v>48.82</v>
      </c>
      <c r="E28" s="2"/>
      <c r="F28" s="6">
        <f t="shared" si="12"/>
        <v>4.088537522925792E-2</v>
      </c>
      <c r="G28" s="2"/>
      <c r="H28" s="7">
        <v>41.8</v>
      </c>
      <c r="I28" s="2"/>
      <c r="J28" s="6">
        <f t="shared" si="13"/>
        <v>3.4039087947882733E-2</v>
      </c>
      <c r="K28" s="2"/>
      <c r="L28" s="7">
        <f t="shared" si="14"/>
        <v>7.0200000000000031</v>
      </c>
      <c r="M28" s="2"/>
      <c r="N28" s="6">
        <f t="shared" si="15"/>
        <v>0.1679425837320575</v>
      </c>
      <c r="O28" s="11"/>
      <c r="P28" s="7">
        <v>93.73</v>
      </c>
      <c r="Q28" s="2"/>
      <c r="R28" s="6">
        <f t="shared" si="16"/>
        <v>6.2043674828391952E-2</v>
      </c>
      <c r="S28" s="2"/>
      <c r="T28" s="7">
        <v>68.381</v>
      </c>
      <c r="U28" s="2"/>
      <c r="V28" s="6">
        <f t="shared" si="17"/>
        <v>4.1874464176362522E-2</v>
      </c>
      <c r="W28" s="2"/>
      <c r="X28" s="7">
        <f t="shared" si="18"/>
        <v>25.349000000000004</v>
      </c>
      <c r="Y28" s="2"/>
      <c r="Z28" s="6">
        <f t="shared" si="19"/>
        <v>0.37070238809025902</v>
      </c>
    </row>
    <row r="29" spans="1:26" s="24" customFormat="1" hidden="1" outlineLevel="2" x14ac:dyDescent="0.25">
      <c r="A29" s="25"/>
      <c r="B29" s="11" t="str">
        <f>CONCATENATE("          ", "6113", " - ", "GROUP INSURANCE")</f>
        <v xml:space="preserve">          6113 - GROUP INSURANCE</v>
      </c>
      <c r="C29" s="11"/>
      <c r="D29" s="7"/>
      <c r="E29" s="2"/>
      <c r="F29" s="6">
        <f t="shared" si="12"/>
        <v>0</v>
      </c>
      <c r="G29" s="2"/>
      <c r="H29" s="7">
        <v>0</v>
      </c>
      <c r="I29" s="2"/>
      <c r="J29" s="6">
        <f t="shared" si="13"/>
        <v>0</v>
      </c>
      <c r="K29" s="2"/>
      <c r="L29" s="7">
        <f t="shared" si="14"/>
        <v>0</v>
      </c>
      <c r="M29" s="2"/>
      <c r="N29" s="6">
        <f t="shared" si="15"/>
        <v>0</v>
      </c>
      <c r="O29" s="11"/>
      <c r="P29" s="7"/>
      <c r="Q29" s="2"/>
      <c r="R29" s="6">
        <f t="shared" si="16"/>
        <v>0</v>
      </c>
      <c r="S29" s="2"/>
      <c r="T29" s="7">
        <v>0</v>
      </c>
      <c r="U29" s="2"/>
      <c r="V29" s="6">
        <f t="shared" si="17"/>
        <v>0</v>
      </c>
      <c r="W29" s="2"/>
      <c r="X29" s="7">
        <f t="shared" si="18"/>
        <v>0</v>
      </c>
      <c r="Y29" s="2"/>
      <c r="Z29" s="6">
        <f t="shared" si="19"/>
        <v>0</v>
      </c>
    </row>
    <row r="30" spans="1:26" s="24" customFormat="1" hidden="1" outlineLevel="2" x14ac:dyDescent="0.25">
      <c r="A30" s="25"/>
      <c r="B30" s="11" t="str">
        <f>CONCATENATE("          ", "6114", " - ", "STATE UNEMPLOYMENT INSURANCE")</f>
        <v xml:space="preserve">          6114 - STATE UNEMPLOYMENT INSURANCE</v>
      </c>
      <c r="C30" s="11"/>
      <c r="D30" s="7">
        <v>6.68</v>
      </c>
      <c r="E30" s="2"/>
      <c r="F30" s="6">
        <f t="shared" si="12"/>
        <v>5.5943118912626559E-3</v>
      </c>
      <c r="G30" s="2"/>
      <c r="H30" s="7">
        <v>5.72</v>
      </c>
      <c r="I30" s="2"/>
      <c r="J30" s="6">
        <f t="shared" si="13"/>
        <v>4.6579804560260589E-3</v>
      </c>
      <c r="K30" s="2"/>
      <c r="L30" s="7">
        <f t="shared" si="14"/>
        <v>0.96</v>
      </c>
      <c r="M30" s="2"/>
      <c r="N30" s="6">
        <f t="shared" si="15"/>
        <v>0.16783216783216784</v>
      </c>
      <c r="O30" s="11"/>
      <c r="P30" s="7">
        <v>12.82</v>
      </c>
      <c r="Q30" s="2"/>
      <c r="R30" s="6">
        <f t="shared" si="16"/>
        <v>8.4860760834309691E-3</v>
      </c>
      <c r="S30" s="2"/>
      <c r="T30" s="7">
        <v>9.3574000000000002</v>
      </c>
      <c r="U30" s="2"/>
      <c r="V30" s="6">
        <f t="shared" si="17"/>
        <v>5.7301898346601345E-3</v>
      </c>
      <c r="W30" s="2"/>
      <c r="X30" s="7">
        <f t="shared" si="18"/>
        <v>3.4626000000000001</v>
      </c>
      <c r="Y30" s="2"/>
      <c r="Z30" s="6">
        <f t="shared" si="19"/>
        <v>0.37003868595977518</v>
      </c>
    </row>
    <row r="31" spans="1:26" s="24" customFormat="1" hidden="1" outlineLevel="2" x14ac:dyDescent="0.25">
      <c r="A31" s="25"/>
      <c r="B31" s="11" t="str">
        <f>CONCATENATE("          ", "6115", " - ", "P.E.R.S.")</f>
        <v xml:space="preserve">          6115 - P.E.R.S.</v>
      </c>
      <c r="C31" s="11"/>
      <c r="D31" s="7"/>
      <c r="E31" s="2"/>
      <c r="F31" s="6">
        <f t="shared" si="12"/>
        <v>0</v>
      </c>
      <c r="G31" s="2"/>
      <c r="H31" s="7">
        <v>0</v>
      </c>
      <c r="I31" s="2"/>
      <c r="J31" s="6">
        <f t="shared" si="13"/>
        <v>0</v>
      </c>
      <c r="K31" s="2"/>
      <c r="L31" s="7">
        <f t="shared" si="14"/>
        <v>0</v>
      </c>
      <c r="M31" s="2"/>
      <c r="N31" s="6">
        <f t="shared" si="15"/>
        <v>0</v>
      </c>
      <c r="O31" s="11"/>
      <c r="P31" s="7"/>
      <c r="Q31" s="2"/>
      <c r="R31" s="6">
        <f t="shared" si="16"/>
        <v>0</v>
      </c>
      <c r="S31" s="2"/>
      <c r="T31" s="7">
        <v>0</v>
      </c>
      <c r="U31" s="2"/>
      <c r="V31" s="6">
        <f t="shared" si="17"/>
        <v>0</v>
      </c>
      <c r="W31" s="2"/>
      <c r="X31" s="7">
        <f t="shared" si="18"/>
        <v>0</v>
      </c>
      <c r="Y31" s="2"/>
      <c r="Z31" s="6">
        <f t="shared" si="19"/>
        <v>0</v>
      </c>
    </row>
    <row r="32" spans="1:26" s="24" customFormat="1" hidden="1" outlineLevel="2" x14ac:dyDescent="0.25">
      <c r="A32" s="25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25">
      <c r="A33" s="25"/>
      <c r="B33" s="11" t="str">
        <f>CONCATENATE("          ", "6118", " - ", "VACATION")</f>
        <v xml:space="preserve">          6118 - VACATION</v>
      </c>
      <c r="C33" s="11"/>
      <c r="D33" s="7"/>
      <c r="E33" s="2"/>
      <c r="F33" s="6">
        <f t="shared" si="12"/>
        <v>0</v>
      </c>
      <c r="G33" s="2"/>
      <c r="H33" s="7">
        <v>0</v>
      </c>
      <c r="I33" s="2"/>
      <c r="J33" s="6">
        <f t="shared" si="13"/>
        <v>0</v>
      </c>
      <c r="K33" s="2"/>
      <c r="L33" s="7">
        <f t="shared" si="14"/>
        <v>0</v>
      </c>
      <c r="M33" s="2"/>
      <c r="N33" s="6">
        <f t="shared" si="15"/>
        <v>0</v>
      </c>
      <c r="O33" s="11"/>
      <c r="P33" s="7"/>
      <c r="Q33" s="2"/>
      <c r="R33" s="6">
        <f t="shared" si="16"/>
        <v>0</v>
      </c>
      <c r="S33" s="2"/>
      <c r="T33" s="7">
        <v>0</v>
      </c>
      <c r="U33" s="2"/>
      <c r="V33" s="6">
        <f t="shared" si="17"/>
        <v>0</v>
      </c>
      <c r="W33" s="2"/>
      <c r="X33" s="7">
        <f t="shared" si="18"/>
        <v>0</v>
      </c>
      <c r="Y33" s="2"/>
      <c r="Z33" s="6">
        <f t="shared" si="19"/>
        <v>0</v>
      </c>
    </row>
    <row r="34" spans="1:26" s="24" customFormat="1" hidden="1" outlineLevel="2" x14ac:dyDescent="0.25">
      <c r="A34" s="25"/>
      <c r="B34" s="11" t="str">
        <f>CONCATENATE("          ", "6119", " - ", "SICK LEAVE")</f>
        <v xml:space="preserve">          6119 - SICK LEAVE</v>
      </c>
      <c r="C34" s="11"/>
      <c r="D34" s="7"/>
      <c r="E34" s="2"/>
      <c r="F34" s="6">
        <f t="shared" si="12"/>
        <v>0</v>
      </c>
      <c r="G34" s="2"/>
      <c r="H34" s="7">
        <v>66</v>
      </c>
      <c r="I34" s="2"/>
      <c r="J34" s="6">
        <f t="shared" si="13"/>
        <v>5.3745928338762218E-2</v>
      </c>
      <c r="K34" s="2"/>
      <c r="L34" s="7">
        <f t="shared" si="14"/>
        <v>-66</v>
      </c>
      <c r="M34" s="2"/>
      <c r="N34" s="6">
        <f t="shared" si="15"/>
        <v>-1</v>
      </c>
      <c r="O34" s="11"/>
      <c r="P34" s="7"/>
      <c r="Q34" s="2"/>
      <c r="R34" s="6">
        <f t="shared" si="16"/>
        <v>0</v>
      </c>
      <c r="S34" s="2"/>
      <c r="T34" s="7">
        <v>107.97</v>
      </c>
      <c r="U34" s="2"/>
      <c r="V34" s="6">
        <f t="shared" si="17"/>
        <v>6.6117575015309252E-2</v>
      </c>
      <c r="W34" s="2"/>
      <c r="X34" s="7">
        <f t="shared" si="18"/>
        <v>-107.97</v>
      </c>
      <c r="Y34" s="2"/>
      <c r="Z34" s="6">
        <f t="shared" si="19"/>
        <v>-1</v>
      </c>
    </row>
    <row r="35" spans="1:26" s="26" customFormat="1" outlineLevel="1" collapsed="1" x14ac:dyDescent="0.25">
      <c r="A35" s="27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2234.1</v>
      </c>
      <c r="E35" s="1"/>
      <c r="F35" s="5">
        <f t="shared" ref="F35:F45" si="20">IF(D$12=0,0,D35/D$12)</f>
        <v>1.8709958377649551</v>
      </c>
      <c r="G35" s="1"/>
      <c r="H35" s="1">
        <f>SUM(OSRRefH22_1x_0)</f>
        <v>2200</v>
      </c>
      <c r="I35" s="1"/>
      <c r="J35" s="5">
        <f t="shared" ref="J35:J45" si="21">IF(H$12=0,0,H35/H$12)</f>
        <v>1.7915309446254071</v>
      </c>
      <c r="K35" s="1"/>
      <c r="L35" s="1">
        <f t="shared" ref="L35:L45" si="22">+D35-H35</f>
        <v>34.099999999999909</v>
      </c>
      <c r="M35" s="1"/>
      <c r="N35" s="5">
        <f t="shared" ref="N35:N45" si="23">IF(H35=0,0,L35/H35)</f>
        <v>1.5499999999999958E-2</v>
      </c>
      <c r="O35" s="13"/>
      <c r="P35" s="1">
        <f>SUM(OSRRefP22_1x_0)</f>
        <v>3422.66</v>
      </c>
      <c r="Q35" s="1"/>
      <c r="R35" s="5">
        <f t="shared" ref="R35:R45" si="24">IF(P$12=0,0,P35/P$12)</f>
        <v>2.265596970960674</v>
      </c>
      <c r="S35" s="1"/>
      <c r="T35" s="1">
        <f>SUM(OSRRefT22_1x_0)</f>
        <v>3599</v>
      </c>
      <c r="U35" s="1"/>
      <c r="V35" s="5">
        <f t="shared" ref="V35:V45" si="25">IF(T$12=0,0,T35/T$12)</f>
        <v>2.2039191671769749</v>
      </c>
      <c r="W35" s="1"/>
      <c r="X35" s="1">
        <f t="shared" ref="X35:X45" si="26">+P35-T35</f>
        <v>-176.34000000000015</v>
      </c>
      <c r="Y35" s="1"/>
      <c r="Z35" s="5">
        <f t="shared" ref="Z35:Z45" si="27">IF(T35=0,0,X35/T35)</f>
        <v>-4.8996943595443217E-2</v>
      </c>
    </row>
    <row r="36" spans="1:26" s="24" customFormat="1" hidden="1" outlineLevel="2" x14ac:dyDescent="0.25">
      <c r="A36" s="25"/>
      <c r="B36" s="11" t="str">
        <f>CONCATENATE("          ", "6001", " - ", "ADMINISTRATIVE SALARIES")</f>
        <v xml:space="preserve">          6001 - ADMINISTRATIVE SALARIES</v>
      </c>
      <c r="C36" s="11"/>
      <c r="D36" s="7"/>
      <c r="E36" s="2"/>
      <c r="F36" s="6">
        <f t="shared" si="20"/>
        <v>0</v>
      </c>
      <c r="G36" s="2"/>
      <c r="H36" s="7">
        <v>0</v>
      </c>
      <c r="I36" s="2"/>
      <c r="J36" s="6">
        <f t="shared" si="21"/>
        <v>0</v>
      </c>
      <c r="K36" s="2"/>
      <c r="L36" s="7">
        <f t="shared" si="22"/>
        <v>0</v>
      </c>
      <c r="M36" s="2"/>
      <c r="N36" s="6">
        <f t="shared" si="23"/>
        <v>0</v>
      </c>
      <c r="O36" s="11"/>
      <c r="P36" s="7"/>
      <c r="Q36" s="2"/>
      <c r="R36" s="6">
        <f t="shared" si="24"/>
        <v>0</v>
      </c>
      <c r="S36" s="2"/>
      <c r="T36" s="7">
        <v>0</v>
      </c>
      <c r="U36" s="2"/>
      <c r="V36" s="6">
        <f t="shared" si="25"/>
        <v>0</v>
      </c>
      <c r="W36" s="2"/>
      <c r="X36" s="7">
        <f t="shared" si="26"/>
        <v>0</v>
      </c>
      <c r="Y36" s="2"/>
      <c r="Z36" s="6">
        <f t="shared" si="27"/>
        <v>0</v>
      </c>
    </row>
    <row r="37" spans="1:26" s="24" customFormat="1" hidden="1" outlineLevel="2" x14ac:dyDescent="0.25">
      <c r="A37" s="25"/>
      <c r="B37" s="11" t="str">
        <f>CONCATENATE("          ", "6002", " - ", "STAFF SALARIES")</f>
        <v xml:space="preserve">          6002 - STAFF SALARIES</v>
      </c>
      <c r="C37" s="11"/>
      <c r="D37" s="7"/>
      <c r="E37" s="2"/>
      <c r="F37" s="6">
        <f t="shared" si="20"/>
        <v>0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0</v>
      </c>
      <c r="Y37" s="2"/>
      <c r="Z37" s="6">
        <f t="shared" si="27"/>
        <v>0</v>
      </c>
    </row>
    <row r="38" spans="1:26" s="24" customFormat="1" hidden="1" outlineLevel="2" x14ac:dyDescent="0.25">
      <c r="A38" s="25"/>
      <c r="B38" s="11" t="str">
        <f>CONCATENATE("          ", "6003", " - ", "STAFF HOURLY-9 MONTH")</f>
        <v xml:space="preserve">          6003 - STAFF HOURLY-9 MONTH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5"/>
      <c r="B39" s="11" t="str">
        <f>CONCATENATE("          ", "6004", " - ", "STAFF HOURLY")</f>
        <v xml:space="preserve">          6004 - STAFF HOURLY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5"/>
      <c r="B40" s="11" t="str">
        <f>CONCATENATE("          ", "6005", " - ", "TEMPORARY WAGES-HOURLY")</f>
        <v xml:space="preserve">          6005 - TEMPORARY WAGES-HOURLY</v>
      </c>
      <c r="C40" s="11"/>
      <c r="D40" s="7">
        <v>1514.1</v>
      </c>
      <c r="E40" s="2"/>
      <c r="F40" s="6">
        <f t="shared" si="20"/>
        <v>1.2680161129582017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1514.1</v>
      </c>
      <c r="M40" s="2"/>
      <c r="N40" s="6">
        <f t="shared" si="23"/>
        <v>0</v>
      </c>
      <c r="O40" s="11"/>
      <c r="P40" s="7">
        <v>2010.66</v>
      </c>
      <c r="Q40" s="2"/>
      <c r="R40" s="6">
        <f t="shared" si="24"/>
        <v>1.3309371090414441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2010.66</v>
      </c>
      <c r="Y40" s="2"/>
      <c r="Z40" s="6">
        <f t="shared" si="27"/>
        <v>0</v>
      </c>
    </row>
    <row r="41" spans="1:26" s="24" customFormat="1" hidden="1" outlineLevel="2" x14ac:dyDescent="0.25">
      <c r="A41" s="25"/>
      <c r="B41" s="11" t="str">
        <f>CONCATENATE("          ", "6006", " - ", "TEMPORARY PART TIME")</f>
        <v xml:space="preserve">          6006 - TEMPORARY PART TIME</v>
      </c>
      <c r="C41" s="11"/>
      <c r="D41" s="7"/>
      <c r="E41" s="2"/>
      <c r="F41" s="6">
        <f t="shared" si="20"/>
        <v>0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0</v>
      </c>
      <c r="M41" s="2"/>
      <c r="N41" s="6">
        <f t="shared" si="23"/>
        <v>0</v>
      </c>
      <c r="O41" s="11"/>
      <c r="P41" s="7"/>
      <c r="Q41" s="2"/>
      <c r="R41" s="6">
        <f t="shared" si="24"/>
        <v>0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0</v>
      </c>
      <c r="Y41" s="2"/>
      <c r="Z41" s="6">
        <f t="shared" si="27"/>
        <v>0</v>
      </c>
    </row>
    <row r="42" spans="1:26" s="24" customFormat="1" hidden="1" outlineLevel="2" x14ac:dyDescent="0.25">
      <c r="A42" s="25"/>
      <c r="B42" s="11" t="str">
        <f>CONCATENATE("          ", "6007", " - ", "STUDENT HOURLY")</f>
        <v xml:space="preserve">          6007 - STUDENT HOURLY</v>
      </c>
      <c r="C42" s="11"/>
      <c r="D42" s="7">
        <v>720</v>
      </c>
      <c r="E42" s="2"/>
      <c r="F42" s="6">
        <f t="shared" si="20"/>
        <v>0.60297972480675344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720</v>
      </c>
      <c r="M42" s="2"/>
      <c r="N42" s="6">
        <f t="shared" si="23"/>
        <v>0</v>
      </c>
      <c r="O42" s="11"/>
      <c r="P42" s="7">
        <v>1412</v>
      </c>
      <c r="Q42" s="2"/>
      <c r="R42" s="6">
        <f t="shared" si="24"/>
        <v>0.93465986191923001</v>
      </c>
      <c r="S42" s="2"/>
      <c r="T42" s="7">
        <v>0</v>
      </c>
      <c r="U42" s="2"/>
      <c r="V42" s="6">
        <f t="shared" si="25"/>
        <v>0</v>
      </c>
      <c r="W42" s="2"/>
      <c r="X42" s="7">
        <f t="shared" si="26"/>
        <v>1412</v>
      </c>
      <c r="Y42" s="2"/>
      <c r="Z42" s="6">
        <f t="shared" si="27"/>
        <v>0</v>
      </c>
    </row>
    <row r="43" spans="1:26" s="24" customFormat="1" hidden="1" outlineLevel="2" x14ac:dyDescent="0.25">
      <c r="A43" s="25"/>
      <c r="B43" s="11" t="str">
        <f>CONCATENATE("          ", "6008", " - ", "STUDENT HOURLY-FICA EXEMPT")</f>
        <v xml:space="preserve">          6008 - STUDENT HOURLY-FICA EXEMPT</v>
      </c>
      <c r="C43" s="11"/>
      <c r="D43" s="7"/>
      <c r="E43" s="2"/>
      <c r="F43" s="6">
        <f t="shared" si="20"/>
        <v>0</v>
      </c>
      <c r="G43" s="2"/>
      <c r="H43" s="7">
        <v>2200</v>
      </c>
      <c r="I43" s="2"/>
      <c r="J43" s="6">
        <f t="shared" si="21"/>
        <v>1.7915309446254071</v>
      </c>
      <c r="K43" s="2"/>
      <c r="L43" s="7">
        <f t="shared" si="22"/>
        <v>-2200</v>
      </c>
      <c r="M43" s="2"/>
      <c r="N43" s="6">
        <f t="shared" si="23"/>
        <v>-1</v>
      </c>
      <c r="O43" s="11"/>
      <c r="P43" s="7"/>
      <c r="Q43" s="2"/>
      <c r="R43" s="6">
        <f t="shared" si="24"/>
        <v>0</v>
      </c>
      <c r="S43" s="2"/>
      <c r="T43" s="7">
        <v>3599</v>
      </c>
      <c r="U43" s="2"/>
      <c r="V43" s="6">
        <f t="shared" si="25"/>
        <v>2.2039191671769749</v>
      </c>
      <c r="W43" s="2"/>
      <c r="X43" s="7">
        <f t="shared" si="26"/>
        <v>-3599</v>
      </c>
      <c r="Y43" s="2"/>
      <c r="Z43" s="6">
        <f t="shared" si="27"/>
        <v>-1</v>
      </c>
    </row>
    <row r="44" spans="1:26" s="24" customFormat="1" hidden="1" outlineLevel="2" x14ac:dyDescent="0.25">
      <c r="A44" s="25"/>
      <c r="B44" s="11" t="str">
        <f>CONCATENATE("          ", "6009", " - ", "TEMPORARY-SEASONAL")</f>
        <v xml:space="preserve">          6009 - TEMPORARY-SEASONAL</v>
      </c>
      <c r="C44" s="11"/>
      <c r="D44" s="7"/>
      <c r="E44" s="2"/>
      <c r="F44" s="6">
        <f t="shared" si="20"/>
        <v>0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0</v>
      </c>
      <c r="M44" s="2"/>
      <c r="N44" s="6">
        <f t="shared" si="23"/>
        <v>0</v>
      </c>
      <c r="O44" s="11"/>
      <c r="P44" s="7"/>
      <c r="Q44" s="2"/>
      <c r="R44" s="6">
        <f t="shared" si="24"/>
        <v>0</v>
      </c>
      <c r="S44" s="2"/>
      <c r="T44" s="7">
        <v>0</v>
      </c>
      <c r="U44" s="2"/>
      <c r="V44" s="6">
        <f t="shared" si="25"/>
        <v>0</v>
      </c>
      <c r="W44" s="2"/>
      <c r="X44" s="7">
        <f t="shared" si="26"/>
        <v>0</v>
      </c>
      <c r="Y44" s="2"/>
      <c r="Z44" s="6">
        <f t="shared" si="27"/>
        <v>0</v>
      </c>
    </row>
    <row r="45" spans="1:26" s="24" customFormat="1" hidden="1" outlineLevel="2" x14ac:dyDescent="0.25">
      <c r="A45" s="25"/>
      <c r="B45" s="11" t="str">
        <f>CONCATENATE("          ", "6010", " - ", "GRATUITY")</f>
        <v xml:space="preserve">          6010 - GRATUITY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26" customFormat="1" outlineLevel="1" collapsed="1" x14ac:dyDescent="0.25">
      <c r="A46" s="27"/>
      <c r="B46" s="13" t="str">
        <f>CONCATENATE("     ","Bad Debts/Over/Short                              ")</f>
        <v xml:space="preserve">     Bad Debts/Over/Short                              </v>
      </c>
      <c r="C46" s="13"/>
      <c r="D46" s="1">
        <f>SUM(OSRRefD22_2x_0)</f>
        <v>-0.02</v>
      </c>
      <c r="E46" s="1"/>
      <c r="F46" s="5">
        <f t="shared" ref="F46:F56" si="28">IF(D$12=0,0,D46/D$12)</f>
        <v>-1.6749436800187595E-5</v>
      </c>
      <c r="G46" s="1"/>
      <c r="H46" s="1">
        <f>SUM(OSRRefH22_2x_0)</f>
        <v>25</v>
      </c>
      <c r="I46" s="1"/>
      <c r="J46" s="5">
        <f t="shared" ref="J46:J56" si="29">IF(H$12=0,0,H46/H$12)</f>
        <v>2.035830618892508E-2</v>
      </c>
      <c r="K46" s="1"/>
      <c r="L46" s="1">
        <f t="shared" ref="L46:L56" si="30">+D46-H46</f>
        <v>-25.02</v>
      </c>
      <c r="M46" s="1"/>
      <c r="N46" s="5">
        <f t="shared" ref="N46:N56" si="31">IF(H46=0,0,L46/H46)</f>
        <v>-1.0007999999999999</v>
      </c>
      <c r="O46" s="13"/>
      <c r="P46" s="1">
        <f>SUM(OSRRefP22_2x_0)</f>
        <v>-0.31</v>
      </c>
      <c r="Q46" s="1"/>
      <c r="R46" s="5">
        <f t="shared" ref="R46:R56" si="32">IF(P$12=0,0,P46/P$12)</f>
        <v>-2.0520152775847116E-4</v>
      </c>
      <c r="S46" s="1"/>
      <c r="T46" s="1">
        <f>SUM(OSRRefT22_2x_0)</f>
        <v>75</v>
      </c>
      <c r="U46" s="1"/>
      <c r="V46" s="5">
        <f t="shared" ref="V46:V56" si="33">IF(T$12=0,0,T46/T$12)</f>
        <v>4.5927740355174523E-2</v>
      </c>
      <c r="W46" s="1"/>
      <c r="X46" s="1">
        <f t="shared" ref="X46:X56" si="34">+P46-T46</f>
        <v>-75.31</v>
      </c>
      <c r="Y46" s="1"/>
      <c r="Z46" s="5">
        <f t="shared" ref="Z46:Z56" si="35">IF(T46=0,0,X46/T46)</f>
        <v>-1.0041333333333333</v>
      </c>
    </row>
    <row r="47" spans="1:26" s="24" customFormat="1" hidden="1" outlineLevel="2" x14ac:dyDescent="0.25">
      <c r="A47" s="25"/>
      <c r="B47" s="11" t="str">
        <f>CONCATENATE("          ", "6272", " - ", "CASH (OVER/SHORT)")</f>
        <v xml:space="preserve">          6272 - CASH (OVER/SHORT)</v>
      </c>
      <c r="C47" s="11"/>
      <c r="D47" s="7">
        <v>-0.02</v>
      </c>
      <c r="E47" s="2"/>
      <c r="F47" s="6">
        <f t="shared" si="28"/>
        <v>-1.6749436800187595E-5</v>
      </c>
      <c r="G47" s="2"/>
      <c r="H47" s="7">
        <v>25</v>
      </c>
      <c r="I47" s="2"/>
      <c r="J47" s="6">
        <f t="shared" si="29"/>
        <v>2.035830618892508E-2</v>
      </c>
      <c r="K47" s="2"/>
      <c r="L47" s="7">
        <f t="shared" si="30"/>
        <v>-25.02</v>
      </c>
      <c r="M47" s="2"/>
      <c r="N47" s="6">
        <f t="shared" si="31"/>
        <v>-1.0007999999999999</v>
      </c>
      <c r="O47" s="11"/>
      <c r="P47" s="7">
        <v>-0.31</v>
      </c>
      <c r="Q47" s="2"/>
      <c r="R47" s="6">
        <f t="shared" si="32"/>
        <v>-2.0520152775847116E-4</v>
      </c>
      <c r="S47" s="2"/>
      <c r="T47" s="7">
        <v>75</v>
      </c>
      <c r="U47" s="2"/>
      <c r="V47" s="6">
        <f t="shared" si="33"/>
        <v>4.5927740355174523E-2</v>
      </c>
      <c r="W47" s="2"/>
      <c r="X47" s="7">
        <f t="shared" si="34"/>
        <v>-75.31</v>
      </c>
      <c r="Y47" s="2"/>
      <c r="Z47" s="6">
        <f t="shared" si="35"/>
        <v>-1.0041333333333333</v>
      </c>
    </row>
    <row r="48" spans="1:26" s="26" customFormat="1" outlineLevel="1" collapsed="1" x14ac:dyDescent="0.25">
      <c r="A48" s="27"/>
      <c r="B48" s="13" t="str">
        <f>CONCATENATE("     ","Bank/card Fees                                    ")</f>
        <v xml:space="preserve">     Bank/card Fees                                    </v>
      </c>
      <c r="C48" s="13"/>
      <c r="D48" s="1">
        <f>SUM(OSRRefD22_3x_0)</f>
        <v>23.36</v>
      </c>
      <c r="E48" s="1"/>
      <c r="F48" s="5">
        <f t="shared" si="28"/>
        <v>1.9563342182619112E-2</v>
      </c>
      <c r="G48" s="1"/>
      <c r="H48" s="1">
        <f>SUM(OSRRefH22_3x_0)</f>
        <v>26</v>
      </c>
      <c r="I48" s="1"/>
      <c r="J48" s="5">
        <f t="shared" si="29"/>
        <v>2.1172638436482084E-2</v>
      </c>
      <c r="K48" s="1"/>
      <c r="L48" s="1">
        <f t="shared" si="30"/>
        <v>-2.6400000000000006</v>
      </c>
      <c r="M48" s="1"/>
      <c r="N48" s="5">
        <f t="shared" si="31"/>
        <v>-0.10153846153846156</v>
      </c>
      <c r="O48" s="13"/>
      <c r="P48" s="1">
        <f>SUM(OSRRefP22_3x_0)</f>
        <v>31.55</v>
      </c>
      <c r="Q48" s="1"/>
      <c r="R48" s="5">
        <f t="shared" si="32"/>
        <v>2.0884220002515372E-2</v>
      </c>
      <c r="S48" s="1"/>
      <c r="T48" s="1">
        <f>SUM(OSRRefT22_3x_0)</f>
        <v>35</v>
      </c>
      <c r="U48" s="1"/>
      <c r="V48" s="5">
        <f t="shared" si="33"/>
        <v>2.1432945499081445E-2</v>
      </c>
      <c r="W48" s="1"/>
      <c r="X48" s="1">
        <f t="shared" si="34"/>
        <v>-3.4499999999999993</v>
      </c>
      <c r="Y48" s="1"/>
      <c r="Z48" s="5">
        <f t="shared" si="35"/>
        <v>-9.8571428571428546E-2</v>
      </c>
    </row>
    <row r="49" spans="1:26" s="24" customFormat="1" hidden="1" outlineLevel="2" x14ac:dyDescent="0.25">
      <c r="A49" s="25"/>
      <c r="B49" s="11" t="str">
        <f>CONCATENATE("          ", "6381", " - ", "BANK/CREDIT CARD FEES")</f>
        <v xml:space="preserve">          6381 - BANK/CREDIT CARD FEES</v>
      </c>
      <c r="C49" s="11"/>
      <c r="D49" s="7">
        <v>23.36</v>
      </c>
      <c r="E49" s="2"/>
      <c r="F49" s="6">
        <f t="shared" si="28"/>
        <v>1.9563342182619112E-2</v>
      </c>
      <c r="G49" s="2"/>
      <c r="H49" s="7">
        <v>26</v>
      </c>
      <c r="I49" s="2"/>
      <c r="J49" s="6">
        <f t="shared" si="29"/>
        <v>2.1172638436482084E-2</v>
      </c>
      <c r="K49" s="2"/>
      <c r="L49" s="7">
        <f t="shared" si="30"/>
        <v>-2.6400000000000006</v>
      </c>
      <c r="M49" s="2"/>
      <c r="N49" s="6">
        <f t="shared" si="31"/>
        <v>-0.10153846153846156</v>
      </c>
      <c r="O49" s="11"/>
      <c r="P49" s="7">
        <v>31.55</v>
      </c>
      <c r="Q49" s="2"/>
      <c r="R49" s="6">
        <f t="shared" si="32"/>
        <v>2.0884220002515372E-2</v>
      </c>
      <c r="S49" s="2"/>
      <c r="T49" s="7">
        <v>35</v>
      </c>
      <c r="U49" s="2"/>
      <c r="V49" s="6">
        <f t="shared" si="33"/>
        <v>2.1432945499081445E-2</v>
      </c>
      <c r="W49" s="2"/>
      <c r="X49" s="7">
        <f t="shared" si="34"/>
        <v>-3.4499999999999993</v>
      </c>
      <c r="Y49" s="2"/>
      <c r="Z49" s="6">
        <f t="shared" si="35"/>
        <v>-9.8571428571428546E-2</v>
      </c>
    </row>
    <row r="50" spans="1:26" s="26" customFormat="1" outlineLevel="1" collapsed="1" x14ac:dyDescent="0.25">
      <c r="A50" s="27"/>
      <c r="B50" s="13" t="str">
        <f>CONCATENATE("     ","General                                           ")</f>
        <v xml:space="preserve">     General                                           </v>
      </c>
      <c r="C50" s="13"/>
      <c r="D50" s="1">
        <f>SUM(OSRRefD22_4x_0)</f>
        <v>24</v>
      </c>
      <c r="E50" s="1"/>
      <c r="F50" s="5">
        <f t="shared" si="28"/>
        <v>2.0099324160225113E-2</v>
      </c>
      <c r="G50" s="1"/>
      <c r="H50" s="1">
        <f>SUM(OSRRefH22_4x_0)</f>
        <v>225</v>
      </c>
      <c r="I50" s="1"/>
      <c r="J50" s="5">
        <f t="shared" si="29"/>
        <v>0.18322475570032573</v>
      </c>
      <c r="K50" s="1"/>
      <c r="L50" s="1">
        <f t="shared" si="30"/>
        <v>-201</v>
      </c>
      <c r="M50" s="1"/>
      <c r="N50" s="5">
        <f t="shared" si="31"/>
        <v>-0.89333333333333331</v>
      </c>
      <c r="O50" s="13"/>
      <c r="P50" s="1">
        <f>SUM(OSRRefP22_4x_0)</f>
        <v>1113.55</v>
      </c>
      <c r="Q50" s="1"/>
      <c r="R50" s="5">
        <f t="shared" si="32"/>
        <v>0.7371037459207922</v>
      </c>
      <c r="S50" s="1"/>
      <c r="T50" s="1">
        <f>SUM(OSRRefT22_4x_0)</f>
        <v>299</v>
      </c>
      <c r="U50" s="1"/>
      <c r="V50" s="5">
        <f t="shared" si="33"/>
        <v>0.18309859154929578</v>
      </c>
      <c r="W50" s="1"/>
      <c r="X50" s="1">
        <f t="shared" si="34"/>
        <v>814.55</v>
      </c>
      <c r="Y50" s="1"/>
      <c r="Z50" s="5">
        <f t="shared" si="35"/>
        <v>2.724247491638796</v>
      </c>
    </row>
    <row r="51" spans="1:26" s="24" customFormat="1" hidden="1" outlineLevel="2" x14ac:dyDescent="0.25">
      <c r="A51" s="25"/>
      <c r="B51" s="11" t="str">
        <f>CONCATENATE("          ", "6279", " - ", "GENERAL EXPENSE")</f>
        <v xml:space="preserve">          6279 - GENERAL EXPENSE</v>
      </c>
      <c r="C51" s="11"/>
      <c r="D51" s="7">
        <v>24</v>
      </c>
      <c r="E51" s="2"/>
      <c r="F51" s="6">
        <f t="shared" si="28"/>
        <v>2.0099324160225113E-2</v>
      </c>
      <c r="G51" s="2"/>
      <c r="H51" s="7">
        <v>225</v>
      </c>
      <c r="I51" s="2"/>
      <c r="J51" s="6">
        <f t="shared" si="29"/>
        <v>0.18322475570032573</v>
      </c>
      <c r="K51" s="2"/>
      <c r="L51" s="7">
        <f t="shared" si="30"/>
        <v>-201</v>
      </c>
      <c r="M51" s="2"/>
      <c r="N51" s="6">
        <f t="shared" si="31"/>
        <v>-0.89333333333333331</v>
      </c>
      <c r="O51" s="11"/>
      <c r="P51" s="7">
        <v>1113.55</v>
      </c>
      <c r="Q51" s="2"/>
      <c r="R51" s="6">
        <f t="shared" si="32"/>
        <v>0.7371037459207922</v>
      </c>
      <c r="S51" s="2"/>
      <c r="T51" s="7">
        <v>299</v>
      </c>
      <c r="U51" s="2"/>
      <c r="V51" s="6">
        <f t="shared" si="33"/>
        <v>0.18309859154929578</v>
      </c>
      <c r="W51" s="2"/>
      <c r="X51" s="7">
        <f t="shared" si="34"/>
        <v>814.55</v>
      </c>
      <c r="Y51" s="2"/>
      <c r="Z51" s="6">
        <f t="shared" si="35"/>
        <v>2.724247491638796</v>
      </c>
    </row>
    <row r="52" spans="1:26" s="26" customFormat="1" outlineLevel="1" collapsed="1" x14ac:dyDescent="0.25">
      <c r="A52" s="27"/>
      <c r="B52" s="13" t="str">
        <f>CONCATENATE("     ","R/H Commissions                                   ")</f>
        <v xml:space="preserve">     R/H Commissions                                   </v>
      </c>
      <c r="C52" s="13"/>
      <c r="D52" s="1">
        <f>SUM(OSRRefD22_5x_0)</f>
        <v>120.86</v>
      </c>
      <c r="E52" s="1"/>
      <c r="F52" s="5">
        <f t="shared" si="28"/>
        <v>0.10121684658353364</v>
      </c>
      <c r="G52" s="1"/>
      <c r="H52" s="1">
        <f>SUM(OSRRefH22_5x_0)</f>
        <v>77</v>
      </c>
      <c r="I52" s="1"/>
      <c r="J52" s="5">
        <f t="shared" si="29"/>
        <v>6.2703583061889251E-2</v>
      </c>
      <c r="K52" s="1"/>
      <c r="L52" s="1">
        <f t="shared" si="30"/>
        <v>43.86</v>
      </c>
      <c r="M52" s="1"/>
      <c r="N52" s="5">
        <f t="shared" si="31"/>
        <v>0.56961038961038957</v>
      </c>
      <c r="O52" s="13"/>
      <c r="P52" s="1">
        <f>SUM(OSRRefP22_5x_0)</f>
        <v>120.86</v>
      </c>
      <c r="Q52" s="1"/>
      <c r="R52" s="5">
        <f t="shared" si="32"/>
        <v>8.0002118209318795E-2</v>
      </c>
      <c r="S52" s="1"/>
      <c r="T52" s="1">
        <f>SUM(OSRRefT22_5x_0)</f>
        <v>103</v>
      </c>
      <c r="U52" s="1"/>
      <c r="V52" s="5">
        <f t="shared" si="33"/>
        <v>6.3074096754439687E-2</v>
      </c>
      <c r="W52" s="1"/>
      <c r="X52" s="1">
        <f t="shared" si="34"/>
        <v>17.86</v>
      </c>
      <c r="Y52" s="1"/>
      <c r="Z52" s="5">
        <f t="shared" si="35"/>
        <v>0.17339805825242718</v>
      </c>
    </row>
    <row r="53" spans="1:26" s="24" customFormat="1" hidden="1" outlineLevel="2" x14ac:dyDescent="0.25">
      <c r="A53" s="25"/>
      <c r="B53" s="11" t="str">
        <f>CONCATENATE("          ", "6387", " - ", "COMMISSION DUE HOUSING")</f>
        <v xml:space="preserve">          6387 - COMMISSION DUE HOUSING</v>
      </c>
      <c r="C53" s="11"/>
      <c r="D53" s="7">
        <v>120.86</v>
      </c>
      <c r="E53" s="2"/>
      <c r="F53" s="6">
        <f t="shared" si="28"/>
        <v>0.10121684658353364</v>
      </c>
      <c r="G53" s="2"/>
      <c r="H53" s="7">
        <v>77</v>
      </c>
      <c r="I53" s="2"/>
      <c r="J53" s="6">
        <f t="shared" si="29"/>
        <v>6.2703583061889251E-2</v>
      </c>
      <c r="K53" s="2"/>
      <c r="L53" s="7">
        <f t="shared" si="30"/>
        <v>43.86</v>
      </c>
      <c r="M53" s="2"/>
      <c r="N53" s="6">
        <f t="shared" si="31"/>
        <v>0.56961038961038957</v>
      </c>
      <c r="O53" s="11"/>
      <c r="P53" s="7">
        <v>120.86</v>
      </c>
      <c r="Q53" s="2"/>
      <c r="R53" s="6">
        <f t="shared" si="32"/>
        <v>8.0002118209318795E-2</v>
      </c>
      <c r="S53" s="2"/>
      <c r="T53" s="7">
        <v>103</v>
      </c>
      <c r="U53" s="2"/>
      <c r="V53" s="6">
        <f t="shared" si="33"/>
        <v>6.3074096754439687E-2</v>
      </c>
      <c r="W53" s="2"/>
      <c r="X53" s="7">
        <f t="shared" si="34"/>
        <v>17.86</v>
      </c>
      <c r="Y53" s="2"/>
      <c r="Z53" s="6">
        <f t="shared" si="35"/>
        <v>0.17339805825242718</v>
      </c>
    </row>
    <row r="54" spans="1:26" s="26" customFormat="1" outlineLevel="1" collapsed="1" x14ac:dyDescent="0.25">
      <c r="A54" s="27"/>
      <c r="B54" s="13" t="str">
        <f>CONCATENATE("     ","Supplies                                          ")</f>
        <v xml:space="preserve">     Supplies                                          </v>
      </c>
      <c r="C54" s="13"/>
      <c r="D54" s="1">
        <f>SUM(OSRRefD22_6x_0)</f>
        <v>30</v>
      </c>
      <c r="E54" s="1"/>
      <c r="F54" s="5">
        <f t="shared" si="28"/>
        <v>2.5124155200281391E-2</v>
      </c>
      <c r="G54" s="1"/>
      <c r="H54" s="1">
        <f>SUM(OSRRefH22_6x_0)</f>
        <v>25</v>
      </c>
      <c r="I54" s="1"/>
      <c r="J54" s="5">
        <f t="shared" si="29"/>
        <v>2.035830618892508E-2</v>
      </c>
      <c r="K54" s="1"/>
      <c r="L54" s="1">
        <f t="shared" si="30"/>
        <v>5</v>
      </c>
      <c r="M54" s="1"/>
      <c r="N54" s="5">
        <f t="shared" si="31"/>
        <v>0.2</v>
      </c>
      <c r="O54" s="13"/>
      <c r="P54" s="1">
        <f>SUM(OSRRefP22_6x_0)</f>
        <v>1366.08</v>
      </c>
      <c r="Q54" s="1"/>
      <c r="R54" s="5">
        <f t="shared" si="32"/>
        <v>0.90426355819449122</v>
      </c>
      <c r="S54" s="1"/>
      <c r="T54" s="1">
        <f>SUM(OSRRefT22_6x_0)</f>
        <v>33</v>
      </c>
      <c r="U54" s="1"/>
      <c r="V54" s="5">
        <f t="shared" si="33"/>
        <v>2.0208205756276791E-2</v>
      </c>
      <c r="W54" s="1"/>
      <c r="X54" s="1">
        <f t="shared" si="34"/>
        <v>1333.08</v>
      </c>
      <c r="Y54" s="1"/>
      <c r="Z54" s="5">
        <f t="shared" si="35"/>
        <v>40.396363636363631</v>
      </c>
    </row>
    <row r="55" spans="1:26" s="24" customFormat="1" hidden="1" outlineLevel="2" x14ac:dyDescent="0.25">
      <c r="A55" s="25"/>
      <c r="B55" s="11" t="str">
        <f>CONCATENATE("          ", "6247", " - ", "STORE SUPPLIES")</f>
        <v xml:space="preserve">          6247 - STORE SUPPLIES</v>
      </c>
      <c r="C55" s="11"/>
      <c r="D55" s="7">
        <v>30</v>
      </c>
      <c r="E55" s="2"/>
      <c r="F55" s="6">
        <f t="shared" si="28"/>
        <v>2.5124155200281391E-2</v>
      </c>
      <c r="G55" s="2"/>
      <c r="H55" s="7">
        <v>25</v>
      </c>
      <c r="I55" s="2"/>
      <c r="J55" s="6">
        <f t="shared" si="29"/>
        <v>2.035830618892508E-2</v>
      </c>
      <c r="K55" s="2"/>
      <c r="L55" s="7">
        <f t="shared" si="30"/>
        <v>5</v>
      </c>
      <c r="M55" s="2"/>
      <c r="N55" s="6">
        <f t="shared" si="31"/>
        <v>0.2</v>
      </c>
      <c r="O55" s="11"/>
      <c r="P55" s="7">
        <v>252.48</v>
      </c>
      <c r="Q55" s="2"/>
      <c r="R55" s="6">
        <f t="shared" si="32"/>
        <v>0.16712671525309292</v>
      </c>
      <c r="S55" s="2"/>
      <c r="T55" s="7">
        <v>33</v>
      </c>
      <c r="U55" s="2"/>
      <c r="V55" s="6">
        <f t="shared" si="33"/>
        <v>2.0208205756276791E-2</v>
      </c>
      <c r="W55" s="2"/>
      <c r="X55" s="7">
        <f t="shared" si="34"/>
        <v>219.48</v>
      </c>
      <c r="Y55" s="2"/>
      <c r="Z55" s="6">
        <f t="shared" si="35"/>
        <v>6.6509090909090904</v>
      </c>
    </row>
    <row r="56" spans="1:26" s="24" customFormat="1" hidden="1" outlineLevel="2" x14ac:dyDescent="0.25">
      <c r="A56" s="25"/>
      <c r="B56" s="11" t="str">
        <f>CONCATENATE("          ", "6248", " - ", "UNIFORMS")</f>
        <v xml:space="preserve">          6248 - UNIFORMS</v>
      </c>
      <c r="C56" s="11"/>
      <c r="D56" s="7"/>
      <c r="E56" s="2"/>
      <c r="F56" s="6">
        <f t="shared" si="28"/>
        <v>0</v>
      </c>
      <c r="G56" s="2"/>
      <c r="H56" s="7"/>
      <c r="I56" s="2"/>
      <c r="J56" s="6">
        <f t="shared" si="29"/>
        <v>0</v>
      </c>
      <c r="K56" s="2"/>
      <c r="L56" s="7">
        <f t="shared" si="30"/>
        <v>0</v>
      </c>
      <c r="M56" s="2"/>
      <c r="N56" s="6">
        <f t="shared" si="31"/>
        <v>0</v>
      </c>
      <c r="O56" s="11"/>
      <c r="P56" s="7">
        <v>1113.5999999999999</v>
      </c>
      <c r="Q56" s="2"/>
      <c r="R56" s="6">
        <f t="shared" si="32"/>
        <v>0.73713684294139836</v>
      </c>
      <c r="S56" s="2"/>
      <c r="T56" s="7"/>
      <c r="U56" s="2"/>
      <c r="V56" s="6">
        <f t="shared" si="33"/>
        <v>0</v>
      </c>
      <c r="W56" s="2"/>
      <c r="X56" s="7">
        <f t="shared" si="34"/>
        <v>1113.5999999999999</v>
      </c>
      <c r="Y56" s="2"/>
      <c r="Z56" s="6">
        <f t="shared" si="35"/>
        <v>0</v>
      </c>
    </row>
    <row r="57" spans="1:26" s="26" customFormat="1" outlineLevel="1" collapsed="1" x14ac:dyDescent="0.25">
      <c r="A57" s="27"/>
      <c r="B57" s="13" t="str">
        <f>CONCATENATE("     ","Telephone/Data Lines                              ")</f>
        <v xml:space="preserve">     Telephone/Data Lines                              </v>
      </c>
      <c r="C57" s="13"/>
      <c r="D57" s="1">
        <f>SUM(OSRRefD22_7x_0)</f>
        <v>0</v>
      </c>
      <c r="E57" s="1"/>
      <c r="F57" s="5">
        <f t="shared" ref="F57:F58" si="36">IF(D$12=0,0,D57/D$12)</f>
        <v>0</v>
      </c>
      <c r="G57" s="1"/>
      <c r="H57" s="1">
        <f>SUM(OSRRefH22_7x_0)</f>
        <v>0</v>
      </c>
      <c r="I57" s="1"/>
      <c r="J57" s="5">
        <f t="shared" ref="J57:J58" si="37">IF(H$12=0,0,H57/H$12)</f>
        <v>0</v>
      </c>
      <c r="K57" s="1"/>
      <c r="L57" s="1">
        <f t="shared" ref="L57:L58" si="38">+D57-H57</f>
        <v>0</v>
      </c>
      <c r="M57" s="1"/>
      <c r="N57" s="5">
        <f t="shared" ref="N57:N58" si="39">IF(H57=0,0,L57/H57)</f>
        <v>0</v>
      </c>
      <c r="O57" s="13"/>
      <c r="P57" s="1">
        <f>SUM(OSRRefP22_7x_0)</f>
        <v>186.5</v>
      </c>
      <c r="Q57" s="1"/>
      <c r="R57" s="5">
        <f t="shared" ref="R57:R58" si="40">IF(P$12=0,0,P57/P$12)</f>
        <v>0.12345188686114476</v>
      </c>
      <c r="S57" s="1"/>
      <c r="T57" s="1">
        <f>SUM(OSRRefT22_7x_0)</f>
        <v>0</v>
      </c>
      <c r="U57" s="1"/>
      <c r="V57" s="5">
        <f t="shared" ref="V57:V58" si="41">IF(T$12=0,0,T57/T$12)</f>
        <v>0</v>
      </c>
      <c r="W57" s="1"/>
      <c r="X57" s="1">
        <f t="shared" ref="X57:X58" si="42">+P57-T57</f>
        <v>186.5</v>
      </c>
      <c r="Y57" s="1"/>
      <c r="Z57" s="5">
        <f t="shared" ref="Z57:Z58" si="43">IF(T57=0,0,X57/T57)</f>
        <v>0</v>
      </c>
    </row>
    <row r="58" spans="1:26" s="24" customFormat="1" hidden="1" outlineLevel="2" x14ac:dyDescent="0.25">
      <c r="A58" s="25"/>
      <c r="B58" s="11" t="str">
        <f>CONCATENATE("          ", "6309", " - ", "TELEPHONE")</f>
        <v xml:space="preserve">          6309 - TELEPHONE</v>
      </c>
      <c r="C58" s="11"/>
      <c r="D58" s="7"/>
      <c r="E58" s="2"/>
      <c r="F58" s="6">
        <f t="shared" si="36"/>
        <v>0</v>
      </c>
      <c r="G58" s="2"/>
      <c r="H58" s="7"/>
      <c r="I58" s="2"/>
      <c r="J58" s="6">
        <f t="shared" si="37"/>
        <v>0</v>
      </c>
      <c r="K58" s="2"/>
      <c r="L58" s="7">
        <f t="shared" si="38"/>
        <v>0</v>
      </c>
      <c r="M58" s="2"/>
      <c r="N58" s="6">
        <f t="shared" si="39"/>
        <v>0</v>
      </c>
      <c r="O58" s="11"/>
      <c r="P58" s="7">
        <v>186.5</v>
      </c>
      <c r="Q58" s="2"/>
      <c r="R58" s="6">
        <f t="shared" si="40"/>
        <v>0.12345188686114476</v>
      </c>
      <c r="S58" s="2"/>
      <c r="T58" s="7"/>
      <c r="U58" s="2"/>
      <c r="V58" s="6">
        <f t="shared" si="41"/>
        <v>0</v>
      </c>
      <c r="W58" s="2"/>
      <c r="X58" s="7">
        <f t="shared" si="42"/>
        <v>186.5</v>
      </c>
      <c r="Y58" s="2"/>
      <c r="Z58" s="6">
        <f t="shared" si="43"/>
        <v>0</v>
      </c>
    </row>
    <row r="59" spans="1:26" s="63" customFormat="1" x14ac:dyDescent="0.25">
      <c r="A59" s="36"/>
      <c r="B59" s="36"/>
      <c r="C59" s="36"/>
      <c r="D59" s="1"/>
      <c r="E59" s="1"/>
      <c r="F59" s="5"/>
      <c r="G59" s="1"/>
      <c r="H59" s="1"/>
      <c r="I59" s="1"/>
      <c r="J59" s="5"/>
      <c r="K59" s="1"/>
      <c r="L59" s="1"/>
      <c r="M59" s="1"/>
      <c r="N59" s="5"/>
      <c r="O59" s="36"/>
      <c r="P59" s="1"/>
      <c r="Q59" s="1"/>
      <c r="R59" s="5"/>
      <c r="S59" s="1"/>
      <c r="T59" s="1"/>
      <c r="U59" s="1"/>
      <c r="V59" s="5"/>
      <c r="W59" s="1"/>
      <c r="X59" s="1"/>
      <c r="Y59" s="1"/>
      <c r="Z59" s="5"/>
    </row>
    <row r="60" spans="1:26" s="23" customFormat="1" x14ac:dyDescent="0.25">
      <c r="A60" s="10"/>
      <c r="B60" s="28" t="s">
        <v>0</v>
      </c>
      <c r="C60" s="10"/>
      <c r="D60" s="4">
        <f>SUM(0)</f>
        <v>0</v>
      </c>
      <c r="E60" s="4"/>
      <c r="F60" s="12">
        <f>IF(D$12=0,0,D60/D$12)</f>
        <v>0</v>
      </c>
      <c r="G60" s="4"/>
      <c r="H60" s="4">
        <f>SUM(0)</f>
        <v>0</v>
      </c>
      <c r="I60" s="4"/>
      <c r="J60" s="12">
        <f>IF(H$12=0,0,H60/H$12)</f>
        <v>0</v>
      </c>
      <c r="K60" s="4"/>
      <c r="L60" s="4">
        <f>+D60-H60</f>
        <v>0</v>
      </c>
      <c r="M60" s="4"/>
      <c r="N60" s="12">
        <f>IF(H60=0,0,L60/H60)</f>
        <v>0</v>
      </c>
      <c r="O60" s="10"/>
      <c r="P60" s="4">
        <f>SUM(0)</f>
        <v>0</v>
      </c>
      <c r="Q60" s="4"/>
      <c r="R60" s="12">
        <f>IF(P$12=0,0,P60/P$12)</f>
        <v>0</v>
      </c>
      <c r="S60" s="4"/>
      <c r="T60" s="4">
        <f>SUM(0)</f>
        <v>0</v>
      </c>
      <c r="U60" s="4"/>
      <c r="V60" s="12">
        <f>IF(T$12=0,0,T60/T$12)</f>
        <v>0</v>
      </c>
      <c r="W60" s="4"/>
      <c r="X60" s="4">
        <f>+P60-T60</f>
        <v>0</v>
      </c>
      <c r="Y60" s="4"/>
      <c r="Z60" s="12">
        <f>IF(T60=0,0,X60/T60)</f>
        <v>0</v>
      </c>
    </row>
    <row r="61" spans="1:26" x14ac:dyDescent="0.25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25">
      <c r="A62" s="10"/>
      <c r="B62" s="29" t="s">
        <v>3</v>
      </c>
      <c r="C62" s="29"/>
      <c r="D62" s="22">
        <f>+D23-D25+D60</f>
        <v>-1501.11</v>
      </c>
      <c r="E62" s="14"/>
      <c r="F62" s="20">
        <f>IF(D$12=0,0,D62/D$12)</f>
        <v>-1.2571373537564798</v>
      </c>
      <c r="G62" s="14"/>
      <c r="H62" s="22">
        <f>+H23-H25+H60</f>
        <v>-2118.09</v>
      </c>
      <c r="I62" s="14"/>
      <c r="J62" s="20">
        <f>IF(H$12=0,0,H62/H$12)</f>
        <v>-1.7248289902280132</v>
      </c>
      <c r="K62" s="15"/>
      <c r="L62" s="22">
        <f>+D62-H62</f>
        <v>616.98000000000025</v>
      </c>
      <c r="M62" s="15"/>
      <c r="N62" s="20">
        <f>IF(H62=0,0,L62/H62)</f>
        <v>-0.29129073835389441</v>
      </c>
      <c r="O62" s="28"/>
      <c r="P62" s="22">
        <f>+P23-P25+P60</f>
        <v>-5438.489999999998</v>
      </c>
      <c r="Q62" s="14"/>
      <c r="R62" s="20">
        <f>IF(P$12=0,0,P62/P$12)</f>
        <v>-3.5999563119327984</v>
      </c>
      <c r="S62" s="14"/>
      <c r="T62" s="22">
        <f>+T23-T25+T60</f>
        <v>-3567.1083999999996</v>
      </c>
      <c r="U62" s="14"/>
      <c r="V62" s="20">
        <f>IF(T$12=0,0,T62/T$12)</f>
        <v>-2.1843897121861602</v>
      </c>
      <c r="W62" s="15"/>
      <c r="X62" s="22">
        <f>+P62-T62</f>
        <v>-1871.3815999999983</v>
      </c>
      <c r="Y62" s="15"/>
      <c r="Z62" s="20">
        <f>IF(T62=0,0,X62/T62)</f>
        <v>0.52462145529415327</v>
      </c>
    </row>
    <row r="63" spans="1:26" x14ac:dyDescent="0.25">
      <c r="A63" s="9"/>
      <c r="B63" s="10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x14ac:dyDescent="0.25">
      <c r="A64" s="52"/>
      <c r="B64" s="10" t="s">
        <v>14</v>
      </c>
      <c r="C64" s="10"/>
      <c r="D64" s="4">
        <v>122.79</v>
      </c>
      <c r="E64" s="4"/>
      <c r="F64" s="12">
        <f>IF(D$12=0,0,D64/D$12)</f>
        <v>0.10283316723475175</v>
      </c>
      <c r="G64" s="4"/>
      <c r="H64" s="4">
        <v>141</v>
      </c>
      <c r="I64" s="4"/>
      <c r="J64" s="12">
        <f>IF(H$12=0,0,H64/H$12)</f>
        <v>0.11482084690553745</v>
      </c>
      <c r="K64" s="4"/>
      <c r="L64" s="4">
        <f>+D64-H64</f>
        <v>-18.209999999999994</v>
      </c>
      <c r="M64" s="4"/>
      <c r="N64" s="12">
        <f>IF(H64=0,0,L64/H64)</f>
        <v>-0.12914893617021272</v>
      </c>
      <c r="O64" s="10"/>
      <c r="P64" s="4">
        <v>162.27000000000001</v>
      </c>
      <c r="Q64" s="4"/>
      <c r="R64" s="12">
        <f>IF(P$12=0,0,P64/P$12)</f>
        <v>0.10741307067537781</v>
      </c>
      <c r="S64" s="4"/>
      <c r="T64" s="4">
        <v>207</v>
      </c>
      <c r="U64" s="4"/>
      <c r="V64" s="12">
        <f>IF(T$12=0,0,T64/T$12)</f>
        <v>0.12676056338028169</v>
      </c>
      <c r="W64" s="4"/>
      <c r="X64" s="4">
        <f>+P64-T64</f>
        <v>-44.72999999999999</v>
      </c>
      <c r="Y64" s="4"/>
      <c r="Z64" s="12">
        <f>IF(T64=0,0,X64/T64)</f>
        <v>-0.21608695652173909</v>
      </c>
    </row>
    <row r="65" spans="1:26" x14ac:dyDescent="0.25">
      <c r="A65" s="9"/>
      <c r="B65" s="10"/>
      <c r="C65" s="10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O65" s="10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ht="15.75" thickBot="1" x14ac:dyDescent="0.3">
      <c r="A66" s="10"/>
      <c r="B66" s="29" t="s">
        <v>4</v>
      </c>
      <c r="C66" s="29"/>
      <c r="D66" s="35">
        <f>+D62-D64</f>
        <v>-1623.8999999999999</v>
      </c>
      <c r="E66" s="14"/>
      <c r="F66" s="32">
        <f>IF(D$12=0,0,D66/D$12)</f>
        <v>-1.3599705209912316</v>
      </c>
      <c r="G66" s="14"/>
      <c r="H66" s="35">
        <f>+H62-H64</f>
        <v>-2259.09</v>
      </c>
      <c r="I66" s="14"/>
      <c r="J66" s="32">
        <f>IF(H$12=0,0,H66/H$12)</f>
        <v>-1.8396498371335506</v>
      </c>
      <c r="K66" s="15"/>
      <c r="L66" s="35">
        <f>D66-H66</f>
        <v>635.19000000000028</v>
      </c>
      <c r="M66" s="15"/>
      <c r="N66" s="32">
        <f>IF(H66=0,0,L66/H66)</f>
        <v>-0.28117073688963268</v>
      </c>
      <c r="O66" s="28"/>
      <c r="P66" s="35">
        <f>+P62-P64</f>
        <v>-5600.7599999999984</v>
      </c>
      <c r="Q66" s="14"/>
      <c r="R66" s="32">
        <f>IF(P$12=0,0,P66/P$12)</f>
        <v>-3.7073693826081766</v>
      </c>
      <c r="S66" s="14"/>
      <c r="T66" s="35">
        <f>+T62-T64</f>
        <v>-3774.1083999999996</v>
      </c>
      <c r="U66" s="14"/>
      <c r="V66" s="32">
        <f>IF(T$12=0,0,T66/T$12)</f>
        <v>-2.3111502755664417</v>
      </c>
      <c r="W66" s="15"/>
      <c r="X66" s="35">
        <f>P66-T66</f>
        <v>-1826.6515999999988</v>
      </c>
      <c r="Y66" s="15"/>
      <c r="Z66" s="32">
        <f>IF(T66=0,0,X66/T66)</f>
        <v>0.48399553123593347</v>
      </c>
    </row>
    <row r="67" spans="1:26" ht="15.75" thickTop="1" x14ac:dyDescent="0.25">
      <c r="A67" s="9"/>
      <c r="B67" s="9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.75" thickBot="1" x14ac:dyDescent="0.3">
      <c r="A69" s="10"/>
      <c r="B69" s="29" t="s">
        <v>5</v>
      </c>
      <c r="C69" s="29"/>
      <c r="D69" s="30">
        <f>SUM(D66:D68)</f>
        <v>-1623.8999999999999</v>
      </c>
      <c r="E69" s="14"/>
      <c r="F69" s="31">
        <f>IF(D$12=0,0,D69/D$12)</f>
        <v>-1.3599705209912316</v>
      </c>
      <c r="G69" s="14"/>
      <c r="H69" s="30">
        <f>SUM(H66:H68)</f>
        <v>-2259.09</v>
      </c>
      <c r="I69" s="14"/>
      <c r="J69" s="31">
        <f>IF(H$12=0,0,H69/H$12)</f>
        <v>-1.8396498371335506</v>
      </c>
      <c r="K69" s="15"/>
      <c r="L69" s="30">
        <f>+D69-H69</f>
        <v>635.19000000000028</v>
      </c>
      <c r="M69" s="15"/>
      <c r="N69" s="31">
        <f>IF(H69=0,0,L69/H69)</f>
        <v>-0.28117073688963268</v>
      </c>
      <c r="O69" s="28"/>
      <c r="P69" s="30">
        <f>SUM(P66:P68)</f>
        <v>-5600.7599999999984</v>
      </c>
      <c r="Q69" s="14"/>
      <c r="R69" s="31">
        <f>IF(P$12=0,0,P69/P$12)</f>
        <v>-3.7073693826081766</v>
      </c>
      <c r="S69" s="14"/>
      <c r="T69" s="30">
        <f>SUM(T66:T68)</f>
        <v>-3774.1083999999996</v>
      </c>
      <c r="U69" s="14"/>
      <c r="V69" s="31">
        <f>IF(T$12=0,0,T69/T$12)</f>
        <v>-2.3111502755664417</v>
      </c>
      <c r="W69" s="15"/>
      <c r="X69" s="30">
        <f>+P69-T69</f>
        <v>-1826.6515999999988</v>
      </c>
      <c r="Y69" s="15"/>
      <c r="Z69" s="31">
        <f>IF(T69=0,0,X69/T69)</f>
        <v>0.48399553123593347</v>
      </c>
    </row>
    <row r="70" spans="1:26" ht="15.75" thickTop="1" x14ac:dyDescent="0.25">
      <c r="A70" s="9"/>
      <c r="C70" s="9"/>
      <c r="D70" s="18"/>
      <c r="E70" s="18"/>
      <c r="G70" s="18"/>
      <c r="H70" s="18"/>
      <c r="I70" s="18"/>
      <c r="J70" s="43"/>
      <c r="K70" s="18"/>
      <c r="L70" s="18"/>
      <c r="M70" s="18"/>
      <c r="P70" s="18"/>
      <c r="Q70" s="18"/>
      <c r="R70" s="43"/>
      <c r="S70" s="18"/>
      <c r="T70" s="18"/>
      <c r="U70" s="18"/>
      <c r="V70" s="43"/>
      <c r="W70" s="18"/>
      <c r="X70" s="18"/>
    </row>
    <row r="71" spans="1:26" x14ac:dyDescent="0.25">
      <c r="A71" s="9"/>
      <c r="B71" s="53">
        <v>43756.452815393517</v>
      </c>
      <c r="D71" s="18"/>
      <c r="E71" s="18"/>
      <c r="G71" s="18"/>
      <c r="H71" s="18"/>
      <c r="I71" s="18"/>
      <c r="J71" s="43"/>
      <c r="K71" s="18"/>
      <c r="L71" s="18"/>
      <c r="M71" s="18"/>
      <c r="P71" s="18"/>
      <c r="Q71" s="18"/>
      <c r="R71" s="43"/>
      <c r="S71" s="18"/>
      <c r="T71" s="18"/>
      <c r="U71" s="18"/>
      <c r="V71" s="43"/>
      <c r="W71" s="18"/>
      <c r="X71" s="18"/>
    </row>
    <row r="72" spans="1:26" x14ac:dyDescent="0.25">
      <c r="A72" s="9"/>
      <c r="B72" s="55" t="s">
        <v>314</v>
      </c>
      <c r="D72" s="18"/>
      <c r="E72" s="18"/>
      <c r="G72" s="18"/>
      <c r="H72" s="18"/>
      <c r="I72" s="18"/>
      <c r="J72" s="43"/>
      <c r="K72" s="18"/>
      <c r="L72" s="18"/>
      <c r="M72" s="18"/>
      <c r="P72" s="18"/>
      <c r="Q72" s="18"/>
      <c r="R72" s="43"/>
      <c r="S72" s="18"/>
      <c r="T72" s="18"/>
      <c r="U72" s="18"/>
      <c r="V72" s="43"/>
      <c r="W72" s="18"/>
      <c r="X72" s="18"/>
    </row>
    <row r="73" spans="1:26" x14ac:dyDescent="0.25">
      <c r="A73" s="9"/>
      <c r="B73" s="56"/>
      <c r="D73" s="18"/>
      <c r="E73" s="18"/>
      <c r="G73" s="18"/>
      <c r="H73" s="18"/>
      <c r="I73" s="18"/>
      <c r="J73" s="43"/>
      <c r="K73" s="18"/>
      <c r="L73" s="18"/>
      <c r="M73" s="18"/>
      <c r="P73" s="18"/>
      <c r="Q73" s="18"/>
      <c r="R73" s="43"/>
      <c r="S73" s="18"/>
      <c r="T73" s="18"/>
      <c r="U73" s="18"/>
      <c r="V73" s="43"/>
      <c r="W73" s="18"/>
      <c r="X73" s="18"/>
    </row>
    <row r="74" spans="1:26" x14ac:dyDescent="0.25">
      <c r="D74" s="18"/>
      <c r="E74" s="18"/>
      <c r="G74" s="18"/>
      <c r="H74" s="18"/>
      <c r="I74" s="18"/>
      <c r="J74" s="43"/>
      <c r="K74" s="18"/>
      <c r="L74" s="18"/>
      <c r="M74" s="18"/>
      <c r="P74" s="18"/>
      <c r="Q74" s="18"/>
      <c r="R74" s="43"/>
      <c r="S74" s="18"/>
      <c r="T74" s="18"/>
      <c r="U74" s="18"/>
      <c r="V74" s="43"/>
      <c r="W74" s="18"/>
      <c r="X74" s="18"/>
    </row>
  </sheetData>
  <pageMargins left="0.25" right="0.25" top="0.75" bottom="0.75" header="0.3" footer="0.3"/>
  <pageSetup scale="55" fitToWidth="2" orientation="landscape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str">
        <f>CONCATENATE("Period ",RIGHT(202003,2),", ",2020)</f>
        <v>Period 03, 2020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43736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tr">
        <f>CONCATENATE("Department ","444", " - ", "Parkside Dining Hall")</f>
        <v>Department 444 - Parkside Dining Hall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540956.72</v>
      </c>
      <c r="E12" s="4"/>
      <c r="F12" s="12"/>
      <c r="G12" s="4"/>
      <c r="H12" s="4">
        <f>SUM(OSRRefH13x_0)</f>
        <v>574273</v>
      </c>
      <c r="I12" s="4"/>
      <c r="J12" s="12"/>
      <c r="K12" s="4"/>
      <c r="L12" s="4">
        <f t="shared" ref="L12:L16" si="0">+D12-H12</f>
        <v>-33316.280000000028</v>
      </c>
      <c r="M12" s="4"/>
      <c r="N12" s="12">
        <f t="shared" ref="N12:N16" si="1">IF(H12=0,0,L12/H12)</f>
        <v>-5.8014707290783354E-2</v>
      </c>
      <c r="O12" s="10"/>
      <c r="P12" s="4">
        <f>SUM(OSRRefP13x_0)</f>
        <v>942462.93</v>
      </c>
      <c r="Q12" s="4"/>
      <c r="R12" s="12"/>
      <c r="S12" s="4"/>
      <c r="T12" s="4">
        <f>SUM(OSRRefT13x_0)</f>
        <v>970900.00000000012</v>
      </c>
      <c r="U12" s="4"/>
      <c r="V12" s="12"/>
      <c r="W12" s="4"/>
      <c r="X12" s="4">
        <f t="shared" ref="X12:X16" si="2">+P12-T12</f>
        <v>-28437.070000000065</v>
      </c>
      <c r="Y12" s="4"/>
      <c r="Z12" s="12">
        <f t="shared" ref="Z12:Z16" si="3">IF(T12=0,0,X12/T12)</f>
        <v>-2.9289391286435328E-2</v>
      </c>
    </row>
    <row r="13" spans="1:26" s="24" customFormat="1" hidden="1" outlineLevel="1" x14ac:dyDescent="0.25">
      <c r="A13" s="46"/>
      <c r="B13" s="11" t="str">
        <f>CONCATENATE("          ", "4053", " - ", "TAXABLE SALES-FOOD")</f>
        <v xml:space="preserve">          4053 - TAXABLE SALES-FOOD</v>
      </c>
      <c r="C13" s="11"/>
      <c r="D13" s="2">
        <f>--579.61</f>
        <v>579.61</v>
      </c>
      <c r="E13" s="2"/>
      <c r="F13" s="19"/>
      <c r="G13" s="2"/>
      <c r="H13" s="2"/>
      <c r="I13" s="2"/>
      <c r="J13" s="19"/>
      <c r="K13" s="2"/>
      <c r="L13" s="2">
        <f t="shared" si="0"/>
        <v>579.61</v>
      </c>
      <c r="M13" s="2"/>
      <c r="N13" s="19">
        <f t="shared" si="1"/>
        <v>0</v>
      </c>
      <c r="O13" s="11"/>
      <c r="P13" s="2">
        <f>--1278.03</f>
        <v>1278.03</v>
      </c>
      <c r="Q13" s="2"/>
      <c r="R13" s="19"/>
      <c r="S13" s="2"/>
      <c r="T13" s="2"/>
      <c r="U13" s="2"/>
      <c r="V13" s="19"/>
      <c r="W13" s="2"/>
      <c r="X13" s="2">
        <f t="shared" si="2"/>
        <v>1278.03</v>
      </c>
      <c r="Y13" s="2"/>
      <c r="Z13" s="19">
        <f t="shared" si="3"/>
        <v>0</v>
      </c>
    </row>
    <row r="14" spans="1:26" s="24" customFormat="1" hidden="1" outlineLevel="1" x14ac:dyDescent="0.25">
      <c r="A14" s="46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574273</v>
      </c>
      <c r="I14" s="2"/>
      <c r="J14" s="19"/>
      <c r="K14" s="2"/>
      <c r="L14" s="2">
        <f t="shared" si="0"/>
        <v>-574273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970900.00000000012</v>
      </c>
      <c r="U14" s="2"/>
      <c r="V14" s="19"/>
      <c r="W14" s="2"/>
      <c r="X14" s="2">
        <f t="shared" si="2"/>
        <v>-970900.00000000012</v>
      </c>
      <c r="Y14" s="2"/>
      <c r="Z14" s="19">
        <f t="shared" si="3"/>
        <v>-1</v>
      </c>
    </row>
    <row r="15" spans="1:26" s="24" customFormat="1" hidden="1" outlineLevel="1" x14ac:dyDescent="0.25">
      <c r="A15" s="46"/>
      <c r="B15" s="11" t="str">
        <f>CONCATENATE("          ", "4151", " - ", "NON-TAXABLE SALES-FOOD")</f>
        <v xml:space="preserve">          4151 - NON-TAXABLE SALES-FOOD</v>
      </c>
      <c r="C15" s="11"/>
      <c r="D15" s="2">
        <f>--535163.52</f>
        <v>535163.52</v>
      </c>
      <c r="E15" s="2"/>
      <c r="F15" s="19"/>
      <c r="G15" s="2"/>
      <c r="H15" s="2"/>
      <c r="I15" s="2"/>
      <c r="J15" s="19"/>
      <c r="K15" s="2"/>
      <c r="L15" s="2">
        <f t="shared" si="0"/>
        <v>535163.52</v>
      </c>
      <c r="M15" s="2"/>
      <c r="N15" s="19">
        <f t="shared" si="1"/>
        <v>0</v>
      </c>
      <c r="O15" s="11"/>
      <c r="P15" s="2">
        <f>--917325.43</f>
        <v>917325.43</v>
      </c>
      <c r="Q15" s="2"/>
      <c r="R15" s="19"/>
      <c r="S15" s="2"/>
      <c r="T15" s="2"/>
      <c r="U15" s="2"/>
      <c r="V15" s="19"/>
      <c r="W15" s="2"/>
      <c r="X15" s="2">
        <f t="shared" si="2"/>
        <v>917325.43</v>
      </c>
      <c r="Y15" s="2"/>
      <c r="Z15" s="19">
        <f t="shared" si="3"/>
        <v>0</v>
      </c>
    </row>
    <row r="16" spans="1:26" s="24" customFormat="1" hidden="1" outlineLevel="1" x14ac:dyDescent="0.25">
      <c r="A16" s="46"/>
      <c r="B16" s="11" t="str">
        <f>CONCATENATE("          ", "4153", " - ", "NON-TAXABLE SALES-FOOD")</f>
        <v xml:space="preserve">          4153 - NON-TAXABLE SALES-FOOD</v>
      </c>
      <c r="C16" s="11"/>
      <c r="D16" s="2">
        <f>--5213.59</f>
        <v>5213.59</v>
      </c>
      <c r="E16" s="2"/>
      <c r="F16" s="19"/>
      <c r="G16" s="2"/>
      <c r="H16" s="2"/>
      <c r="I16" s="2"/>
      <c r="J16" s="19"/>
      <c r="K16" s="2"/>
      <c r="L16" s="2">
        <f t="shared" si="0"/>
        <v>5213.59</v>
      </c>
      <c r="M16" s="2"/>
      <c r="N16" s="19">
        <f t="shared" si="1"/>
        <v>0</v>
      </c>
      <c r="O16" s="11"/>
      <c r="P16" s="2">
        <f>--23859.47</f>
        <v>23859.47</v>
      </c>
      <c r="Q16" s="2"/>
      <c r="R16" s="19"/>
      <c r="S16" s="2"/>
      <c r="T16" s="2"/>
      <c r="U16" s="2"/>
      <c r="V16" s="19"/>
      <c r="W16" s="2"/>
      <c r="X16" s="2">
        <f t="shared" si="2"/>
        <v>23859.47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120972.92</v>
      </c>
      <c r="E18" s="4"/>
      <c r="F18" s="12">
        <f t="shared" ref="F18:F21" si="4">IF(D$12=0,0,D18/D$12)</f>
        <v>0.22362772385931357</v>
      </c>
      <c r="G18" s="4"/>
      <c r="H18" s="4">
        <f>SUM(OSRRefH16x_0)</f>
        <v>137825</v>
      </c>
      <c r="I18" s="4"/>
      <c r="J18" s="12">
        <f t="shared" ref="J18:J21" si="5">IF(H$12=0,0,H18/H$12)</f>
        <v>0.23999909450731621</v>
      </c>
      <c r="K18" s="4"/>
      <c r="L18" s="4">
        <f t="shared" ref="L18:L21" si="6">+D18-H18</f>
        <v>-16852.080000000002</v>
      </c>
      <c r="M18" s="4"/>
      <c r="N18" s="12">
        <f t="shared" ref="N18:N21" si="7">IF(H18=0,0,L18/H18)</f>
        <v>-0.12227157627426086</v>
      </c>
      <c r="O18" s="10"/>
      <c r="P18" s="4">
        <f>SUM(OSRRefP16x_0)</f>
        <v>252545.42</v>
      </c>
      <c r="Q18" s="4"/>
      <c r="R18" s="12">
        <f t="shared" ref="R18:R21" si="8">IF(P$12=0,0,P18/P$12)</f>
        <v>0.26796323967882746</v>
      </c>
      <c r="S18" s="4"/>
      <c r="T18" s="4">
        <f>SUM(OSRRefT16x_0)</f>
        <v>288412</v>
      </c>
      <c r="U18" s="4"/>
      <c r="V18" s="12">
        <f t="shared" ref="V18:V21" si="9">IF(T$12=0,0,T18/T$12)</f>
        <v>0.29705633947883403</v>
      </c>
      <c r="W18" s="4"/>
      <c r="X18" s="4">
        <f t="shared" ref="X18:X21" si="10">+P18-T18</f>
        <v>-35866.579999999987</v>
      </c>
      <c r="Y18" s="4"/>
      <c r="Z18" s="12">
        <f t="shared" ref="Z18:Z21" si="11">IF(T18=0,0,X18/T18)</f>
        <v>-0.12435883389040674</v>
      </c>
    </row>
    <row r="19" spans="1:26" s="24" customFormat="1" hidden="1" outlineLevel="1" x14ac:dyDescent="0.25">
      <c r="A19" s="46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137825</v>
      </c>
      <c r="I19" s="2"/>
      <c r="J19" s="19">
        <f t="shared" si="5"/>
        <v>0.23999909450731621</v>
      </c>
      <c r="K19" s="2"/>
      <c r="L19" s="2">
        <f t="shared" si="6"/>
        <v>-137825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288412</v>
      </c>
      <c r="U19" s="2"/>
      <c r="V19" s="19">
        <f t="shared" si="9"/>
        <v>0.29705633947883403</v>
      </c>
      <c r="W19" s="2"/>
      <c r="X19" s="2">
        <f t="shared" si="10"/>
        <v>-288412</v>
      </c>
      <c r="Y19" s="2"/>
      <c r="Z19" s="19">
        <f t="shared" si="11"/>
        <v>-1</v>
      </c>
    </row>
    <row r="20" spans="1:26" s="24" customFormat="1" hidden="1" outlineLevel="1" x14ac:dyDescent="0.25">
      <c r="A20" s="46"/>
      <c r="B20" s="11" t="str">
        <f>CONCATENATE("          ", "5053", " - ", "PURCHASES @ COST-FOOD")</f>
        <v xml:space="preserve">          5053 - PURCHASES @ COST-FOOD</v>
      </c>
      <c r="C20" s="11"/>
      <c r="D20" s="2">
        <v>116290.92</v>
      </c>
      <c r="E20" s="2"/>
      <c r="F20" s="19">
        <f t="shared" si="4"/>
        <v>0.21497268764865329</v>
      </c>
      <c r="G20" s="2"/>
      <c r="H20" s="2"/>
      <c r="I20" s="2"/>
      <c r="J20" s="19">
        <f t="shared" si="5"/>
        <v>0</v>
      </c>
      <c r="K20" s="2"/>
      <c r="L20" s="2">
        <f t="shared" si="6"/>
        <v>116290.92</v>
      </c>
      <c r="M20" s="2"/>
      <c r="N20" s="19">
        <f t="shared" si="7"/>
        <v>0</v>
      </c>
      <c r="O20" s="11"/>
      <c r="P20" s="2">
        <v>259944.17</v>
      </c>
      <c r="Q20" s="2"/>
      <c r="R20" s="19">
        <f t="shared" si="8"/>
        <v>0.27581368107496812</v>
      </c>
      <c r="S20" s="2"/>
      <c r="T20" s="2"/>
      <c r="U20" s="2"/>
      <c r="V20" s="19">
        <f t="shared" si="9"/>
        <v>0</v>
      </c>
      <c r="W20" s="2"/>
      <c r="X20" s="2">
        <f t="shared" si="10"/>
        <v>259944.17</v>
      </c>
      <c r="Y20" s="2"/>
      <c r="Z20" s="19">
        <f t="shared" si="11"/>
        <v>0</v>
      </c>
    </row>
    <row r="21" spans="1:26" s="24" customFormat="1" hidden="1" outlineLevel="1" x14ac:dyDescent="0.25">
      <c r="A21" s="46"/>
      <c r="B21" s="11" t="str">
        <f>CONCATENATE("          ", "5059", " - ", "PURCHASES @ COST-FOOD")</f>
        <v xml:space="preserve">          5059 - PURCHASES @ COST-FOOD</v>
      </c>
      <c r="C21" s="11"/>
      <c r="D21" s="2">
        <v>4682</v>
      </c>
      <c r="E21" s="2"/>
      <c r="F21" s="19">
        <f t="shared" si="4"/>
        <v>8.6550362106602545E-3</v>
      </c>
      <c r="G21" s="2"/>
      <c r="H21" s="2"/>
      <c r="I21" s="2"/>
      <c r="J21" s="19">
        <f t="shared" si="5"/>
        <v>0</v>
      </c>
      <c r="K21" s="2"/>
      <c r="L21" s="2">
        <f t="shared" si="6"/>
        <v>4682</v>
      </c>
      <c r="M21" s="2"/>
      <c r="N21" s="19">
        <f t="shared" si="7"/>
        <v>0</v>
      </c>
      <c r="O21" s="11"/>
      <c r="P21" s="2">
        <v>-7398.75</v>
      </c>
      <c r="Q21" s="2"/>
      <c r="R21" s="19">
        <f t="shared" si="8"/>
        <v>-7.8504413961406408E-3</v>
      </c>
      <c r="S21" s="2"/>
      <c r="T21" s="2"/>
      <c r="U21" s="2"/>
      <c r="V21" s="19">
        <f t="shared" si="9"/>
        <v>0</v>
      </c>
      <c r="W21" s="2"/>
      <c r="X21" s="2">
        <f t="shared" si="10"/>
        <v>-7398.75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2">
        <f>D12-D18</f>
        <v>419983.8</v>
      </c>
      <c r="E23" s="14"/>
      <c r="F23" s="20">
        <f>IF(D$12=0,0,D23/D$12)</f>
        <v>0.77637227614068649</v>
      </c>
      <c r="G23" s="14"/>
      <c r="H23" s="22">
        <f>H12-H18</f>
        <v>436448</v>
      </c>
      <c r="I23" s="14"/>
      <c r="J23" s="20">
        <f>IF(H$12=0,0,H23/H$12)</f>
        <v>0.76000090549268384</v>
      </c>
      <c r="K23" s="15"/>
      <c r="L23" s="22">
        <f>+D23-H23</f>
        <v>-16464.200000000012</v>
      </c>
      <c r="M23" s="15"/>
      <c r="N23" s="20">
        <f>IF(H23=0,0,L23/H23)</f>
        <v>-3.7723165188063665E-2</v>
      </c>
      <c r="O23" s="28"/>
      <c r="P23" s="22">
        <f>P12-P18</f>
        <v>689917.51</v>
      </c>
      <c r="Q23" s="14"/>
      <c r="R23" s="20">
        <f>IF(P$12=0,0,P23/P$12)</f>
        <v>0.73203676032117249</v>
      </c>
      <c r="S23" s="14"/>
      <c r="T23" s="22">
        <f>T12-T18</f>
        <v>682488.00000000012</v>
      </c>
      <c r="U23" s="14"/>
      <c r="V23" s="20">
        <f>IF(T$12=0,0,T23/T$12)</f>
        <v>0.70294366052116597</v>
      </c>
      <c r="W23" s="15"/>
      <c r="X23" s="22">
        <f>+P23-T23</f>
        <v>7429.5099999998929</v>
      </c>
      <c r="Y23" s="15"/>
      <c r="Z23" s="20">
        <f>IF(T23=0,0,X23/T23)</f>
        <v>1.088592033852594E-2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21">
        <f>SUM(OSRRefD22x_0)</f>
        <v>208457.49000000002</v>
      </c>
      <c r="E25" s="21"/>
      <c r="F25" s="33">
        <f t="shared" ref="F25:F36" si="12">IF(D$12=0,0,D25/D$12)</f>
        <v>0.38534966346291072</v>
      </c>
      <c r="G25" s="21"/>
      <c r="H25" s="21">
        <f>SUM(OSRRefH22x_0)</f>
        <v>207463.42661118464</v>
      </c>
      <c r="I25" s="21"/>
      <c r="J25" s="33">
        <f t="shared" ref="J25:J36" si="13">IF(H$12=0,0,H25/H$12)</f>
        <v>0.3612627210598176</v>
      </c>
      <c r="K25" s="4"/>
      <c r="L25" s="21">
        <f t="shared" ref="L25:L36" si="14">+D25-H25</f>
        <v>994.0633888153825</v>
      </c>
      <c r="M25" s="4"/>
      <c r="N25" s="33">
        <f t="shared" ref="N25:N36" si="15">IF(H25=0,0,L25/H25)</f>
        <v>4.791511472903587E-3</v>
      </c>
      <c r="O25" s="10"/>
      <c r="P25" s="21">
        <f>SUM(OSRRefP22x_0)</f>
        <v>500286.56000000006</v>
      </c>
      <c r="Q25" s="21"/>
      <c r="R25" s="33">
        <f t="shared" ref="R25:R36" si="16">IF(P$12=0,0,P25/P$12)</f>
        <v>0.53082889955151868</v>
      </c>
      <c r="S25" s="21"/>
      <c r="T25" s="21">
        <f>SUM(OSRRefT22x_0)</f>
        <v>531432.36440318997</v>
      </c>
      <c r="U25" s="21"/>
      <c r="V25" s="33">
        <f t="shared" ref="V25:V36" si="17">IF(T$12=0,0,T25/T$12)</f>
        <v>0.5473605566002574</v>
      </c>
      <c r="W25" s="4"/>
      <c r="X25" s="21">
        <f t="shared" ref="X25:X36" si="18">+P25-T25</f>
        <v>-31145.804403189919</v>
      </c>
      <c r="Y25" s="4"/>
      <c r="Z25" s="33">
        <f t="shared" ref="Z25:Z36" si="19">IF(T25=0,0,X25/T25)</f>
        <v>-5.8607278158844034E-2</v>
      </c>
    </row>
    <row r="26" spans="1:26" s="26" customFormat="1" outlineLevel="1" collapsed="1" x14ac:dyDescent="0.25">
      <c r="A26" s="27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33212.689999999995</v>
      </c>
      <c r="E26" s="1"/>
      <c r="F26" s="5">
        <f t="shared" si="12"/>
        <v>6.1396205596632565E-2</v>
      </c>
      <c r="G26" s="1"/>
      <c r="H26" s="1">
        <f>SUM(OSRRefH22_0x_0)</f>
        <v>31252.303326261539</v>
      </c>
      <c r="I26" s="1"/>
      <c r="J26" s="5">
        <f t="shared" si="13"/>
        <v>5.4420638487725416E-2</v>
      </c>
      <c r="K26" s="1"/>
      <c r="L26" s="1">
        <f t="shared" si="14"/>
        <v>1960.386673738456</v>
      </c>
      <c r="M26" s="1"/>
      <c r="N26" s="5">
        <f t="shared" si="15"/>
        <v>6.2727750120456838E-2</v>
      </c>
      <c r="O26" s="13"/>
      <c r="P26" s="1">
        <f>SUM(OSRRefP22_0x_0)</f>
        <v>100204.04</v>
      </c>
      <c r="Q26" s="1"/>
      <c r="R26" s="5">
        <f t="shared" si="16"/>
        <v>0.10632146560926273</v>
      </c>
      <c r="S26" s="1"/>
      <c r="T26" s="1">
        <f>SUM(OSRRefT22_0x_0)</f>
        <v>100376.11254519003</v>
      </c>
      <c r="U26" s="1"/>
      <c r="V26" s="5">
        <f t="shared" si="17"/>
        <v>0.10338460453722322</v>
      </c>
      <c r="W26" s="1"/>
      <c r="X26" s="1">
        <f t="shared" si="18"/>
        <v>-172.07254519003618</v>
      </c>
      <c r="Y26" s="1"/>
      <c r="Z26" s="5">
        <f t="shared" si="19"/>
        <v>-1.7142778378926352E-3</v>
      </c>
    </row>
    <row r="27" spans="1:26" s="24" customFormat="1" hidden="1" outlineLevel="2" x14ac:dyDescent="0.25">
      <c r="A27" s="25"/>
      <c r="B27" s="11" t="str">
        <f>CONCATENATE("          ", "6111", " - ", "F.I.C.A.")</f>
        <v xml:space="preserve">          6111 - F.I.C.A.</v>
      </c>
      <c r="C27" s="11"/>
      <c r="D27" s="7">
        <v>4491.6499999999996</v>
      </c>
      <c r="E27" s="2"/>
      <c r="F27" s="6">
        <f t="shared" si="12"/>
        <v>8.3031596316984462E-3</v>
      </c>
      <c r="G27" s="2"/>
      <c r="H27" s="7">
        <v>2868.6248765630799</v>
      </c>
      <c r="I27" s="2"/>
      <c r="J27" s="6">
        <f t="shared" si="13"/>
        <v>4.9952285351445736E-3</v>
      </c>
      <c r="K27" s="2"/>
      <c r="L27" s="7">
        <f t="shared" si="14"/>
        <v>1623.0251234369198</v>
      </c>
      <c r="M27" s="2"/>
      <c r="N27" s="6">
        <f t="shared" si="15"/>
        <v>0.5657850689008449</v>
      </c>
      <c r="O27" s="11"/>
      <c r="P27" s="7">
        <v>14623.26</v>
      </c>
      <c r="Q27" s="2"/>
      <c r="R27" s="6">
        <f t="shared" si="16"/>
        <v>1.5516005494242622E-2</v>
      </c>
      <c r="S27" s="2"/>
      <c r="T27" s="7">
        <v>14559.51956883001</v>
      </c>
      <c r="U27" s="2"/>
      <c r="V27" s="6">
        <f t="shared" si="17"/>
        <v>1.4995900266587711E-2</v>
      </c>
      <c r="W27" s="2"/>
      <c r="X27" s="7">
        <f t="shared" si="18"/>
        <v>63.740431169990188</v>
      </c>
      <c r="Y27" s="2"/>
      <c r="Z27" s="6">
        <f t="shared" si="19"/>
        <v>4.3779213227921306E-3</v>
      </c>
    </row>
    <row r="28" spans="1:26" s="24" customFormat="1" hidden="1" outlineLevel="2" x14ac:dyDescent="0.25">
      <c r="A28" s="25"/>
      <c r="B28" s="11" t="str">
        <f>CONCATENATE("          ", "6112", " - ", "COMPENSATION INSURANCE")</f>
        <v xml:space="preserve">          6112 - COMPENSATION INSURANCE</v>
      </c>
      <c r="C28" s="11"/>
      <c r="D28" s="7">
        <v>4149.25</v>
      </c>
      <c r="E28" s="2"/>
      <c r="F28" s="6">
        <f t="shared" si="12"/>
        <v>7.67020696221317E-3</v>
      </c>
      <c r="G28" s="2"/>
      <c r="H28" s="7">
        <v>4297.3518633353906</v>
      </c>
      <c r="I28" s="2"/>
      <c r="J28" s="6">
        <f t="shared" si="13"/>
        <v>7.4831166767989976E-3</v>
      </c>
      <c r="K28" s="2"/>
      <c r="L28" s="7">
        <f t="shared" si="14"/>
        <v>-148.10186333539059</v>
      </c>
      <c r="M28" s="2"/>
      <c r="N28" s="6">
        <f t="shared" si="15"/>
        <v>-3.4463518009540249E-2</v>
      </c>
      <c r="O28" s="11"/>
      <c r="P28" s="7">
        <v>9580.01</v>
      </c>
      <c r="Q28" s="2"/>
      <c r="R28" s="6">
        <f t="shared" si="16"/>
        <v>1.0164866643614301E-2</v>
      </c>
      <c r="S28" s="2"/>
      <c r="T28" s="7">
        <v>11400.58760312</v>
      </c>
      <c r="U28" s="2"/>
      <c r="V28" s="6">
        <f t="shared" si="17"/>
        <v>1.1742288189432484E-2</v>
      </c>
      <c r="W28" s="2"/>
      <c r="X28" s="7">
        <f t="shared" si="18"/>
        <v>-1820.5776031200003</v>
      </c>
      <c r="Y28" s="2"/>
      <c r="Z28" s="6">
        <f t="shared" si="19"/>
        <v>-0.15969155858438056</v>
      </c>
    </row>
    <row r="29" spans="1:26" s="24" customFormat="1" hidden="1" outlineLevel="2" x14ac:dyDescent="0.25">
      <c r="A29" s="25"/>
      <c r="B29" s="11" t="str">
        <f>CONCATENATE("          ", "6113", " - ", "GROUP INSURANCE")</f>
        <v xml:space="preserve">          6113 - GROUP INSURANCE</v>
      </c>
      <c r="C29" s="11"/>
      <c r="D29" s="7">
        <v>16686.48</v>
      </c>
      <c r="E29" s="2"/>
      <c r="F29" s="6">
        <f t="shared" si="12"/>
        <v>3.0846238493903912E-2</v>
      </c>
      <c r="G29" s="2"/>
      <c r="H29" s="7">
        <v>16958.384615384599</v>
      </c>
      <c r="I29" s="2"/>
      <c r="J29" s="6">
        <f t="shared" si="13"/>
        <v>2.9530179227274484E-2</v>
      </c>
      <c r="K29" s="2"/>
      <c r="L29" s="7">
        <f t="shared" si="14"/>
        <v>-271.90461538459931</v>
      </c>
      <c r="M29" s="2"/>
      <c r="N29" s="6">
        <f t="shared" si="15"/>
        <v>-1.6033638907913917E-2</v>
      </c>
      <c r="O29" s="11"/>
      <c r="P29" s="7">
        <v>50059.44</v>
      </c>
      <c r="Q29" s="2"/>
      <c r="R29" s="6">
        <f t="shared" si="16"/>
        <v>5.3115553308818203E-2</v>
      </c>
      <c r="S29" s="2"/>
      <c r="T29" s="7">
        <v>53781</v>
      </c>
      <c r="U29" s="2"/>
      <c r="V29" s="6">
        <f t="shared" si="17"/>
        <v>5.5392934390771441E-2</v>
      </c>
      <c r="W29" s="2"/>
      <c r="X29" s="7">
        <f t="shared" si="18"/>
        <v>-3721.5599999999977</v>
      </c>
      <c r="Y29" s="2"/>
      <c r="Z29" s="6">
        <f t="shared" si="19"/>
        <v>-6.919841579740052E-2</v>
      </c>
    </row>
    <row r="30" spans="1:26" s="24" customFormat="1" hidden="1" outlineLevel="2" x14ac:dyDescent="0.25">
      <c r="A30" s="25"/>
      <c r="B30" s="11" t="str">
        <f>CONCATENATE("          ", "6114", " - ", "STATE UNEMPLOYMENT INSURANCE")</f>
        <v xml:space="preserve">          6114 - STATE UNEMPLOYMENT INSURANCE</v>
      </c>
      <c r="C30" s="11"/>
      <c r="D30" s="7">
        <v>278.02999999999997</v>
      </c>
      <c r="E30" s="2"/>
      <c r="F30" s="6">
        <f t="shared" si="12"/>
        <v>5.139597859141116E-4</v>
      </c>
      <c r="G30" s="2"/>
      <c r="H30" s="7">
        <v>287.96687744000002</v>
      </c>
      <c r="I30" s="2"/>
      <c r="J30" s="6">
        <f t="shared" si="13"/>
        <v>5.0144596287828263E-4</v>
      </c>
      <c r="K30" s="2"/>
      <c r="L30" s="7">
        <f t="shared" si="14"/>
        <v>-9.9368774400000461</v>
      </c>
      <c r="M30" s="2"/>
      <c r="N30" s="6">
        <f t="shared" si="15"/>
        <v>-3.4507015280153069E-2</v>
      </c>
      <c r="O30" s="11"/>
      <c r="P30" s="7">
        <v>641.92999999999995</v>
      </c>
      <c r="Q30" s="2"/>
      <c r="R30" s="6">
        <f t="shared" si="16"/>
        <v>6.8111962769718687E-4</v>
      </c>
      <c r="S30" s="2"/>
      <c r="T30" s="7">
        <v>763.95690123999998</v>
      </c>
      <c r="U30" s="2"/>
      <c r="V30" s="6">
        <f t="shared" si="17"/>
        <v>7.8685436320939325E-4</v>
      </c>
      <c r="W30" s="2"/>
      <c r="X30" s="7">
        <f t="shared" si="18"/>
        <v>-122.02690124000003</v>
      </c>
      <c r="Y30" s="2"/>
      <c r="Z30" s="6">
        <f t="shared" si="19"/>
        <v>-0.15973008561338306</v>
      </c>
    </row>
    <row r="31" spans="1:26" s="24" customFormat="1" hidden="1" outlineLevel="2" x14ac:dyDescent="0.25">
      <c r="A31" s="25"/>
      <c r="B31" s="11" t="str">
        <f>CONCATENATE("          ", "6115", " - ", "P.E.R.S.")</f>
        <v xml:space="preserve">          6115 - P.E.R.S.</v>
      </c>
      <c r="C31" s="11"/>
      <c r="D31" s="7">
        <v>1216.6600000000001</v>
      </c>
      <c r="E31" s="2"/>
      <c r="F31" s="6">
        <f t="shared" si="12"/>
        <v>2.2490893541353921E-3</v>
      </c>
      <c r="G31" s="2"/>
      <c r="H31" s="7">
        <v>1267.60705538462</v>
      </c>
      <c r="I31" s="2"/>
      <c r="J31" s="6">
        <f t="shared" si="13"/>
        <v>2.2073248357220693E-3</v>
      </c>
      <c r="K31" s="2"/>
      <c r="L31" s="7">
        <f t="shared" si="14"/>
        <v>-50.947055384619944</v>
      </c>
      <c r="M31" s="2"/>
      <c r="N31" s="6">
        <f t="shared" si="15"/>
        <v>-4.0191520840945051E-2</v>
      </c>
      <c r="O31" s="11"/>
      <c r="P31" s="7">
        <v>3649.98</v>
      </c>
      <c r="Q31" s="2"/>
      <c r="R31" s="6">
        <f t="shared" si="16"/>
        <v>3.8728101486177283E-3</v>
      </c>
      <c r="S31" s="2"/>
      <c r="T31" s="7">
        <v>4119.7229300000099</v>
      </c>
      <c r="U31" s="2"/>
      <c r="V31" s="6">
        <f t="shared" si="17"/>
        <v>4.2432000514986195E-3</v>
      </c>
      <c r="W31" s="2"/>
      <c r="X31" s="7">
        <f t="shared" si="18"/>
        <v>-469.74293000000989</v>
      </c>
      <c r="Y31" s="2"/>
      <c r="Z31" s="6">
        <f t="shared" si="19"/>
        <v>-0.11402294231471745</v>
      </c>
    </row>
    <row r="32" spans="1:26" s="24" customFormat="1" hidden="1" outlineLevel="2" x14ac:dyDescent="0.25">
      <c r="A32" s="25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25">
      <c r="A33" s="25"/>
      <c r="B33" s="11" t="str">
        <f>CONCATENATE("          ", "6117", " - ", "RETIREMENT STAFF HOURLY")</f>
        <v xml:space="preserve">          6117 - RETIREMENT STAFF HOURLY</v>
      </c>
      <c r="C33" s="11"/>
      <c r="D33" s="7">
        <v>1023.16</v>
      </c>
      <c r="E33" s="2"/>
      <c r="F33" s="6">
        <f t="shared" si="12"/>
        <v>1.8913897585004582E-3</v>
      </c>
      <c r="G33" s="2"/>
      <c r="H33" s="7"/>
      <c r="I33" s="2"/>
      <c r="J33" s="6">
        <f t="shared" si="13"/>
        <v>0</v>
      </c>
      <c r="K33" s="2"/>
      <c r="L33" s="7">
        <f t="shared" si="14"/>
        <v>1023.16</v>
      </c>
      <c r="M33" s="2"/>
      <c r="N33" s="6">
        <f t="shared" si="15"/>
        <v>0</v>
      </c>
      <c r="O33" s="11"/>
      <c r="P33" s="7">
        <v>2293.7199999999998</v>
      </c>
      <c r="Q33" s="2"/>
      <c r="R33" s="6">
        <f t="shared" si="16"/>
        <v>2.4337508956453063E-3</v>
      </c>
      <c r="S33" s="2"/>
      <c r="T33" s="7"/>
      <c r="U33" s="2"/>
      <c r="V33" s="6">
        <f t="shared" si="17"/>
        <v>0</v>
      </c>
      <c r="W33" s="2"/>
      <c r="X33" s="7">
        <f t="shared" si="18"/>
        <v>2293.7199999999998</v>
      </c>
      <c r="Y33" s="2"/>
      <c r="Z33" s="6">
        <f t="shared" si="19"/>
        <v>0</v>
      </c>
    </row>
    <row r="34" spans="1:26" s="24" customFormat="1" hidden="1" outlineLevel="2" x14ac:dyDescent="0.25">
      <c r="A34" s="25"/>
      <c r="B34" s="11" t="str">
        <f>CONCATENATE("          ", "6118", " - ", "VACATION")</f>
        <v xml:space="preserve">          6118 - VACATION</v>
      </c>
      <c r="C34" s="11"/>
      <c r="D34" s="7">
        <v>2637.87</v>
      </c>
      <c r="E34" s="2"/>
      <c r="F34" s="6">
        <f t="shared" si="12"/>
        <v>4.8763050766797017E-3</v>
      </c>
      <c r="G34" s="2"/>
      <c r="H34" s="7">
        <v>1124.5099476923101</v>
      </c>
      <c r="I34" s="2"/>
      <c r="J34" s="6">
        <f t="shared" si="13"/>
        <v>1.9581452509386827E-3</v>
      </c>
      <c r="K34" s="2"/>
      <c r="L34" s="7">
        <f t="shared" si="14"/>
        <v>1513.3600523076898</v>
      </c>
      <c r="M34" s="2"/>
      <c r="N34" s="6">
        <f t="shared" si="15"/>
        <v>1.3457951665197516</v>
      </c>
      <c r="O34" s="11"/>
      <c r="P34" s="7">
        <v>8731.1200000000008</v>
      </c>
      <c r="Q34" s="2"/>
      <c r="R34" s="6">
        <f t="shared" si="16"/>
        <v>9.2641521720116891E-3</v>
      </c>
      <c r="S34" s="2"/>
      <c r="T34" s="7">
        <v>3654.65733</v>
      </c>
      <c r="U34" s="2"/>
      <c r="V34" s="6">
        <f t="shared" si="17"/>
        <v>3.7641954166237508E-3</v>
      </c>
      <c r="W34" s="2"/>
      <c r="X34" s="7">
        <f t="shared" si="18"/>
        <v>5076.4626700000008</v>
      </c>
      <c r="Y34" s="2"/>
      <c r="Z34" s="6">
        <f t="shared" si="19"/>
        <v>1.3890393028995691</v>
      </c>
    </row>
    <row r="35" spans="1:26" s="24" customFormat="1" hidden="1" outlineLevel="2" x14ac:dyDescent="0.25">
      <c r="A35" s="25"/>
      <c r="B35" s="11" t="str">
        <f>CONCATENATE("          ", "6119", " - ", "SICK LEAVE")</f>
        <v xml:space="preserve">          6119 - SICK LEAVE</v>
      </c>
      <c r="C35" s="11"/>
      <c r="D35" s="7">
        <v>1637.04</v>
      </c>
      <c r="E35" s="2"/>
      <c r="F35" s="6">
        <f t="shared" si="12"/>
        <v>3.0261940363731873E-3</v>
      </c>
      <c r="G35" s="2"/>
      <c r="H35" s="7">
        <v>2947.8580904615401</v>
      </c>
      <c r="I35" s="2"/>
      <c r="J35" s="6">
        <f t="shared" si="13"/>
        <v>5.1331998726416531E-3</v>
      </c>
      <c r="K35" s="2"/>
      <c r="L35" s="7">
        <f t="shared" si="14"/>
        <v>-1310.8180904615401</v>
      </c>
      <c r="M35" s="2"/>
      <c r="N35" s="6">
        <f t="shared" si="15"/>
        <v>-0.44466797594598867</v>
      </c>
      <c r="O35" s="11"/>
      <c r="P35" s="7">
        <v>7003.37</v>
      </c>
      <c r="Q35" s="2"/>
      <c r="R35" s="6">
        <f t="shared" si="16"/>
        <v>7.4309235695880363E-3</v>
      </c>
      <c r="S35" s="2"/>
      <c r="T35" s="7">
        <v>7596.6682119999996</v>
      </c>
      <c r="U35" s="2"/>
      <c r="V35" s="6">
        <f t="shared" si="17"/>
        <v>7.8243570007209794E-3</v>
      </c>
      <c r="W35" s="2"/>
      <c r="X35" s="7">
        <f t="shared" si="18"/>
        <v>-593.29821199999969</v>
      </c>
      <c r="Y35" s="2"/>
      <c r="Z35" s="6">
        <f t="shared" si="19"/>
        <v>-7.8099792625246189E-2</v>
      </c>
    </row>
    <row r="36" spans="1:26" s="24" customFormat="1" hidden="1" outlineLevel="2" x14ac:dyDescent="0.25">
      <c r="A36" s="25"/>
      <c r="B36" s="11" t="str">
        <f>CONCATENATE("          ", "6156", " - ", "EMPLOYEE MEALS")</f>
        <v xml:space="preserve">          6156 - EMPLOYEE MEALS</v>
      </c>
      <c r="C36" s="11"/>
      <c r="D36" s="7">
        <v>1092.55</v>
      </c>
      <c r="E36" s="2"/>
      <c r="F36" s="6">
        <f t="shared" si="12"/>
        <v>2.0196624972141949E-3</v>
      </c>
      <c r="G36" s="2"/>
      <c r="H36" s="7">
        <v>1500</v>
      </c>
      <c r="I36" s="2"/>
      <c r="J36" s="6">
        <f t="shared" si="13"/>
        <v>2.6119981263266773E-3</v>
      </c>
      <c r="K36" s="2"/>
      <c r="L36" s="7">
        <f t="shared" si="14"/>
        <v>-407.45000000000005</v>
      </c>
      <c r="M36" s="2"/>
      <c r="N36" s="6">
        <f t="shared" si="15"/>
        <v>-0.27163333333333334</v>
      </c>
      <c r="O36" s="11"/>
      <c r="P36" s="7">
        <v>3621.21</v>
      </c>
      <c r="Q36" s="2"/>
      <c r="R36" s="6">
        <f t="shared" si="16"/>
        <v>3.8422837490276673E-3</v>
      </c>
      <c r="S36" s="2"/>
      <c r="T36" s="7">
        <v>4500</v>
      </c>
      <c r="U36" s="2"/>
      <c r="V36" s="6">
        <f t="shared" si="17"/>
        <v>4.6348748583788235E-3</v>
      </c>
      <c r="W36" s="2"/>
      <c r="X36" s="7">
        <f t="shared" si="18"/>
        <v>-878.79</v>
      </c>
      <c r="Y36" s="2"/>
      <c r="Z36" s="6">
        <f t="shared" si="19"/>
        <v>-0.19528666666666666</v>
      </c>
    </row>
    <row r="37" spans="1:26" s="26" customFormat="1" outlineLevel="1" collapsed="1" x14ac:dyDescent="0.25">
      <c r="A37" s="27"/>
      <c r="B37" s="13" t="str">
        <f>CONCATENATE("     ","*Payroll                                          ")</f>
        <v xml:space="preserve">     *Payroll                                          </v>
      </c>
      <c r="C37" s="13"/>
      <c r="D37" s="1">
        <f>SUM(OSRRefD22_1x_0)</f>
        <v>106053.77</v>
      </c>
      <c r="E37" s="1"/>
      <c r="F37" s="5">
        <f t="shared" ref="F37:F47" si="20">IF(D$12=0,0,D37/D$12)</f>
        <v>0.19604853046284371</v>
      </c>
      <c r="G37" s="1"/>
      <c r="H37" s="1">
        <f>SUM(OSRRefH22_1x_0)</f>
        <v>106684.12328492309</v>
      </c>
      <c r="I37" s="1"/>
      <c r="J37" s="5">
        <f t="shared" ref="J37:J47" si="21">IF(H$12=0,0,H37/H$12)</f>
        <v>0.18577248675268224</v>
      </c>
      <c r="K37" s="1"/>
      <c r="L37" s="1">
        <f t="shared" ref="L37:L47" si="22">+D37-H37</f>
        <v>-630.35328492308327</v>
      </c>
      <c r="M37" s="1"/>
      <c r="N37" s="5">
        <f t="shared" ref="N37:N47" si="23">IF(H37=0,0,L37/H37)</f>
        <v>-5.9085950703235204E-3</v>
      </c>
      <c r="O37" s="13"/>
      <c r="P37" s="1">
        <f>SUM(OSRRefP22_1x_0)</f>
        <v>263133.11</v>
      </c>
      <c r="Q37" s="1"/>
      <c r="R37" s="5">
        <f t="shared" ref="R37:R47" si="24">IF(P$12=0,0,P37/P$12)</f>
        <v>0.27919730487436784</v>
      </c>
      <c r="S37" s="1"/>
      <c r="T37" s="1">
        <f>SUM(OSRRefT22_1x_0)</f>
        <v>282578.251858</v>
      </c>
      <c r="U37" s="1"/>
      <c r="V37" s="5">
        <f t="shared" ref="V37:V47" si="25">IF(T$12=0,0,T37/T$12)</f>
        <v>0.29104774112472959</v>
      </c>
      <c r="W37" s="1"/>
      <c r="X37" s="1">
        <f t="shared" ref="X37:X47" si="26">+P37-T37</f>
        <v>-19445.141858000017</v>
      </c>
      <c r="Y37" s="1"/>
      <c r="Z37" s="5">
        <f t="shared" ref="Z37:Z47" si="27">IF(T37=0,0,X37/T37)</f>
        <v>-6.8813299431732297E-2</v>
      </c>
    </row>
    <row r="38" spans="1:26" s="24" customFormat="1" hidden="1" outlineLevel="2" x14ac:dyDescent="0.25">
      <c r="A38" s="25"/>
      <c r="B38" s="11" t="str">
        <f>CONCATENATE("          ", "6001", " - ", "ADMINISTRATIVE SALARIES")</f>
        <v xml:space="preserve">          6001 - ADMINISTRATIVE SALARIES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5"/>
      <c r="B39" s="11" t="str">
        <f>CONCATENATE("          ", "6002", " - ", "STAFF SALARIES")</f>
        <v xml:space="preserve">          6002 - STAFF SALARIES</v>
      </c>
      <c r="C39" s="11"/>
      <c r="D39" s="7">
        <v>14132.89</v>
      </c>
      <c r="E39" s="2"/>
      <c r="F39" s="6">
        <f t="shared" si="20"/>
        <v>2.612573146332298E-2</v>
      </c>
      <c r="G39" s="2"/>
      <c r="H39" s="7">
        <v>14002.6360769231</v>
      </c>
      <c r="I39" s="2"/>
      <c r="J39" s="6">
        <f t="shared" si="21"/>
        <v>2.438323946437165E-2</v>
      </c>
      <c r="K39" s="2"/>
      <c r="L39" s="7">
        <f t="shared" si="22"/>
        <v>130.25392307689981</v>
      </c>
      <c r="M39" s="2"/>
      <c r="N39" s="6">
        <f t="shared" si="23"/>
        <v>9.3021001446694351E-3</v>
      </c>
      <c r="O39" s="11"/>
      <c r="P39" s="7">
        <v>46434.67</v>
      </c>
      <c r="Q39" s="2"/>
      <c r="R39" s="6">
        <f t="shared" si="24"/>
        <v>4.9269492222893049E-2</v>
      </c>
      <c r="S39" s="2"/>
      <c r="T39" s="7">
        <v>45508.56725</v>
      </c>
      <c r="U39" s="2"/>
      <c r="V39" s="6">
        <f t="shared" si="25"/>
        <v>4.687255870841487E-2</v>
      </c>
      <c r="W39" s="2"/>
      <c r="X39" s="7">
        <f t="shared" si="26"/>
        <v>926.1027499999982</v>
      </c>
      <c r="Y39" s="2"/>
      <c r="Z39" s="6">
        <f t="shared" si="27"/>
        <v>2.0350074853213451E-2</v>
      </c>
    </row>
    <row r="40" spans="1:26" s="24" customFormat="1" hidden="1" outlineLevel="2" x14ac:dyDescent="0.25">
      <c r="A40" s="25"/>
      <c r="B40" s="11" t="str">
        <f>CONCATENATE("          ", "6003", " - ", "STAFF HOURLY-9 MONTH")</f>
        <v xml:space="preserve">          6003 - STAFF HOURLY-9 MONTH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4" customFormat="1" hidden="1" outlineLevel="2" x14ac:dyDescent="0.25">
      <c r="A41" s="25"/>
      <c r="B41" s="11" t="str">
        <f>CONCATENATE("          ", "6004", " - ", "STAFF HOURLY")</f>
        <v xml:space="preserve">          6004 - STAFF HOURLY</v>
      </c>
      <c r="C41" s="11"/>
      <c r="D41" s="7">
        <v>21827.75</v>
      </c>
      <c r="E41" s="2"/>
      <c r="F41" s="6">
        <f t="shared" si="20"/>
        <v>4.0350270535506057E-2</v>
      </c>
      <c r="G41" s="2"/>
      <c r="H41" s="7">
        <v>21606.845600000001</v>
      </c>
      <c r="I41" s="2"/>
      <c r="J41" s="6">
        <f t="shared" si="21"/>
        <v>3.7624693482019876E-2</v>
      </c>
      <c r="K41" s="2"/>
      <c r="L41" s="7">
        <f t="shared" si="22"/>
        <v>220.90439999999944</v>
      </c>
      <c r="M41" s="2"/>
      <c r="N41" s="6">
        <f t="shared" si="23"/>
        <v>1.0223815363404987E-2</v>
      </c>
      <c r="O41" s="11"/>
      <c r="P41" s="7">
        <v>54012.270000000004</v>
      </c>
      <c r="Q41" s="2"/>
      <c r="R41" s="6">
        <f t="shared" si="24"/>
        <v>5.7309702356144659E-2</v>
      </c>
      <c r="S41" s="2"/>
      <c r="T41" s="7">
        <v>70222.248200000002</v>
      </c>
      <c r="U41" s="2"/>
      <c r="V41" s="6">
        <f t="shared" si="25"/>
        <v>7.2326962818003909E-2</v>
      </c>
      <c r="W41" s="2"/>
      <c r="X41" s="7">
        <f t="shared" si="26"/>
        <v>-16209.978199999998</v>
      </c>
      <c r="Y41" s="2"/>
      <c r="Z41" s="6">
        <f t="shared" si="27"/>
        <v>-0.23083821175637037</v>
      </c>
    </row>
    <row r="42" spans="1:26" s="24" customFormat="1" hidden="1" outlineLevel="2" x14ac:dyDescent="0.25">
      <c r="A42" s="25"/>
      <c r="B42" s="11" t="str">
        <f>CONCATENATE("          ", "6005", " - ", "TEMPORARY WAGES-HOURLY")</f>
        <v xml:space="preserve">          6005 - TEMPORARY WAGES-HOURLY</v>
      </c>
      <c r="C42" s="11"/>
      <c r="D42" s="7">
        <v>20488.88</v>
      </c>
      <c r="E42" s="2"/>
      <c r="F42" s="6">
        <f t="shared" si="20"/>
        <v>3.7875266620220567E-2</v>
      </c>
      <c r="G42" s="2"/>
      <c r="H42" s="7">
        <v>23443.761608000001</v>
      </c>
      <c r="I42" s="2"/>
      <c r="J42" s="6">
        <f t="shared" si="21"/>
        <v>4.0823374262763529E-2</v>
      </c>
      <c r="K42" s="2"/>
      <c r="L42" s="7">
        <f t="shared" si="22"/>
        <v>-2954.8816079999997</v>
      </c>
      <c r="M42" s="2"/>
      <c r="N42" s="6">
        <f t="shared" si="23"/>
        <v>-0.12604127517623578</v>
      </c>
      <c r="O42" s="11"/>
      <c r="P42" s="7">
        <v>53355.96</v>
      </c>
      <c r="Q42" s="2"/>
      <c r="R42" s="6">
        <f t="shared" si="24"/>
        <v>5.6613324833900892E-2</v>
      </c>
      <c r="S42" s="2"/>
      <c r="T42" s="7">
        <v>52845.276407999998</v>
      </c>
      <c r="U42" s="2"/>
      <c r="V42" s="6">
        <f t="shared" si="25"/>
        <v>5.4429165112781945E-2</v>
      </c>
      <c r="W42" s="2"/>
      <c r="X42" s="7">
        <f t="shared" si="26"/>
        <v>510.68359200000123</v>
      </c>
      <c r="Y42" s="2"/>
      <c r="Z42" s="6">
        <f t="shared" si="27"/>
        <v>9.6637509861277077E-3</v>
      </c>
    </row>
    <row r="43" spans="1:26" s="24" customFormat="1" hidden="1" outlineLevel="2" x14ac:dyDescent="0.25">
      <c r="A43" s="25"/>
      <c r="B43" s="11" t="str">
        <f>CONCATENATE("          ", "6006", " - ", "TEMPORARY PART TIME")</f>
        <v xml:space="preserve">          6006 - TEMPORARY PART TIME</v>
      </c>
      <c r="C43" s="11"/>
      <c r="D43" s="7">
        <v>1506</v>
      </c>
      <c r="E43" s="2"/>
      <c r="F43" s="6">
        <f t="shared" si="20"/>
        <v>2.7839565427711112E-3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1506</v>
      </c>
      <c r="M43" s="2"/>
      <c r="N43" s="6">
        <f t="shared" si="23"/>
        <v>0</v>
      </c>
      <c r="O43" s="11"/>
      <c r="P43" s="7">
        <v>5928</v>
      </c>
      <c r="Q43" s="2"/>
      <c r="R43" s="6">
        <f t="shared" si="24"/>
        <v>6.2899025641252543E-3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5928</v>
      </c>
      <c r="Y43" s="2"/>
      <c r="Z43" s="6">
        <f t="shared" si="27"/>
        <v>0</v>
      </c>
    </row>
    <row r="44" spans="1:26" s="24" customFormat="1" hidden="1" outlineLevel="2" x14ac:dyDescent="0.25">
      <c r="A44" s="25"/>
      <c r="B44" s="11" t="str">
        <f>CONCATENATE("          ", "6007", " - ", "STUDENT HOURLY")</f>
        <v xml:space="preserve">          6007 - STUDENT HOURLY</v>
      </c>
      <c r="C44" s="11"/>
      <c r="D44" s="7">
        <v>36257.25</v>
      </c>
      <c r="E44" s="2"/>
      <c r="F44" s="6">
        <f t="shared" si="20"/>
        <v>6.7024308340230987E-2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36257.25</v>
      </c>
      <c r="M44" s="2"/>
      <c r="N44" s="6">
        <f t="shared" si="23"/>
        <v>0</v>
      </c>
      <c r="O44" s="11"/>
      <c r="P44" s="7">
        <v>80776.210000000006</v>
      </c>
      <c r="Q44" s="2"/>
      <c r="R44" s="6">
        <f t="shared" si="24"/>
        <v>8.5707572604473689E-2</v>
      </c>
      <c r="S44" s="2"/>
      <c r="T44" s="7">
        <v>66371.28</v>
      </c>
      <c r="U44" s="2"/>
      <c r="V44" s="6">
        <f t="shared" si="25"/>
        <v>6.8360572664538044E-2</v>
      </c>
      <c r="W44" s="2"/>
      <c r="X44" s="7">
        <f t="shared" si="26"/>
        <v>14404.930000000008</v>
      </c>
      <c r="Y44" s="2"/>
      <c r="Z44" s="6">
        <f t="shared" si="27"/>
        <v>0.21703559129792296</v>
      </c>
    </row>
    <row r="45" spans="1:26" s="24" customFormat="1" hidden="1" outlineLevel="2" x14ac:dyDescent="0.25">
      <c r="A45" s="25"/>
      <c r="B45" s="11" t="str">
        <f>CONCATENATE("          ", "6008", " - ", "STUDENT HOURLY-FICA EXEMPT")</f>
        <v xml:space="preserve">          6008 - STUDENT HOURLY-FICA EXEMPT</v>
      </c>
      <c r="C45" s="11"/>
      <c r="D45" s="7">
        <v>11841</v>
      </c>
      <c r="E45" s="2"/>
      <c r="F45" s="6">
        <f t="shared" si="20"/>
        <v>2.1888996960791985E-2</v>
      </c>
      <c r="G45" s="2"/>
      <c r="H45" s="7">
        <v>47630.879999999997</v>
      </c>
      <c r="I45" s="2"/>
      <c r="J45" s="6">
        <f t="shared" si="21"/>
        <v>8.2941179543527199E-2</v>
      </c>
      <c r="K45" s="2"/>
      <c r="L45" s="7">
        <f t="shared" si="22"/>
        <v>-35789.879999999997</v>
      </c>
      <c r="M45" s="2"/>
      <c r="N45" s="6">
        <f t="shared" si="23"/>
        <v>-0.75140077193618926</v>
      </c>
      <c r="O45" s="11"/>
      <c r="P45" s="7">
        <v>22626</v>
      </c>
      <c r="Q45" s="2"/>
      <c r="R45" s="6">
        <f t="shared" si="24"/>
        <v>2.4007310292830295E-2</v>
      </c>
      <c r="S45" s="2"/>
      <c r="T45" s="7">
        <v>47630.879999999997</v>
      </c>
      <c r="U45" s="2"/>
      <c r="V45" s="6">
        <f t="shared" si="25"/>
        <v>4.9058481820990825E-2</v>
      </c>
      <c r="W45" s="2"/>
      <c r="X45" s="7">
        <f t="shared" si="26"/>
        <v>-25004.879999999997</v>
      </c>
      <c r="Y45" s="2"/>
      <c r="Z45" s="6">
        <f t="shared" si="27"/>
        <v>-0.52497203494875588</v>
      </c>
    </row>
    <row r="46" spans="1:26" s="24" customFormat="1" hidden="1" outlineLevel="2" x14ac:dyDescent="0.25">
      <c r="A46" s="25"/>
      <c r="B46" s="11" t="str">
        <f>CONCATENATE("          ", "6009", " - ", "TEMPORARY-SEASONAL")</f>
        <v xml:space="preserve">          6009 - TEMPORARY-SEASONAL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4" customFormat="1" hidden="1" outlineLevel="2" x14ac:dyDescent="0.25">
      <c r="A47" s="25"/>
      <c r="B47" s="11" t="str">
        <f>CONCATENATE("          ", "6010", " - ", "GRATUITY")</f>
        <v xml:space="preserve">          6010 - GRATUITY</v>
      </c>
      <c r="C47" s="11"/>
      <c r="D47" s="7"/>
      <c r="E47" s="2"/>
      <c r="F47" s="6">
        <f t="shared" si="20"/>
        <v>0</v>
      </c>
      <c r="G47" s="2"/>
      <c r="H47" s="7">
        <v>0</v>
      </c>
      <c r="I47" s="2"/>
      <c r="J47" s="6">
        <f t="shared" si="21"/>
        <v>0</v>
      </c>
      <c r="K47" s="2"/>
      <c r="L47" s="7">
        <f t="shared" si="22"/>
        <v>0</v>
      </c>
      <c r="M47" s="2"/>
      <c r="N47" s="6">
        <f t="shared" si="23"/>
        <v>0</v>
      </c>
      <c r="O47" s="11"/>
      <c r="P47" s="7"/>
      <c r="Q47" s="2"/>
      <c r="R47" s="6">
        <f t="shared" si="24"/>
        <v>0</v>
      </c>
      <c r="S47" s="2"/>
      <c r="T47" s="7">
        <v>0</v>
      </c>
      <c r="U47" s="2"/>
      <c r="V47" s="6">
        <f t="shared" si="25"/>
        <v>0</v>
      </c>
      <c r="W47" s="2"/>
      <c r="X47" s="7">
        <f t="shared" si="26"/>
        <v>0</v>
      </c>
      <c r="Y47" s="2"/>
      <c r="Z47" s="6">
        <f t="shared" si="27"/>
        <v>0</v>
      </c>
    </row>
    <row r="48" spans="1:26" s="26" customFormat="1" outlineLevel="1" collapsed="1" x14ac:dyDescent="0.25">
      <c r="A48" s="27"/>
      <c r="B48" s="13" t="str">
        <f>CONCATENATE("     ","Advertising/Promo                                 ")</f>
        <v xml:space="preserve">     Advertising/Promo                                 </v>
      </c>
      <c r="C48" s="13"/>
      <c r="D48" s="1">
        <f>SUM(OSRRefD22_2x_0)</f>
        <v>20.73</v>
      </c>
      <c r="E48" s="1"/>
      <c r="F48" s="5">
        <f t="shared" ref="F48:F69" si="28">IF(D$12=0,0,D48/D$12)</f>
        <v>3.8320995439339402E-5</v>
      </c>
      <c r="G48" s="1"/>
      <c r="H48" s="1">
        <f>SUM(OSRRefH22_2x_0)</f>
        <v>1500</v>
      </c>
      <c r="I48" s="1"/>
      <c r="J48" s="5">
        <f t="shared" ref="J48:J69" si="29">IF(H$12=0,0,H48/H$12)</f>
        <v>2.6119981263266773E-3</v>
      </c>
      <c r="K48" s="1"/>
      <c r="L48" s="1">
        <f t="shared" ref="L48:L69" si="30">+D48-H48</f>
        <v>-1479.27</v>
      </c>
      <c r="M48" s="1"/>
      <c r="N48" s="5">
        <f t="shared" ref="N48:N69" si="31">IF(H48=0,0,L48/H48)</f>
        <v>-0.98617999999999995</v>
      </c>
      <c r="O48" s="13"/>
      <c r="P48" s="1">
        <f>SUM(OSRRefP22_2x_0)</f>
        <v>2160.88</v>
      </c>
      <c r="Q48" s="1"/>
      <c r="R48" s="5">
        <f t="shared" ref="R48:R69" si="32">IF(P$12=0,0,P48/P$12)</f>
        <v>2.2928010547852529E-3</v>
      </c>
      <c r="S48" s="1"/>
      <c r="T48" s="1">
        <f>SUM(OSRRefT22_2x_0)</f>
        <v>3000</v>
      </c>
      <c r="U48" s="1"/>
      <c r="V48" s="5">
        <f t="shared" ref="V48:V69" si="33">IF(T$12=0,0,T48/T$12)</f>
        <v>3.089916572252549E-3</v>
      </c>
      <c r="W48" s="1"/>
      <c r="X48" s="1">
        <f t="shared" ref="X48:X69" si="34">+P48-T48</f>
        <v>-839.11999999999989</v>
      </c>
      <c r="Y48" s="1"/>
      <c r="Z48" s="5">
        <f t="shared" ref="Z48:Z69" si="35">IF(T48=0,0,X48/T48)</f>
        <v>-0.2797066666666666</v>
      </c>
    </row>
    <row r="49" spans="1:26" s="24" customFormat="1" hidden="1" outlineLevel="2" x14ac:dyDescent="0.25">
      <c r="A49" s="25"/>
      <c r="B49" s="11" t="str">
        <f>CONCATENATE("          ", "6362", " - ", "ADVERTISING EXPENSE")</f>
        <v xml:space="preserve">          6362 - ADVERTISING EXPENSE</v>
      </c>
      <c r="C49" s="11"/>
      <c r="D49" s="7">
        <v>20.73</v>
      </c>
      <c r="E49" s="2"/>
      <c r="F49" s="6">
        <f t="shared" si="28"/>
        <v>3.8320995439339402E-5</v>
      </c>
      <c r="G49" s="2"/>
      <c r="H49" s="7">
        <v>1500</v>
      </c>
      <c r="I49" s="2"/>
      <c r="J49" s="6">
        <f t="shared" si="29"/>
        <v>2.6119981263266773E-3</v>
      </c>
      <c r="K49" s="2"/>
      <c r="L49" s="7">
        <f t="shared" si="30"/>
        <v>-1479.27</v>
      </c>
      <c r="M49" s="2"/>
      <c r="N49" s="6">
        <f t="shared" si="31"/>
        <v>-0.98617999999999995</v>
      </c>
      <c r="O49" s="11"/>
      <c r="P49" s="7">
        <v>2160.88</v>
      </c>
      <c r="Q49" s="2"/>
      <c r="R49" s="6">
        <f t="shared" si="32"/>
        <v>2.2928010547852529E-3</v>
      </c>
      <c r="S49" s="2"/>
      <c r="T49" s="7">
        <v>3000</v>
      </c>
      <c r="U49" s="2"/>
      <c r="V49" s="6">
        <f t="shared" si="33"/>
        <v>3.089916572252549E-3</v>
      </c>
      <c r="W49" s="2"/>
      <c r="X49" s="7">
        <f t="shared" si="34"/>
        <v>-839.11999999999989</v>
      </c>
      <c r="Y49" s="2"/>
      <c r="Z49" s="6">
        <f t="shared" si="35"/>
        <v>-0.2797066666666666</v>
      </c>
    </row>
    <row r="50" spans="1:26" s="26" customFormat="1" outlineLevel="1" collapsed="1" x14ac:dyDescent="0.25">
      <c r="A50" s="27"/>
      <c r="B50" s="13" t="str">
        <f>CONCATENATE("     ","Bad Debts/Over/Short                              ")</f>
        <v xml:space="preserve">     Bad Debts/Over/Short                              </v>
      </c>
      <c r="C50" s="13"/>
      <c r="D50" s="1">
        <f>SUM(OSRRefD22_3x_0)</f>
        <v>4.95</v>
      </c>
      <c r="E50" s="1"/>
      <c r="F50" s="5">
        <f t="shared" si="28"/>
        <v>9.1504547720564426E-6</v>
      </c>
      <c r="G50" s="1"/>
      <c r="H50" s="1">
        <f>SUM(OSRRefH22_3x_0)</f>
        <v>8</v>
      </c>
      <c r="I50" s="1"/>
      <c r="J50" s="5">
        <f t="shared" si="29"/>
        <v>1.393065667374228E-5</v>
      </c>
      <c r="K50" s="1"/>
      <c r="L50" s="1">
        <f t="shared" si="30"/>
        <v>-3.05</v>
      </c>
      <c r="M50" s="1"/>
      <c r="N50" s="5">
        <f t="shared" si="31"/>
        <v>-0.38124999999999998</v>
      </c>
      <c r="O50" s="13"/>
      <c r="P50" s="1">
        <f>SUM(OSRRefP22_3x_0)</f>
        <v>2.95</v>
      </c>
      <c r="Q50" s="1"/>
      <c r="R50" s="5">
        <f t="shared" si="32"/>
        <v>3.1300965863983638E-6</v>
      </c>
      <c r="S50" s="1"/>
      <c r="T50" s="1">
        <f>SUM(OSRRefT22_3x_0)</f>
        <v>24</v>
      </c>
      <c r="U50" s="1"/>
      <c r="V50" s="5">
        <f t="shared" si="33"/>
        <v>2.4719332578020389E-5</v>
      </c>
      <c r="W50" s="1"/>
      <c r="X50" s="1">
        <f t="shared" si="34"/>
        <v>-21.05</v>
      </c>
      <c r="Y50" s="1"/>
      <c r="Z50" s="5">
        <f t="shared" si="35"/>
        <v>-0.87708333333333333</v>
      </c>
    </row>
    <row r="51" spans="1:26" s="24" customFormat="1" hidden="1" outlineLevel="2" x14ac:dyDescent="0.25">
      <c r="A51" s="25"/>
      <c r="B51" s="11" t="str">
        <f>CONCATENATE("          ", "6272", " - ", "CASH (OVER/SHORT)")</f>
        <v xml:space="preserve">          6272 - CASH (OVER/SHORT)</v>
      </c>
      <c r="C51" s="11"/>
      <c r="D51" s="7">
        <v>4.95</v>
      </c>
      <c r="E51" s="2"/>
      <c r="F51" s="6">
        <f t="shared" si="28"/>
        <v>9.1504547720564426E-6</v>
      </c>
      <c r="G51" s="2"/>
      <c r="H51" s="7">
        <v>8</v>
      </c>
      <c r="I51" s="2"/>
      <c r="J51" s="6">
        <f t="shared" si="29"/>
        <v>1.393065667374228E-5</v>
      </c>
      <c r="K51" s="2"/>
      <c r="L51" s="7">
        <f t="shared" si="30"/>
        <v>-3.05</v>
      </c>
      <c r="M51" s="2"/>
      <c r="N51" s="6">
        <f t="shared" si="31"/>
        <v>-0.38124999999999998</v>
      </c>
      <c r="O51" s="11"/>
      <c r="P51" s="7">
        <v>2.95</v>
      </c>
      <c r="Q51" s="2"/>
      <c r="R51" s="6">
        <f t="shared" si="32"/>
        <v>3.1300965863983638E-6</v>
      </c>
      <c r="S51" s="2"/>
      <c r="T51" s="7">
        <v>24</v>
      </c>
      <c r="U51" s="2"/>
      <c r="V51" s="6">
        <f t="shared" si="33"/>
        <v>2.4719332578020389E-5</v>
      </c>
      <c r="W51" s="2"/>
      <c r="X51" s="7">
        <f t="shared" si="34"/>
        <v>-21.05</v>
      </c>
      <c r="Y51" s="2"/>
      <c r="Z51" s="6">
        <f t="shared" si="35"/>
        <v>-0.87708333333333333</v>
      </c>
    </row>
    <row r="52" spans="1:26" s="26" customFormat="1" outlineLevel="1" collapsed="1" x14ac:dyDescent="0.25">
      <c r="A52" s="27"/>
      <c r="B52" s="13" t="str">
        <f>CONCATENATE("     ","Bank/card Fees                                    ")</f>
        <v xml:space="preserve">     Bank/card Fees                                    </v>
      </c>
      <c r="C52" s="13"/>
      <c r="D52" s="1">
        <f>SUM(OSRRefD22_4x_0)</f>
        <v>156.07</v>
      </c>
      <c r="E52" s="1"/>
      <c r="F52" s="5">
        <f t="shared" si="28"/>
        <v>2.8850736894441389E-4</v>
      </c>
      <c r="G52" s="1"/>
      <c r="H52" s="1">
        <f>SUM(OSRRefH22_4x_0)</f>
        <v>170</v>
      </c>
      <c r="I52" s="1"/>
      <c r="J52" s="5">
        <f t="shared" si="29"/>
        <v>2.9602645431702342E-4</v>
      </c>
      <c r="K52" s="1"/>
      <c r="L52" s="1">
        <f t="shared" si="30"/>
        <v>-13.930000000000007</v>
      </c>
      <c r="M52" s="1"/>
      <c r="N52" s="5">
        <f t="shared" si="31"/>
        <v>-8.1941176470588281E-2</v>
      </c>
      <c r="O52" s="13"/>
      <c r="P52" s="1">
        <f>SUM(OSRRefP22_4x_0)</f>
        <v>524.38</v>
      </c>
      <c r="Q52" s="1"/>
      <c r="R52" s="5">
        <f t="shared" si="32"/>
        <v>5.5639323660188942E-4</v>
      </c>
      <c r="S52" s="1"/>
      <c r="T52" s="1">
        <f>SUM(OSRRefT22_4x_0)</f>
        <v>510</v>
      </c>
      <c r="U52" s="1"/>
      <c r="V52" s="5">
        <f t="shared" si="33"/>
        <v>5.2528581728293329E-4</v>
      </c>
      <c r="W52" s="1"/>
      <c r="X52" s="1">
        <f t="shared" si="34"/>
        <v>14.379999999999995</v>
      </c>
      <c r="Y52" s="1"/>
      <c r="Z52" s="5">
        <f t="shared" si="35"/>
        <v>2.8196078431372541E-2</v>
      </c>
    </row>
    <row r="53" spans="1:26" s="24" customFormat="1" hidden="1" outlineLevel="2" x14ac:dyDescent="0.25">
      <c r="A53" s="25"/>
      <c r="B53" s="11" t="str">
        <f>CONCATENATE("          ", "6381", " - ", "BANK/CREDIT CARD FEES")</f>
        <v xml:space="preserve">          6381 - BANK/CREDIT CARD FEES</v>
      </c>
      <c r="C53" s="11"/>
      <c r="D53" s="7">
        <v>156.07</v>
      </c>
      <c r="E53" s="2"/>
      <c r="F53" s="6">
        <f t="shared" si="28"/>
        <v>2.8850736894441389E-4</v>
      </c>
      <c r="G53" s="2"/>
      <c r="H53" s="7">
        <v>170</v>
      </c>
      <c r="I53" s="2"/>
      <c r="J53" s="6">
        <f t="shared" si="29"/>
        <v>2.9602645431702342E-4</v>
      </c>
      <c r="K53" s="2"/>
      <c r="L53" s="7">
        <f t="shared" si="30"/>
        <v>-13.930000000000007</v>
      </c>
      <c r="M53" s="2"/>
      <c r="N53" s="6">
        <f t="shared" si="31"/>
        <v>-8.1941176470588281E-2</v>
      </c>
      <c r="O53" s="11"/>
      <c r="P53" s="7">
        <v>524.38</v>
      </c>
      <c r="Q53" s="2"/>
      <c r="R53" s="6">
        <f t="shared" si="32"/>
        <v>5.5639323660188942E-4</v>
      </c>
      <c r="S53" s="2"/>
      <c r="T53" s="7">
        <v>510</v>
      </c>
      <c r="U53" s="2"/>
      <c r="V53" s="6">
        <f t="shared" si="33"/>
        <v>5.2528581728293329E-4</v>
      </c>
      <c r="W53" s="2"/>
      <c r="X53" s="7">
        <f t="shared" si="34"/>
        <v>14.379999999999995</v>
      </c>
      <c r="Y53" s="2"/>
      <c r="Z53" s="6">
        <f t="shared" si="35"/>
        <v>2.8196078431372541E-2</v>
      </c>
    </row>
    <row r="54" spans="1:26" s="26" customFormat="1" outlineLevel="1" collapsed="1" x14ac:dyDescent="0.25">
      <c r="A54" s="27"/>
      <c r="B54" s="13" t="str">
        <f>CONCATENATE("     ","Donations                                         ")</f>
        <v xml:space="preserve">     Donations                                         </v>
      </c>
      <c r="C54" s="13"/>
      <c r="D54" s="1">
        <f>SUM(OSRRefD22_5x_0)</f>
        <v>4128.3599999999997</v>
      </c>
      <c r="E54" s="1"/>
      <c r="F54" s="5">
        <f t="shared" si="28"/>
        <v>7.6315901944983694E-3</v>
      </c>
      <c r="G54" s="1"/>
      <c r="H54" s="1">
        <f>SUM(OSRRefH22_5x_0)</f>
        <v>3100</v>
      </c>
      <c r="I54" s="1"/>
      <c r="J54" s="5">
        <f t="shared" si="29"/>
        <v>5.3981294610751336E-3</v>
      </c>
      <c r="K54" s="1"/>
      <c r="L54" s="1">
        <f t="shared" si="30"/>
        <v>1028.3599999999997</v>
      </c>
      <c r="M54" s="1"/>
      <c r="N54" s="5">
        <f t="shared" si="31"/>
        <v>0.33172903225806444</v>
      </c>
      <c r="O54" s="13"/>
      <c r="P54" s="1">
        <f>SUM(OSRRefP22_5x_0)</f>
        <v>6186.03</v>
      </c>
      <c r="Q54" s="1"/>
      <c r="R54" s="5">
        <f t="shared" si="32"/>
        <v>6.5636852157145318E-3</v>
      </c>
      <c r="S54" s="1"/>
      <c r="T54" s="1">
        <f>SUM(OSRRefT22_5x_0)</f>
        <v>6200</v>
      </c>
      <c r="U54" s="1"/>
      <c r="V54" s="5">
        <f t="shared" si="33"/>
        <v>6.385827582655268E-3</v>
      </c>
      <c r="W54" s="1"/>
      <c r="X54" s="1">
        <f t="shared" si="34"/>
        <v>-13.970000000000255</v>
      </c>
      <c r="Y54" s="1"/>
      <c r="Z54" s="5">
        <f t="shared" si="35"/>
        <v>-2.2532258064516539E-3</v>
      </c>
    </row>
    <row r="55" spans="1:26" s="24" customFormat="1" hidden="1" outlineLevel="2" x14ac:dyDescent="0.25">
      <c r="A55" s="25"/>
      <c r="B55" s="11" t="str">
        <f>CONCATENATE("          ", "6399", " - ", "DONATION-ON CAMPUS")</f>
        <v xml:space="preserve">          6399 - DONATION-ON CAMPUS</v>
      </c>
      <c r="C55" s="11"/>
      <c r="D55" s="7">
        <v>4128.3599999999997</v>
      </c>
      <c r="E55" s="2"/>
      <c r="F55" s="6">
        <f t="shared" si="28"/>
        <v>7.6315901944983694E-3</v>
      </c>
      <c r="G55" s="2"/>
      <c r="H55" s="7">
        <v>3100</v>
      </c>
      <c r="I55" s="2"/>
      <c r="J55" s="6">
        <f t="shared" si="29"/>
        <v>5.3981294610751336E-3</v>
      </c>
      <c r="K55" s="2"/>
      <c r="L55" s="7">
        <f t="shared" si="30"/>
        <v>1028.3599999999997</v>
      </c>
      <c r="M55" s="2"/>
      <c r="N55" s="6">
        <f t="shared" si="31"/>
        <v>0.33172903225806444</v>
      </c>
      <c r="O55" s="11"/>
      <c r="P55" s="7">
        <v>6186.03</v>
      </c>
      <c r="Q55" s="2"/>
      <c r="R55" s="6">
        <f t="shared" si="32"/>
        <v>6.5636852157145318E-3</v>
      </c>
      <c r="S55" s="2"/>
      <c r="T55" s="7">
        <v>6200</v>
      </c>
      <c r="U55" s="2"/>
      <c r="V55" s="6">
        <f t="shared" si="33"/>
        <v>6.385827582655268E-3</v>
      </c>
      <c r="W55" s="2"/>
      <c r="X55" s="7">
        <f t="shared" si="34"/>
        <v>-13.970000000000255</v>
      </c>
      <c r="Y55" s="2"/>
      <c r="Z55" s="6">
        <f t="shared" si="35"/>
        <v>-2.2532258064516539E-3</v>
      </c>
    </row>
    <row r="56" spans="1:26" s="26" customFormat="1" outlineLevel="1" collapsed="1" x14ac:dyDescent="0.25">
      <c r="A56" s="27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SUM(OSRRefD22_6x_0)</f>
        <v>692.57</v>
      </c>
      <c r="E56" s="1"/>
      <c r="F56" s="5">
        <f t="shared" si="28"/>
        <v>1.280268780097602E-3</v>
      </c>
      <c r="G56" s="1"/>
      <c r="H56" s="1">
        <f>SUM(OSRRefH22_6x_0)</f>
        <v>145</v>
      </c>
      <c r="I56" s="1"/>
      <c r="J56" s="5">
        <f t="shared" si="29"/>
        <v>2.524931522115788E-4</v>
      </c>
      <c r="K56" s="1"/>
      <c r="L56" s="1">
        <f t="shared" si="30"/>
        <v>547.57000000000005</v>
      </c>
      <c r="M56" s="1"/>
      <c r="N56" s="5">
        <f t="shared" si="31"/>
        <v>3.776344827586207</v>
      </c>
      <c r="O56" s="13"/>
      <c r="P56" s="1">
        <f>SUM(OSRRefP22_6x_0)</f>
        <v>805.63</v>
      </c>
      <c r="Q56" s="1"/>
      <c r="R56" s="5">
        <f t="shared" si="32"/>
        <v>8.5481346200003854E-4</v>
      </c>
      <c r="S56" s="1"/>
      <c r="T56" s="1">
        <f>SUM(OSRRefT22_6x_0)</f>
        <v>435</v>
      </c>
      <c r="U56" s="1"/>
      <c r="V56" s="5">
        <f t="shared" si="33"/>
        <v>4.4803790297661956E-4</v>
      </c>
      <c r="W56" s="1"/>
      <c r="X56" s="1">
        <f t="shared" si="34"/>
        <v>370.63</v>
      </c>
      <c r="Y56" s="1"/>
      <c r="Z56" s="5">
        <f t="shared" si="35"/>
        <v>0.85202298850574709</v>
      </c>
    </row>
    <row r="57" spans="1:26" s="24" customFormat="1" hidden="1" outlineLevel="2" x14ac:dyDescent="0.25">
      <c r="A57" s="25"/>
      <c r="B57" s="11" t="str">
        <f>CONCATENATE("          ", "6277", " - ", "EMPLOYEE APPRECIATION")</f>
        <v xml:space="preserve">          6277 - EMPLOYEE APPRECIATION</v>
      </c>
      <c r="C57" s="11"/>
      <c r="D57" s="7">
        <v>692.57</v>
      </c>
      <c r="E57" s="2"/>
      <c r="F57" s="6">
        <f t="shared" si="28"/>
        <v>1.280268780097602E-3</v>
      </c>
      <c r="G57" s="2"/>
      <c r="H57" s="7">
        <v>145</v>
      </c>
      <c r="I57" s="2"/>
      <c r="J57" s="6">
        <f t="shared" si="29"/>
        <v>2.524931522115788E-4</v>
      </c>
      <c r="K57" s="2"/>
      <c r="L57" s="7">
        <f t="shared" si="30"/>
        <v>547.57000000000005</v>
      </c>
      <c r="M57" s="2"/>
      <c r="N57" s="6">
        <f t="shared" si="31"/>
        <v>3.776344827586207</v>
      </c>
      <c r="O57" s="11"/>
      <c r="P57" s="7">
        <v>805.63</v>
      </c>
      <c r="Q57" s="2"/>
      <c r="R57" s="6">
        <f t="shared" si="32"/>
        <v>8.5481346200003854E-4</v>
      </c>
      <c r="S57" s="2"/>
      <c r="T57" s="7">
        <v>435</v>
      </c>
      <c r="U57" s="2"/>
      <c r="V57" s="6">
        <f t="shared" si="33"/>
        <v>4.4803790297661956E-4</v>
      </c>
      <c r="W57" s="2"/>
      <c r="X57" s="7">
        <f t="shared" si="34"/>
        <v>370.63</v>
      </c>
      <c r="Y57" s="2"/>
      <c r="Z57" s="6">
        <f t="shared" si="35"/>
        <v>0.85202298850574709</v>
      </c>
    </row>
    <row r="58" spans="1:26" s="26" customFormat="1" outlineLevel="1" collapsed="1" x14ac:dyDescent="0.25">
      <c r="A58" s="27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SUM(OSRRefD22_7x_0)</f>
        <v>-367.97</v>
      </c>
      <c r="E58" s="1"/>
      <c r="F58" s="5">
        <f t="shared" si="28"/>
        <v>-6.8022077625729471E-4</v>
      </c>
      <c r="G58" s="1"/>
      <c r="H58" s="1">
        <f>SUM(OSRRefH22_7x_0)</f>
        <v>270</v>
      </c>
      <c r="I58" s="1"/>
      <c r="J58" s="5">
        <f t="shared" si="29"/>
        <v>4.7015966273880193E-4</v>
      </c>
      <c r="K58" s="1"/>
      <c r="L58" s="1">
        <f t="shared" si="30"/>
        <v>-637.97</v>
      </c>
      <c r="M58" s="1"/>
      <c r="N58" s="5">
        <f t="shared" si="31"/>
        <v>-2.3628518518518518</v>
      </c>
      <c r="O58" s="13"/>
      <c r="P58" s="1">
        <f>SUM(OSRRefP22_7x_0)</f>
        <v>700.33</v>
      </c>
      <c r="Q58" s="1"/>
      <c r="R58" s="5">
        <f t="shared" si="32"/>
        <v>7.4308492961097151E-4</v>
      </c>
      <c r="S58" s="1"/>
      <c r="T58" s="1">
        <f>SUM(OSRRefT22_7x_0)</f>
        <v>810</v>
      </c>
      <c r="U58" s="1"/>
      <c r="V58" s="5">
        <f t="shared" si="33"/>
        <v>8.3427747450818819E-4</v>
      </c>
      <c r="W58" s="1"/>
      <c r="X58" s="1">
        <f t="shared" si="34"/>
        <v>-109.66999999999996</v>
      </c>
      <c r="Y58" s="1"/>
      <c r="Z58" s="5">
        <f t="shared" si="35"/>
        <v>-0.13539506172839502</v>
      </c>
    </row>
    <row r="59" spans="1:26" s="24" customFormat="1" hidden="1" outlineLevel="2" x14ac:dyDescent="0.25">
      <c r="A59" s="25"/>
      <c r="B59" s="11" t="str">
        <f>CONCATENATE("          ", "6351", " - ", "EQUIPMENT RENTAL")</f>
        <v xml:space="preserve">          6351 - EQUIPMENT RENTAL</v>
      </c>
      <c r="C59" s="11"/>
      <c r="D59" s="7">
        <v>-367.97</v>
      </c>
      <c r="E59" s="2"/>
      <c r="F59" s="6">
        <f t="shared" si="28"/>
        <v>-6.8022077625729471E-4</v>
      </c>
      <c r="G59" s="2"/>
      <c r="H59" s="7">
        <v>270</v>
      </c>
      <c r="I59" s="2"/>
      <c r="J59" s="6">
        <f t="shared" si="29"/>
        <v>4.7015966273880193E-4</v>
      </c>
      <c r="K59" s="2"/>
      <c r="L59" s="7">
        <f t="shared" si="30"/>
        <v>-637.97</v>
      </c>
      <c r="M59" s="2"/>
      <c r="N59" s="6">
        <f t="shared" si="31"/>
        <v>-2.3628518518518518</v>
      </c>
      <c r="O59" s="11"/>
      <c r="P59" s="7">
        <v>700.33</v>
      </c>
      <c r="Q59" s="2"/>
      <c r="R59" s="6">
        <f t="shared" si="32"/>
        <v>7.4308492961097151E-4</v>
      </c>
      <c r="S59" s="2"/>
      <c r="T59" s="7">
        <v>810</v>
      </c>
      <c r="U59" s="2"/>
      <c r="V59" s="6">
        <f t="shared" si="33"/>
        <v>8.3427747450818819E-4</v>
      </c>
      <c r="W59" s="2"/>
      <c r="X59" s="7">
        <f t="shared" si="34"/>
        <v>-109.66999999999996</v>
      </c>
      <c r="Y59" s="2"/>
      <c r="Z59" s="6">
        <f t="shared" si="35"/>
        <v>-0.13539506172839502</v>
      </c>
    </row>
    <row r="60" spans="1:26" s="26" customFormat="1" outlineLevel="1" collapsed="1" x14ac:dyDescent="0.25">
      <c r="A60" s="27"/>
      <c r="B60" s="13" t="str">
        <f>CONCATENATE("     ","Freight out/Postage                               ")</f>
        <v xml:space="preserve">     Freight out/Postage                               </v>
      </c>
      <c r="C60" s="13"/>
      <c r="D60" s="1">
        <f>SUM(OSRRefD22_8x_0)</f>
        <v>0</v>
      </c>
      <c r="E60" s="1"/>
      <c r="F60" s="5">
        <f t="shared" si="28"/>
        <v>0</v>
      </c>
      <c r="G60" s="1"/>
      <c r="H60" s="1">
        <f>SUM(OSRRefH22_8x_0)</f>
        <v>1</v>
      </c>
      <c r="I60" s="1"/>
      <c r="J60" s="5">
        <f t="shared" si="29"/>
        <v>1.741332084217785E-6</v>
      </c>
      <c r="K60" s="1"/>
      <c r="L60" s="1">
        <f t="shared" si="30"/>
        <v>-1</v>
      </c>
      <c r="M60" s="1"/>
      <c r="N60" s="5">
        <f t="shared" si="31"/>
        <v>-1</v>
      </c>
      <c r="O60" s="13"/>
      <c r="P60" s="1">
        <f>SUM(OSRRefP22_8x_0)</f>
        <v>0</v>
      </c>
      <c r="Q60" s="1"/>
      <c r="R60" s="5">
        <f t="shared" si="32"/>
        <v>0</v>
      </c>
      <c r="S60" s="1"/>
      <c r="T60" s="1">
        <f>SUM(OSRRefT22_8x_0)</f>
        <v>3</v>
      </c>
      <c r="U60" s="1"/>
      <c r="V60" s="5">
        <f t="shared" si="33"/>
        <v>3.0899165722525486E-6</v>
      </c>
      <c r="W60" s="1"/>
      <c r="X60" s="1">
        <f t="shared" si="34"/>
        <v>-3</v>
      </c>
      <c r="Y60" s="1"/>
      <c r="Z60" s="5">
        <f t="shared" si="35"/>
        <v>-1</v>
      </c>
    </row>
    <row r="61" spans="1:26" s="24" customFormat="1" hidden="1" outlineLevel="2" x14ac:dyDescent="0.25">
      <c r="A61" s="25"/>
      <c r="B61" s="11" t="str">
        <f>CONCATENATE("          ", "6307", " - ", "POSTAGE")</f>
        <v xml:space="preserve">          6307 - POSTAGE</v>
      </c>
      <c r="C61" s="11"/>
      <c r="D61" s="7"/>
      <c r="E61" s="2"/>
      <c r="F61" s="6">
        <f t="shared" si="28"/>
        <v>0</v>
      </c>
      <c r="G61" s="2"/>
      <c r="H61" s="7">
        <v>1</v>
      </c>
      <c r="I61" s="2"/>
      <c r="J61" s="6">
        <f t="shared" si="29"/>
        <v>1.741332084217785E-6</v>
      </c>
      <c r="K61" s="2"/>
      <c r="L61" s="7">
        <f t="shared" si="30"/>
        <v>-1</v>
      </c>
      <c r="M61" s="2"/>
      <c r="N61" s="6">
        <f t="shared" si="31"/>
        <v>-1</v>
      </c>
      <c r="O61" s="11"/>
      <c r="P61" s="7"/>
      <c r="Q61" s="2"/>
      <c r="R61" s="6">
        <f t="shared" si="32"/>
        <v>0</v>
      </c>
      <c r="S61" s="2"/>
      <c r="T61" s="7">
        <v>3</v>
      </c>
      <c r="U61" s="2"/>
      <c r="V61" s="6">
        <f t="shared" si="33"/>
        <v>3.0899165722525486E-6</v>
      </c>
      <c r="W61" s="2"/>
      <c r="X61" s="7">
        <f t="shared" si="34"/>
        <v>-3</v>
      </c>
      <c r="Y61" s="2"/>
      <c r="Z61" s="6">
        <f t="shared" si="35"/>
        <v>-1</v>
      </c>
    </row>
    <row r="62" spans="1:26" s="26" customFormat="1" outlineLevel="1" collapsed="1" x14ac:dyDescent="0.25">
      <c r="A62" s="27"/>
      <c r="B62" s="13" t="str">
        <f>CONCATENATE("     ","General                                           ")</f>
        <v xml:space="preserve">     General                                           </v>
      </c>
      <c r="C62" s="13"/>
      <c r="D62" s="1">
        <f>SUM(OSRRefD22_9x_0)</f>
        <v>60</v>
      </c>
      <c r="E62" s="1"/>
      <c r="F62" s="5">
        <f t="shared" si="28"/>
        <v>1.1091460329765383E-4</v>
      </c>
      <c r="G62" s="1"/>
      <c r="H62" s="1">
        <f>SUM(OSRRefH22_9x_0)</f>
        <v>300</v>
      </c>
      <c r="I62" s="1"/>
      <c r="J62" s="5">
        <f t="shared" si="29"/>
        <v>5.2239962526533549E-4</v>
      </c>
      <c r="K62" s="1"/>
      <c r="L62" s="1">
        <f t="shared" si="30"/>
        <v>-240</v>
      </c>
      <c r="M62" s="1"/>
      <c r="N62" s="5">
        <f t="shared" si="31"/>
        <v>-0.8</v>
      </c>
      <c r="O62" s="13"/>
      <c r="P62" s="1">
        <f>SUM(OSRRefP22_9x_0)</f>
        <v>1937.1</v>
      </c>
      <c r="Q62" s="1"/>
      <c r="R62" s="5">
        <f t="shared" si="32"/>
        <v>2.055359355088905E-3</v>
      </c>
      <c r="S62" s="1"/>
      <c r="T62" s="1">
        <f>SUM(OSRRefT22_9x_0)</f>
        <v>2150</v>
      </c>
      <c r="U62" s="1"/>
      <c r="V62" s="5">
        <f t="shared" si="33"/>
        <v>2.2144402101143268E-3</v>
      </c>
      <c r="W62" s="1"/>
      <c r="X62" s="1">
        <f t="shared" si="34"/>
        <v>-212.90000000000009</v>
      </c>
      <c r="Y62" s="1"/>
      <c r="Z62" s="5">
        <f t="shared" si="35"/>
        <v>-9.9023255813953534E-2</v>
      </c>
    </row>
    <row r="63" spans="1:26" s="24" customFormat="1" hidden="1" outlineLevel="2" x14ac:dyDescent="0.25">
      <c r="A63" s="25"/>
      <c r="B63" s="11" t="str">
        <f>CONCATENATE("          ", "6279", " - ", "GENERAL EXPENSE")</f>
        <v xml:space="preserve">          6279 - GENERAL EXPENSE</v>
      </c>
      <c r="C63" s="11"/>
      <c r="D63" s="7">
        <v>60</v>
      </c>
      <c r="E63" s="2"/>
      <c r="F63" s="6">
        <f t="shared" si="28"/>
        <v>1.1091460329765383E-4</v>
      </c>
      <c r="G63" s="2"/>
      <c r="H63" s="7">
        <v>300</v>
      </c>
      <c r="I63" s="2"/>
      <c r="J63" s="6">
        <f t="shared" si="29"/>
        <v>5.2239962526533549E-4</v>
      </c>
      <c r="K63" s="2"/>
      <c r="L63" s="7">
        <f t="shared" si="30"/>
        <v>-240</v>
      </c>
      <c r="M63" s="2"/>
      <c r="N63" s="6">
        <f t="shared" si="31"/>
        <v>-0.8</v>
      </c>
      <c r="O63" s="11"/>
      <c r="P63" s="7">
        <v>1937.1</v>
      </c>
      <c r="Q63" s="2"/>
      <c r="R63" s="6">
        <f t="shared" si="32"/>
        <v>2.055359355088905E-3</v>
      </c>
      <c r="S63" s="2"/>
      <c r="T63" s="7">
        <v>2150</v>
      </c>
      <c r="U63" s="2"/>
      <c r="V63" s="6">
        <f t="shared" si="33"/>
        <v>2.2144402101143268E-3</v>
      </c>
      <c r="W63" s="2"/>
      <c r="X63" s="7">
        <f t="shared" si="34"/>
        <v>-212.90000000000009</v>
      </c>
      <c r="Y63" s="2"/>
      <c r="Z63" s="6">
        <f t="shared" si="35"/>
        <v>-9.9023255813953534E-2</v>
      </c>
    </row>
    <row r="64" spans="1:26" s="26" customFormat="1" outlineLevel="1" collapsed="1" x14ac:dyDescent="0.25">
      <c r="A64" s="27"/>
      <c r="B64" s="13" t="str">
        <f>CONCATENATE("     ","R/H Commissions                                   ")</f>
        <v xml:space="preserve">     R/H Commissions                                   </v>
      </c>
      <c r="C64" s="13"/>
      <c r="D64" s="1">
        <f>SUM(OSRRefD22_10x_0)</f>
        <v>40866.22</v>
      </c>
      <c r="E64" s="1"/>
      <c r="F64" s="5">
        <f t="shared" si="28"/>
        <v>7.5544342992910782E-2</v>
      </c>
      <c r="G64" s="1"/>
      <c r="H64" s="1">
        <f>SUM(OSRRefH22_10x_0)</f>
        <v>45941</v>
      </c>
      <c r="I64" s="1"/>
      <c r="J64" s="5">
        <f t="shared" si="29"/>
        <v>7.9998537281049262E-2</v>
      </c>
      <c r="K64" s="1"/>
      <c r="L64" s="1">
        <f t="shared" si="30"/>
        <v>-5074.7799999999988</v>
      </c>
      <c r="M64" s="1"/>
      <c r="N64" s="5">
        <f t="shared" si="31"/>
        <v>-0.11046298513310548</v>
      </c>
      <c r="O64" s="13"/>
      <c r="P64" s="1">
        <f>SUM(OSRRefP22_10x_0)</f>
        <v>72203.010000000009</v>
      </c>
      <c r="Q64" s="1"/>
      <c r="R64" s="5">
        <f t="shared" si="32"/>
        <v>7.6610981399554898E-2</v>
      </c>
      <c r="S64" s="1"/>
      <c r="T64" s="1">
        <f>SUM(OSRRefT22_10x_0)</f>
        <v>77670</v>
      </c>
      <c r="U64" s="1"/>
      <c r="V64" s="5">
        <f t="shared" si="33"/>
        <v>7.9997940055618486E-2</v>
      </c>
      <c r="W64" s="1"/>
      <c r="X64" s="1">
        <f t="shared" si="34"/>
        <v>-5466.9899999999907</v>
      </c>
      <c r="Y64" s="1"/>
      <c r="Z64" s="5">
        <f t="shared" si="35"/>
        <v>-7.0387408265739554E-2</v>
      </c>
    </row>
    <row r="65" spans="1:26" s="24" customFormat="1" hidden="1" outlineLevel="2" x14ac:dyDescent="0.25">
      <c r="A65" s="25"/>
      <c r="B65" s="11" t="str">
        <f>CONCATENATE("          ", "6387", " - ", "COMMISSION DUE HOUSING")</f>
        <v xml:space="preserve">          6387 - COMMISSION DUE HOUSING</v>
      </c>
      <c r="C65" s="11"/>
      <c r="D65" s="7">
        <v>40866.22</v>
      </c>
      <c r="E65" s="2"/>
      <c r="F65" s="6">
        <f t="shared" si="28"/>
        <v>7.5544342992910782E-2</v>
      </c>
      <c r="G65" s="2"/>
      <c r="H65" s="7">
        <v>45941</v>
      </c>
      <c r="I65" s="2"/>
      <c r="J65" s="6">
        <f t="shared" si="29"/>
        <v>7.9998537281049262E-2</v>
      </c>
      <c r="K65" s="2"/>
      <c r="L65" s="7">
        <f t="shared" si="30"/>
        <v>-5074.7799999999988</v>
      </c>
      <c r="M65" s="2"/>
      <c r="N65" s="6">
        <f t="shared" si="31"/>
        <v>-0.11046298513310548</v>
      </c>
      <c r="O65" s="11"/>
      <c r="P65" s="7">
        <v>72203.010000000009</v>
      </c>
      <c r="Q65" s="2"/>
      <c r="R65" s="6">
        <f t="shared" si="32"/>
        <v>7.6610981399554898E-2</v>
      </c>
      <c r="S65" s="2"/>
      <c r="T65" s="7">
        <v>77670</v>
      </c>
      <c r="U65" s="2"/>
      <c r="V65" s="6">
        <f t="shared" si="33"/>
        <v>7.9997940055618486E-2</v>
      </c>
      <c r="W65" s="2"/>
      <c r="X65" s="7">
        <f t="shared" si="34"/>
        <v>-5466.9899999999907</v>
      </c>
      <c r="Y65" s="2"/>
      <c r="Z65" s="6">
        <f t="shared" si="35"/>
        <v>-7.0387408265739554E-2</v>
      </c>
    </row>
    <row r="66" spans="1:26" s="26" customFormat="1" outlineLevel="1" collapsed="1" x14ac:dyDescent="0.25">
      <c r="A66" s="27"/>
      <c r="B66" s="13" t="str">
        <f>CONCATENATE("     ","Repair and Maintenance                            ")</f>
        <v xml:space="preserve">     Repair and Maintenance                            </v>
      </c>
      <c r="C66" s="13"/>
      <c r="D66" s="1">
        <f>SUM(OSRRefD22_11x_0)</f>
        <v>114.28999999999999</v>
      </c>
      <c r="E66" s="1"/>
      <c r="F66" s="5">
        <f t="shared" si="28"/>
        <v>2.1127383351481427E-4</v>
      </c>
      <c r="G66" s="1"/>
      <c r="H66" s="1">
        <f>SUM(OSRRefH22_11x_0)</f>
        <v>1290</v>
      </c>
      <c r="I66" s="1"/>
      <c r="J66" s="5">
        <f t="shared" si="29"/>
        <v>2.2463183886409425E-3</v>
      </c>
      <c r="K66" s="1"/>
      <c r="L66" s="1">
        <f t="shared" si="30"/>
        <v>-1175.71</v>
      </c>
      <c r="M66" s="1"/>
      <c r="N66" s="5">
        <f t="shared" si="31"/>
        <v>-0.91140310077519382</v>
      </c>
      <c r="O66" s="13"/>
      <c r="P66" s="1">
        <f>SUM(OSRRefP22_11x_0)</f>
        <v>143.5</v>
      </c>
      <c r="Q66" s="1"/>
      <c r="R66" s="5">
        <f t="shared" si="32"/>
        <v>1.5226063055870004E-4</v>
      </c>
      <c r="S66" s="1"/>
      <c r="T66" s="1">
        <f>SUM(OSRRefT22_11x_0)</f>
        <v>3870</v>
      </c>
      <c r="U66" s="1"/>
      <c r="V66" s="5">
        <f t="shared" si="33"/>
        <v>3.9859923782057877E-3</v>
      </c>
      <c r="W66" s="1"/>
      <c r="X66" s="1">
        <f t="shared" si="34"/>
        <v>-3726.5</v>
      </c>
      <c r="Y66" s="1"/>
      <c r="Z66" s="5">
        <f t="shared" si="35"/>
        <v>-0.96291989664082689</v>
      </c>
    </row>
    <row r="67" spans="1:26" s="24" customFormat="1" hidden="1" outlineLevel="2" x14ac:dyDescent="0.25">
      <c r="A67" s="25"/>
      <c r="B67" s="11" t="str">
        <f>CONCATENATE("          ", "6371", " - ", "COMPUTER SOFTWARE MAINTENANCE")</f>
        <v xml:space="preserve">          6371 - COMPUTER SOFTWARE MAINTENANCE</v>
      </c>
      <c r="C67" s="11"/>
      <c r="D67" s="7"/>
      <c r="E67" s="2"/>
      <c r="F67" s="6">
        <f t="shared" si="28"/>
        <v>0</v>
      </c>
      <c r="G67" s="2"/>
      <c r="H67" s="7">
        <v>1000</v>
      </c>
      <c r="I67" s="2"/>
      <c r="J67" s="6">
        <f t="shared" si="29"/>
        <v>1.7413320842177848E-3</v>
      </c>
      <c r="K67" s="2"/>
      <c r="L67" s="7">
        <f t="shared" si="30"/>
        <v>-1000</v>
      </c>
      <c r="M67" s="2"/>
      <c r="N67" s="6">
        <f t="shared" si="31"/>
        <v>-1</v>
      </c>
      <c r="O67" s="11"/>
      <c r="P67" s="7"/>
      <c r="Q67" s="2"/>
      <c r="R67" s="6">
        <f t="shared" si="32"/>
        <v>0</v>
      </c>
      <c r="S67" s="2"/>
      <c r="T67" s="7">
        <v>3000</v>
      </c>
      <c r="U67" s="2"/>
      <c r="V67" s="6">
        <f t="shared" si="33"/>
        <v>3.089916572252549E-3</v>
      </c>
      <c r="W67" s="2"/>
      <c r="X67" s="7">
        <f t="shared" si="34"/>
        <v>-3000</v>
      </c>
      <c r="Y67" s="2"/>
      <c r="Z67" s="6">
        <f t="shared" si="35"/>
        <v>-1</v>
      </c>
    </row>
    <row r="68" spans="1:26" s="24" customFormat="1" hidden="1" outlineLevel="2" x14ac:dyDescent="0.25">
      <c r="A68" s="25"/>
      <c r="B68" s="11" t="str">
        <f>CONCATENATE("          ", "6373", " - ", "MAINTENANCE CONTRACTS")</f>
        <v xml:space="preserve">          6373 - MAINTENANCE CONTRACTS</v>
      </c>
      <c r="C68" s="11"/>
      <c r="D68" s="7">
        <v>8.8000000000000007</v>
      </c>
      <c r="E68" s="2"/>
      <c r="F68" s="6">
        <f t="shared" si="28"/>
        <v>1.6267475150322562E-5</v>
      </c>
      <c r="G68" s="2"/>
      <c r="H68" s="7">
        <v>30</v>
      </c>
      <c r="I68" s="2"/>
      <c r="J68" s="6">
        <f t="shared" si="29"/>
        <v>5.2239962526533546E-5</v>
      </c>
      <c r="K68" s="2"/>
      <c r="L68" s="7">
        <f t="shared" si="30"/>
        <v>-21.2</v>
      </c>
      <c r="M68" s="2"/>
      <c r="N68" s="6">
        <f t="shared" si="31"/>
        <v>-0.70666666666666667</v>
      </c>
      <c r="O68" s="11"/>
      <c r="P68" s="7">
        <v>38.01</v>
      </c>
      <c r="Q68" s="2"/>
      <c r="R68" s="6">
        <f t="shared" si="32"/>
        <v>4.0330498728475186E-5</v>
      </c>
      <c r="S68" s="2"/>
      <c r="T68" s="7">
        <v>90</v>
      </c>
      <c r="U68" s="2"/>
      <c r="V68" s="6">
        <f t="shared" si="33"/>
        <v>9.2697497167576459E-5</v>
      </c>
      <c r="W68" s="2"/>
      <c r="X68" s="7">
        <f t="shared" si="34"/>
        <v>-51.99</v>
      </c>
      <c r="Y68" s="2"/>
      <c r="Z68" s="6">
        <f t="shared" si="35"/>
        <v>-0.57766666666666666</v>
      </c>
    </row>
    <row r="69" spans="1:26" s="24" customFormat="1" hidden="1" outlineLevel="2" x14ac:dyDescent="0.25">
      <c r="A69" s="25"/>
      <c r="B69" s="11" t="str">
        <f>CONCATENATE("          ", "6375", " - ", "OUTSIDE REPAIRS &amp; MAINTENANCE")</f>
        <v xml:space="preserve">          6375 - OUTSIDE REPAIRS &amp; MAINTENANCE</v>
      </c>
      <c r="C69" s="11"/>
      <c r="D69" s="7">
        <v>105.49</v>
      </c>
      <c r="E69" s="2"/>
      <c r="F69" s="6">
        <f t="shared" si="28"/>
        <v>1.9500635836449171E-4</v>
      </c>
      <c r="G69" s="2"/>
      <c r="H69" s="7">
        <v>260</v>
      </c>
      <c r="I69" s="2"/>
      <c r="J69" s="6">
        <f t="shared" si="29"/>
        <v>4.5274634189662409E-4</v>
      </c>
      <c r="K69" s="2"/>
      <c r="L69" s="7">
        <f t="shared" si="30"/>
        <v>-154.51</v>
      </c>
      <c r="M69" s="2"/>
      <c r="N69" s="6">
        <f t="shared" si="31"/>
        <v>-0.59426923076923077</v>
      </c>
      <c r="O69" s="11"/>
      <c r="P69" s="7">
        <v>105.49</v>
      </c>
      <c r="Q69" s="2"/>
      <c r="R69" s="6">
        <f t="shared" si="32"/>
        <v>1.1193013183022487E-4</v>
      </c>
      <c r="S69" s="2"/>
      <c r="T69" s="7">
        <v>780</v>
      </c>
      <c r="U69" s="2"/>
      <c r="V69" s="6">
        <f t="shared" si="33"/>
        <v>8.0337830878566272E-4</v>
      </c>
      <c r="W69" s="2"/>
      <c r="X69" s="7">
        <f t="shared" si="34"/>
        <v>-674.51</v>
      </c>
      <c r="Y69" s="2"/>
      <c r="Z69" s="6">
        <f t="shared" si="35"/>
        <v>-0.86475641025641026</v>
      </c>
    </row>
    <row r="70" spans="1:26" s="26" customFormat="1" outlineLevel="1" collapsed="1" x14ac:dyDescent="0.25">
      <c r="A70" s="27"/>
      <c r="B70" s="13" t="str">
        <f>CONCATENATE("     ","Services                                          ")</f>
        <v xml:space="preserve">     Services                                          </v>
      </c>
      <c r="C70" s="13"/>
      <c r="D70" s="1">
        <f>SUM(OSRRefD22_12x_0)</f>
        <v>8164.41</v>
      </c>
      <c r="E70" s="1"/>
      <c r="F70" s="5">
        <f t="shared" ref="F70:F74" si="36">IF(D$12=0,0,D70/D$12)</f>
        <v>1.5092538271823299E-2</v>
      </c>
      <c r="G70" s="1"/>
      <c r="H70" s="1">
        <f>SUM(OSRRefH22_12x_0)</f>
        <v>5947</v>
      </c>
      <c r="I70" s="1"/>
      <c r="J70" s="5">
        <f t="shared" ref="J70:J74" si="37">IF(H$12=0,0,H70/H$12)</f>
        <v>1.0355701904843168E-2</v>
      </c>
      <c r="K70" s="1"/>
      <c r="L70" s="1">
        <f t="shared" ref="L70:L74" si="38">+D70-H70</f>
        <v>2217.41</v>
      </c>
      <c r="M70" s="1"/>
      <c r="N70" s="5">
        <f t="shared" ref="N70:N74" si="39">IF(H70=0,0,L70/H70)</f>
        <v>0.37286194720026899</v>
      </c>
      <c r="O70" s="13"/>
      <c r="P70" s="1">
        <f>SUM(OSRRefP22_12x_0)</f>
        <v>19887.080000000002</v>
      </c>
      <c r="Q70" s="1"/>
      <c r="R70" s="5">
        <f t="shared" ref="R70:R74" si="40">IF(P$12=0,0,P70/P$12)</f>
        <v>2.1101180075061416E-2</v>
      </c>
      <c r="S70" s="1"/>
      <c r="T70" s="1">
        <f>SUM(OSRRefT22_12x_0)</f>
        <v>20241</v>
      </c>
      <c r="U70" s="1"/>
      <c r="V70" s="5">
        <f t="shared" ref="V70:V74" si="41">IF(T$12=0,0,T70/T$12)</f>
        <v>2.0847667112987946E-2</v>
      </c>
      <c r="W70" s="1"/>
      <c r="X70" s="1">
        <f t="shared" ref="X70:X74" si="42">+P70-T70</f>
        <v>-353.91999999999825</v>
      </c>
      <c r="Y70" s="1"/>
      <c r="Z70" s="5">
        <f t="shared" ref="Z70:Z74" si="43">IF(T70=0,0,X70/T70)</f>
        <v>-1.7485302109579479E-2</v>
      </c>
    </row>
    <row r="71" spans="1:26" s="24" customFormat="1" hidden="1" outlineLevel="2" x14ac:dyDescent="0.25">
      <c r="A71" s="25"/>
      <c r="B71" s="11" t="str">
        <f>CONCATENATE("          ", "6282", " - ", "JANITORIAL/EXTERMINATOR EXPENS")</f>
        <v xml:space="preserve">          6282 - JANITORIAL/EXTERMINATOR EXPENS</v>
      </c>
      <c r="C71" s="11"/>
      <c r="D71" s="7">
        <v>421.34</v>
      </c>
      <c r="E71" s="2"/>
      <c r="F71" s="6">
        <f t="shared" si="36"/>
        <v>7.7887931589055775E-4</v>
      </c>
      <c r="G71" s="2"/>
      <c r="H71" s="7">
        <v>430</v>
      </c>
      <c r="I71" s="2"/>
      <c r="J71" s="6">
        <f t="shared" si="37"/>
        <v>7.4877279621364751E-4</v>
      </c>
      <c r="K71" s="2"/>
      <c r="L71" s="7">
        <f t="shared" si="38"/>
        <v>-8.660000000000025</v>
      </c>
      <c r="M71" s="2"/>
      <c r="N71" s="6">
        <f t="shared" si="39"/>
        <v>-2.0139534883720989E-2</v>
      </c>
      <c r="O71" s="11"/>
      <c r="P71" s="7">
        <v>1264.02</v>
      </c>
      <c r="Q71" s="2"/>
      <c r="R71" s="6">
        <f t="shared" si="40"/>
        <v>1.341188029538732E-3</v>
      </c>
      <c r="S71" s="2"/>
      <c r="T71" s="7">
        <v>1290</v>
      </c>
      <c r="U71" s="2"/>
      <c r="V71" s="6">
        <f t="shared" si="41"/>
        <v>1.3286641260685959E-3</v>
      </c>
      <c r="W71" s="2"/>
      <c r="X71" s="7">
        <f t="shared" si="42"/>
        <v>-25.980000000000018</v>
      </c>
      <c r="Y71" s="2"/>
      <c r="Z71" s="6">
        <f t="shared" si="43"/>
        <v>-2.0139534883720944E-2</v>
      </c>
    </row>
    <row r="72" spans="1:26" s="24" customFormat="1" hidden="1" outlineLevel="2" x14ac:dyDescent="0.25">
      <c r="A72" s="25"/>
      <c r="B72" s="11" t="str">
        <f>CONCATENATE("          ", "6284", " - ", "TRASH REMOVAL EXPENSE")</f>
        <v xml:space="preserve">          6284 - TRASH REMOVAL EXPENSE</v>
      </c>
      <c r="C72" s="11"/>
      <c r="D72" s="7"/>
      <c r="E72" s="2"/>
      <c r="F72" s="6">
        <f t="shared" si="36"/>
        <v>0</v>
      </c>
      <c r="G72" s="2"/>
      <c r="H72" s="7"/>
      <c r="I72" s="2"/>
      <c r="J72" s="6">
        <f t="shared" si="37"/>
        <v>0</v>
      </c>
      <c r="K72" s="2"/>
      <c r="L72" s="7">
        <f t="shared" si="38"/>
        <v>0</v>
      </c>
      <c r="M72" s="2"/>
      <c r="N72" s="6">
        <f t="shared" si="39"/>
        <v>0</v>
      </c>
      <c r="O72" s="11"/>
      <c r="P72" s="7"/>
      <c r="Q72" s="2"/>
      <c r="R72" s="6">
        <f t="shared" si="40"/>
        <v>0</v>
      </c>
      <c r="S72" s="2"/>
      <c r="T72" s="7">
        <v>0</v>
      </c>
      <c r="U72" s="2"/>
      <c r="V72" s="6">
        <f t="shared" si="41"/>
        <v>0</v>
      </c>
      <c r="W72" s="2"/>
      <c r="X72" s="7">
        <f t="shared" si="42"/>
        <v>0</v>
      </c>
      <c r="Y72" s="2"/>
      <c r="Z72" s="6">
        <f t="shared" si="43"/>
        <v>0</v>
      </c>
    </row>
    <row r="73" spans="1:26" s="24" customFormat="1" hidden="1" outlineLevel="2" x14ac:dyDescent="0.25">
      <c r="A73" s="25"/>
      <c r="B73" s="11" t="str">
        <f>CONCATENATE("          ", "6285", " - ", "JANITORIAL SERVICES")</f>
        <v xml:space="preserve">          6285 - JANITORIAL SERVICES</v>
      </c>
      <c r="C73" s="11"/>
      <c r="D73" s="7">
        <v>6383.67</v>
      </c>
      <c r="E73" s="2"/>
      <c r="F73" s="6">
        <f t="shared" si="36"/>
        <v>1.1800703760552231E-2</v>
      </c>
      <c r="G73" s="2"/>
      <c r="H73" s="7">
        <v>3917</v>
      </c>
      <c r="I73" s="2"/>
      <c r="J73" s="6">
        <f t="shared" si="37"/>
        <v>6.8207977738810634E-3</v>
      </c>
      <c r="K73" s="2"/>
      <c r="L73" s="7">
        <f t="shared" si="38"/>
        <v>2466.67</v>
      </c>
      <c r="M73" s="2"/>
      <c r="N73" s="6">
        <f t="shared" si="39"/>
        <v>0.62973449068164411</v>
      </c>
      <c r="O73" s="11"/>
      <c r="P73" s="7">
        <v>14404.51</v>
      </c>
      <c r="Q73" s="2"/>
      <c r="R73" s="6">
        <f t="shared" si="40"/>
        <v>1.5283900874488505E-2</v>
      </c>
      <c r="S73" s="2"/>
      <c r="T73" s="7">
        <v>14151</v>
      </c>
      <c r="U73" s="2"/>
      <c r="V73" s="6">
        <f t="shared" si="41"/>
        <v>1.4575136471315272E-2</v>
      </c>
      <c r="W73" s="2"/>
      <c r="X73" s="7">
        <f t="shared" si="42"/>
        <v>253.51000000000022</v>
      </c>
      <c r="Y73" s="2"/>
      <c r="Z73" s="6">
        <f t="shared" si="43"/>
        <v>1.791463500812665E-2</v>
      </c>
    </row>
    <row r="74" spans="1:26" s="24" customFormat="1" hidden="1" outlineLevel="2" x14ac:dyDescent="0.25">
      <c r="A74" s="25"/>
      <c r="B74" s="11" t="str">
        <f>CONCATENATE("          ", "6286", " - ", "LAUNDRY EXPENSE")</f>
        <v xml:space="preserve">          6286 - LAUNDRY EXPENSE</v>
      </c>
      <c r="C74" s="11"/>
      <c r="D74" s="7">
        <v>1359.4</v>
      </c>
      <c r="E74" s="2"/>
      <c r="F74" s="6">
        <f t="shared" si="36"/>
        <v>2.5129551953805107E-3</v>
      </c>
      <c r="G74" s="2"/>
      <c r="H74" s="7">
        <v>1600</v>
      </c>
      <c r="I74" s="2"/>
      <c r="J74" s="6">
        <f t="shared" si="37"/>
        <v>2.7861313347484558E-3</v>
      </c>
      <c r="K74" s="2"/>
      <c r="L74" s="7">
        <f t="shared" si="38"/>
        <v>-240.59999999999991</v>
      </c>
      <c r="M74" s="2"/>
      <c r="N74" s="6">
        <f t="shared" si="39"/>
        <v>-0.15037499999999995</v>
      </c>
      <c r="O74" s="11"/>
      <c r="P74" s="7">
        <v>4218.55</v>
      </c>
      <c r="Q74" s="2"/>
      <c r="R74" s="6">
        <f t="shared" si="40"/>
        <v>4.4760911710341753E-3</v>
      </c>
      <c r="S74" s="2"/>
      <c r="T74" s="7">
        <v>4800</v>
      </c>
      <c r="U74" s="2"/>
      <c r="V74" s="6">
        <f t="shared" si="41"/>
        <v>4.9438665156040784E-3</v>
      </c>
      <c r="W74" s="2"/>
      <c r="X74" s="7">
        <f t="shared" si="42"/>
        <v>-581.44999999999982</v>
      </c>
      <c r="Y74" s="2"/>
      <c r="Z74" s="6">
        <f t="shared" si="43"/>
        <v>-0.12113541666666663</v>
      </c>
    </row>
    <row r="75" spans="1:26" s="26" customFormat="1" outlineLevel="1" collapsed="1" x14ac:dyDescent="0.25">
      <c r="A75" s="27"/>
      <c r="B75" s="13" t="str">
        <f>CONCATENATE("     ","Supplies                                          ")</f>
        <v xml:space="preserve">     Supplies                                          </v>
      </c>
      <c r="C75" s="13"/>
      <c r="D75" s="1">
        <f>SUM(OSRRefD22_13x_0)</f>
        <v>14830.4</v>
      </c>
      <c r="E75" s="1"/>
      <c r="F75" s="5">
        <f t="shared" ref="F75:F82" si="44">IF(D$12=0,0,D75/D$12)</f>
        <v>2.7415132212425423E-2</v>
      </c>
      <c r="G75" s="1"/>
      <c r="H75" s="1">
        <f>SUM(OSRRefH22_13x_0)</f>
        <v>9880</v>
      </c>
      <c r="I75" s="1"/>
      <c r="J75" s="5">
        <f t="shared" ref="J75:J82" si="45">IF(H$12=0,0,H75/H$12)</f>
        <v>1.7204360992071715E-2</v>
      </c>
      <c r="K75" s="1"/>
      <c r="L75" s="1">
        <f t="shared" ref="L75:L82" si="46">+D75-H75</f>
        <v>4950.3999999999996</v>
      </c>
      <c r="M75" s="1"/>
      <c r="N75" s="5">
        <f t="shared" ref="N75:N82" si="47">IF(H75=0,0,L75/H75)</f>
        <v>0.50105263157894731</v>
      </c>
      <c r="O75" s="13"/>
      <c r="P75" s="1">
        <f>SUM(OSRRefP22_13x_0)</f>
        <v>30718.929999999997</v>
      </c>
      <c r="Q75" s="1"/>
      <c r="R75" s="5">
        <f t="shared" ref="R75:R82" si="48">IF(P$12=0,0,P75/P$12)</f>
        <v>3.2594311162986535E-2</v>
      </c>
      <c r="S75" s="1"/>
      <c r="T75" s="1">
        <f>SUM(OSRRefT22_13x_0)</f>
        <v>30640</v>
      </c>
      <c r="U75" s="1"/>
      <c r="V75" s="5">
        <f t="shared" ref="V75:V82" si="49">IF(T$12=0,0,T75/T$12)</f>
        <v>3.1558347924606031E-2</v>
      </c>
      <c r="W75" s="1"/>
      <c r="X75" s="1">
        <f t="shared" ref="X75:X82" si="50">+P75-T75</f>
        <v>78.929999999996653</v>
      </c>
      <c r="Y75" s="1"/>
      <c r="Z75" s="5">
        <f t="shared" ref="Z75:Z82" si="51">IF(T75=0,0,X75/T75)</f>
        <v>2.5760443864228672E-3</v>
      </c>
    </row>
    <row r="76" spans="1:26" s="24" customFormat="1" hidden="1" outlineLevel="2" x14ac:dyDescent="0.25">
      <c r="A76" s="25"/>
      <c r="B76" s="11" t="str">
        <f>CONCATENATE("          ", "6237", " - ", "JANITORIAL SUPPLIES")</f>
        <v xml:space="preserve">          6237 - JANITORIAL SUPPLIES</v>
      </c>
      <c r="C76" s="11"/>
      <c r="D76" s="7">
        <v>3300.04</v>
      </c>
      <c r="E76" s="2"/>
      <c r="F76" s="6">
        <f t="shared" si="44"/>
        <v>6.1003771244398262E-3</v>
      </c>
      <c r="G76" s="2"/>
      <c r="H76" s="7">
        <v>4000</v>
      </c>
      <c r="I76" s="2"/>
      <c r="J76" s="6">
        <f t="shared" si="45"/>
        <v>6.9653283368711393E-3</v>
      </c>
      <c r="K76" s="2"/>
      <c r="L76" s="7">
        <f t="shared" si="46"/>
        <v>-699.96</v>
      </c>
      <c r="M76" s="2"/>
      <c r="N76" s="6">
        <f t="shared" si="47"/>
        <v>-0.17499000000000001</v>
      </c>
      <c r="O76" s="11"/>
      <c r="P76" s="7">
        <v>10664.07</v>
      </c>
      <c r="Q76" s="2"/>
      <c r="R76" s="6">
        <f t="shared" si="48"/>
        <v>1.1315108170885829E-2</v>
      </c>
      <c r="S76" s="2"/>
      <c r="T76" s="7">
        <v>12000</v>
      </c>
      <c r="U76" s="2"/>
      <c r="V76" s="6">
        <f t="shared" si="49"/>
        <v>1.2359666289010196E-2</v>
      </c>
      <c r="W76" s="2"/>
      <c r="X76" s="7">
        <f t="shared" si="50"/>
        <v>-1335.9300000000003</v>
      </c>
      <c r="Y76" s="2"/>
      <c r="Z76" s="6">
        <f t="shared" si="51"/>
        <v>-0.11132750000000002</v>
      </c>
    </row>
    <row r="77" spans="1:26" s="24" customFormat="1" hidden="1" outlineLevel="2" x14ac:dyDescent="0.25">
      <c r="A77" s="25"/>
      <c r="B77" s="11" t="str">
        <f>CONCATENATE("          ", "6239", " - ", "KITCHEN SUPPLIES")</f>
        <v xml:space="preserve">          6239 - KITCHEN SUPPLIES</v>
      </c>
      <c r="C77" s="11"/>
      <c r="D77" s="7">
        <v>8940.1200000000008</v>
      </c>
      <c r="E77" s="2"/>
      <c r="F77" s="6">
        <f t="shared" si="44"/>
        <v>1.6526497720557018E-2</v>
      </c>
      <c r="G77" s="2"/>
      <c r="H77" s="7">
        <v>2000</v>
      </c>
      <c r="I77" s="2"/>
      <c r="J77" s="6">
        <f t="shared" si="45"/>
        <v>3.4826641684355696E-3</v>
      </c>
      <c r="K77" s="2"/>
      <c r="L77" s="7">
        <f t="shared" si="46"/>
        <v>6940.1200000000008</v>
      </c>
      <c r="M77" s="2"/>
      <c r="N77" s="6">
        <f t="shared" si="47"/>
        <v>3.4700600000000006</v>
      </c>
      <c r="O77" s="11"/>
      <c r="P77" s="7">
        <v>10813.2</v>
      </c>
      <c r="Q77" s="2"/>
      <c r="R77" s="6">
        <f t="shared" si="48"/>
        <v>1.1473342511200945E-2</v>
      </c>
      <c r="S77" s="2"/>
      <c r="T77" s="7">
        <v>7000</v>
      </c>
      <c r="U77" s="2"/>
      <c r="V77" s="6">
        <f t="shared" si="49"/>
        <v>7.2098053352559468E-3</v>
      </c>
      <c r="W77" s="2"/>
      <c r="X77" s="7">
        <f t="shared" si="50"/>
        <v>3813.2000000000007</v>
      </c>
      <c r="Y77" s="2"/>
      <c r="Z77" s="6">
        <f t="shared" si="51"/>
        <v>0.5447428571428572</v>
      </c>
    </row>
    <row r="78" spans="1:26" s="24" customFormat="1" hidden="1" outlineLevel="2" x14ac:dyDescent="0.25">
      <c r="A78" s="25"/>
      <c r="B78" s="11" t="str">
        <f>CONCATENATE("          ", "6241", " - ", "OFFICE EXPENSE")</f>
        <v xml:space="preserve">          6241 - OFFICE EXPENSE</v>
      </c>
      <c r="C78" s="11"/>
      <c r="D78" s="7">
        <v>147.97999999999999</v>
      </c>
      <c r="E78" s="2"/>
      <c r="F78" s="6">
        <f t="shared" si="44"/>
        <v>2.7355238326644689E-4</v>
      </c>
      <c r="G78" s="2"/>
      <c r="H78" s="7">
        <v>305</v>
      </c>
      <c r="I78" s="2"/>
      <c r="J78" s="6">
        <f t="shared" si="45"/>
        <v>5.3110628568642443E-4</v>
      </c>
      <c r="K78" s="2"/>
      <c r="L78" s="7">
        <f t="shared" si="46"/>
        <v>-157.02000000000001</v>
      </c>
      <c r="M78" s="2"/>
      <c r="N78" s="6">
        <f t="shared" si="47"/>
        <v>-0.51481967213114754</v>
      </c>
      <c r="O78" s="11"/>
      <c r="P78" s="7">
        <v>980.57</v>
      </c>
      <c r="Q78" s="2"/>
      <c r="R78" s="6">
        <f t="shared" si="48"/>
        <v>1.0404334948219129E-3</v>
      </c>
      <c r="S78" s="2"/>
      <c r="T78" s="7">
        <v>915</v>
      </c>
      <c r="U78" s="2"/>
      <c r="V78" s="6">
        <f t="shared" si="49"/>
        <v>9.4242455453702738E-4</v>
      </c>
      <c r="W78" s="2"/>
      <c r="X78" s="7">
        <f t="shared" si="50"/>
        <v>65.57000000000005</v>
      </c>
      <c r="Y78" s="2"/>
      <c r="Z78" s="6">
        <f t="shared" si="51"/>
        <v>7.1661202185792403E-2</v>
      </c>
    </row>
    <row r="79" spans="1:26" s="24" customFormat="1" hidden="1" outlineLevel="2" x14ac:dyDescent="0.25">
      <c r="A79" s="25"/>
      <c r="B79" s="11" t="str">
        <f>CONCATENATE("          ", "6243", " - ", "PAPER SUPPLIES")</f>
        <v xml:space="preserve">          6243 - PAPER SUPPLIES</v>
      </c>
      <c r="C79" s="11"/>
      <c r="D79" s="7">
        <v>2442.2600000000002</v>
      </c>
      <c r="E79" s="2"/>
      <c r="F79" s="6">
        <f t="shared" si="44"/>
        <v>4.5147049841621351E-3</v>
      </c>
      <c r="G79" s="2"/>
      <c r="H79" s="7">
        <v>3200</v>
      </c>
      <c r="I79" s="2"/>
      <c r="J79" s="6">
        <f t="shared" si="45"/>
        <v>5.5722626694969116E-3</v>
      </c>
      <c r="K79" s="2"/>
      <c r="L79" s="7">
        <f t="shared" si="46"/>
        <v>-757.73999999999978</v>
      </c>
      <c r="M79" s="2"/>
      <c r="N79" s="6">
        <f t="shared" si="47"/>
        <v>-0.23679374999999994</v>
      </c>
      <c r="O79" s="11"/>
      <c r="P79" s="7">
        <v>6398.37</v>
      </c>
      <c r="Q79" s="2"/>
      <c r="R79" s="6">
        <f t="shared" si="48"/>
        <v>6.7889885069537959E-3</v>
      </c>
      <c r="S79" s="2"/>
      <c r="T79" s="7">
        <v>9600</v>
      </c>
      <c r="U79" s="2"/>
      <c r="V79" s="6">
        <f t="shared" si="49"/>
        <v>9.8877330312081568E-3</v>
      </c>
      <c r="W79" s="2"/>
      <c r="X79" s="7">
        <f t="shared" si="50"/>
        <v>-3201.63</v>
      </c>
      <c r="Y79" s="2"/>
      <c r="Z79" s="6">
        <f t="shared" si="51"/>
        <v>-0.33350312500000001</v>
      </c>
    </row>
    <row r="80" spans="1:26" s="24" customFormat="1" hidden="1" outlineLevel="2" x14ac:dyDescent="0.25">
      <c r="A80" s="25"/>
      <c r="B80" s="11" t="str">
        <f>CONCATENATE("          ", "6245", " - ", "PRINTING")</f>
        <v xml:space="preserve">          6245 - PRINTING</v>
      </c>
      <c r="C80" s="11"/>
      <c r="D80" s="7"/>
      <c r="E80" s="2"/>
      <c r="F80" s="6">
        <f t="shared" si="44"/>
        <v>0</v>
      </c>
      <c r="G80" s="2"/>
      <c r="H80" s="7"/>
      <c r="I80" s="2"/>
      <c r="J80" s="6">
        <f t="shared" si="45"/>
        <v>0</v>
      </c>
      <c r="K80" s="2"/>
      <c r="L80" s="7">
        <f t="shared" si="46"/>
        <v>0</v>
      </c>
      <c r="M80" s="2"/>
      <c r="N80" s="6">
        <f t="shared" si="47"/>
        <v>0</v>
      </c>
      <c r="O80" s="11"/>
      <c r="P80" s="7">
        <v>441</v>
      </c>
      <c r="Q80" s="2"/>
      <c r="R80" s="6">
        <f t="shared" si="48"/>
        <v>4.6792291342429774E-4</v>
      </c>
      <c r="S80" s="2"/>
      <c r="T80" s="7"/>
      <c r="U80" s="2"/>
      <c r="V80" s="6">
        <f t="shared" si="49"/>
        <v>0</v>
      </c>
      <c r="W80" s="2"/>
      <c r="X80" s="7">
        <f t="shared" si="50"/>
        <v>441</v>
      </c>
      <c r="Y80" s="2"/>
      <c r="Z80" s="6">
        <f t="shared" si="51"/>
        <v>0</v>
      </c>
    </row>
    <row r="81" spans="1:26" s="24" customFormat="1" hidden="1" outlineLevel="2" x14ac:dyDescent="0.25">
      <c r="A81" s="25"/>
      <c r="B81" s="11" t="str">
        <f>CONCATENATE("          ", "6247", " - ", "STORE SUPPLIES")</f>
        <v xml:space="preserve">          6247 - STORE SUPPLIES</v>
      </c>
      <c r="C81" s="11"/>
      <c r="D81" s="7"/>
      <c r="E81" s="2"/>
      <c r="F81" s="6">
        <f t="shared" si="44"/>
        <v>0</v>
      </c>
      <c r="G81" s="2"/>
      <c r="H81" s="7"/>
      <c r="I81" s="2"/>
      <c r="J81" s="6">
        <f t="shared" si="45"/>
        <v>0</v>
      </c>
      <c r="K81" s="2"/>
      <c r="L81" s="7">
        <f t="shared" si="46"/>
        <v>0</v>
      </c>
      <c r="M81" s="2"/>
      <c r="N81" s="6">
        <f t="shared" si="47"/>
        <v>0</v>
      </c>
      <c r="O81" s="11"/>
      <c r="P81" s="7">
        <v>153.87</v>
      </c>
      <c r="Q81" s="2"/>
      <c r="R81" s="6">
        <f t="shared" si="48"/>
        <v>1.6326371584715802E-4</v>
      </c>
      <c r="S81" s="2"/>
      <c r="T81" s="7"/>
      <c r="U81" s="2"/>
      <c r="V81" s="6">
        <f t="shared" si="49"/>
        <v>0</v>
      </c>
      <c r="W81" s="2"/>
      <c r="X81" s="7">
        <f t="shared" si="50"/>
        <v>153.87</v>
      </c>
      <c r="Y81" s="2"/>
      <c r="Z81" s="6">
        <f t="shared" si="51"/>
        <v>0</v>
      </c>
    </row>
    <row r="82" spans="1:26" s="24" customFormat="1" hidden="1" outlineLevel="2" x14ac:dyDescent="0.25">
      <c r="A82" s="25"/>
      <c r="B82" s="11" t="str">
        <f>CONCATENATE("          ", "6248", " - ", "UNIFORMS")</f>
        <v xml:space="preserve">          6248 - UNIFORMS</v>
      </c>
      <c r="C82" s="11"/>
      <c r="D82" s="7"/>
      <c r="E82" s="2"/>
      <c r="F82" s="6">
        <f t="shared" si="44"/>
        <v>0</v>
      </c>
      <c r="G82" s="2"/>
      <c r="H82" s="7">
        <v>375</v>
      </c>
      <c r="I82" s="2"/>
      <c r="J82" s="6">
        <f t="shared" si="45"/>
        <v>6.5299953158166934E-4</v>
      </c>
      <c r="K82" s="2"/>
      <c r="L82" s="7">
        <f t="shared" si="46"/>
        <v>-375</v>
      </c>
      <c r="M82" s="2"/>
      <c r="N82" s="6">
        <f t="shared" si="47"/>
        <v>-1</v>
      </c>
      <c r="O82" s="11"/>
      <c r="P82" s="7">
        <v>1267.8499999999999</v>
      </c>
      <c r="Q82" s="2"/>
      <c r="R82" s="6">
        <f t="shared" si="48"/>
        <v>1.3452518498525982E-3</v>
      </c>
      <c r="S82" s="2"/>
      <c r="T82" s="7">
        <v>1125</v>
      </c>
      <c r="U82" s="2"/>
      <c r="V82" s="6">
        <f t="shared" si="49"/>
        <v>1.1587187145947059E-3</v>
      </c>
      <c r="W82" s="2"/>
      <c r="X82" s="7">
        <f t="shared" si="50"/>
        <v>142.84999999999991</v>
      </c>
      <c r="Y82" s="2"/>
      <c r="Z82" s="6">
        <f t="shared" si="51"/>
        <v>0.12697777777777769</v>
      </c>
    </row>
    <row r="83" spans="1:26" s="26" customFormat="1" outlineLevel="1" collapsed="1" x14ac:dyDescent="0.25">
      <c r="A83" s="27"/>
      <c r="B83" s="13" t="str">
        <f>CONCATENATE("     ","Telephone/Data Lines                              ")</f>
        <v xml:space="preserve">     Telephone/Data Lines                              </v>
      </c>
      <c r="C83" s="13"/>
      <c r="D83" s="1">
        <f>SUM(OSRRefD22_14x_0)</f>
        <v>425</v>
      </c>
      <c r="E83" s="1"/>
      <c r="F83" s="5">
        <f t="shared" ref="F83:F88" si="52">IF(D$12=0,0,D83/D$12)</f>
        <v>7.8564510669171467E-4</v>
      </c>
      <c r="G83" s="1"/>
      <c r="H83" s="1">
        <f>SUM(OSRRefH22_14x_0)</f>
        <v>275</v>
      </c>
      <c r="I83" s="1"/>
      <c r="J83" s="5">
        <f t="shared" ref="J83:J88" si="53">IF(H$12=0,0,H83/H$12)</f>
        <v>4.7886632315989087E-4</v>
      </c>
      <c r="K83" s="1"/>
      <c r="L83" s="1">
        <f t="shared" ref="L83:L88" si="54">+D83-H83</f>
        <v>150</v>
      </c>
      <c r="M83" s="1"/>
      <c r="N83" s="5">
        <f t="shared" ref="N83:N88" si="55">IF(H83=0,0,L83/H83)</f>
        <v>0.54545454545454541</v>
      </c>
      <c r="O83" s="13"/>
      <c r="P83" s="1">
        <f>SUM(OSRRefP22_14x_0)</f>
        <v>1030.45</v>
      </c>
      <c r="Q83" s="1"/>
      <c r="R83" s="5">
        <f t="shared" ref="R83:R88" si="56">IF(P$12=0,0,P83/P$12)</f>
        <v>1.093358653374303E-3</v>
      </c>
      <c r="S83" s="1"/>
      <c r="T83" s="1">
        <f>SUM(OSRRefT22_14x_0)</f>
        <v>825</v>
      </c>
      <c r="U83" s="1"/>
      <c r="V83" s="5">
        <f t="shared" ref="V83:V88" si="57">IF(T$12=0,0,T83/T$12)</f>
        <v>8.4972705736945087E-4</v>
      </c>
      <c r="W83" s="1"/>
      <c r="X83" s="1">
        <f t="shared" ref="X83:X88" si="58">+P83-T83</f>
        <v>205.45000000000005</v>
      </c>
      <c r="Y83" s="1"/>
      <c r="Z83" s="5">
        <f t="shared" ref="Z83:Z88" si="59">IF(T83=0,0,X83/T83)</f>
        <v>0.24903030303030307</v>
      </c>
    </row>
    <row r="84" spans="1:26" s="24" customFormat="1" hidden="1" outlineLevel="2" x14ac:dyDescent="0.25">
      <c r="A84" s="25"/>
      <c r="B84" s="11" t="str">
        <f>CONCATENATE("          ", "6309", " - ", "TELEPHONE")</f>
        <v xml:space="preserve">          6309 - TELEPHONE</v>
      </c>
      <c r="C84" s="11"/>
      <c r="D84" s="7">
        <v>425</v>
      </c>
      <c r="E84" s="2"/>
      <c r="F84" s="6">
        <f t="shared" si="52"/>
        <v>7.8564510669171467E-4</v>
      </c>
      <c r="G84" s="2"/>
      <c r="H84" s="7">
        <v>275</v>
      </c>
      <c r="I84" s="2"/>
      <c r="J84" s="6">
        <f t="shared" si="53"/>
        <v>4.7886632315989087E-4</v>
      </c>
      <c r="K84" s="2"/>
      <c r="L84" s="7">
        <f t="shared" si="54"/>
        <v>150</v>
      </c>
      <c r="M84" s="2"/>
      <c r="N84" s="6">
        <f t="shared" si="55"/>
        <v>0.54545454545454541</v>
      </c>
      <c r="O84" s="11"/>
      <c r="P84" s="7">
        <v>1030.45</v>
      </c>
      <c r="Q84" s="2"/>
      <c r="R84" s="6">
        <f t="shared" si="56"/>
        <v>1.093358653374303E-3</v>
      </c>
      <c r="S84" s="2"/>
      <c r="T84" s="7">
        <v>825</v>
      </c>
      <c r="U84" s="2"/>
      <c r="V84" s="6">
        <f t="shared" si="57"/>
        <v>8.4972705736945087E-4</v>
      </c>
      <c r="W84" s="2"/>
      <c r="X84" s="7">
        <f t="shared" si="58"/>
        <v>205.45000000000005</v>
      </c>
      <c r="Y84" s="2"/>
      <c r="Z84" s="6">
        <f t="shared" si="59"/>
        <v>0.24903030303030307</v>
      </c>
    </row>
    <row r="85" spans="1:26" s="26" customFormat="1" outlineLevel="1" collapsed="1" x14ac:dyDescent="0.25">
      <c r="A85" s="27"/>
      <c r="B85" s="13" t="str">
        <f>CONCATENATE("     ","Training                                          ")</f>
        <v xml:space="preserve">     Training                                          </v>
      </c>
      <c r="C85" s="13"/>
      <c r="D85" s="1">
        <f>SUM(OSRRefD22_15x_0)</f>
        <v>96</v>
      </c>
      <c r="E85" s="1"/>
      <c r="F85" s="5">
        <f t="shared" si="52"/>
        <v>1.7746336527624614E-4</v>
      </c>
      <c r="G85" s="1"/>
      <c r="H85" s="1">
        <f>SUM(OSRRefH22_15x_0)</f>
        <v>700</v>
      </c>
      <c r="I85" s="1"/>
      <c r="J85" s="5">
        <f t="shared" si="53"/>
        <v>1.2189324589524494E-3</v>
      </c>
      <c r="K85" s="1"/>
      <c r="L85" s="1">
        <f t="shared" si="54"/>
        <v>-604</v>
      </c>
      <c r="M85" s="1"/>
      <c r="N85" s="5">
        <f t="shared" si="55"/>
        <v>-0.86285714285714288</v>
      </c>
      <c r="O85" s="13"/>
      <c r="P85" s="1">
        <f>SUM(OSRRefP22_15x_0)</f>
        <v>590</v>
      </c>
      <c r="Q85" s="1"/>
      <c r="R85" s="5">
        <f t="shared" si="56"/>
        <v>6.2601931727967271E-4</v>
      </c>
      <c r="S85" s="1"/>
      <c r="T85" s="1">
        <f>SUM(OSRRefT22_15x_0)</f>
        <v>2100</v>
      </c>
      <c r="U85" s="1"/>
      <c r="V85" s="5">
        <f t="shared" si="57"/>
        <v>2.1629416005767843E-3</v>
      </c>
      <c r="W85" s="1"/>
      <c r="X85" s="1">
        <f t="shared" si="58"/>
        <v>-1510</v>
      </c>
      <c r="Y85" s="1"/>
      <c r="Z85" s="5">
        <f t="shared" si="59"/>
        <v>-0.71904761904761905</v>
      </c>
    </row>
    <row r="86" spans="1:26" s="24" customFormat="1" hidden="1" outlineLevel="2" x14ac:dyDescent="0.25">
      <c r="A86" s="25"/>
      <c r="B86" s="11" t="str">
        <f>CONCATENATE("          ", "6376", " - ", "TRAINING")</f>
        <v xml:space="preserve">          6376 - TRAINING</v>
      </c>
      <c r="C86" s="11"/>
      <c r="D86" s="7">
        <v>96</v>
      </c>
      <c r="E86" s="2"/>
      <c r="F86" s="6">
        <f t="shared" si="52"/>
        <v>1.7746336527624614E-4</v>
      </c>
      <c r="G86" s="2"/>
      <c r="H86" s="7">
        <v>700</v>
      </c>
      <c r="I86" s="2"/>
      <c r="J86" s="6">
        <f t="shared" si="53"/>
        <v>1.2189324589524494E-3</v>
      </c>
      <c r="K86" s="2"/>
      <c r="L86" s="7">
        <f t="shared" si="54"/>
        <v>-604</v>
      </c>
      <c r="M86" s="2"/>
      <c r="N86" s="6">
        <f t="shared" si="55"/>
        <v>-0.86285714285714288</v>
      </c>
      <c r="O86" s="11"/>
      <c r="P86" s="7">
        <v>590</v>
      </c>
      <c r="Q86" s="2"/>
      <c r="R86" s="6">
        <f t="shared" si="56"/>
        <v>6.2601931727967271E-4</v>
      </c>
      <c r="S86" s="2"/>
      <c r="T86" s="7">
        <v>2100</v>
      </c>
      <c r="U86" s="2"/>
      <c r="V86" s="6">
        <f t="shared" si="57"/>
        <v>2.1629416005767843E-3</v>
      </c>
      <c r="W86" s="2"/>
      <c r="X86" s="7">
        <f t="shared" si="58"/>
        <v>-1510</v>
      </c>
      <c r="Y86" s="2"/>
      <c r="Z86" s="6">
        <f t="shared" si="59"/>
        <v>-0.71904761904761905</v>
      </c>
    </row>
    <row r="87" spans="1:26" s="26" customFormat="1" outlineLevel="1" collapsed="1" x14ac:dyDescent="0.25">
      <c r="A87" s="27"/>
      <c r="B87" s="13" t="str">
        <f>CONCATENATE("     ","Travel                                            ")</f>
        <v xml:space="preserve">     Travel                                            </v>
      </c>
      <c r="C87" s="13"/>
      <c r="D87" s="1">
        <f>SUM(OSRRefD22_16x_0)</f>
        <v>0</v>
      </c>
      <c r="E87" s="1"/>
      <c r="F87" s="5">
        <f t="shared" si="52"/>
        <v>0</v>
      </c>
      <c r="G87" s="1"/>
      <c r="H87" s="1">
        <f>SUM(OSRRefH22_16x_0)</f>
        <v>0</v>
      </c>
      <c r="I87" s="1"/>
      <c r="J87" s="5">
        <f t="shared" si="53"/>
        <v>0</v>
      </c>
      <c r="K87" s="1"/>
      <c r="L87" s="1">
        <f t="shared" si="54"/>
        <v>0</v>
      </c>
      <c r="M87" s="1"/>
      <c r="N87" s="5">
        <f t="shared" si="55"/>
        <v>0</v>
      </c>
      <c r="O87" s="13"/>
      <c r="P87" s="1">
        <f>SUM(OSRRefP22_16x_0)</f>
        <v>59.14</v>
      </c>
      <c r="Q87" s="1"/>
      <c r="R87" s="5">
        <f t="shared" si="56"/>
        <v>6.2750478684609902E-5</v>
      </c>
      <c r="S87" s="1"/>
      <c r="T87" s="1">
        <f>SUM(OSRRefT22_16x_0)</f>
        <v>0</v>
      </c>
      <c r="U87" s="1"/>
      <c r="V87" s="5">
        <f t="shared" si="57"/>
        <v>0</v>
      </c>
      <c r="W87" s="1"/>
      <c r="X87" s="1">
        <f t="shared" si="58"/>
        <v>59.14</v>
      </c>
      <c r="Y87" s="1"/>
      <c r="Z87" s="5">
        <f t="shared" si="59"/>
        <v>0</v>
      </c>
    </row>
    <row r="88" spans="1:26" s="24" customFormat="1" hidden="1" outlineLevel="2" x14ac:dyDescent="0.25">
      <c r="A88" s="25"/>
      <c r="B88" s="11" t="str">
        <f>CONCATENATE("          ", "6292", " - ", "TRAVEL/CONFERENCE")</f>
        <v xml:space="preserve">          6292 - TRAVEL/CONFERENCE</v>
      </c>
      <c r="C88" s="11"/>
      <c r="D88" s="7"/>
      <c r="E88" s="2"/>
      <c r="F88" s="6">
        <f t="shared" si="52"/>
        <v>0</v>
      </c>
      <c r="G88" s="2"/>
      <c r="H88" s="7"/>
      <c r="I88" s="2"/>
      <c r="J88" s="6">
        <f t="shared" si="53"/>
        <v>0</v>
      </c>
      <c r="K88" s="2"/>
      <c r="L88" s="7">
        <f t="shared" si="54"/>
        <v>0</v>
      </c>
      <c r="M88" s="2"/>
      <c r="N88" s="6">
        <f t="shared" si="55"/>
        <v>0</v>
      </c>
      <c r="O88" s="11"/>
      <c r="P88" s="7">
        <v>59.14</v>
      </c>
      <c r="Q88" s="2"/>
      <c r="R88" s="6">
        <f t="shared" si="56"/>
        <v>6.2750478684609902E-5</v>
      </c>
      <c r="S88" s="2"/>
      <c r="T88" s="7"/>
      <c r="U88" s="2"/>
      <c r="V88" s="6">
        <f t="shared" si="57"/>
        <v>0</v>
      </c>
      <c r="W88" s="2"/>
      <c r="X88" s="7">
        <f t="shared" si="58"/>
        <v>59.14</v>
      </c>
      <c r="Y88" s="2"/>
      <c r="Z88" s="6">
        <f t="shared" si="59"/>
        <v>0</v>
      </c>
    </row>
    <row r="89" spans="1:26" s="63" customFormat="1" x14ac:dyDescent="0.25">
      <c r="A89" s="36"/>
      <c r="B89" s="36"/>
      <c r="C89" s="36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6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3" customFormat="1" x14ac:dyDescent="0.25">
      <c r="A90" s="10"/>
      <c r="B90" s="28" t="s">
        <v>0</v>
      </c>
      <c r="C90" s="10"/>
      <c r="D90" s="4">
        <f>SUM(0)</f>
        <v>0</v>
      </c>
      <c r="E90" s="4"/>
      <c r="F90" s="12">
        <f>IF(D$12=0,0,D90/D$12)</f>
        <v>0</v>
      </c>
      <c r="G90" s="4"/>
      <c r="H90" s="4">
        <f>SUM(0)</f>
        <v>0</v>
      </c>
      <c r="I90" s="4"/>
      <c r="J90" s="12">
        <f>IF(H$12=0,0,H90/H$12)</f>
        <v>0</v>
      </c>
      <c r="K90" s="4"/>
      <c r="L90" s="4">
        <f>+D90-H90</f>
        <v>0</v>
      </c>
      <c r="M90" s="4"/>
      <c r="N90" s="12">
        <f>IF(H90=0,0,L90/H90)</f>
        <v>0</v>
      </c>
      <c r="O90" s="10"/>
      <c r="P90" s="4">
        <f>SUM(0)</f>
        <v>0</v>
      </c>
      <c r="Q90" s="4"/>
      <c r="R90" s="12">
        <f>IF(P$12=0,0,P90/P$12)</f>
        <v>0</v>
      </c>
      <c r="S90" s="4"/>
      <c r="T90" s="4">
        <f>SUM(0)</f>
        <v>0</v>
      </c>
      <c r="U90" s="4"/>
      <c r="V90" s="12">
        <f>IF(T$12=0,0,T90/T$12)</f>
        <v>0</v>
      </c>
      <c r="W90" s="4"/>
      <c r="X90" s="4">
        <f>+P90-T90</f>
        <v>0</v>
      </c>
      <c r="Y90" s="4"/>
      <c r="Z90" s="12">
        <f>IF(T90=0,0,X90/T90)</f>
        <v>0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10"/>
      <c r="B92" s="29" t="s">
        <v>3</v>
      </c>
      <c r="C92" s="29"/>
      <c r="D92" s="22">
        <f>+D23-D25+D90</f>
        <v>211526.30999999997</v>
      </c>
      <c r="E92" s="14"/>
      <c r="F92" s="20">
        <f>IF(D$12=0,0,D92/D$12)</f>
        <v>0.39102261267777572</v>
      </c>
      <c r="G92" s="14"/>
      <c r="H92" s="22">
        <f>+H23-H25+H90</f>
        <v>228984.57338881536</v>
      </c>
      <c r="I92" s="14"/>
      <c r="J92" s="20">
        <f>IF(H$12=0,0,H92/H$12)</f>
        <v>0.39873818443286618</v>
      </c>
      <c r="K92" s="15"/>
      <c r="L92" s="22">
        <f>+D92-H92</f>
        <v>-17458.263388815394</v>
      </c>
      <c r="M92" s="15"/>
      <c r="N92" s="20">
        <f>IF(H92=0,0,L92/H92)</f>
        <v>-7.6242094087147508E-2</v>
      </c>
      <c r="O92" s="28"/>
      <c r="P92" s="22">
        <f>+P23-P25+P90</f>
        <v>189630.94999999995</v>
      </c>
      <c r="Q92" s="14"/>
      <c r="R92" s="20">
        <f>IF(P$12=0,0,P92/P$12)</f>
        <v>0.20120786076965377</v>
      </c>
      <c r="S92" s="14"/>
      <c r="T92" s="22">
        <f>+T23-T25+T90</f>
        <v>151055.63559681014</v>
      </c>
      <c r="U92" s="14"/>
      <c r="V92" s="20">
        <f>IF(T$12=0,0,T92/T$12)</f>
        <v>0.15558310392090857</v>
      </c>
      <c r="W92" s="15"/>
      <c r="X92" s="22">
        <f>+P92-T92</f>
        <v>38575.314403189812</v>
      </c>
      <c r="Y92" s="15"/>
      <c r="Z92" s="20">
        <f>IF(T92=0,0,X92/T92)</f>
        <v>0.25537156724263527</v>
      </c>
    </row>
    <row r="93" spans="1:26" x14ac:dyDescent="0.25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52"/>
      <c r="B94" s="10" t="s">
        <v>14</v>
      </c>
      <c r="C94" s="10"/>
      <c r="D94" s="4">
        <v>51172.51</v>
      </c>
      <c r="E94" s="4"/>
      <c r="F94" s="12">
        <f>IF(D$12=0,0,D94/D$12)</f>
        <v>9.4596310773253742E-2</v>
      </c>
      <c r="G94" s="4"/>
      <c r="H94" s="4">
        <v>58391</v>
      </c>
      <c r="I94" s="4"/>
      <c r="J94" s="12">
        <f>IF(H$12=0,0,H94/H$12)</f>
        <v>0.10167812172956069</v>
      </c>
      <c r="K94" s="4"/>
      <c r="L94" s="4">
        <f>+D94-H94</f>
        <v>-7218.489999999998</v>
      </c>
      <c r="M94" s="4"/>
      <c r="N94" s="12">
        <f>IF(H94=0,0,L94/H94)</f>
        <v>-0.1236233323628641</v>
      </c>
      <c r="O94" s="10"/>
      <c r="P94" s="4">
        <v>101233.01000000001</v>
      </c>
      <c r="Q94" s="4"/>
      <c r="R94" s="12">
        <f>IF(P$12=0,0,P94/P$12)</f>
        <v>0.1074132539090954</v>
      </c>
      <c r="S94" s="4"/>
      <c r="T94" s="4">
        <v>122805</v>
      </c>
      <c r="U94" s="4"/>
      <c r="V94" s="12">
        <f>IF(T$12=0,0,T94/T$12)</f>
        <v>0.12648573488515807</v>
      </c>
      <c r="W94" s="4"/>
      <c r="X94" s="4">
        <f>+P94-T94</f>
        <v>-21571.989999999991</v>
      </c>
      <c r="Y94" s="4"/>
      <c r="Z94" s="12">
        <f>IF(T94=0,0,X94/T94)</f>
        <v>-0.17566051870852156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9" t="s">
        <v>4</v>
      </c>
      <c r="C96" s="29"/>
      <c r="D96" s="35">
        <f>+D92-D94</f>
        <v>160353.79999999996</v>
      </c>
      <c r="E96" s="14"/>
      <c r="F96" s="32">
        <f>IF(D$12=0,0,D96/D$12)</f>
        <v>0.29642630190452196</v>
      </c>
      <c r="G96" s="14"/>
      <c r="H96" s="35">
        <f>+H92-H94</f>
        <v>170593.57338881536</v>
      </c>
      <c r="I96" s="14"/>
      <c r="J96" s="32">
        <f>IF(H$12=0,0,H96/H$12)</f>
        <v>0.29706006270330548</v>
      </c>
      <c r="K96" s="15"/>
      <c r="L96" s="35">
        <f>D96-H96</f>
        <v>-10239.773388815403</v>
      </c>
      <c r="M96" s="15"/>
      <c r="N96" s="32">
        <f>IF(H96=0,0,L96/H96)</f>
        <v>-6.0024379496858314E-2</v>
      </c>
      <c r="O96" s="28"/>
      <c r="P96" s="35">
        <f>+P92-P94</f>
        <v>88397.939999999944</v>
      </c>
      <c r="Q96" s="14"/>
      <c r="R96" s="32">
        <f>IF(P$12=0,0,P96/P$12)</f>
        <v>9.3794606860558363E-2</v>
      </c>
      <c r="S96" s="14"/>
      <c r="T96" s="35">
        <f>+T92-T94</f>
        <v>28250.635596810142</v>
      </c>
      <c r="U96" s="14"/>
      <c r="V96" s="32">
        <f>IF(T$12=0,0,T96/T$12)</f>
        <v>2.9097369035750477E-2</v>
      </c>
      <c r="W96" s="15"/>
      <c r="X96" s="35">
        <f>P96-T96</f>
        <v>60147.304403189803</v>
      </c>
      <c r="Y96" s="15"/>
      <c r="Z96" s="32">
        <f>IF(T96=0,0,X96/T96)</f>
        <v>2.1290602187365018</v>
      </c>
    </row>
    <row r="97" spans="1:26" ht="15.75" thickTop="1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9" t="s">
        <v>5</v>
      </c>
      <c r="C99" s="29"/>
      <c r="D99" s="30">
        <f>SUM(D96:D98)</f>
        <v>160353.79999999996</v>
      </c>
      <c r="E99" s="14"/>
      <c r="F99" s="31">
        <f>IF(D$12=0,0,D99/D$12)</f>
        <v>0.29642630190452196</v>
      </c>
      <c r="G99" s="14"/>
      <c r="H99" s="30">
        <f>SUM(H96:H98)</f>
        <v>170593.57338881536</v>
      </c>
      <c r="I99" s="14"/>
      <c r="J99" s="31">
        <f>IF(H$12=0,0,H99/H$12)</f>
        <v>0.29706006270330548</v>
      </c>
      <c r="K99" s="15"/>
      <c r="L99" s="30">
        <f>+D99-H99</f>
        <v>-10239.773388815403</v>
      </c>
      <c r="M99" s="15"/>
      <c r="N99" s="31">
        <f>IF(H99=0,0,L99/H99)</f>
        <v>-6.0024379496858314E-2</v>
      </c>
      <c r="O99" s="28"/>
      <c r="P99" s="30">
        <f>SUM(P96:P98)</f>
        <v>88397.939999999944</v>
      </c>
      <c r="Q99" s="14"/>
      <c r="R99" s="31">
        <f>IF(P$12=0,0,P99/P$12)</f>
        <v>9.3794606860558363E-2</v>
      </c>
      <c r="S99" s="14"/>
      <c r="T99" s="30">
        <f>SUM(T96:T98)</f>
        <v>28250.635596810142</v>
      </c>
      <c r="U99" s="14"/>
      <c r="V99" s="31">
        <f>IF(T$12=0,0,T99/T$12)</f>
        <v>2.9097369035750477E-2</v>
      </c>
      <c r="W99" s="15"/>
      <c r="X99" s="30">
        <f>+P99-T99</f>
        <v>60147.304403189803</v>
      </c>
      <c r="Y99" s="15"/>
      <c r="Z99" s="31">
        <f>IF(T99=0,0,X99/T99)</f>
        <v>2.1290602187365018</v>
      </c>
    </row>
    <row r="100" spans="1:26" ht="15.75" thickTop="1" x14ac:dyDescent="0.25">
      <c r="A100" s="9"/>
      <c r="C100" s="9"/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6" x14ac:dyDescent="0.25">
      <c r="A101" s="9"/>
      <c r="B101" s="53">
        <v>43756.452830324073</v>
      </c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  <row r="102" spans="1:26" x14ac:dyDescent="0.25">
      <c r="A102" s="9"/>
      <c r="B102" s="55" t="s">
        <v>314</v>
      </c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  <row r="103" spans="1:26" x14ac:dyDescent="0.25">
      <c r="A103" s="9"/>
      <c r="B103" s="56"/>
      <c r="D103" s="18"/>
      <c r="E103" s="18"/>
      <c r="G103" s="18"/>
      <c r="H103" s="18"/>
      <c r="I103" s="18"/>
      <c r="J103" s="43"/>
      <c r="K103" s="18"/>
      <c r="L103" s="18"/>
      <c r="M103" s="18"/>
      <c r="P103" s="18"/>
      <c r="Q103" s="18"/>
      <c r="R103" s="43"/>
      <c r="S103" s="18"/>
      <c r="T103" s="18"/>
      <c r="U103" s="18"/>
      <c r="V103" s="43"/>
      <c r="W103" s="18"/>
      <c r="X103" s="18"/>
    </row>
    <row r="104" spans="1:26" x14ac:dyDescent="0.25">
      <c r="D104" s="18"/>
      <c r="E104" s="18"/>
      <c r="G104" s="18"/>
      <c r="H104" s="18"/>
      <c r="I104" s="18"/>
      <c r="J104" s="43"/>
      <c r="K104" s="18"/>
      <c r="L104" s="18"/>
      <c r="M104" s="18"/>
      <c r="P104" s="18"/>
      <c r="Q104" s="18"/>
      <c r="R104" s="43"/>
      <c r="S104" s="18"/>
      <c r="T104" s="18"/>
      <c r="U104" s="18"/>
      <c r="V104" s="43"/>
      <c r="W104" s="18"/>
      <c r="X104" s="18"/>
    </row>
  </sheetData>
  <pageMargins left="0.25" right="0.25" top="0.75" bottom="0.75" header="0.3" footer="0.3"/>
  <pageSetup scale="55" fitToWidth="2" orientation="landscape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str">
        <f>CONCATENATE("Period ",RIGHT(202003,2),", ",2020)</f>
        <v>Period 03, 2020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43736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tr">
        <f>CONCATENATE("Department ","445", " - ", "Central Park Coffee House")</f>
        <v>Department 445 - Central Park Coffee House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SUM(0)</f>
        <v>0</v>
      </c>
      <c r="E18" s="21"/>
      <c r="F18" s="33">
        <f>IF(D$12=0,0,D18/D$12)</f>
        <v>0</v>
      </c>
      <c r="G18" s="21"/>
      <c r="H18" s="21">
        <f>SUM(0)</f>
        <v>0</v>
      </c>
      <c r="I18" s="21"/>
      <c r="J18" s="33">
        <f>IF(H$12=0,0,H18/H$12)</f>
        <v>0</v>
      </c>
      <c r="K18" s="4"/>
      <c r="L18" s="21">
        <f>+D18-H18</f>
        <v>0</v>
      </c>
      <c r="M18" s="4"/>
      <c r="N18" s="33">
        <f>IF(H18=0,0,L18/H18)</f>
        <v>0</v>
      </c>
      <c r="O18" s="10"/>
      <c r="P18" s="21">
        <f>SUM(0)</f>
        <v>0</v>
      </c>
      <c r="Q18" s="21"/>
      <c r="R18" s="33">
        <f>IF(P$12=0,0,P18/P$12)</f>
        <v>0</v>
      </c>
      <c r="S18" s="21"/>
      <c r="T18" s="21">
        <f>SUM(0)</f>
        <v>0</v>
      </c>
      <c r="U18" s="21"/>
      <c r="V18" s="33">
        <f>IF(T$12=0,0,T18/T$12)</f>
        <v>0</v>
      </c>
      <c r="W18" s="4"/>
      <c r="X18" s="21">
        <f>+P18-T18</f>
        <v>0</v>
      </c>
      <c r="Y18" s="4"/>
      <c r="Z18" s="33">
        <f>IF(T18=0,0,X18/T18)</f>
        <v>0</v>
      </c>
    </row>
    <row r="19" spans="1:26" s="63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3</v>
      </c>
      <c r="C22" s="29"/>
      <c r="D22" s="22">
        <f>+D16-D18+D20</f>
        <v>0</v>
      </c>
      <c r="E22" s="14"/>
      <c r="F22" s="20">
        <f>IF(D$12=0,0,D22/D$12)</f>
        <v>0</v>
      </c>
      <c r="G22" s="14"/>
      <c r="H22" s="22">
        <f>+H16-H18+H20</f>
        <v>0</v>
      </c>
      <c r="I22" s="14"/>
      <c r="J22" s="20">
        <f>IF(H$12=0,0,H22/H$12)</f>
        <v>0</v>
      </c>
      <c r="K22" s="15"/>
      <c r="L22" s="22">
        <f>+D22-H22</f>
        <v>0</v>
      </c>
      <c r="M22" s="15"/>
      <c r="N22" s="20">
        <f>IF(H22=0,0,L22/H22)</f>
        <v>0</v>
      </c>
      <c r="O22" s="28"/>
      <c r="P22" s="22">
        <f>+P16-P18+P20</f>
        <v>0</v>
      </c>
      <c r="Q22" s="14"/>
      <c r="R22" s="20">
        <f>IF(P$12=0,0,P22/P$12)</f>
        <v>0</v>
      </c>
      <c r="S22" s="14"/>
      <c r="T22" s="22">
        <f>+T16-T18+T20</f>
        <v>0</v>
      </c>
      <c r="U22" s="14"/>
      <c r="V22" s="20">
        <f>IF(T$12=0,0,T22/T$12)</f>
        <v>0</v>
      </c>
      <c r="W22" s="15"/>
      <c r="X22" s="22">
        <f>+P22-T22</f>
        <v>0</v>
      </c>
      <c r="Y22" s="15"/>
      <c r="Z22" s="20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14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9" t="s">
        <v>4</v>
      </c>
      <c r="C26" s="29"/>
      <c r="D26" s="35">
        <f>+D22-D24</f>
        <v>0</v>
      </c>
      <c r="E26" s="14"/>
      <c r="F26" s="32">
        <f>IF(D$12=0,0,D26/D$12)</f>
        <v>0</v>
      </c>
      <c r="G26" s="14"/>
      <c r="H26" s="35">
        <f>+H22-H24</f>
        <v>0</v>
      </c>
      <c r="I26" s="14"/>
      <c r="J26" s="32">
        <f>IF(H$12=0,0,H26/H$12)</f>
        <v>0</v>
      </c>
      <c r="K26" s="15"/>
      <c r="L26" s="35">
        <f>D26-H26</f>
        <v>0</v>
      </c>
      <c r="M26" s="15"/>
      <c r="N26" s="32">
        <f>IF(H26=0,0,L26/H26)</f>
        <v>0</v>
      </c>
      <c r="O26" s="28"/>
      <c r="P26" s="35">
        <f>+P22-P24</f>
        <v>0</v>
      </c>
      <c r="Q26" s="14"/>
      <c r="R26" s="32">
        <f>IF(P$12=0,0,P26/P$12)</f>
        <v>0</v>
      </c>
      <c r="S26" s="14"/>
      <c r="T26" s="35">
        <f>+T22-T24</f>
        <v>0</v>
      </c>
      <c r="U26" s="14"/>
      <c r="V26" s="32">
        <f>IF(T$12=0,0,T26/T$12)</f>
        <v>0</v>
      </c>
      <c r="W26" s="15"/>
      <c r="X26" s="35">
        <f>P26-T26</f>
        <v>0</v>
      </c>
      <c r="Y26" s="15"/>
      <c r="Z26" s="32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x14ac:dyDescent="0.25">
      <c r="A28" s="9"/>
      <c r="B28" s="9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ht="15.75" thickBot="1" x14ac:dyDescent="0.3">
      <c r="A29" s="10"/>
      <c r="B29" s="29" t="s">
        <v>5</v>
      </c>
      <c r="C29" s="29"/>
      <c r="D29" s="30">
        <f>SUM(D26:D28)</f>
        <v>0</v>
      </c>
      <c r="E29" s="14"/>
      <c r="F29" s="31">
        <f>IF(D$12=0,0,D29/D$12)</f>
        <v>0</v>
      </c>
      <c r="G29" s="14"/>
      <c r="H29" s="30">
        <f>SUM(H26:H28)</f>
        <v>0</v>
      </c>
      <c r="I29" s="14"/>
      <c r="J29" s="31">
        <f>IF(H$12=0,0,H29/H$12)</f>
        <v>0</v>
      </c>
      <c r="K29" s="15"/>
      <c r="L29" s="30">
        <f>+D29-H29</f>
        <v>0</v>
      </c>
      <c r="M29" s="15"/>
      <c r="N29" s="31">
        <f>IF(H29=0,0,L29/H29)</f>
        <v>0</v>
      </c>
      <c r="O29" s="28"/>
      <c r="P29" s="30">
        <f>SUM(P26:P28)</f>
        <v>0</v>
      </c>
      <c r="Q29" s="14"/>
      <c r="R29" s="31">
        <f>IF(P$12=0,0,P29/P$12)</f>
        <v>0</v>
      </c>
      <c r="S29" s="14"/>
      <c r="T29" s="30">
        <f>SUM(T26:T28)</f>
        <v>0</v>
      </c>
      <c r="U29" s="14"/>
      <c r="V29" s="31">
        <f>IF(T$12=0,0,T29/T$12)</f>
        <v>0</v>
      </c>
      <c r="W29" s="15"/>
      <c r="X29" s="30">
        <f>+P29-T29</f>
        <v>0</v>
      </c>
      <c r="Y29" s="15"/>
      <c r="Z29" s="31">
        <f>IF(T29=0,0,X29/T29)</f>
        <v>0</v>
      </c>
    </row>
    <row r="30" spans="1:26" ht="15.75" thickTop="1" x14ac:dyDescent="0.25">
      <c r="A30" s="9"/>
      <c r="C30" s="9"/>
      <c r="D30" s="18"/>
      <c r="E30" s="18"/>
      <c r="G30" s="18"/>
      <c r="H30" s="18"/>
      <c r="I30" s="18"/>
      <c r="J30" s="43"/>
      <c r="K30" s="18"/>
      <c r="L30" s="18"/>
      <c r="M30" s="18"/>
      <c r="P30" s="18"/>
      <c r="Q30" s="18"/>
      <c r="R30" s="43"/>
      <c r="S30" s="18"/>
      <c r="T30" s="18"/>
      <c r="U30" s="18"/>
      <c r="V30" s="43"/>
      <c r="W30" s="18"/>
      <c r="X30" s="18"/>
    </row>
    <row r="31" spans="1:26" x14ac:dyDescent="0.25">
      <c r="A31" s="9"/>
      <c r="B31" s="53">
        <v>43756.45284510417</v>
      </c>
      <c r="D31" s="18"/>
      <c r="E31" s="18"/>
      <c r="G31" s="18"/>
      <c r="H31" s="18"/>
      <c r="I31" s="18"/>
      <c r="J31" s="43"/>
      <c r="K31" s="18"/>
      <c r="L31" s="18"/>
      <c r="M31" s="18"/>
      <c r="P31" s="18"/>
      <c r="Q31" s="18"/>
      <c r="R31" s="43"/>
      <c r="S31" s="18"/>
      <c r="T31" s="18"/>
      <c r="U31" s="18"/>
      <c r="V31" s="43"/>
      <c r="W31" s="18"/>
      <c r="X31" s="18"/>
    </row>
    <row r="32" spans="1:26" x14ac:dyDescent="0.25">
      <c r="A32" s="9"/>
      <c r="B32" s="55" t="s">
        <v>314</v>
      </c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25">
      <c r="A33" s="9"/>
      <c r="B33" s="56"/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25"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</sheetData>
  <pageMargins left="0.25" right="0.25" top="0.75" bottom="0.75" header="0.3" footer="0.3"/>
  <pageSetup scale="55" fitToWidth="2" orientation="landscape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str">
        <f>CONCATENATE("Period ",RIGHT(202003,2),", ",2020)</f>
        <v>Period 03, 2020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43736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tr">
        <f>CONCATENATE("Department ","450", " - ", "Beachside Dining Hall")</f>
        <v>Department 450 - Beachside Dining Hall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340366.69</v>
      </c>
      <c r="E12" s="4"/>
      <c r="F12" s="12"/>
      <c r="G12" s="4"/>
      <c r="H12" s="4">
        <f>SUM(OSRRefH13x_0)</f>
        <v>314468</v>
      </c>
      <c r="I12" s="4"/>
      <c r="J12" s="12"/>
      <c r="K12" s="4"/>
      <c r="L12" s="4">
        <f t="shared" ref="L12:L16" si="0">+D12-H12</f>
        <v>25898.690000000002</v>
      </c>
      <c r="M12" s="4"/>
      <c r="N12" s="12">
        <f t="shared" ref="N12:N16" si="1">IF(H12=0,0,L12/H12)</f>
        <v>8.2357155577038058E-2</v>
      </c>
      <c r="O12" s="10"/>
      <c r="P12" s="4">
        <f>SUM(OSRRefP13x_0)</f>
        <v>466093.84</v>
      </c>
      <c r="Q12" s="4"/>
      <c r="R12" s="12"/>
      <c r="S12" s="4"/>
      <c r="T12" s="4">
        <f>SUM(OSRRefT13x_0)</f>
        <v>393085</v>
      </c>
      <c r="U12" s="4"/>
      <c r="V12" s="12"/>
      <c r="W12" s="4"/>
      <c r="X12" s="4">
        <f t="shared" ref="X12:X16" si="2">+P12-T12</f>
        <v>73008.840000000026</v>
      </c>
      <c r="Y12" s="4"/>
      <c r="Z12" s="12">
        <f t="shared" ref="Z12:Z16" si="3">IF(T12=0,0,X12/T12)</f>
        <v>0.18573295852042185</v>
      </c>
    </row>
    <row r="13" spans="1:26" s="24" customFormat="1" hidden="1" outlineLevel="1" x14ac:dyDescent="0.25">
      <c r="A13" s="46"/>
      <c r="B13" s="11" t="str">
        <f>CONCATENATE("          ", "4053", " - ", "TAXABLE SALES-FOOD")</f>
        <v xml:space="preserve">          4053 - TAXABLE SALES-FOOD</v>
      </c>
      <c r="C13" s="11"/>
      <c r="D13" s="2">
        <f>--68.89</f>
        <v>68.89</v>
      </c>
      <c r="E13" s="2"/>
      <c r="F13" s="19"/>
      <c r="G13" s="2"/>
      <c r="H13" s="2"/>
      <c r="I13" s="2"/>
      <c r="J13" s="19"/>
      <c r="K13" s="2"/>
      <c r="L13" s="2">
        <f t="shared" si="0"/>
        <v>68.89</v>
      </c>
      <c r="M13" s="2"/>
      <c r="N13" s="19">
        <f t="shared" si="1"/>
        <v>0</v>
      </c>
      <c r="O13" s="11"/>
      <c r="P13" s="2">
        <f>--68.89</f>
        <v>68.89</v>
      </c>
      <c r="Q13" s="2"/>
      <c r="R13" s="19"/>
      <c r="S13" s="2"/>
      <c r="T13" s="2"/>
      <c r="U13" s="2"/>
      <c r="V13" s="19"/>
      <c r="W13" s="2"/>
      <c r="X13" s="2">
        <f t="shared" si="2"/>
        <v>68.89</v>
      </c>
      <c r="Y13" s="2"/>
      <c r="Z13" s="19">
        <f t="shared" si="3"/>
        <v>0</v>
      </c>
    </row>
    <row r="14" spans="1:26" s="24" customFormat="1" hidden="1" outlineLevel="1" x14ac:dyDescent="0.25">
      <c r="A14" s="46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314468</v>
      </c>
      <c r="I14" s="2"/>
      <c r="J14" s="19"/>
      <c r="K14" s="2"/>
      <c r="L14" s="2">
        <f t="shared" si="0"/>
        <v>-314468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393085</v>
      </c>
      <c r="U14" s="2"/>
      <c r="V14" s="19"/>
      <c r="W14" s="2"/>
      <c r="X14" s="2">
        <f t="shared" si="2"/>
        <v>-393085</v>
      </c>
      <c r="Y14" s="2"/>
      <c r="Z14" s="19">
        <f t="shared" si="3"/>
        <v>-1</v>
      </c>
    </row>
    <row r="15" spans="1:26" s="24" customFormat="1" hidden="1" outlineLevel="1" x14ac:dyDescent="0.25">
      <c r="A15" s="46"/>
      <c r="B15" s="11" t="str">
        <f>CONCATENATE("          ", "4151", " - ", "NON-TAXABLE SALES-FOOD")</f>
        <v xml:space="preserve">          4151 - NON-TAXABLE SALES-FOOD</v>
      </c>
      <c r="C15" s="11"/>
      <c r="D15" s="2">
        <f>--338873.67</f>
        <v>338873.67</v>
      </c>
      <c r="E15" s="2"/>
      <c r="F15" s="19"/>
      <c r="G15" s="2"/>
      <c r="H15" s="2"/>
      <c r="I15" s="2"/>
      <c r="J15" s="19"/>
      <c r="K15" s="2"/>
      <c r="L15" s="2">
        <f t="shared" si="0"/>
        <v>338873.67</v>
      </c>
      <c r="M15" s="2"/>
      <c r="N15" s="19">
        <f t="shared" si="1"/>
        <v>0</v>
      </c>
      <c r="O15" s="11"/>
      <c r="P15" s="2">
        <f>--463940.08</f>
        <v>463940.08</v>
      </c>
      <c r="Q15" s="2"/>
      <c r="R15" s="19"/>
      <c r="S15" s="2"/>
      <c r="T15" s="2"/>
      <c r="U15" s="2"/>
      <c r="V15" s="19"/>
      <c r="W15" s="2"/>
      <c r="X15" s="2">
        <f t="shared" si="2"/>
        <v>463940.08</v>
      </c>
      <c r="Y15" s="2"/>
      <c r="Z15" s="19">
        <f t="shared" si="3"/>
        <v>0</v>
      </c>
    </row>
    <row r="16" spans="1:26" s="24" customFormat="1" hidden="1" outlineLevel="1" x14ac:dyDescent="0.25">
      <c r="A16" s="46"/>
      <c r="B16" s="11" t="str">
        <f>CONCATENATE("          ", "4153", " - ", "NON-TAXABLE SALES-FOOD")</f>
        <v xml:space="preserve">          4153 - NON-TAXABLE SALES-FOOD</v>
      </c>
      <c r="C16" s="11"/>
      <c r="D16" s="2">
        <f>--1424.13</f>
        <v>1424.13</v>
      </c>
      <c r="E16" s="2"/>
      <c r="F16" s="19"/>
      <c r="G16" s="2"/>
      <c r="H16" s="2"/>
      <c r="I16" s="2"/>
      <c r="J16" s="19"/>
      <c r="K16" s="2"/>
      <c r="L16" s="2">
        <f t="shared" si="0"/>
        <v>1424.13</v>
      </c>
      <c r="M16" s="2"/>
      <c r="N16" s="19">
        <f t="shared" si="1"/>
        <v>0</v>
      </c>
      <c r="O16" s="11"/>
      <c r="P16" s="2">
        <f>--2084.87</f>
        <v>2084.87</v>
      </c>
      <c r="Q16" s="2"/>
      <c r="R16" s="19"/>
      <c r="S16" s="2"/>
      <c r="T16" s="2"/>
      <c r="U16" s="2"/>
      <c r="V16" s="19"/>
      <c r="W16" s="2"/>
      <c r="X16" s="2">
        <f t="shared" si="2"/>
        <v>2084.87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66037.45</v>
      </c>
      <c r="E18" s="4"/>
      <c r="F18" s="12">
        <f t="shared" ref="F18:F21" si="4">IF(D$12=0,0,D18/D$12)</f>
        <v>0.19401854511673863</v>
      </c>
      <c r="G18" s="4"/>
      <c r="H18" s="4">
        <f>SUM(OSRRefH16x_0)</f>
        <v>70389</v>
      </c>
      <c r="I18" s="4"/>
      <c r="J18" s="12">
        <f t="shared" ref="J18:J21" si="5">IF(H$12=0,0,H18/H$12)</f>
        <v>0.22383517559815308</v>
      </c>
      <c r="K18" s="4"/>
      <c r="L18" s="4">
        <f t="shared" ref="L18:L21" si="6">+D18-H18</f>
        <v>-4351.5500000000029</v>
      </c>
      <c r="M18" s="4"/>
      <c r="N18" s="12">
        <f t="shared" ref="N18:N21" si="7">IF(H18=0,0,L18/H18)</f>
        <v>-6.1821449374192032E-2</v>
      </c>
      <c r="O18" s="10"/>
      <c r="P18" s="4">
        <f>SUM(OSRRefP16x_0)</f>
        <v>106663.46</v>
      </c>
      <c r="Q18" s="4"/>
      <c r="R18" s="12">
        <f t="shared" ref="R18:R21" si="8">IF(P$12=0,0,P18/P$12)</f>
        <v>0.22884546167784581</v>
      </c>
      <c r="S18" s="4"/>
      <c r="T18" s="4">
        <f>SUM(OSRRefT16x_0)</f>
        <v>104096</v>
      </c>
      <c r="U18" s="4"/>
      <c r="V18" s="12">
        <f t="shared" ref="V18:V21" si="9">IF(T$12=0,0,T18/T$12)</f>
        <v>0.26481804189933472</v>
      </c>
      <c r="W18" s="4"/>
      <c r="X18" s="4">
        <f t="shared" ref="X18:X21" si="10">+P18-T18</f>
        <v>2567.4600000000064</v>
      </c>
      <c r="Y18" s="4"/>
      <c r="Z18" s="12">
        <f t="shared" ref="Z18:Z21" si="11">IF(T18=0,0,X18/T18)</f>
        <v>2.4664348293882633E-2</v>
      </c>
    </row>
    <row r="19" spans="1:26" s="24" customFormat="1" hidden="1" outlineLevel="1" x14ac:dyDescent="0.25">
      <c r="A19" s="46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70389</v>
      </c>
      <c r="I19" s="2"/>
      <c r="J19" s="19">
        <f t="shared" si="5"/>
        <v>0.22383517559815308</v>
      </c>
      <c r="K19" s="2"/>
      <c r="L19" s="2">
        <f t="shared" si="6"/>
        <v>-70389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104096</v>
      </c>
      <c r="U19" s="2"/>
      <c r="V19" s="19">
        <f t="shared" si="9"/>
        <v>0.26481804189933472</v>
      </c>
      <c r="W19" s="2"/>
      <c r="X19" s="2">
        <f t="shared" si="10"/>
        <v>-104096</v>
      </c>
      <c r="Y19" s="2"/>
      <c r="Z19" s="19">
        <f t="shared" si="11"/>
        <v>-1</v>
      </c>
    </row>
    <row r="20" spans="1:26" s="24" customFormat="1" hidden="1" outlineLevel="1" x14ac:dyDescent="0.25">
      <c r="A20" s="46"/>
      <c r="B20" s="11" t="str">
        <f>CONCATENATE("          ", "5053", " - ", "PURCHASES @ COST-FOOD")</f>
        <v xml:space="preserve">          5053 - PURCHASES @ COST-FOOD</v>
      </c>
      <c r="C20" s="11"/>
      <c r="D20" s="2">
        <v>68697.45</v>
      </c>
      <c r="E20" s="2"/>
      <c r="F20" s="19">
        <f t="shared" si="4"/>
        <v>0.20183364594226302</v>
      </c>
      <c r="G20" s="2"/>
      <c r="H20" s="2"/>
      <c r="I20" s="2"/>
      <c r="J20" s="19">
        <f t="shared" si="5"/>
        <v>0</v>
      </c>
      <c r="K20" s="2"/>
      <c r="L20" s="2">
        <f t="shared" si="6"/>
        <v>68697.45</v>
      </c>
      <c r="M20" s="2"/>
      <c r="N20" s="19">
        <f t="shared" si="7"/>
        <v>0</v>
      </c>
      <c r="O20" s="11"/>
      <c r="P20" s="2">
        <v>110460.46</v>
      </c>
      <c r="Q20" s="2"/>
      <c r="R20" s="19">
        <f t="shared" si="8"/>
        <v>0.23699188987350703</v>
      </c>
      <c r="S20" s="2"/>
      <c r="T20" s="2"/>
      <c r="U20" s="2"/>
      <c r="V20" s="19">
        <f t="shared" si="9"/>
        <v>0</v>
      </c>
      <c r="W20" s="2"/>
      <c r="X20" s="2">
        <f t="shared" si="10"/>
        <v>110460.46</v>
      </c>
      <c r="Y20" s="2"/>
      <c r="Z20" s="19">
        <f t="shared" si="11"/>
        <v>0</v>
      </c>
    </row>
    <row r="21" spans="1:26" s="24" customFormat="1" hidden="1" outlineLevel="1" x14ac:dyDescent="0.25">
      <c r="A21" s="46"/>
      <c r="B21" s="11" t="str">
        <f>CONCATENATE("          ", "5059", " - ", "PURCHASES @ COST-FOOD")</f>
        <v xml:space="preserve">          5059 - PURCHASES @ COST-FOOD</v>
      </c>
      <c r="C21" s="11"/>
      <c r="D21" s="2">
        <v>-2660</v>
      </c>
      <c r="E21" s="2"/>
      <c r="F21" s="19">
        <f t="shared" si="4"/>
        <v>-7.8151008255243782E-3</v>
      </c>
      <c r="G21" s="2"/>
      <c r="H21" s="2"/>
      <c r="I21" s="2"/>
      <c r="J21" s="19">
        <f t="shared" si="5"/>
        <v>0</v>
      </c>
      <c r="K21" s="2"/>
      <c r="L21" s="2">
        <f t="shared" si="6"/>
        <v>-2660</v>
      </c>
      <c r="M21" s="2"/>
      <c r="N21" s="19">
        <f t="shared" si="7"/>
        <v>0</v>
      </c>
      <c r="O21" s="11"/>
      <c r="P21" s="2">
        <v>-3797</v>
      </c>
      <c r="Q21" s="2"/>
      <c r="R21" s="19">
        <f t="shared" si="8"/>
        <v>-8.1464281956611997E-3</v>
      </c>
      <c r="S21" s="2"/>
      <c r="T21" s="2"/>
      <c r="U21" s="2"/>
      <c r="V21" s="19">
        <f t="shared" si="9"/>
        <v>0</v>
      </c>
      <c r="W21" s="2"/>
      <c r="X21" s="2">
        <f t="shared" si="10"/>
        <v>-3797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2">
        <f>D12-D18</f>
        <v>274329.24</v>
      </c>
      <c r="E23" s="14"/>
      <c r="F23" s="20">
        <f>IF(D$12=0,0,D23/D$12)</f>
        <v>0.80598145488326134</v>
      </c>
      <c r="G23" s="14"/>
      <c r="H23" s="22">
        <f>H12-H18</f>
        <v>244079</v>
      </c>
      <c r="I23" s="14"/>
      <c r="J23" s="20">
        <f>IF(H$12=0,0,H23/H$12)</f>
        <v>0.77616482440184698</v>
      </c>
      <c r="K23" s="15"/>
      <c r="L23" s="22">
        <f>+D23-H23</f>
        <v>30250.239999999991</v>
      </c>
      <c r="M23" s="15"/>
      <c r="N23" s="20">
        <f>IF(H23=0,0,L23/H23)</f>
        <v>0.12393626653665407</v>
      </c>
      <c r="O23" s="28"/>
      <c r="P23" s="22">
        <f>P12-P18</f>
        <v>359430.38</v>
      </c>
      <c r="Q23" s="14"/>
      <c r="R23" s="20">
        <f>IF(P$12=0,0,P23/P$12)</f>
        <v>0.77115453832215419</v>
      </c>
      <c r="S23" s="14"/>
      <c r="T23" s="22">
        <f>T12-T18</f>
        <v>288989</v>
      </c>
      <c r="U23" s="14"/>
      <c r="V23" s="20">
        <f>IF(T$12=0,0,T23/T$12)</f>
        <v>0.73518195810066522</v>
      </c>
      <c r="W23" s="15"/>
      <c r="X23" s="22">
        <f>+P23-T23</f>
        <v>70441.38</v>
      </c>
      <c r="Y23" s="15"/>
      <c r="Z23" s="20">
        <f>IF(T23=0,0,X23/T23)</f>
        <v>0.24375107703061363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21">
        <f>SUM(OSRRefD22x_0)</f>
        <v>143399.03999999998</v>
      </c>
      <c r="E25" s="21"/>
      <c r="F25" s="33">
        <f t="shared" ref="F25:F36" si="12">IF(D$12=0,0,D25/D$12)</f>
        <v>0.42130750221180568</v>
      </c>
      <c r="G25" s="21"/>
      <c r="H25" s="21">
        <f>SUM(OSRRefH22x_0)</f>
        <v>124089.87901333229</v>
      </c>
      <c r="I25" s="21"/>
      <c r="J25" s="33">
        <f t="shared" ref="J25:J36" si="13">IF(H$12=0,0,H25/H$12)</f>
        <v>0.39460256373727148</v>
      </c>
      <c r="K25" s="4"/>
      <c r="L25" s="21">
        <f t="shared" ref="L25:L36" si="14">+D25-H25</f>
        <v>19309.160986667688</v>
      </c>
      <c r="M25" s="4"/>
      <c r="N25" s="33">
        <f t="shared" ref="N25:N36" si="15">IF(H25=0,0,L25/H25)</f>
        <v>0.1556062520182899</v>
      </c>
      <c r="O25" s="10"/>
      <c r="P25" s="21">
        <f>SUM(OSRRefP22x_0)</f>
        <v>328222.58</v>
      </c>
      <c r="Q25" s="21"/>
      <c r="R25" s="33">
        <f t="shared" ref="R25:R36" si="16">IF(P$12=0,0,P25/P$12)</f>
        <v>0.70419849359090436</v>
      </c>
      <c r="S25" s="21"/>
      <c r="T25" s="21">
        <f>SUM(OSRRefT22x_0)</f>
        <v>241397.79171080689</v>
      </c>
      <c r="U25" s="21"/>
      <c r="V25" s="33">
        <f t="shared" ref="V25:V36" si="17">IF(T$12=0,0,T25/T$12)</f>
        <v>0.61411092183829674</v>
      </c>
      <c r="W25" s="4"/>
      <c r="X25" s="21">
        <f t="shared" ref="X25:X36" si="18">+P25-T25</f>
        <v>86824.788289193122</v>
      </c>
      <c r="Y25" s="4"/>
      <c r="Z25" s="33">
        <f t="shared" ref="Z25:Z36" si="19">IF(T25=0,0,X25/T25)</f>
        <v>0.35967515557560981</v>
      </c>
    </row>
    <row r="26" spans="1:26" s="26" customFormat="1" outlineLevel="1" collapsed="1" x14ac:dyDescent="0.25">
      <c r="A26" s="27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24445.69</v>
      </c>
      <c r="E26" s="1"/>
      <c r="F26" s="5">
        <f t="shared" si="12"/>
        <v>7.1821628608839477E-2</v>
      </c>
      <c r="G26" s="1"/>
      <c r="H26" s="1">
        <f>SUM(OSRRefH22_0x_0)</f>
        <v>20508.329842255374</v>
      </c>
      <c r="I26" s="1"/>
      <c r="J26" s="5">
        <f t="shared" si="13"/>
        <v>6.5215951518931572E-2</v>
      </c>
      <c r="K26" s="1"/>
      <c r="L26" s="1">
        <f t="shared" si="14"/>
        <v>3937.3601577446243</v>
      </c>
      <c r="M26" s="1"/>
      <c r="N26" s="5">
        <f t="shared" si="15"/>
        <v>0.19198833781345204</v>
      </c>
      <c r="O26" s="13"/>
      <c r="P26" s="1">
        <f>SUM(OSRRefP22_0x_0)</f>
        <v>75112.430000000008</v>
      </c>
      <c r="Q26" s="1"/>
      <c r="R26" s="5">
        <f t="shared" si="16"/>
        <v>0.16115302017293343</v>
      </c>
      <c r="S26" s="1"/>
      <c r="T26" s="1">
        <f>SUM(OSRRefT22_0x_0)</f>
        <v>51866.675428806899</v>
      </c>
      <c r="U26" s="1"/>
      <c r="V26" s="5">
        <f t="shared" si="17"/>
        <v>0.131947735041548</v>
      </c>
      <c r="W26" s="1"/>
      <c r="X26" s="1">
        <f t="shared" si="18"/>
        <v>23245.754571193109</v>
      </c>
      <c r="Y26" s="1"/>
      <c r="Z26" s="5">
        <f t="shared" si="19"/>
        <v>0.44818285303635158</v>
      </c>
    </row>
    <row r="27" spans="1:26" s="24" customFormat="1" hidden="1" outlineLevel="2" x14ac:dyDescent="0.25">
      <c r="A27" s="25"/>
      <c r="B27" s="11" t="str">
        <f>CONCATENATE("          ", "6111", " - ", "F.I.C.A.")</f>
        <v xml:space="preserve">          6111 - F.I.C.A.</v>
      </c>
      <c r="C27" s="11"/>
      <c r="D27" s="7">
        <v>4059.91</v>
      </c>
      <c r="E27" s="2"/>
      <c r="F27" s="6">
        <f t="shared" si="12"/>
        <v>1.1928047365622059E-2</v>
      </c>
      <c r="G27" s="2"/>
      <c r="H27" s="7">
        <v>4459.1887453569207</v>
      </c>
      <c r="I27" s="2"/>
      <c r="J27" s="6">
        <f t="shared" si="13"/>
        <v>1.4180103366183271E-2</v>
      </c>
      <c r="K27" s="2"/>
      <c r="L27" s="7">
        <f t="shared" si="14"/>
        <v>-399.27874535692081</v>
      </c>
      <c r="M27" s="2"/>
      <c r="N27" s="6">
        <f t="shared" si="15"/>
        <v>-8.9540669426174266E-2</v>
      </c>
      <c r="O27" s="11"/>
      <c r="P27" s="7">
        <v>9263.15</v>
      </c>
      <c r="Q27" s="2"/>
      <c r="R27" s="6">
        <f t="shared" si="16"/>
        <v>1.98740021966392E-2</v>
      </c>
      <c r="S27" s="2"/>
      <c r="T27" s="7">
        <v>8447.1099480899902</v>
      </c>
      <c r="U27" s="2"/>
      <c r="V27" s="6">
        <f t="shared" si="17"/>
        <v>2.148927063635089E-2</v>
      </c>
      <c r="W27" s="2"/>
      <c r="X27" s="7">
        <f t="shared" si="18"/>
        <v>816.04005191000942</v>
      </c>
      <c r="Y27" s="2"/>
      <c r="Z27" s="6">
        <f t="shared" si="19"/>
        <v>9.6605828138241229E-2</v>
      </c>
    </row>
    <row r="28" spans="1:26" s="24" customFormat="1" hidden="1" outlineLevel="2" x14ac:dyDescent="0.25">
      <c r="A28" s="25"/>
      <c r="B28" s="11" t="str">
        <f>CONCATENATE("          ", "6112", " - ", "COMPENSATION INSURANCE")</f>
        <v xml:space="preserve">          6112 - COMPENSATION INSURANCE</v>
      </c>
      <c r="C28" s="11"/>
      <c r="D28" s="7">
        <v>3153.66</v>
      </c>
      <c r="E28" s="2"/>
      <c r="F28" s="6">
        <f t="shared" si="12"/>
        <v>9.2654777704598533E-3</v>
      </c>
      <c r="G28" s="2"/>
      <c r="H28" s="7">
        <v>2482.4428365046201</v>
      </c>
      <c r="I28" s="2"/>
      <c r="J28" s="6">
        <f t="shared" si="13"/>
        <v>7.8941031726745495E-3</v>
      </c>
      <c r="K28" s="2"/>
      <c r="L28" s="7">
        <f t="shared" si="14"/>
        <v>671.21716349537974</v>
      </c>
      <c r="M28" s="2"/>
      <c r="N28" s="6">
        <f t="shared" si="15"/>
        <v>0.2703857481127262</v>
      </c>
      <c r="O28" s="11"/>
      <c r="P28" s="7">
        <v>6270.68</v>
      </c>
      <c r="Q28" s="2"/>
      <c r="R28" s="6">
        <f t="shared" si="16"/>
        <v>1.3453685635493488E-2</v>
      </c>
      <c r="S28" s="2"/>
      <c r="T28" s="7">
        <v>4810.5261448800102</v>
      </c>
      <c r="U28" s="2"/>
      <c r="V28" s="6">
        <f t="shared" si="17"/>
        <v>1.2237877672462726E-2</v>
      </c>
      <c r="W28" s="2"/>
      <c r="X28" s="7">
        <f t="shared" si="18"/>
        <v>1460.1538551199901</v>
      </c>
      <c r="Y28" s="2"/>
      <c r="Z28" s="6">
        <f t="shared" si="19"/>
        <v>0.30353308788770983</v>
      </c>
    </row>
    <row r="29" spans="1:26" s="24" customFormat="1" hidden="1" outlineLevel="2" x14ac:dyDescent="0.25">
      <c r="A29" s="25"/>
      <c r="B29" s="11" t="str">
        <f>CONCATENATE("          ", "6113", " - ", "GROUP INSURANCE")</f>
        <v xml:space="preserve">          6113 - GROUP INSURANCE</v>
      </c>
      <c r="C29" s="11"/>
      <c r="D29" s="7">
        <v>14138.69</v>
      </c>
      <c r="E29" s="2"/>
      <c r="F29" s="6">
        <f t="shared" si="12"/>
        <v>4.1539581913847094E-2</v>
      </c>
      <c r="G29" s="2"/>
      <c r="H29" s="7">
        <v>10500.692307692299</v>
      </c>
      <c r="I29" s="2"/>
      <c r="J29" s="6">
        <f t="shared" si="13"/>
        <v>3.3391926388988066E-2</v>
      </c>
      <c r="K29" s="2"/>
      <c r="L29" s="7">
        <f t="shared" si="14"/>
        <v>3637.9976923077011</v>
      </c>
      <c r="M29" s="2"/>
      <c r="N29" s="6">
        <f t="shared" si="15"/>
        <v>0.34645312763261144</v>
      </c>
      <c r="O29" s="11"/>
      <c r="P29" s="7">
        <v>39380.57</v>
      </c>
      <c r="Q29" s="2"/>
      <c r="R29" s="6">
        <f t="shared" si="16"/>
        <v>8.449064677619425E-2</v>
      </c>
      <c r="S29" s="2"/>
      <c r="T29" s="7">
        <v>31502.076923076904</v>
      </c>
      <c r="U29" s="2"/>
      <c r="V29" s="6">
        <f t="shared" si="17"/>
        <v>8.0140623333571373E-2</v>
      </c>
      <c r="W29" s="2"/>
      <c r="X29" s="7">
        <f t="shared" si="18"/>
        <v>7878.4930769230959</v>
      </c>
      <c r="Y29" s="2"/>
      <c r="Z29" s="6">
        <f t="shared" si="19"/>
        <v>0.25009440159012791</v>
      </c>
    </row>
    <row r="30" spans="1:26" s="24" customFormat="1" hidden="1" outlineLevel="2" x14ac:dyDescent="0.25">
      <c r="A30" s="25"/>
      <c r="B30" s="11" t="str">
        <f>CONCATENATE("          ", "6114", " - ", "STATE UNEMPLOYMENT INSURANCE")</f>
        <v xml:space="preserve">          6114 - STATE UNEMPLOYMENT INSURANCE</v>
      </c>
      <c r="C30" s="11"/>
      <c r="D30" s="7">
        <v>211.35</v>
      </c>
      <c r="E30" s="2"/>
      <c r="F30" s="6">
        <f t="shared" si="12"/>
        <v>6.2094795468969064E-4</v>
      </c>
      <c r="G30" s="2"/>
      <c r="H30" s="7">
        <v>166.34926224</v>
      </c>
      <c r="I30" s="2"/>
      <c r="J30" s="6">
        <f t="shared" si="13"/>
        <v>5.2898629507612863E-4</v>
      </c>
      <c r="K30" s="2"/>
      <c r="L30" s="7">
        <f t="shared" si="14"/>
        <v>45.000737759999993</v>
      </c>
      <c r="M30" s="2"/>
      <c r="N30" s="6">
        <f t="shared" si="15"/>
        <v>0.27051961129274671</v>
      </c>
      <c r="O30" s="11"/>
      <c r="P30" s="7">
        <v>420.23</v>
      </c>
      <c r="Q30" s="2"/>
      <c r="R30" s="6">
        <f t="shared" si="16"/>
        <v>9.0159955771996472E-4</v>
      </c>
      <c r="S30" s="2"/>
      <c r="T30" s="7">
        <v>322.35484475999999</v>
      </c>
      <c r="U30" s="2"/>
      <c r="V30" s="6">
        <f t="shared" si="17"/>
        <v>8.2006396774234578E-4</v>
      </c>
      <c r="W30" s="2"/>
      <c r="X30" s="7">
        <f t="shared" si="18"/>
        <v>97.875155240000026</v>
      </c>
      <c r="Y30" s="2"/>
      <c r="Z30" s="6">
        <f t="shared" si="19"/>
        <v>0.30362551340858596</v>
      </c>
    </row>
    <row r="31" spans="1:26" s="24" customFormat="1" hidden="1" outlineLevel="2" x14ac:dyDescent="0.25">
      <c r="A31" s="25"/>
      <c r="B31" s="11" t="str">
        <f>CONCATENATE("          ", "6115", " - ", "P.E.R.S.")</f>
        <v xml:space="preserve">          6115 - P.E.R.S.</v>
      </c>
      <c r="C31" s="11"/>
      <c r="D31" s="7">
        <v>959.64</v>
      </c>
      <c r="E31" s="2"/>
      <c r="F31" s="6">
        <f t="shared" si="12"/>
        <v>2.8194298331602309E-3</v>
      </c>
      <c r="G31" s="2"/>
      <c r="H31" s="7">
        <v>403.720384615385</v>
      </c>
      <c r="I31" s="2"/>
      <c r="J31" s="6">
        <f t="shared" si="13"/>
        <v>1.2838202443981104E-3</v>
      </c>
      <c r="K31" s="2"/>
      <c r="L31" s="7">
        <f t="shared" si="14"/>
        <v>555.91961538461499</v>
      </c>
      <c r="M31" s="2"/>
      <c r="N31" s="6">
        <f t="shared" si="15"/>
        <v>1.3769916916982694</v>
      </c>
      <c r="O31" s="11"/>
      <c r="P31" s="7">
        <v>3131.7</v>
      </c>
      <c r="Q31" s="2"/>
      <c r="R31" s="6">
        <f t="shared" si="16"/>
        <v>6.7190332315913027E-3</v>
      </c>
      <c r="S31" s="2"/>
      <c r="T31" s="7">
        <v>1312.0912500000011</v>
      </c>
      <c r="U31" s="2"/>
      <c r="V31" s="6">
        <f t="shared" si="17"/>
        <v>3.337932635435087E-3</v>
      </c>
      <c r="W31" s="2"/>
      <c r="X31" s="7">
        <f t="shared" si="18"/>
        <v>1819.6087499999987</v>
      </c>
      <c r="Y31" s="2"/>
      <c r="Z31" s="6">
        <f t="shared" si="19"/>
        <v>1.3868004607149063</v>
      </c>
    </row>
    <row r="32" spans="1:26" s="24" customFormat="1" hidden="1" outlineLevel="2" x14ac:dyDescent="0.25">
      <c r="A32" s="25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25">
      <c r="A33" s="25"/>
      <c r="B33" s="11" t="str">
        <f>CONCATENATE("          ", "6117", " - ", "RETIREMENT STAFF HOURLY")</f>
        <v xml:space="preserve">          6117 - RETIREMENT STAFF HOURLY</v>
      </c>
      <c r="C33" s="11"/>
      <c r="D33" s="7">
        <v>758.47</v>
      </c>
      <c r="E33" s="2"/>
      <c r="F33" s="6">
        <f t="shared" si="12"/>
        <v>2.2283907981712312E-3</v>
      </c>
      <c r="G33" s="2"/>
      <c r="H33" s="7"/>
      <c r="I33" s="2"/>
      <c r="J33" s="6">
        <f t="shared" si="13"/>
        <v>0</v>
      </c>
      <c r="K33" s="2"/>
      <c r="L33" s="7">
        <f t="shared" si="14"/>
        <v>758.47</v>
      </c>
      <c r="M33" s="2"/>
      <c r="N33" s="6">
        <f t="shared" si="15"/>
        <v>0</v>
      </c>
      <c r="O33" s="11"/>
      <c r="P33" s="7">
        <v>1310.75</v>
      </c>
      <c r="Q33" s="2"/>
      <c r="R33" s="6">
        <f t="shared" si="16"/>
        <v>2.8122019377042184E-3</v>
      </c>
      <c r="S33" s="2"/>
      <c r="T33" s="7"/>
      <c r="U33" s="2"/>
      <c r="V33" s="6">
        <f t="shared" si="17"/>
        <v>0</v>
      </c>
      <c r="W33" s="2"/>
      <c r="X33" s="7">
        <f t="shared" si="18"/>
        <v>1310.75</v>
      </c>
      <c r="Y33" s="2"/>
      <c r="Z33" s="6">
        <f t="shared" si="19"/>
        <v>0</v>
      </c>
    </row>
    <row r="34" spans="1:26" s="24" customFormat="1" hidden="1" outlineLevel="2" x14ac:dyDescent="0.25">
      <c r="A34" s="25"/>
      <c r="B34" s="11" t="str">
        <f>CONCATENATE("          ", "6118", " - ", "VACATION")</f>
        <v xml:space="preserve">          6118 - VACATION</v>
      </c>
      <c r="C34" s="11"/>
      <c r="D34" s="7">
        <v>1965.8</v>
      </c>
      <c r="E34" s="2"/>
      <c r="F34" s="6">
        <f t="shared" si="12"/>
        <v>5.7755357905322638E-3</v>
      </c>
      <c r="G34" s="2"/>
      <c r="H34" s="7">
        <v>623.46597230769203</v>
      </c>
      <c r="I34" s="2"/>
      <c r="J34" s="6">
        <f t="shared" si="13"/>
        <v>1.9826054552695093E-3</v>
      </c>
      <c r="K34" s="2"/>
      <c r="L34" s="7">
        <f t="shared" si="14"/>
        <v>1342.3340276923079</v>
      </c>
      <c r="M34" s="2"/>
      <c r="N34" s="6">
        <f t="shared" si="15"/>
        <v>2.1530189093140133</v>
      </c>
      <c r="O34" s="11"/>
      <c r="P34" s="7">
        <v>6777.75</v>
      </c>
      <c r="Q34" s="2"/>
      <c r="R34" s="6">
        <f t="shared" si="16"/>
        <v>1.4541599605778955E-2</v>
      </c>
      <c r="S34" s="2"/>
      <c r="T34" s="7">
        <v>1905.6060899999991</v>
      </c>
      <c r="U34" s="2"/>
      <c r="V34" s="6">
        <f t="shared" si="17"/>
        <v>4.8478219469071555E-3</v>
      </c>
      <c r="W34" s="2"/>
      <c r="X34" s="7">
        <f t="shared" si="18"/>
        <v>4872.1439100000007</v>
      </c>
      <c r="Y34" s="2"/>
      <c r="Z34" s="6">
        <f t="shared" si="19"/>
        <v>2.556742411544247</v>
      </c>
    </row>
    <row r="35" spans="1:26" s="24" customFormat="1" hidden="1" outlineLevel="2" x14ac:dyDescent="0.25">
      <c r="A35" s="25"/>
      <c r="B35" s="11" t="str">
        <f>CONCATENATE("          ", "6119", " - ", "SICK LEAVE")</f>
        <v xml:space="preserve">          6119 - SICK LEAVE</v>
      </c>
      <c r="C35" s="11"/>
      <c r="D35" s="7">
        <v>-1915.29</v>
      </c>
      <c r="E35" s="2"/>
      <c r="F35" s="6">
        <f t="shared" si="12"/>
        <v>-5.627137015082175E-3</v>
      </c>
      <c r="G35" s="2"/>
      <c r="H35" s="7">
        <v>1872.47033353846</v>
      </c>
      <c r="I35" s="2"/>
      <c r="J35" s="6">
        <f t="shared" si="13"/>
        <v>5.9544065963419487E-3</v>
      </c>
      <c r="K35" s="2"/>
      <c r="L35" s="7">
        <f t="shared" si="14"/>
        <v>-3787.7603335384601</v>
      </c>
      <c r="M35" s="2"/>
      <c r="N35" s="6">
        <f t="shared" si="15"/>
        <v>-2.0228680079436145</v>
      </c>
      <c r="O35" s="11"/>
      <c r="P35" s="7">
        <v>5408.46</v>
      </c>
      <c r="Q35" s="2"/>
      <c r="R35" s="6">
        <f t="shared" si="16"/>
        <v>1.160380064237708E-2</v>
      </c>
      <c r="S35" s="2"/>
      <c r="T35" s="7">
        <v>3566.9102279999988</v>
      </c>
      <c r="U35" s="2"/>
      <c r="V35" s="6">
        <f t="shared" si="17"/>
        <v>9.0741448490784405E-3</v>
      </c>
      <c r="W35" s="2"/>
      <c r="X35" s="7">
        <f t="shared" si="18"/>
        <v>1841.5497720000012</v>
      </c>
      <c r="Y35" s="2"/>
      <c r="Z35" s="6">
        <f t="shared" si="19"/>
        <v>0.51628710965136237</v>
      </c>
    </row>
    <row r="36" spans="1:26" s="24" customFormat="1" hidden="1" outlineLevel="2" x14ac:dyDescent="0.25">
      <c r="A36" s="25"/>
      <c r="B36" s="11" t="str">
        <f>CONCATENATE("          ", "6156", " - ", "EMPLOYEE MEALS")</f>
        <v xml:space="preserve">          6156 - EMPLOYEE MEALS</v>
      </c>
      <c r="C36" s="11"/>
      <c r="D36" s="7">
        <v>1113.46</v>
      </c>
      <c r="E36" s="2"/>
      <c r="F36" s="6">
        <f t="shared" si="12"/>
        <v>3.2713541974392383E-3</v>
      </c>
      <c r="G36" s="2"/>
      <c r="H36" s="7"/>
      <c r="I36" s="2"/>
      <c r="J36" s="6">
        <f t="shared" si="13"/>
        <v>0</v>
      </c>
      <c r="K36" s="2"/>
      <c r="L36" s="7">
        <f t="shared" si="14"/>
        <v>1113.46</v>
      </c>
      <c r="M36" s="2"/>
      <c r="N36" s="6">
        <f t="shared" si="15"/>
        <v>0</v>
      </c>
      <c r="O36" s="11"/>
      <c r="P36" s="7">
        <v>3149.14</v>
      </c>
      <c r="Q36" s="2"/>
      <c r="R36" s="6">
        <f t="shared" si="16"/>
        <v>6.7564505894349512E-3</v>
      </c>
      <c r="S36" s="2"/>
      <c r="T36" s="7"/>
      <c r="U36" s="2"/>
      <c r="V36" s="6">
        <f t="shared" si="17"/>
        <v>0</v>
      </c>
      <c r="W36" s="2"/>
      <c r="X36" s="7">
        <f t="shared" si="18"/>
        <v>3149.14</v>
      </c>
      <c r="Y36" s="2"/>
      <c r="Z36" s="6">
        <f t="shared" si="19"/>
        <v>0</v>
      </c>
    </row>
    <row r="37" spans="1:26" s="26" customFormat="1" outlineLevel="1" collapsed="1" x14ac:dyDescent="0.25">
      <c r="A37" s="27"/>
      <c r="B37" s="13" t="str">
        <f>CONCATENATE("     ","*Payroll                                          ")</f>
        <v xml:space="preserve">     *Payroll                                          </v>
      </c>
      <c r="C37" s="13"/>
      <c r="D37" s="1">
        <f>SUM(OSRRefD22_1x_0)</f>
        <v>81698.539999999994</v>
      </c>
      <c r="E37" s="1"/>
      <c r="F37" s="5">
        <f t="shared" ref="F37:F47" si="20">IF(D$12=0,0,D37/D$12)</f>
        <v>0.24003095014967532</v>
      </c>
      <c r="G37" s="1"/>
      <c r="H37" s="1">
        <f>SUM(OSRRefH22_1x_0)</f>
        <v>61484.549171076913</v>
      </c>
      <c r="I37" s="1"/>
      <c r="J37" s="5">
        <f t="shared" ref="J37:J47" si="21">IF(H$12=0,0,H37/H$12)</f>
        <v>0.19551925528536104</v>
      </c>
      <c r="K37" s="1"/>
      <c r="L37" s="1">
        <f t="shared" ref="L37:L47" si="22">+D37-H37</f>
        <v>20213.990828923081</v>
      </c>
      <c r="M37" s="1"/>
      <c r="N37" s="5">
        <f t="shared" ref="N37:N47" si="23">IF(H37=0,0,L37/H37)</f>
        <v>0.32876537441429254</v>
      </c>
      <c r="O37" s="13"/>
      <c r="P37" s="1">
        <f>SUM(OSRRefP22_1x_0)</f>
        <v>166414.78</v>
      </c>
      <c r="Q37" s="1"/>
      <c r="R37" s="5">
        <f t="shared" ref="R37:R47" si="24">IF(P$12=0,0,P37/P$12)</f>
        <v>0.35704136317270357</v>
      </c>
      <c r="S37" s="1"/>
      <c r="T37" s="1">
        <f>SUM(OSRRefT22_1x_0)</f>
        <v>118510.11628199999</v>
      </c>
      <c r="U37" s="1"/>
      <c r="V37" s="5">
        <f t="shared" ref="V37:V47" si="25">IF(T$12=0,0,T37/T$12)</f>
        <v>0.30148725156645506</v>
      </c>
      <c r="W37" s="1"/>
      <c r="X37" s="1">
        <f t="shared" ref="X37:X47" si="26">+P37-T37</f>
        <v>47904.663718000011</v>
      </c>
      <c r="Y37" s="1"/>
      <c r="Z37" s="5">
        <f t="shared" ref="Z37:Z47" si="27">IF(T37=0,0,X37/T37)</f>
        <v>0.40422425714281451</v>
      </c>
    </row>
    <row r="38" spans="1:26" s="24" customFormat="1" hidden="1" outlineLevel="2" x14ac:dyDescent="0.25">
      <c r="A38" s="25"/>
      <c r="B38" s="11" t="str">
        <f>CONCATENATE("          ", "6001", " - ", "ADMINISTRATIVE SALARIES")</f>
        <v xml:space="preserve">          6001 - ADMINISTRATIVE SALARIES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5"/>
      <c r="B39" s="11" t="str">
        <f>CONCATENATE("          ", "6002", " - ", "STAFF SALARIES")</f>
        <v xml:space="preserve">          6002 - STAFF SALARIES</v>
      </c>
      <c r="C39" s="11"/>
      <c r="D39" s="7">
        <v>9388.86</v>
      </c>
      <c r="E39" s="2"/>
      <c r="F39" s="6">
        <f t="shared" si="20"/>
        <v>2.7584544186741659E-2</v>
      </c>
      <c r="G39" s="2"/>
      <c r="H39" s="7">
        <v>4459.7019230769201</v>
      </c>
      <c r="I39" s="2"/>
      <c r="J39" s="6">
        <f t="shared" si="21"/>
        <v>1.4181735257886081E-2</v>
      </c>
      <c r="K39" s="2"/>
      <c r="L39" s="7">
        <f t="shared" si="22"/>
        <v>4929.1580769230804</v>
      </c>
      <c r="M39" s="2"/>
      <c r="N39" s="6">
        <f t="shared" si="23"/>
        <v>1.1052662626210372</v>
      </c>
      <c r="O39" s="11"/>
      <c r="P39" s="7">
        <v>30014.140000000003</v>
      </c>
      <c r="Q39" s="2"/>
      <c r="R39" s="6">
        <f t="shared" si="24"/>
        <v>6.4395058299847943E-2</v>
      </c>
      <c r="S39" s="2"/>
      <c r="T39" s="7">
        <v>14494.031249999989</v>
      </c>
      <c r="U39" s="2"/>
      <c r="V39" s="6">
        <f t="shared" si="25"/>
        <v>3.6872511670503809E-2</v>
      </c>
      <c r="W39" s="2"/>
      <c r="X39" s="7">
        <f t="shared" si="26"/>
        <v>15520.108750000014</v>
      </c>
      <c r="Y39" s="2"/>
      <c r="Z39" s="6">
        <f t="shared" si="27"/>
        <v>1.0707931066451941</v>
      </c>
    </row>
    <row r="40" spans="1:26" s="24" customFormat="1" hidden="1" outlineLevel="2" x14ac:dyDescent="0.25">
      <c r="A40" s="25"/>
      <c r="B40" s="11" t="str">
        <f>CONCATENATE("          ", "6003", " - ", "STAFF HOURLY-9 MONTH")</f>
        <v xml:space="preserve">          6003 - STAFF HOURLY-9 MONTH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4" customFormat="1" hidden="1" outlineLevel="2" x14ac:dyDescent="0.25">
      <c r="A41" s="25"/>
      <c r="B41" s="11" t="str">
        <f>CONCATENATE("          ", "6004", " - ", "STAFF HOURLY")</f>
        <v xml:space="preserve">          6004 - STAFF HOURLY</v>
      </c>
      <c r="C41" s="11"/>
      <c r="D41" s="7">
        <v>22939.31</v>
      </c>
      <c r="E41" s="2"/>
      <c r="F41" s="6">
        <f t="shared" si="20"/>
        <v>6.7395872375172791E-2</v>
      </c>
      <c r="G41" s="2"/>
      <c r="H41" s="7">
        <v>15122.50944</v>
      </c>
      <c r="I41" s="2"/>
      <c r="J41" s="6">
        <f t="shared" si="21"/>
        <v>4.8089183764325784E-2</v>
      </c>
      <c r="K41" s="2"/>
      <c r="L41" s="7">
        <f t="shared" si="22"/>
        <v>7816.8005600000015</v>
      </c>
      <c r="M41" s="2"/>
      <c r="N41" s="6">
        <f t="shared" si="23"/>
        <v>0.51689837530033655</v>
      </c>
      <c r="O41" s="11"/>
      <c r="P41" s="7">
        <v>50102.19</v>
      </c>
      <c r="Q41" s="2"/>
      <c r="R41" s="6">
        <f t="shared" si="24"/>
        <v>0.10749378279704362</v>
      </c>
      <c r="S41" s="2"/>
      <c r="T41" s="7">
        <v>45367.528319999998</v>
      </c>
      <c r="U41" s="2"/>
      <c r="V41" s="6">
        <f t="shared" si="25"/>
        <v>0.11541404103438187</v>
      </c>
      <c r="W41" s="2"/>
      <c r="X41" s="7">
        <f t="shared" si="26"/>
        <v>4734.6616800000047</v>
      </c>
      <c r="Y41" s="2"/>
      <c r="Z41" s="6">
        <f t="shared" si="27"/>
        <v>0.10436234583034928</v>
      </c>
    </row>
    <row r="42" spans="1:26" s="24" customFormat="1" hidden="1" outlineLevel="2" x14ac:dyDescent="0.25">
      <c r="A42" s="25"/>
      <c r="B42" s="11" t="str">
        <f>CONCATENATE("          ", "6005", " - ", "TEMPORARY WAGES-HOURLY")</f>
        <v xml:space="preserve">          6005 - TEMPORARY WAGES-HOURLY</v>
      </c>
      <c r="C42" s="11"/>
      <c r="D42" s="7">
        <v>16696.05</v>
      </c>
      <c r="E42" s="2"/>
      <c r="F42" s="6">
        <f t="shared" si="20"/>
        <v>4.9053125615788076E-2</v>
      </c>
      <c r="G42" s="2"/>
      <c r="H42" s="7">
        <v>5541.8878080000004</v>
      </c>
      <c r="I42" s="2"/>
      <c r="J42" s="6">
        <f t="shared" si="21"/>
        <v>1.7623058015441954E-2</v>
      </c>
      <c r="K42" s="2"/>
      <c r="L42" s="7">
        <f t="shared" si="22"/>
        <v>11154.162192</v>
      </c>
      <c r="M42" s="2"/>
      <c r="N42" s="6">
        <f t="shared" si="23"/>
        <v>2.0127008301933489</v>
      </c>
      <c r="O42" s="11"/>
      <c r="P42" s="7">
        <v>22583.129999999997</v>
      </c>
      <c r="Q42" s="2"/>
      <c r="R42" s="6">
        <f t="shared" si="24"/>
        <v>4.8451895438051694E-2</v>
      </c>
      <c r="S42" s="2"/>
      <c r="T42" s="7">
        <v>8312.8317119999992</v>
      </c>
      <c r="U42" s="2"/>
      <c r="V42" s="6">
        <f t="shared" si="25"/>
        <v>2.1147669618530342E-2</v>
      </c>
      <c r="W42" s="2"/>
      <c r="X42" s="7">
        <f t="shared" si="26"/>
        <v>14270.298287999998</v>
      </c>
      <c r="Y42" s="2"/>
      <c r="Z42" s="6">
        <f t="shared" si="27"/>
        <v>1.7166591099637072</v>
      </c>
    </row>
    <row r="43" spans="1:26" s="24" customFormat="1" hidden="1" outlineLevel="2" x14ac:dyDescent="0.25">
      <c r="A43" s="25"/>
      <c r="B43" s="11" t="str">
        <f>CONCATENATE("          ", "6006", " - ", "TEMPORARY PART TIME")</f>
        <v xml:space="preserve">          6006 - TEMPORARY PART TIME</v>
      </c>
      <c r="C43" s="11"/>
      <c r="D43" s="7">
        <v>3020.35</v>
      </c>
      <c r="E43" s="2"/>
      <c r="F43" s="6">
        <f t="shared" si="20"/>
        <v>8.873811946756599E-3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3020.35</v>
      </c>
      <c r="M43" s="2"/>
      <c r="N43" s="6">
        <f t="shared" si="23"/>
        <v>0</v>
      </c>
      <c r="O43" s="11"/>
      <c r="P43" s="7">
        <v>4307.16</v>
      </c>
      <c r="Q43" s="2"/>
      <c r="R43" s="6">
        <f t="shared" si="24"/>
        <v>9.2409717322159846E-3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4307.16</v>
      </c>
      <c r="Y43" s="2"/>
      <c r="Z43" s="6">
        <f t="shared" si="27"/>
        <v>0</v>
      </c>
    </row>
    <row r="44" spans="1:26" s="24" customFormat="1" hidden="1" outlineLevel="2" x14ac:dyDescent="0.25">
      <c r="A44" s="25"/>
      <c r="B44" s="11" t="str">
        <f>CONCATENATE("          ", "6007", " - ", "STUDENT HOURLY")</f>
        <v xml:space="preserve">          6007 - STUDENT HOURLY</v>
      </c>
      <c r="C44" s="11"/>
      <c r="D44" s="7">
        <v>19615.969999999998</v>
      </c>
      <c r="E44" s="2"/>
      <c r="F44" s="6">
        <f t="shared" si="20"/>
        <v>5.7631873436263685E-2</v>
      </c>
      <c r="G44" s="2"/>
      <c r="H44" s="7">
        <v>36360.449999999997</v>
      </c>
      <c r="I44" s="2"/>
      <c r="J44" s="6">
        <f t="shared" si="21"/>
        <v>0.11562527824770723</v>
      </c>
      <c r="K44" s="2"/>
      <c r="L44" s="7">
        <f t="shared" si="22"/>
        <v>-16744.48</v>
      </c>
      <c r="M44" s="2"/>
      <c r="N44" s="6">
        <f t="shared" si="23"/>
        <v>-0.46051355250003784</v>
      </c>
      <c r="O44" s="11"/>
      <c r="P44" s="7">
        <v>44601.66</v>
      </c>
      <c r="Q44" s="2"/>
      <c r="R44" s="6">
        <f t="shared" si="24"/>
        <v>9.5692446825729346E-2</v>
      </c>
      <c r="S44" s="2"/>
      <c r="T44" s="7">
        <v>45450.5625</v>
      </c>
      <c r="U44" s="2"/>
      <c r="V44" s="6">
        <f t="shared" si="25"/>
        <v>0.11562527824770724</v>
      </c>
      <c r="W44" s="2"/>
      <c r="X44" s="7">
        <f t="shared" si="26"/>
        <v>-848.90249999999651</v>
      </c>
      <c r="Y44" s="2"/>
      <c r="Z44" s="6">
        <f t="shared" si="27"/>
        <v>-1.8677491615202706E-2</v>
      </c>
    </row>
    <row r="45" spans="1:26" s="24" customFormat="1" hidden="1" outlineLevel="2" x14ac:dyDescent="0.25">
      <c r="A45" s="25"/>
      <c r="B45" s="11" t="str">
        <f>CONCATENATE("          ", "6008", " - ", "STUDENT HOURLY-FICA EXEMPT")</f>
        <v xml:space="preserve">          6008 - STUDENT HOURLY-FICA EXEMPT</v>
      </c>
      <c r="C45" s="11"/>
      <c r="D45" s="7">
        <v>10038</v>
      </c>
      <c r="E45" s="2"/>
      <c r="F45" s="6">
        <f t="shared" si="20"/>
        <v>2.949172258895252E-2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10038</v>
      </c>
      <c r="M45" s="2"/>
      <c r="N45" s="6">
        <f t="shared" si="23"/>
        <v>0</v>
      </c>
      <c r="O45" s="11"/>
      <c r="P45" s="7">
        <v>14806.5</v>
      </c>
      <c r="Q45" s="2"/>
      <c r="R45" s="6">
        <f t="shared" si="24"/>
        <v>3.1767208079815E-2</v>
      </c>
      <c r="S45" s="2"/>
      <c r="T45" s="7">
        <v>4885.1624999999995</v>
      </c>
      <c r="U45" s="2"/>
      <c r="V45" s="6">
        <f t="shared" si="25"/>
        <v>1.2427750995331797E-2</v>
      </c>
      <c r="W45" s="2"/>
      <c r="X45" s="7">
        <f t="shared" si="26"/>
        <v>9921.3375000000015</v>
      </c>
      <c r="Y45" s="2"/>
      <c r="Z45" s="6">
        <f t="shared" si="27"/>
        <v>2.0309124824404514</v>
      </c>
    </row>
    <row r="46" spans="1:26" s="24" customFormat="1" hidden="1" outlineLevel="2" x14ac:dyDescent="0.25">
      <c r="A46" s="25"/>
      <c r="B46" s="11" t="str">
        <f>CONCATENATE("          ", "6009", " - ", "TEMPORARY-SEASONAL")</f>
        <v xml:space="preserve">          6009 - TEMPORARY-SEASONAL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4" customFormat="1" hidden="1" outlineLevel="2" x14ac:dyDescent="0.25">
      <c r="A47" s="25"/>
      <c r="B47" s="11" t="str">
        <f>CONCATENATE("          ", "6010", " - ", "GRATUITY")</f>
        <v xml:space="preserve">          6010 - GRATUITY</v>
      </c>
      <c r="C47" s="11"/>
      <c r="D47" s="7"/>
      <c r="E47" s="2"/>
      <c r="F47" s="6">
        <f t="shared" si="20"/>
        <v>0</v>
      </c>
      <c r="G47" s="2"/>
      <c r="H47" s="7">
        <v>0</v>
      </c>
      <c r="I47" s="2"/>
      <c r="J47" s="6">
        <f t="shared" si="21"/>
        <v>0</v>
      </c>
      <c r="K47" s="2"/>
      <c r="L47" s="7">
        <f t="shared" si="22"/>
        <v>0</v>
      </c>
      <c r="M47" s="2"/>
      <c r="N47" s="6">
        <f t="shared" si="23"/>
        <v>0</v>
      </c>
      <c r="O47" s="11"/>
      <c r="P47" s="7"/>
      <c r="Q47" s="2"/>
      <c r="R47" s="6">
        <f t="shared" si="24"/>
        <v>0</v>
      </c>
      <c r="S47" s="2"/>
      <c r="T47" s="7">
        <v>0</v>
      </c>
      <c r="U47" s="2"/>
      <c r="V47" s="6">
        <f t="shared" si="25"/>
        <v>0</v>
      </c>
      <c r="W47" s="2"/>
      <c r="X47" s="7">
        <f t="shared" si="26"/>
        <v>0</v>
      </c>
      <c r="Y47" s="2"/>
      <c r="Z47" s="6">
        <f t="shared" si="27"/>
        <v>0</v>
      </c>
    </row>
    <row r="48" spans="1:26" s="26" customFormat="1" outlineLevel="1" collapsed="1" x14ac:dyDescent="0.25">
      <c r="A48" s="27"/>
      <c r="B48" s="13" t="str">
        <f>CONCATENATE("     ","Advertising/Promo                                 ")</f>
        <v xml:space="preserve">     Advertising/Promo                                 </v>
      </c>
      <c r="C48" s="13"/>
      <c r="D48" s="1">
        <f>SUM(OSRRefD22_2x_0)</f>
        <v>0</v>
      </c>
      <c r="E48" s="1"/>
      <c r="F48" s="5">
        <f t="shared" ref="F48:F52" si="28">IF(D$12=0,0,D48/D$12)</f>
        <v>0</v>
      </c>
      <c r="G48" s="1"/>
      <c r="H48" s="1">
        <f>SUM(OSRRefH22_2x_0)</f>
        <v>1600</v>
      </c>
      <c r="I48" s="1"/>
      <c r="J48" s="5">
        <f t="shared" ref="J48:J52" si="29">IF(H$12=0,0,H48/H$12)</f>
        <v>5.0879580752254605E-3</v>
      </c>
      <c r="K48" s="1"/>
      <c r="L48" s="1">
        <f t="shared" ref="L48:L52" si="30">+D48-H48</f>
        <v>-1600</v>
      </c>
      <c r="M48" s="1"/>
      <c r="N48" s="5">
        <f t="shared" ref="N48:N52" si="31">IF(H48=0,0,L48/H48)</f>
        <v>-1</v>
      </c>
      <c r="O48" s="13"/>
      <c r="P48" s="1">
        <f>SUM(OSRRefP22_2x_0)</f>
        <v>2651.81</v>
      </c>
      <c r="Q48" s="1"/>
      <c r="R48" s="5">
        <f t="shared" ref="R48:R52" si="32">IF(P$12=0,0,P48/P$12)</f>
        <v>5.6894336985873917E-3</v>
      </c>
      <c r="S48" s="1"/>
      <c r="T48" s="1">
        <f>SUM(OSRRefT22_2x_0)</f>
        <v>3000</v>
      </c>
      <c r="U48" s="1"/>
      <c r="V48" s="5">
        <f t="shared" ref="V48:V52" si="33">IF(T$12=0,0,T48/T$12)</f>
        <v>7.6319371128381903E-3</v>
      </c>
      <c r="W48" s="1"/>
      <c r="X48" s="1">
        <f t="shared" ref="X48:X52" si="34">+P48-T48</f>
        <v>-348.19000000000005</v>
      </c>
      <c r="Y48" s="1"/>
      <c r="Z48" s="5">
        <f t="shared" ref="Z48:Z52" si="35">IF(T48=0,0,X48/T48)</f>
        <v>-0.11606333333333335</v>
      </c>
    </row>
    <row r="49" spans="1:26" s="24" customFormat="1" hidden="1" outlineLevel="2" x14ac:dyDescent="0.25">
      <c r="A49" s="25"/>
      <c r="B49" s="11" t="str">
        <f>CONCATENATE("          ", "6362", " - ", "ADVERTISING EXPENSE")</f>
        <v xml:space="preserve">          6362 - ADVERTISING EXPENSE</v>
      </c>
      <c r="C49" s="11"/>
      <c r="D49" s="7"/>
      <c r="E49" s="2"/>
      <c r="F49" s="6">
        <f t="shared" si="28"/>
        <v>0</v>
      </c>
      <c r="G49" s="2"/>
      <c r="H49" s="7">
        <v>1600</v>
      </c>
      <c r="I49" s="2"/>
      <c r="J49" s="6">
        <f t="shared" si="29"/>
        <v>5.0879580752254605E-3</v>
      </c>
      <c r="K49" s="2"/>
      <c r="L49" s="7">
        <f t="shared" si="30"/>
        <v>-1600</v>
      </c>
      <c r="M49" s="2"/>
      <c r="N49" s="6">
        <f t="shared" si="31"/>
        <v>-1</v>
      </c>
      <c r="O49" s="11"/>
      <c r="P49" s="7">
        <v>2651.81</v>
      </c>
      <c r="Q49" s="2"/>
      <c r="R49" s="6">
        <f t="shared" si="32"/>
        <v>5.6894336985873917E-3</v>
      </c>
      <c r="S49" s="2"/>
      <c r="T49" s="7">
        <v>3000</v>
      </c>
      <c r="U49" s="2"/>
      <c r="V49" s="6">
        <f t="shared" si="33"/>
        <v>7.6319371128381903E-3</v>
      </c>
      <c r="W49" s="2"/>
      <c r="X49" s="7">
        <f t="shared" si="34"/>
        <v>-348.19000000000005</v>
      </c>
      <c r="Y49" s="2"/>
      <c r="Z49" s="6">
        <f t="shared" si="35"/>
        <v>-0.11606333333333335</v>
      </c>
    </row>
    <row r="50" spans="1:26" s="26" customFormat="1" outlineLevel="1" collapsed="1" x14ac:dyDescent="0.25">
      <c r="A50" s="27"/>
      <c r="B50" s="13" t="str">
        <f>CONCATENATE("     ","Bad Debts/Over/Short                              ")</f>
        <v xml:space="preserve">     Bad Debts/Over/Short                              </v>
      </c>
      <c r="C50" s="13"/>
      <c r="D50" s="1">
        <f>SUM(OSRRefD22_3x_0)</f>
        <v>13.33</v>
      </c>
      <c r="E50" s="1"/>
      <c r="F50" s="5">
        <f t="shared" si="28"/>
        <v>3.9163644362496226E-5</v>
      </c>
      <c r="G50" s="1"/>
      <c r="H50" s="1">
        <f>SUM(OSRRefH22_3x_0)</f>
        <v>70</v>
      </c>
      <c r="I50" s="1"/>
      <c r="J50" s="5">
        <f t="shared" si="29"/>
        <v>2.2259816579111387E-4</v>
      </c>
      <c r="K50" s="1"/>
      <c r="L50" s="1">
        <f t="shared" si="30"/>
        <v>-56.67</v>
      </c>
      <c r="M50" s="1"/>
      <c r="N50" s="5">
        <f t="shared" si="31"/>
        <v>-0.80957142857142861</v>
      </c>
      <c r="O50" s="13"/>
      <c r="P50" s="1">
        <f>SUM(OSRRefP22_3x_0)</f>
        <v>13.33</v>
      </c>
      <c r="Q50" s="1"/>
      <c r="R50" s="5">
        <f t="shared" si="32"/>
        <v>2.8599391058246981E-5</v>
      </c>
      <c r="S50" s="1"/>
      <c r="T50" s="1">
        <f>SUM(OSRRefT22_3x_0)</f>
        <v>140</v>
      </c>
      <c r="U50" s="1"/>
      <c r="V50" s="5">
        <f t="shared" si="33"/>
        <v>3.5615706526578221E-4</v>
      </c>
      <c r="W50" s="1"/>
      <c r="X50" s="1">
        <f t="shared" si="34"/>
        <v>-126.67</v>
      </c>
      <c r="Y50" s="1"/>
      <c r="Z50" s="5">
        <f t="shared" si="35"/>
        <v>-0.9047857142857143</v>
      </c>
    </row>
    <row r="51" spans="1:26" s="24" customFormat="1" hidden="1" outlineLevel="2" x14ac:dyDescent="0.25">
      <c r="A51" s="25"/>
      <c r="B51" s="11" t="str">
        <f>CONCATENATE("          ", "6272", " - ", "CASH (OVER/SHORT)")</f>
        <v xml:space="preserve">          6272 - CASH (OVER/SHORT)</v>
      </c>
      <c r="C51" s="11"/>
      <c r="D51" s="7">
        <v>13.33</v>
      </c>
      <c r="E51" s="2"/>
      <c r="F51" s="6">
        <f t="shared" si="28"/>
        <v>3.9163644362496226E-5</v>
      </c>
      <c r="G51" s="2"/>
      <c r="H51" s="7">
        <v>20</v>
      </c>
      <c r="I51" s="2"/>
      <c r="J51" s="6">
        <f t="shared" si="29"/>
        <v>6.3599475940318256E-5</v>
      </c>
      <c r="K51" s="2"/>
      <c r="L51" s="7">
        <f t="shared" si="30"/>
        <v>-6.67</v>
      </c>
      <c r="M51" s="2"/>
      <c r="N51" s="6">
        <f t="shared" si="31"/>
        <v>-0.33350000000000002</v>
      </c>
      <c r="O51" s="11"/>
      <c r="P51" s="7">
        <v>13.33</v>
      </c>
      <c r="Q51" s="2"/>
      <c r="R51" s="6">
        <f t="shared" si="32"/>
        <v>2.8599391058246981E-5</v>
      </c>
      <c r="S51" s="2"/>
      <c r="T51" s="7">
        <v>40</v>
      </c>
      <c r="U51" s="2"/>
      <c r="V51" s="6">
        <f t="shared" si="33"/>
        <v>1.017591615045092E-4</v>
      </c>
      <c r="W51" s="2"/>
      <c r="X51" s="7">
        <f t="shared" si="34"/>
        <v>-26.67</v>
      </c>
      <c r="Y51" s="2"/>
      <c r="Z51" s="6">
        <f t="shared" si="35"/>
        <v>-0.66675000000000006</v>
      </c>
    </row>
    <row r="52" spans="1:26" s="24" customFormat="1" hidden="1" outlineLevel="2" x14ac:dyDescent="0.25">
      <c r="A52" s="25"/>
      <c r="B52" s="11" t="str">
        <f>CONCATENATE("          ", "6342", " - ", "BAD DEBT")</f>
        <v xml:space="preserve">          6342 - BAD DEBT</v>
      </c>
      <c r="C52" s="11"/>
      <c r="D52" s="7"/>
      <c r="E52" s="2"/>
      <c r="F52" s="6">
        <f t="shared" si="28"/>
        <v>0</v>
      </c>
      <c r="G52" s="2"/>
      <c r="H52" s="7">
        <v>50</v>
      </c>
      <c r="I52" s="2"/>
      <c r="J52" s="6">
        <f t="shared" si="29"/>
        <v>1.5899868985079564E-4</v>
      </c>
      <c r="K52" s="2"/>
      <c r="L52" s="7">
        <f t="shared" si="30"/>
        <v>-50</v>
      </c>
      <c r="M52" s="2"/>
      <c r="N52" s="6">
        <f t="shared" si="31"/>
        <v>-1</v>
      </c>
      <c r="O52" s="11"/>
      <c r="P52" s="7"/>
      <c r="Q52" s="2"/>
      <c r="R52" s="6">
        <f t="shared" si="32"/>
        <v>0</v>
      </c>
      <c r="S52" s="2"/>
      <c r="T52" s="7">
        <v>100</v>
      </c>
      <c r="U52" s="2"/>
      <c r="V52" s="6">
        <f t="shared" si="33"/>
        <v>2.5439790376127302E-4</v>
      </c>
      <c r="W52" s="2"/>
      <c r="X52" s="7">
        <f t="shared" si="34"/>
        <v>-100</v>
      </c>
      <c r="Y52" s="2"/>
      <c r="Z52" s="6">
        <f t="shared" si="35"/>
        <v>-1</v>
      </c>
    </row>
    <row r="53" spans="1:26" s="26" customFormat="1" outlineLevel="1" collapsed="1" x14ac:dyDescent="0.25">
      <c r="A53" s="27"/>
      <c r="B53" s="13" t="str">
        <f>CONCATENATE("     ","Bank/card Fees                                    ")</f>
        <v xml:space="preserve">     Bank/card Fees                                    </v>
      </c>
      <c r="C53" s="13"/>
      <c r="D53" s="1">
        <f>SUM(OSRRefD22_4x_0)</f>
        <v>7.46</v>
      </c>
      <c r="E53" s="1"/>
      <c r="F53" s="5">
        <f t="shared" ref="F53:F69" si="36">IF(D$12=0,0,D53/D$12)</f>
        <v>2.1917538405417991E-5</v>
      </c>
      <c r="G53" s="1"/>
      <c r="H53" s="1">
        <f>SUM(OSRRefH22_4x_0)</f>
        <v>20</v>
      </c>
      <c r="I53" s="1"/>
      <c r="J53" s="5">
        <f t="shared" ref="J53:J69" si="37">IF(H$12=0,0,H53/H$12)</f>
        <v>6.3599475940318256E-5</v>
      </c>
      <c r="K53" s="1"/>
      <c r="L53" s="1">
        <f t="shared" ref="L53:L69" si="38">+D53-H53</f>
        <v>-12.54</v>
      </c>
      <c r="M53" s="1"/>
      <c r="N53" s="5">
        <f t="shared" ref="N53:N69" si="39">IF(H53=0,0,L53/H53)</f>
        <v>-0.627</v>
      </c>
      <c r="O53" s="13"/>
      <c r="P53" s="1">
        <f>SUM(OSRRefP22_4x_0)</f>
        <v>13.8</v>
      </c>
      <c r="Q53" s="1"/>
      <c r="R53" s="5">
        <f t="shared" ref="R53:R69" si="40">IF(P$12=0,0,P53/P$12)</f>
        <v>2.9607771688207678E-5</v>
      </c>
      <c r="S53" s="1"/>
      <c r="T53" s="1">
        <f>SUM(OSRRefT22_4x_0)</f>
        <v>60</v>
      </c>
      <c r="U53" s="1"/>
      <c r="V53" s="5">
        <f t="shared" ref="V53:V69" si="41">IF(T$12=0,0,T53/T$12)</f>
        <v>1.5263874225676381E-4</v>
      </c>
      <c r="W53" s="1"/>
      <c r="X53" s="1">
        <f t="shared" ref="X53:X69" si="42">+P53-T53</f>
        <v>-46.2</v>
      </c>
      <c r="Y53" s="1"/>
      <c r="Z53" s="5">
        <f t="shared" ref="Z53:Z69" si="43">IF(T53=0,0,X53/T53)</f>
        <v>-0.77</v>
      </c>
    </row>
    <row r="54" spans="1:26" s="24" customFormat="1" hidden="1" outlineLevel="2" x14ac:dyDescent="0.25">
      <c r="A54" s="25"/>
      <c r="B54" s="11" t="str">
        <f>CONCATENATE("          ", "6381", " - ", "BANK/CREDIT CARD FEES")</f>
        <v xml:space="preserve">          6381 - BANK/CREDIT CARD FEES</v>
      </c>
      <c r="C54" s="11"/>
      <c r="D54" s="7">
        <v>7.46</v>
      </c>
      <c r="E54" s="2"/>
      <c r="F54" s="6">
        <f t="shared" si="36"/>
        <v>2.1917538405417991E-5</v>
      </c>
      <c r="G54" s="2"/>
      <c r="H54" s="7">
        <v>20</v>
      </c>
      <c r="I54" s="2"/>
      <c r="J54" s="6">
        <f t="shared" si="37"/>
        <v>6.3599475940318256E-5</v>
      </c>
      <c r="K54" s="2"/>
      <c r="L54" s="7">
        <f t="shared" si="38"/>
        <v>-12.54</v>
      </c>
      <c r="M54" s="2"/>
      <c r="N54" s="6">
        <f t="shared" si="39"/>
        <v>-0.627</v>
      </c>
      <c r="O54" s="11"/>
      <c r="P54" s="7">
        <v>13.8</v>
      </c>
      <c r="Q54" s="2"/>
      <c r="R54" s="6">
        <f t="shared" si="40"/>
        <v>2.9607771688207678E-5</v>
      </c>
      <c r="S54" s="2"/>
      <c r="T54" s="7">
        <v>60</v>
      </c>
      <c r="U54" s="2"/>
      <c r="V54" s="6">
        <f t="shared" si="41"/>
        <v>1.5263874225676381E-4</v>
      </c>
      <c r="W54" s="2"/>
      <c r="X54" s="7">
        <f t="shared" si="42"/>
        <v>-46.2</v>
      </c>
      <c r="Y54" s="2"/>
      <c r="Z54" s="6">
        <f t="shared" si="43"/>
        <v>-0.77</v>
      </c>
    </row>
    <row r="55" spans="1:26" s="26" customFormat="1" outlineLevel="1" collapsed="1" x14ac:dyDescent="0.25">
      <c r="A55" s="27"/>
      <c r="B55" s="13" t="str">
        <f>CONCATENATE("     ","Donations                                         ")</f>
        <v xml:space="preserve">     Donations                                         </v>
      </c>
      <c r="C55" s="13"/>
      <c r="D55" s="1">
        <f>SUM(OSRRefD22_5x_0)</f>
        <v>3205.87</v>
      </c>
      <c r="E55" s="1"/>
      <c r="F55" s="5">
        <f t="shared" si="36"/>
        <v>9.4188711592194871E-3</v>
      </c>
      <c r="G55" s="1"/>
      <c r="H55" s="1">
        <f>SUM(OSRRefH22_5x_0)</f>
        <v>2830</v>
      </c>
      <c r="I55" s="1"/>
      <c r="J55" s="5">
        <f t="shared" si="37"/>
        <v>8.999325845555033E-3</v>
      </c>
      <c r="K55" s="1"/>
      <c r="L55" s="1">
        <f t="shared" si="38"/>
        <v>375.86999999999989</v>
      </c>
      <c r="M55" s="1"/>
      <c r="N55" s="5">
        <f t="shared" si="39"/>
        <v>0.1328162544169611</v>
      </c>
      <c r="O55" s="13"/>
      <c r="P55" s="1">
        <f>SUM(OSRRefP22_5x_0)</f>
        <v>5032.93</v>
      </c>
      <c r="Q55" s="1"/>
      <c r="R55" s="5">
        <f t="shared" si="40"/>
        <v>1.0798104519038483E-2</v>
      </c>
      <c r="S55" s="1"/>
      <c r="T55" s="1">
        <f>SUM(OSRRefT22_5x_0)</f>
        <v>3537</v>
      </c>
      <c r="U55" s="1"/>
      <c r="V55" s="5">
        <f t="shared" si="41"/>
        <v>8.9980538560362269E-3</v>
      </c>
      <c r="W55" s="1"/>
      <c r="X55" s="1">
        <f t="shared" si="42"/>
        <v>1495.9300000000003</v>
      </c>
      <c r="Y55" s="1"/>
      <c r="Z55" s="5">
        <f t="shared" si="43"/>
        <v>0.42293751767034216</v>
      </c>
    </row>
    <row r="56" spans="1:26" s="24" customFormat="1" hidden="1" outlineLevel="2" x14ac:dyDescent="0.25">
      <c r="A56" s="25"/>
      <c r="B56" s="11" t="str">
        <f>CONCATENATE("          ", "6399", " - ", "DONATION-ON CAMPUS")</f>
        <v xml:space="preserve">          6399 - DONATION-ON CAMPUS</v>
      </c>
      <c r="C56" s="11"/>
      <c r="D56" s="7">
        <v>3205.87</v>
      </c>
      <c r="E56" s="2"/>
      <c r="F56" s="6">
        <f t="shared" si="36"/>
        <v>9.4188711592194871E-3</v>
      </c>
      <c r="G56" s="2"/>
      <c r="H56" s="7">
        <v>2830</v>
      </c>
      <c r="I56" s="2"/>
      <c r="J56" s="6">
        <f t="shared" si="37"/>
        <v>8.999325845555033E-3</v>
      </c>
      <c r="K56" s="2"/>
      <c r="L56" s="7">
        <f t="shared" si="38"/>
        <v>375.86999999999989</v>
      </c>
      <c r="M56" s="2"/>
      <c r="N56" s="6">
        <f t="shared" si="39"/>
        <v>0.1328162544169611</v>
      </c>
      <c r="O56" s="11"/>
      <c r="P56" s="7">
        <v>5032.93</v>
      </c>
      <c r="Q56" s="2"/>
      <c r="R56" s="6">
        <f t="shared" si="40"/>
        <v>1.0798104519038483E-2</v>
      </c>
      <c r="S56" s="2"/>
      <c r="T56" s="7">
        <v>3537</v>
      </c>
      <c r="U56" s="2"/>
      <c r="V56" s="6">
        <f t="shared" si="41"/>
        <v>8.9980538560362269E-3</v>
      </c>
      <c r="W56" s="2"/>
      <c r="X56" s="7">
        <f t="shared" si="42"/>
        <v>1495.9300000000003</v>
      </c>
      <c r="Y56" s="2"/>
      <c r="Z56" s="6">
        <f t="shared" si="43"/>
        <v>0.42293751767034216</v>
      </c>
    </row>
    <row r="57" spans="1:26" s="26" customFormat="1" outlineLevel="1" collapsed="1" x14ac:dyDescent="0.25">
      <c r="A57" s="27"/>
      <c r="B57" s="13" t="str">
        <f>CONCATENATE("     ","Employees' Appreciation                           ")</f>
        <v xml:space="preserve">     Employees' Appreciation                           </v>
      </c>
      <c r="C57" s="13"/>
      <c r="D57" s="1">
        <f>SUM(OSRRefD22_6x_0)</f>
        <v>21.34</v>
      </c>
      <c r="E57" s="1"/>
      <c r="F57" s="5">
        <f t="shared" si="36"/>
        <v>6.269708707394369E-5</v>
      </c>
      <c r="G57" s="1"/>
      <c r="H57" s="1">
        <f>SUM(OSRRefH22_6x_0)</f>
        <v>0</v>
      </c>
      <c r="I57" s="1"/>
      <c r="J57" s="5">
        <f t="shared" si="37"/>
        <v>0</v>
      </c>
      <c r="K57" s="1"/>
      <c r="L57" s="1">
        <f t="shared" si="38"/>
        <v>21.34</v>
      </c>
      <c r="M57" s="1"/>
      <c r="N57" s="5">
        <f t="shared" si="39"/>
        <v>0</v>
      </c>
      <c r="O57" s="13"/>
      <c r="P57" s="1">
        <f>SUM(OSRRefP22_6x_0)</f>
        <v>21.34</v>
      </c>
      <c r="Q57" s="1"/>
      <c r="R57" s="5">
        <f t="shared" si="40"/>
        <v>4.5784771581619696E-5</v>
      </c>
      <c r="S57" s="1"/>
      <c r="T57" s="1">
        <f>SUM(OSRRefT22_6x_0)</f>
        <v>0</v>
      </c>
      <c r="U57" s="1"/>
      <c r="V57" s="5">
        <f t="shared" si="41"/>
        <v>0</v>
      </c>
      <c r="W57" s="1"/>
      <c r="X57" s="1">
        <f t="shared" si="42"/>
        <v>21.34</v>
      </c>
      <c r="Y57" s="1"/>
      <c r="Z57" s="5">
        <f t="shared" si="43"/>
        <v>0</v>
      </c>
    </row>
    <row r="58" spans="1:26" s="24" customFormat="1" hidden="1" outlineLevel="2" x14ac:dyDescent="0.25">
      <c r="A58" s="25"/>
      <c r="B58" s="11" t="str">
        <f>CONCATENATE("          ", "6277", " - ", "EMPLOYEE APPRECIATION")</f>
        <v xml:space="preserve">          6277 - EMPLOYEE APPRECIATION</v>
      </c>
      <c r="C58" s="11"/>
      <c r="D58" s="7">
        <v>21.34</v>
      </c>
      <c r="E58" s="2"/>
      <c r="F58" s="6">
        <f t="shared" si="36"/>
        <v>6.269708707394369E-5</v>
      </c>
      <c r="G58" s="2"/>
      <c r="H58" s="7">
        <v>0</v>
      </c>
      <c r="I58" s="2"/>
      <c r="J58" s="6">
        <f t="shared" si="37"/>
        <v>0</v>
      </c>
      <c r="K58" s="2"/>
      <c r="L58" s="7">
        <f t="shared" si="38"/>
        <v>21.34</v>
      </c>
      <c r="M58" s="2"/>
      <c r="N58" s="6">
        <f t="shared" si="39"/>
        <v>0</v>
      </c>
      <c r="O58" s="11"/>
      <c r="P58" s="7">
        <v>21.34</v>
      </c>
      <c r="Q58" s="2"/>
      <c r="R58" s="6">
        <f t="shared" si="40"/>
        <v>4.5784771581619696E-5</v>
      </c>
      <c r="S58" s="2"/>
      <c r="T58" s="7">
        <v>0</v>
      </c>
      <c r="U58" s="2"/>
      <c r="V58" s="6">
        <f t="shared" si="41"/>
        <v>0</v>
      </c>
      <c r="W58" s="2"/>
      <c r="X58" s="7">
        <f t="shared" si="42"/>
        <v>21.34</v>
      </c>
      <c r="Y58" s="2"/>
      <c r="Z58" s="6">
        <f t="shared" si="43"/>
        <v>0</v>
      </c>
    </row>
    <row r="59" spans="1:26" s="26" customFormat="1" outlineLevel="1" collapsed="1" x14ac:dyDescent="0.25">
      <c r="A59" s="27"/>
      <c r="B59" s="13" t="str">
        <f>CONCATENATE("     ","Equipment Rental                                  ")</f>
        <v xml:space="preserve">     Equipment Rental                                  </v>
      </c>
      <c r="C59" s="13"/>
      <c r="D59" s="1">
        <f>SUM(OSRRefD22_7x_0)</f>
        <v>-732.6</v>
      </c>
      <c r="E59" s="1"/>
      <c r="F59" s="5">
        <f t="shared" si="36"/>
        <v>-2.1523845356312631E-3</v>
      </c>
      <c r="G59" s="1"/>
      <c r="H59" s="1">
        <f>SUM(OSRRefH22_7x_0)</f>
        <v>0</v>
      </c>
      <c r="I59" s="1"/>
      <c r="J59" s="5">
        <f t="shared" si="37"/>
        <v>0</v>
      </c>
      <c r="K59" s="1"/>
      <c r="L59" s="1">
        <f t="shared" si="38"/>
        <v>-732.6</v>
      </c>
      <c r="M59" s="1"/>
      <c r="N59" s="5">
        <f t="shared" si="39"/>
        <v>0</v>
      </c>
      <c r="O59" s="13"/>
      <c r="P59" s="1">
        <f>SUM(OSRRefP22_7x_0)</f>
        <v>0.01</v>
      </c>
      <c r="Q59" s="1"/>
      <c r="R59" s="5">
        <f t="shared" si="40"/>
        <v>2.1454907020440347E-8</v>
      </c>
      <c r="S59" s="1"/>
      <c r="T59" s="1">
        <f>SUM(OSRRefT22_7x_0)</f>
        <v>0</v>
      </c>
      <c r="U59" s="1"/>
      <c r="V59" s="5">
        <f t="shared" si="41"/>
        <v>0</v>
      </c>
      <c r="W59" s="1"/>
      <c r="X59" s="1">
        <f t="shared" si="42"/>
        <v>0.01</v>
      </c>
      <c r="Y59" s="1"/>
      <c r="Z59" s="5">
        <f t="shared" si="43"/>
        <v>0</v>
      </c>
    </row>
    <row r="60" spans="1:26" s="24" customFormat="1" hidden="1" outlineLevel="2" x14ac:dyDescent="0.25">
      <c r="A60" s="25"/>
      <c r="B60" s="11" t="str">
        <f>CONCATENATE("          ", "6351", " - ", "EQUIPMENT RENTAL")</f>
        <v xml:space="preserve">          6351 - EQUIPMENT RENTAL</v>
      </c>
      <c r="C60" s="11"/>
      <c r="D60" s="7">
        <v>-732.6</v>
      </c>
      <c r="E60" s="2"/>
      <c r="F60" s="6">
        <f t="shared" si="36"/>
        <v>-2.1523845356312631E-3</v>
      </c>
      <c r="G60" s="2"/>
      <c r="H60" s="7"/>
      <c r="I60" s="2"/>
      <c r="J60" s="6">
        <f t="shared" si="37"/>
        <v>0</v>
      </c>
      <c r="K60" s="2"/>
      <c r="L60" s="7">
        <f t="shared" si="38"/>
        <v>-732.6</v>
      </c>
      <c r="M60" s="2"/>
      <c r="N60" s="6">
        <f t="shared" si="39"/>
        <v>0</v>
      </c>
      <c r="O60" s="11"/>
      <c r="P60" s="7">
        <v>0.01</v>
      </c>
      <c r="Q60" s="2"/>
      <c r="R60" s="6">
        <f t="shared" si="40"/>
        <v>2.1454907020440347E-8</v>
      </c>
      <c r="S60" s="2"/>
      <c r="T60" s="7"/>
      <c r="U60" s="2"/>
      <c r="V60" s="6">
        <f t="shared" si="41"/>
        <v>0</v>
      </c>
      <c r="W60" s="2"/>
      <c r="X60" s="7">
        <f t="shared" si="42"/>
        <v>0.01</v>
      </c>
      <c r="Y60" s="2"/>
      <c r="Z60" s="6">
        <f t="shared" si="43"/>
        <v>0</v>
      </c>
    </row>
    <row r="61" spans="1:26" s="26" customFormat="1" outlineLevel="1" collapsed="1" x14ac:dyDescent="0.25">
      <c r="A61" s="27"/>
      <c r="B61" s="13" t="str">
        <f>CONCATENATE("     ","General                                           ")</f>
        <v xml:space="preserve">     General                                           </v>
      </c>
      <c r="C61" s="13"/>
      <c r="D61" s="1">
        <f>SUM(OSRRefD22_8x_0)</f>
        <v>0</v>
      </c>
      <c r="E61" s="1"/>
      <c r="F61" s="5">
        <f t="shared" si="36"/>
        <v>0</v>
      </c>
      <c r="G61" s="1"/>
      <c r="H61" s="1">
        <f>SUM(OSRRefH22_8x_0)</f>
        <v>275</v>
      </c>
      <c r="I61" s="1"/>
      <c r="J61" s="5">
        <f t="shared" si="37"/>
        <v>8.7449279417937595E-4</v>
      </c>
      <c r="K61" s="1"/>
      <c r="L61" s="1">
        <f t="shared" si="38"/>
        <v>-275</v>
      </c>
      <c r="M61" s="1"/>
      <c r="N61" s="5">
        <f t="shared" si="39"/>
        <v>-1</v>
      </c>
      <c r="O61" s="13"/>
      <c r="P61" s="1">
        <f>SUM(OSRRefP22_8x_0)</f>
        <v>1517.11</v>
      </c>
      <c r="Q61" s="1"/>
      <c r="R61" s="5">
        <f t="shared" si="40"/>
        <v>3.2549453989780251E-3</v>
      </c>
      <c r="S61" s="1"/>
      <c r="T61" s="1">
        <f>SUM(OSRRefT22_8x_0)</f>
        <v>825</v>
      </c>
      <c r="U61" s="1"/>
      <c r="V61" s="5">
        <f t="shared" si="41"/>
        <v>2.0987827060305023E-3</v>
      </c>
      <c r="W61" s="1"/>
      <c r="X61" s="1">
        <f t="shared" si="42"/>
        <v>692.1099999999999</v>
      </c>
      <c r="Y61" s="1"/>
      <c r="Z61" s="5">
        <f t="shared" si="43"/>
        <v>0.83892121212121196</v>
      </c>
    </row>
    <row r="62" spans="1:26" s="24" customFormat="1" hidden="1" outlineLevel="2" x14ac:dyDescent="0.25">
      <c r="A62" s="25"/>
      <c r="B62" s="11" t="str">
        <f>CONCATENATE("          ", "6279", " - ", "GENERAL EXPENSE")</f>
        <v xml:space="preserve">          6279 - GENERAL EXPENSE</v>
      </c>
      <c r="C62" s="11"/>
      <c r="D62" s="7"/>
      <c r="E62" s="2"/>
      <c r="F62" s="6">
        <f t="shared" si="36"/>
        <v>0</v>
      </c>
      <c r="G62" s="2"/>
      <c r="H62" s="7">
        <v>275</v>
      </c>
      <c r="I62" s="2"/>
      <c r="J62" s="6">
        <f t="shared" si="37"/>
        <v>8.7449279417937595E-4</v>
      </c>
      <c r="K62" s="2"/>
      <c r="L62" s="7">
        <f t="shared" si="38"/>
        <v>-275</v>
      </c>
      <c r="M62" s="2"/>
      <c r="N62" s="6">
        <f t="shared" si="39"/>
        <v>-1</v>
      </c>
      <c r="O62" s="11"/>
      <c r="P62" s="7">
        <v>1517.11</v>
      </c>
      <c r="Q62" s="2"/>
      <c r="R62" s="6">
        <f t="shared" si="40"/>
        <v>3.2549453989780251E-3</v>
      </c>
      <c r="S62" s="2"/>
      <c r="T62" s="7">
        <v>825</v>
      </c>
      <c r="U62" s="2"/>
      <c r="V62" s="6">
        <f t="shared" si="41"/>
        <v>2.0987827060305023E-3</v>
      </c>
      <c r="W62" s="2"/>
      <c r="X62" s="7">
        <f t="shared" si="42"/>
        <v>692.1099999999999</v>
      </c>
      <c r="Y62" s="2"/>
      <c r="Z62" s="6">
        <f t="shared" si="43"/>
        <v>0.83892121212121196</v>
      </c>
    </row>
    <row r="63" spans="1:26" s="26" customFormat="1" outlineLevel="1" collapsed="1" x14ac:dyDescent="0.25">
      <c r="A63" s="27"/>
      <c r="B63" s="13" t="str">
        <f>CONCATENATE("     ","Insurance                                         ")</f>
        <v xml:space="preserve">     Insurance                                         </v>
      </c>
      <c r="C63" s="13"/>
      <c r="D63" s="1">
        <f>SUM(OSRRefD22_9x_0)</f>
        <v>5.9</v>
      </c>
      <c r="E63" s="1"/>
      <c r="F63" s="5">
        <f t="shared" si="36"/>
        <v>1.7334246191952567E-5</v>
      </c>
      <c r="G63" s="1"/>
      <c r="H63" s="1">
        <f>SUM(OSRRefH22_9x_0)</f>
        <v>5</v>
      </c>
      <c r="I63" s="1"/>
      <c r="J63" s="5">
        <f t="shared" si="37"/>
        <v>1.5899868985079564E-5</v>
      </c>
      <c r="K63" s="1"/>
      <c r="L63" s="1">
        <f t="shared" si="38"/>
        <v>0.90000000000000036</v>
      </c>
      <c r="M63" s="1"/>
      <c r="N63" s="5">
        <f t="shared" si="39"/>
        <v>0.18000000000000008</v>
      </c>
      <c r="O63" s="13"/>
      <c r="P63" s="1">
        <f>SUM(OSRRefP22_9x_0)</f>
        <v>17.7</v>
      </c>
      <c r="Q63" s="1"/>
      <c r="R63" s="5">
        <f t="shared" si="40"/>
        <v>3.7975185426179411E-5</v>
      </c>
      <c r="S63" s="1"/>
      <c r="T63" s="1">
        <f>SUM(OSRRefT22_9x_0)</f>
        <v>15</v>
      </c>
      <c r="U63" s="1"/>
      <c r="V63" s="5">
        <f t="shared" si="41"/>
        <v>3.8159685564190952E-5</v>
      </c>
      <c r="W63" s="1"/>
      <c r="X63" s="1">
        <f t="shared" si="42"/>
        <v>2.6999999999999993</v>
      </c>
      <c r="Y63" s="1"/>
      <c r="Z63" s="5">
        <f t="shared" si="43"/>
        <v>0.17999999999999997</v>
      </c>
    </row>
    <row r="64" spans="1:26" s="24" customFormat="1" hidden="1" outlineLevel="2" x14ac:dyDescent="0.25">
      <c r="A64" s="25"/>
      <c r="B64" s="11" t="str">
        <f>CONCATENATE("          ", "6314", " - ", "LIABILITY INSURANCE")</f>
        <v xml:space="preserve">          6314 - LIABILITY INSURANCE</v>
      </c>
      <c r="C64" s="11"/>
      <c r="D64" s="7">
        <v>5.9</v>
      </c>
      <c r="E64" s="2"/>
      <c r="F64" s="6">
        <f t="shared" si="36"/>
        <v>1.7334246191952567E-5</v>
      </c>
      <c r="G64" s="2"/>
      <c r="H64" s="7">
        <v>5</v>
      </c>
      <c r="I64" s="2"/>
      <c r="J64" s="6">
        <f t="shared" si="37"/>
        <v>1.5899868985079564E-5</v>
      </c>
      <c r="K64" s="2"/>
      <c r="L64" s="7">
        <f t="shared" si="38"/>
        <v>0.90000000000000036</v>
      </c>
      <c r="M64" s="2"/>
      <c r="N64" s="6">
        <f t="shared" si="39"/>
        <v>0.18000000000000008</v>
      </c>
      <c r="O64" s="11"/>
      <c r="P64" s="7">
        <v>17.7</v>
      </c>
      <c r="Q64" s="2"/>
      <c r="R64" s="6">
        <f t="shared" si="40"/>
        <v>3.7975185426179411E-5</v>
      </c>
      <c r="S64" s="2"/>
      <c r="T64" s="7">
        <v>15</v>
      </c>
      <c r="U64" s="2"/>
      <c r="V64" s="6">
        <f t="shared" si="41"/>
        <v>3.8159685564190952E-5</v>
      </c>
      <c r="W64" s="2"/>
      <c r="X64" s="7">
        <f t="shared" si="42"/>
        <v>2.6999999999999993</v>
      </c>
      <c r="Y64" s="2"/>
      <c r="Z64" s="6">
        <f t="shared" si="43"/>
        <v>0.17999999999999997</v>
      </c>
    </row>
    <row r="65" spans="1:26" s="26" customFormat="1" outlineLevel="1" collapsed="1" x14ac:dyDescent="0.25">
      <c r="A65" s="27"/>
      <c r="B65" s="13" t="str">
        <f>CONCATENATE("     ","R/H Commissions                                   ")</f>
        <v xml:space="preserve">     R/H Commissions                                   </v>
      </c>
      <c r="C65" s="13"/>
      <c r="D65" s="1">
        <f>SUM(OSRRefD22_10x_0)</f>
        <v>25211.929999999997</v>
      </c>
      <c r="E65" s="1"/>
      <c r="F65" s="5">
        <f t="shared" si="36"/>
        <v>7.4072847727843158E-2</v>
      </c>
      <c r="G65" s="1"/>
      <c r="H65" s="1">
        <f>SUM(OSRRefH22_10x_0)</f>
        <v>25157</v>
      </c>
      <c r="I65" s="1"/>
      <c r="J65" s="5">
        <f t="shared" si="37"/>
        <v>7.9998600811529319E-2</v>
      </c>
      <c r="K65" s="1"/>
      <c r="L65" s="1">
        <f t="shared" si="38"/>
        <v>54.929999999996653</v>
      </c>
      <c r="M65" s="1"/>
      <c r="N65" s="5">
        <f t="shared" si="39"/>
        <v>2.1834876972610666E-3</v>
      </c>
      <c r="O65" s="13"/>
      <c r="P65" s="1">
        <f>SUM(OSRRefP22_10x_0)</f>
        <v>35153.129999999997</v>
      </c>
      <c r="Q65" s="1"/>
      <c r="R65" s="5">
        <f t="shared" si="40"/>
        <v>7.5420713562745212E-2</v>
      </c>
      <c r="S65" s="1"/>
      <c r="T65" s="1">
        <f>SUM(OSRRefT22_10x_0)</f>
        <v>31446</v>
      </c>
      <c r="U65" s="1"/>
      <c r="V65" s="5">
        <f t="shared" si="41"/>
        <v>7.9997964816769906E-2</v>
      </c>
      <c r="W65" s="1"/>
      <c r="X65" s="1">
        <f t="shared" si="42"/>
        <v>3707.1299999999974</v>
      </c>
      <c r="Y65" s="1"/>
      <c r="Z65" s="5">
        <f t="shared" si="43"/>
        <v>0.11788876168670093</v>
      </c>
    </row>
    <row r="66" spans="1:26" s="24" customFormat="1" hidden="1" outlineLevel="2" x14ac:dyDescent="0.25">
      <c r="A66" s="25"/>
      <c r="B66" s="11" t="str">
        <f>CONCATENATE("          ", "6387", " - ", "COMMISSION DUE HOUSING")</f>
        <v xml:space="preserve">          6387 - COMMISSION DUE HOUSING</v>
      </c>
      <c r="C66" s="11"/>
      <c r="D66" s="7">
        <v>25211.929999999997</v>
      </c>
      <c r="E66" s="2"/>
      <c r="F66" s="6">
        <f t="shared" si="36"/>
        <v>7.4072847727843158E-2</v>
      </c>
      <c r="G66" s="2"/>
      <c r="H66" s="7">
        <v>25157</v>
      </c>
      <c r="I66" s="2"/>
      <c r="J66" s="6">
        <f t="shared" si="37"/>
        <v>7.9998600811529319E-2</v>
      </c>
      <c r="K66" s="2"/>
      <c r="L66" s="7">
        <f t="shared" si="38"/>
        <v>54.929999999996653</v>
      </c>
      <c r="M66" s="2"/>
      <c r="N66" s="6">
        <f t="shared" si="39"/>
        <v>2.1834876972610666E-3</v>
      </c>
      <c r="O66" s="11"/>
      <c r="P66" s="7">
        <v>35153.129999999997</v>
      </c>
      <c r="Q66" s="2"/>
      <c r="R66" s="6">
        <f t="shared" si="40"/>
        <v>7.5420713562745212E-2</v>
      </c>
      <c r="S66" s="2"/>
      <c r="T66" s="7">
        <v>31446</v>
      </c>
      <c r="U66" s="2"/>
      <c r="V66" s="6">
        <f t="shared" si="41"/>
        <v>7.9997964816769906E-2</v>
      </c>
      <c r="W66" s="2"/>
      <c r="X66" s="7">
        <f t="shared" si="42"/>
        <v>3707.1299999999974</v>
      </c>
      <c r="Y66" s="2"/>
      <c r="Z66" s="6">
        <f t="shared" si="43"/>
        <v>0.11788876168670093</v>
      </c>
    </row>
    <row r="67" spans="1:26" s="26" customFormat="1" outlineLevel="1" collapsed="1" x14ac:dyDescent="0.25">
      <c r="A67" s="27"/>
      <c r="B67" s="13" t="str">
        <f>CONCATENATE("     ","Repair and Maintenance                            ")</f>
        <v xml:space="preserve">     Repair and Maintenance                            </v>
      </c>
      <c r="C67" s="13"/>
      <c r="D67" s="1">
        <f>SUM(OSRRefD22_11x_0)</f>
        <v>0</v>
      </c>
      <c r="E67" s="1"/>
      <c r="F67" s="5">
        <f t="shared" si="36"/>
        <v>0</v>
      </c>
      <c r="G67" s="1"/>
      <c r="H67" s="1">
        <f>SUM(OSRRefH22_11x_0)</f>
        <v>567</v>
      </c>
      <c r="I67" s="1"/>
      <c r="J67" s="5">
        <f t="shared" si="37"/>
        <v>1.8030451429080225E-3</v>
      </c>
      <c r="K67" s="1"/>
      <c r="L67" s="1">
        <f t="shared" si="38"/>
        <v>-567</v>
      </c>
      <c r="M67" s="1"/>
      <c r="N67" s="5">
        <f t="shared" si="39"/>
        <v>-1</v>
      </c>
      <c r="O67" s="13"/>
      <c r="P67" s="1">
        <f>SUM(OSRRefP22_11x_0)</f>
        <v>0</v>
      </c>
      <c r="Q67" s="1"/>
      <c r="R67" s="5">
        <f t="shared" si="40"/>
        <v>0</v>
      </c>
      <c r="S67" s="1"/>
      <c r="T67" s="1">
        <f>SUM(OSRRefT22_11x_0)</f>
        <v>1561</v>
      </c>
      <c r="U67" s="1"/>
      <c r="V67" s="5">
        <f t="shared" si="41"/>
        <v>3.971151277713472E-3</v>
      </c>
      <c r="W67" s="1"/>
      <c r="X67" s="1">
        <f t="shared" si="42"/>
        <v>-1561</v>
      </c>
      <c r="Y67" s="1"/>
      <c r="Z67" s="5">
        <f t="shared" si="43"/>
        <v>-1</v>
      </c>
    </row>
    <row r="68" spans="1:26" s="24" customFormat="1" hidden="1" outlineLevel="2" x14ac:dyDescent="0.25">
      <c r="A68" s="25"/>
      <c r="B68" s="11" t="str">
        <f>CONCATENATE("          ", "6371", " - ", "COMPUTER SOFTWARE MAINTENANCE")</f>
        <v xml:space="preserve">          6371 - COMPUTER SOFTWARE MAINTENANCE</v>
      </c>
      <c r="C68" s="11"/>
      <c r="D68" s="7"/>
      <c r="E68" s="2"/>
      <c r="F68" s="6">
        <f t="shared" si="36"/>
        <v>0</v>
      </c>
      <c r="G68" s="2"/>
      <c r="H68" s="7">
        <v>497</v>
      </c>
      <c r="I68" s="2"/>
      <c r="J68" s="6">
        <f t="shared" si="37"/>
        <v>1.5804469771169085E-3</v>
      </c>
      <c r="K68" s="2"/>
      <c r="L68" s="7">
        <f t="shared" si="38"/>
        <v>-497</v>
      </c>
      <c r="M68" s="2"/>
      <c r="N68" s="6">
        <f t="shared" si="39"/>
        <v>-1</v>
      </c>
      <c r="O68" s="11"/>
      <c r="P68" s="7"/>
      <c r="Q68" s="2"/>
      <c r="R68" s="6">
        <f t="shared" si="40"/>
        <v>0</v>
      </c>
      <c r="S68" s="2"/>
      <c r="T68" s="7">
        <v>1491</v>
      </c>
      <c r="U68" s="2"/>
      <c r="V68" s="6">
        <f t="shared" si="41"/>
        <v>3.7930727450805803E-3</v>
      </c>
      <c r="W68" s="2"/>
      <c r="X68" s="7">
        <f t="shared" si="42"/>
        <v>-1491</v>
      </c>
      <c r="Y68" s="2"/>
      <c r="Z68" s="6">
        <f t="shared" si="43"/>
        <v>-1</v>
      </c>
    </row>
    <row r="69" spans="1:26" s="24" customFormat="1" hidden="1" outlineLevel="2" x14ac:dyDescent="0.25">
      <c r="A69" s="25"/>
      <c r="B69" s="11" t="str">
        <f>CONCATENATE("          ", "6372", " - ", "COMPUTER HARDWARE MAINTENANCE")</f>
        <v xml:space="preserve">          6372 - COMPUTER HARDWARE MAINTENANCE</v>
      </c>
      <c r="C69" s="11"/>
      <c r="D69" s="7"/>
      <c r="E69" s="2"/>
      <c r="F69" s="6">
        <f t="shared" si="36"/>
        <v>0</v>
      </c>
      <c r="G69" s="2"/>
      <c r="H69" s="7">
        <v>70</v>
      </c>
      <c r="I69" s="2"/>
      <c r="J69" s="6">
        <f t="shared" si="37"/>
        <v>2.2259816579111387E-4</v>
      </c>
      <c r="K69" s="2"/>
      <c r="L69" s="7">
        <f t="shared" si="38"/>
        <v>-70</v>
      </c>
      <c r="M69" s="2"/>
      <c r="N69" s="6">
        <f t="shared" si="39"/>
        <v>-1</v>
      </c>
      <c r="O69" s="11"/>
      <c r="P69" s="7"/>
      <c r="Q69" s="2"/>
      <c r="R69" s="6">
        <f t="shared" si="40"/>
        <v>0</v>
      </c>
      <c r="S69" s="2"/>
      <c r="T69" s="7">
        <v>70</v>
      </c>
      <c r="U69" s="2"/>
      <c r="V69" s="6">
        <f t="shared" si="41"/>
        <v>1.7807853263289111E-4</v>
      </c>
      <c r="W69" s="2"/>
      <c r="X69" s="7">
        <f t="shared" si="42"/>
        <v>-70</v>
      </c>
      <c r="Y69" s="2"/>
      <c r="Z69" s="6">
        <f t="shared" si="43"/>
        <v>-1</v>
      </c>
    </row>
    <row r="70" spans="1:26" s="26" customFormat="1" outlineLevel="1" collapsed="1" x14ac:dyDescent="0.25">
      <c r="A70" s="27"/>
      <c r="B70" s="13" t="str">
        <f>CONCATENATE("     ","Services                                          ")</f>
        <v xml:space="preserve">     Services                                          </v>
      </c>
      <c r="C70" s="13"/>
      <c r="D70" s="1">
        <f>SUM(OSRRefD22_12x_0)</f>
        <v>6202.71</v>
      </c>
      <c r="E70" s="1"/>
      <c r="F70" s="5">
        <f t="shared" ref="F70:F73" si="44">IF(D$12=0,0,D70/D$12)</f>
        <v>1.8223610541912901E-2</v>
      </c>
      <c r="G70" s="1"/>
      <c r="H70" s="1">
        <f>SUM(OSRRefH22_12x_0)</f>
        <v>6202</v>
      </c>
      <c r="I70" s="1"/>
      <c r="J70" s="5">
        <f t="shared" ref="J70:J73" si="45">IF(H$12=0,0,H70/H$12)</f>
        <v>1.972219748909269E-2</v>
      </c>
      <c r="K70" s="1"/>
      <c r="L70" s="1">
        <f t="shared" ref="L70:L73" si="46">+D70-H70</f>
        <v>0.71000000000003638</v>
      </c>
      <c r="M70" s="1"/>
      <c r="N70" s="5">
        <f t="shared" ref="N70:N73" si="47">IF(H70=0,0,L70/H70)</f>
        <v>1.1447920025798717E-4</v>
      </c>
      <c r="O70" s="13"/>
      <c r="P70" s="1">
        <f>SUM(OSRRefP22_12x_0)</f>
        <v>19410.919999999998</v>
      </c>
      <c r="Q70" s="1"/>
      <c r="R70" s="5">
        <f t="shared" ref="R70:R73" si="48">IF(P$12=0,0,P70/P$12)</f>
        <v>4.1645948378120586E-2</v>
      </c>
      <c r="S70" s="1"/>
      <c r="T70" s="1">
        <f>SUM(OSRRefT22_12x_0)</f>
        <v>13154</v>
      </c>
      <c r="U70" s="1"/>
      <c r="V70" s="5">
        <f t="shared" ref="V70:V73" si="49">IF(T$12=0,0,T70/T$12)</f>
        <v>3.3463500260757853E-2</v>
      </c>
      <c r="W70" s="1"/>
      <c r="X70" s="1">
        <f t="shared" ref="X70:X73" si="50">+P70-T70</f>
        <v>6256.9199999999983</v>
      </c>
      <c r="Y70" s="1"/>
      <c r="Z70" s="5">
        <f t="shared" ref="Z70:Z73" si="51">IF(T70=0,0,X70/T70)</f>
        <v>0.47566671734833499</v>
      </c>
    </row>
    <row r="71" spans="1:26" s="24" customFormat="1" hidden="1" outlineLevel="2" x14ac:dyDescent="0.25">
      <c r="A71" s="25"/>
      <c r="B71" s="11" t="str">
        <f>CONCATENATE("          ", "6282", " - ", "JANITORIAL/EXTERMINATOR EXPENS")</f>
        <v xml:space="preserve">          6282 - JANITORIAL/EXTERMINATOR EXPENS</v>
      </c>
      <c r="C71" s="11"/>
      <c r="D71" s="7">
        <v>669.64</v>
      </c>
      <c r="E71" s="2"/>
      <c r="F71" s="6">
        <f t="shared" si="44"/>
        <v>1.9674075627083248E-3</v>
      </c>
      <c r="G71" s="2"/>
      <c r="H71" s="7">
        <v>750</v>
      </c>
      <c r="I71" s="2"/>
      <c r="J71" s="6">
        <f t="shared" si="45"/>
        <v>2.3849803477619344E-3</v>
      </c>
      <c r="K71" s="2"/>
      <c r="L71" s="7">
        <f t="shared" si="46"/>
        <v>-80.360000000000014</v>
      </c>
      <c r="M71" s="2"/>
      <c r="N71" s="6">
        <f t="shared" si="47"/>
        <v>-0.10714666666666668</v>
      </c>
      <c r="O71" s="11"/>
      <c r="P71" s="7">
        <v>2158.92</v>
      </c>
      <c r="Q71" s="2"/>
      <c r="R71" s="6">
        <f t="shared" si="48"/>
        <v>4.6319427864569074E-3</v>
      </c>
      <c r="S71" s="2"/>
      <c r="T71" s="7">
        <v>2250</v>
      </c>
      <c r="U71" s="2"/>
      <c r="V71" s="6">
        <f t="shared" si="49"/>
        <v>5.7239528346286423E-3</v>
      </c>
      <c r="W71" s="2"/>
      <c r="X71" s="7">
        <f t="shared" si="50"/>
        <v>-91.079999999999927</v>
      </c>
      <c r="Y71" s="2"/>
      <c r="Z71" s="6">
        <f t="shared" si="51"/>
        <v>-4.0479999999999967E-2</v>
      </c>
    </row>
    <row r="72" spans="1:26" s="24" customFormat="1" hidden="1" outlineLevel="2" x14ac:dyDescent="0.25">
      <c r="A72" s="25"/>
      <c r="B72" s="11" t="str">
        <f>CONCATENATE("          ", "6285", " - ", "JANITORIAL SERVICES")</f>
        <v xml:space="preserve">          6285 - JANITORIAL SERVICES</v>
      </c>
      <c r="C72" s="11"/>
      <c r="D72" s="7">
        <v>3799.27</v>
      </c>
      <c r="E72" s="2"/>
      <c r="F72" s="6">
        <f t="shared" si="44"/>
        <v>1.1162285005033835E-2</v>
      </c>
      <c r="G72" s="2"/>
      <c r="H72" s="7">
        <v>3852</v>
      </c>
      <c r="I72" s="2"/>
      <c r="J72" s="6">
        <f t="shared" si="45"/>
        <v>1.2249259066105295E-2</v>
      </c>
      <c r="K72" s="2"/>
      <c r="L72" s="7">
        <f t="shared" si="46"/>
        <v>-52.730000000000018</v>
      </c>
      <c r="M72" s="2"/>
      <c r="N72" s="6">
        <f t="shared" si="47"/>
        <v>-1.3688992731048811E-2</v>
      </c>
      <c r="O72" s="11"/>
      <c r="P72" s="7">
        <v>12463.31</v>
      </c>
      <c r="Q72" s="2"/>
      <c r="R72" s="6">
        <f t="shared" si="48"/>
        <v>2.6739915721692434E-2</v>
      </c>
      <c r="S72" s="2"/>
      <c r="T72" s="7">
        <v>7704</v>
      </c>
      <c r="U72" s="2"/>
      <c r="V72" s="6">
        <f t="shared" si="49"/>
        <v>1.9598814505768471E-2</v>
      </c>
      <c r="W72" s="2"/>
      <c r="X72" s="7">
        <f t="shared" si="50"/>
        <v>4759.3099999999995</v>
      </c>
      <c r="Y72" s="2"/>
      <c r="Z72" s="6">
        <f t="shared" si="51"/>
        <v>0.61777128764278288</v>
      </c>
    </row>
    <row r="73" spans="1:26" s="24" customFormat="1" hidden="1" outlineLevel="2" x14ac:dyDescent="0.25">
      <c r="A73" s="25"/>
      <c r="B73" s="11" t="str">
        <f>CONCATENATE("          ", "6286", " - ", "LAUNDRY EXPENSE")</f>
        <v xml:space="preserve">          6286 - LAUNDRY EXPENSE</v>
      </c>
      <c r="C73" s="11"/>
      <c r="D73" s="7">
        <v>1733.8</v>
      </c>
      <c r="E73" s="2"/>
      <c r="F73" s="6">
        <f t="shared" si="44"/>
        <v>5.0939179741707388E-3</v>
      </c>
      <c r="G73" s="2"/>
      <c r="H73" s="7">
        <v>1600</v>
      </c>
      <c r="I73" s="2"/>
      <c r="J73" s="6">
        <f t="shared" si="45"/>
        <v>5.0879580752254605E-3</v>
      </c>
      <c r="K73" s="2"/>
      <c r="L73" s="7">
        <f t="shared" si="46"/>
        <v>133.79999999999995</v>
      </c>
      <c r="M73" s="2"/>
      <c r="N73" s="6">
        <f t="shared" si="47"/>
        <v>8.3624999999999977E-2</v>
      </c>
      <c r="O73" s="11"/>
      <c r="P73" s="7">
        <v>4788.6899999999996</v>
      </c>
      <c r="Q73" s="2"/>
      <c r="R73" s="6">
        <f t="shared" si="48"/>
        <v>1.0274089869971248E-2</v>
      </c>
      <c r="S73" s="2"/>
      <c r="T73" s="7">
        <v>3200</v>
      </c>
      <c r="U73" s="2"/>
      <c r="V73" s="6">
        <f t="shared" si="49"/>
        <v>8.1407329203607368E-3</v>
      </c>
      <c r="W73" s="2"/>
      <c r="X73" s="7">
        <f t="shared" si="50"/>
        <v>1588.6899999999996</v>
      </c>
      <c r="Y73" s="2"/>
      <c r="Z73" s="6">
        <f t="shared" si="51"/>
        <v>0.49646562499999985</v>
      </c>
    </row>
    <row r="74" spans="1:26" s="26" customFormat="1" outlineLevel="1" collapsed="1" x14ac:dyDescent="0.25">
      <c r="A74" s="27"/>
      <c r="B74" s="13" t="str">
        <f>CONCATENATE("     ","Supplies                                          ")</f>
        <v xml:space="preserve">     Supplies                                          </v>
      </c>
      <c r="C74" s="13"/>
      <c r="D74" s="1">
        <f>SUM(OSRRefD22_13x_0)</f>
        <v>3035.87</v>
      </c>
      <c r="E74" s="1"/>
      <c r="F74" s="5">
        <f t="shared" ref="F74:F80" si="52">IF(D$12=0,0,D74/D$12)</f>
        <v>8.9194098282649216E-3</v>
      </c>
      <c r="G74" s="1"/>
      <c r="H74" s="1">
        <f>SUM(OSRRefH22_13x_0)</f>
        <v>5088</v>
      </c>
      <c r="I74" s="1"/>
      <c r="J74" s="5">
        <f t="shared" ref="J74:J80" si="53">IF(H$12=0,0,H74/H$12)</f>
        <v>1.6179706679216962E-2</v>
      </c>
      <c r="K74" s="1"/>
      <c r="L74" s="1">
        <f t="shared" ref="L74:L80" si="54">+D74-H74</f>
        <v>-2052.13</v>
      </c>
      <c r="M74" s="1"/>
      <c r="N74" s="5">
        <f t="shared" ref="N74:N80" si="55">IF(H74=0,0,L74/H74)</f>
        <v>-0.40332743710691826</v>
      </c>
      <c r="O74" s="13"/>
      <c r="P74" s="1">
        <f>SUM(OSRRefP22_13x_0)</f>
        <v>21231.1</v>
      </c>
      <c r="Q74" s="1"/>
      <c r="R74" s="5">
        <f t="shared" ref="R74:R80" si="56">IF(P$12=0,0,P74/P$12)</f>
        <v>4.5551127644167098E-2</v>
      </c>
      <c r="S74" s="1"/>
      <c r="T74" s="1">
        <f>SUM(OSRRefT22_13x_0)</f>
        <v>13676</v>
      </c>
      <c r="U74" s="1"/>
      <c r="V74" s="5">
        <f t="shared" ref="V74:V80" si="57">IF(T$12=0,0,T74/T$12)</f>
        <v>3.47914573183917E-2</v>
      </c>
      <c r="W74" s="1"/>
      <c r="X74" s="1">
        <f t="shared" ref="X74:X80" si="58">+P74-T74</f>
        <v>7555.0999999999985</v>
      </c>
      <c r="Y74" s="1"/>
      <c r="Z74" s="5">
        <f t="shared" ref="Z74:Z80" si="59">IF(T74=0,0,X74/T74)</f>
        <v>0.55243492249195658</v>
      </c>
    </row>
    <row r="75" spans="1:26" s="24" customFormat="1" hidden="1" outlineLevel="2" x14ac:dyDescent="0.25">
      <c r="A75" s="25"/>
      <c r="B75" s="11" t="str">
        <f>CONCATENATE("          ", "6237", " - ", "JANITORIAL SUPPLIES")</f>
        <v xml:space="preserve">          6237 - JANITORIAL SUPPLIES</v>
      </c>
      <c r="C75" s="11"/>
      <c r="D75" s="7">
        <v>1417.51</v>
      </c>
      <c r="E75" s="2"/>
      <c r="F75" s="6">
        <f t="shared" si="52"/>
        <v>4.1646554778906244E-3</v>
      </c>
      <c r="G75" s="2"/>
      <c r="H75" s="7">
        <v>2005</v>
      </c>
      <c r="I75" s="2"/>
      <c r="J75" s="6">
        <f t="shared" si="53"/>
        <v>6.3758474630169048E-3</v>
      </c>
      <c r="K75" s="2"/>
      <c r="L75" s="7">
        <f t="shared" si="54"/>
        <v>-587.49</v>
      </c>
      <c r="M75" s="2"/>
      <c r="N75" s="6">
        <f t="shared" si="55"/>
        <v>-0.29301246882793019</v>
      </c>
      <c r="O75" s="11"/>
      <c r="P75" s="7">
        <v>4149.21</v>
      </c>
      <c r="Q75" s="2"/>
      <c r="R75" s="6">
        <f t="shared" si="56"/>
        <v>8.9020914758281295E-3</v>
      </c>
      <c r="S75" s="2"/>
      <c r="T75" s="7">
        <v>4010</v>
      </c>
      <c r="U75" s="2"/>
      <c r="V75" s="6">
        <f t="shared" si="57"/>
        <v>1.0201355940827047E-2</v>
      </c>
      <c r="W75" s="2"/>
      <c r="X75" s="7">
        <f t="shared" si="58"/>
        <v>139.21000000000004</v>
      </c>
      <c r="Y75" s="2"/>
      <c r="Z75" s="6">
        <f t="shared" si="59"/>
        <v>3.4715710723192031E-2</v>
      </c>
    </row>
    <row r="76" spans="1:26" s="24" customFormat="1" hidden="1" outlineLevel="2" x14ac:dyDescent="0.25">
      <c r="A76" s="25"/>
      <c r="B76" s="11" t="str">
        <f>CONCATENATE("          ", "6239", " - ", "KITCHEN SUPPLIES")</f>
        <v xml:space="preserve">          6239 - KITCHEN SUPPLIES</v>
      </c>
      <c r="C76" s="11"/>
      <c r="D76" s="7">
        <v>96.08</v>
      </c>
      <c r="E76" s="2"/>
      <c r="F76" s="6">
        <f t="shared" si="52"/>
        <v>2.8228379222420386E-4</v>
      </c>
      <c r="G76" s="2"/>
      <c r="H76" s="7">
        <v>750</v>
      </c>
      <c r="I76" s="2"/>
      <c r="J76" s="6">
        <f t="shared" si="53"/>
        <v>2.3849803477619344E-3</v>
      </c>
      <c r="K76" s="2"/>
      <c r="L76" s="7">
        <f t="shared" si="54"/>
        <v>-653.91999999999996</v>
      </c>
      <c r="M76" s="2"/>
      <c r="N76" s="6">
        <f t="shared" si="55"/>
        <v>-0.8718933333333333</v>
      </c>
      <c r="O76" s="11"/>
      <c r="P76" s="7">
        <v>1835.8</v>
      </c>
      <c r="Q76" s="2"/>
      <c r="R76" s="6">
        <f t="shared" si="56"/>
        <v>3.9386918308124391E-3</v>
      </c>
      <c r="S76" s="2"/>
      <c r="T76" s="7">
        <v>1500</v>
      </c>
      <c r="U76" s="2"/>
      <c r="V76" s="6">
        <f t="shared" si="57"/>
        <v>3.8159685564190951E-3</v>
      </c>
      <c r="W76" s="2"/>
      <c r="X76" s="7">
        <f t="shared" si="58"/>
        <v>335.79999999999995</v>
      </c>
      <c r="Y76" s="2"/>
      <c r="Z76" s="6">
        <f t="shared" si="59"/>
        <v>0.22386666666666663</v>
      </c>
    </row>
    <row r="77" spans="1:26" s="24" customFormat="1" hidden="1" outlineLevel="2" x14ac:dyDescent="0.25">
      <c r="A77" s="25"/>
      <c r="B77" s="11" t="str">
        <f>CONCATENATE("          ", "6241", " - ", "OFFICE EXPENSE")</f>
        <v xml:space="preserve">          6241 - OFFICE EXPENSE</v>
      </c>
      <c r="C77" s="11"/>
      <c r="D77" s="7">
        <v>136.13</v>
      </c>
      <c r="E77" s="2"/>
      <c r="F77" s="6">
        <f t="shared" si="52"/>
        <v>3.999510057814412E-4</v>
      </c>
      <c r="G77" s="2"/>
      <c r="H77" s="7">
        <v>524</v>
      </c>
      <c r="I77" s="2"/>
      <c r="J77" s="6">
        <f t="shared" si="53"/>
        <v>1.6663062696363382E-3</v>
      </c>
      <c r="K77" s="2"/>
      <c r="L77" s="7">
        <f t="shared" si="54"/>
        <v>-387.87</v>
      </c>
      <c r="M77" s="2"/>
      <c r="N77" s="6">
        <f t="shared" si="55"/>
        <v>-0.74020992366412219</v>
      </c>
      <c r="O77" s="11"/>
      <c r="P77" s="7">
        <v>19358.41</v>
      </c>
      <c r="Q77" s="2"/>
      <c r="R77" s="6">
        <f t="shared" si="56"/>
        <v>4.1533288661356263E-2</v>
      </c>
      <c r="S77" s="2"/>
      <c r="T77" s="7">
        <v>1048</v>
      </c>
      <c r="U77" s="2"/>
      <c r="V77" s="6">
        <f t="shared" si="57"/>
        <v>2.666090031418141E-3</v>
      </c>
      <c r="W77" s="2"/>
      <c r="X77" s="7">
        <f t="shared" si="58"/>
        <v>18310.41</v>
      </c>
      <c r="Y77" s="2"/>
      <c r="Z77" s="6">
        <f t="shared" si="59"/>
        <v>17.471765267175574</v>
      </c>
    </row>
    <row r="78" spans="1:26" s="24" customFormat="1" hidden="1" outlineLevel="2" x14ac:dyDescent="0.25">
      <c r="A78" s="25"/>
      <c r="B78" s="11" t="str">
        <f>CONCATENATE("          ", "6243", " - ", "PAPER SUPPLIES")</f>
        <v xml:space="preserve">          6243 - PAPER SUPPLIES</v>
      </c>
      <c r="C78" s="11"/>
      <c r="D78" s="7">
        <v>1386.15</v>
      </c>
      <c r="E78" s="2"/>
      <c r="F78" s="6">
        <f t="shared" si="52"/>
        <v>4.0725195523686527E-3</v>
      </c>
      <c r="G78" s="2"/>
      <c r="H78" s="7">
        <v>1809</v>
      </c>
      <c r="I78" s="2"/>
      <c r="J78" s="6">
        <f t="shared" si="53"/>
        <v>5.752572598801786E-3</v>
      </c>
      <c r="K78" s="2"/>
      <c r="L78" s="7">
        <f t="shared" si="54"/>
        <v>-422.84999999999991</v>
      </c>
      <c r="M78" s="2"/>
      <c r="N78" s="6">
        <f t="shared" si="55"/>
        <v>-0.23374792703150907</v>
      </c>
      <c r="O78" s="11"/>
      <c r="P78" s="7">
        <v>3506.3</v>
      </c>
      <c r="Q78" s="2"/>
      <c r="R78" s="6">
        <f t="shared" si="56"/>
        <v>7.5227340485769989E-3</v>
      </c>
      <c r="S78" s="2"/>
      <c r="T78" s="7">
        <v>3618</v>
      </c>
      <c r="U78" s="2"/>
      <c r="V78" s="6">
        <f t="shared" si="57"/>
        <v>9.2041161580828576E-3</v>
      </c>
      <c r="W78" s="2"/>
      <c r="X78" s="7">
        <f t="shared" si="58"/>
        <v>-111.69999999999982</v>
      </c>
      <c r="Y78" s="2"/>
      <c r="Z78" s="6">
        <f t="shared" si="59"/>
        <v>-3.0873410724156943E-2</v>
      </c>
    </row>
    <row r="79" spans="1:26" s="24" customFormat="1" hidden="1" outlineLevel="2" x14ac:dyDescent="0.25">
      <c r="A79" s="25"/>
      <c r="B79" s="11" t="str">
        <f>CONCATENATE("          ", "6245", " - ", "PRINTING")</f>
        <v xml:space="preserve">          6245 - PRINTING</v>
      </c>
      <c r="C79" s="11"/>
      <c r="D79" s="7"/>
      <c r="E79" s="2"/>
      <c r="F79" s="6">
        <f t="shared" si="52"/>
        <v>0</v>
      </c>
      <c r="G79" s="2"/>
      <c r="H79" s="7"/>
      <c r="I79" s="2"/>
      <c r="J79" s="6">
        <f t="shared" si="53"/>
        <v>0</v>
      </c>
      <c r="K79" s="2"/>
      <c r="L79" s="7">
        <f t="shared" si="54"/>
        <v>0</v>
      </c>
      <c r="M79" s="2"/>
      <c r="N79" s="6">
        <f t="shared" si="55"/>
        <v>0</v>
      </c>
      <c r="O79" s="11"/>
      <c r="P79" s="7">
        <v>441</v>
      </c>
      <c r="Q79" s="2"/>
      <c r="R79" s="6">
        <f t="shared" si="56"/>
        <v>9.4616139960141928E-4</v>
      </c>
      <c r="S79" s="2"/>
      <c r="T79" s="7"/>
      <c r="U79" s="2"/>
      <c r="V79" s="6">
        <f t="shared" si="57"/>
        <v>0</v>
      </c>
      <c r="W79" s="2"/>
      <c r="X79" s="7">
        <f t="shared" si="58"/>
        <v>441</v>
      </c>
      <c r="Y79" s="2"/>
      <c r="Z79" s="6">
        <f t="shared" si="59"/>
        <v>0</v>
      </c>
    </row>
    <row r="80" spans="1:26" s="24" customFormat="1" hidden="1" outlineLevel="2" x14ac:dyDescent="0.25">
      <c r="A80" s="25"/>
      <c r="B80" s="11" t="str">
        <f>CONCATENATE("          ", "6248", " - ", "UNIFORMS")</f>
        <v xml:space="preserve">          6248 - UNIFORMS</v>
      </c>
      <c r="C80" s="11"/>
      <c r="D80" s="7"/>
      <c r="E80" s="2"/>
      <c r="F80" s="6">
        <f t="shared" si="52"/>
        <v>0</v>
      </c>
      <c r="G80" s="2"/>
      <c r="H80" s="7"/>
      <c r="I80" s="2"/>
      <c r="J80" s="6">
        <f t="shared" si="53"/>
        <v>0</v>
      </c>
      <c r="K80" s="2"/>
      <c r="L80" s="7">
        <f t="shared" si="54"/>
        <v>0</v>
      </c>
      <c r="M80" s="2"/>
      <c r="N80" s="6">
        <f t="shared" si="55"/>
        <v>0</v>
      </c>
      <c r="O80" s="11"/>
      <c r="P80" s="7">
        <v>-8059.62</v>
      </c>
      <c r="Q80" s="2"/>
      <c r="R80" s="6">
        <f t="shared" si="56"/>
        <v>-1.7291839772008141E-2</v>
      </c>
      <c r="S80" s="2"/>
      <c r="T80" s="7">
        <v>3500</v>
      </c>
      <c r="U80" s="2"/>
      <c r="V80" s="6">
        <f t="shared" si="57"/>
        <v>8.9039266316445556E-3</v>
      </c>
      <c r="W80" s="2"/>
      <c r="X80" s="7">
        <f t="shared" si="58"/>
        <v>-11559.619999999999</v>
      </c>
      <c r="Y80" s="2"/>
      <c r="Z80" s="6">
        <f t="shared" si="59"/>
        <v>-3.3027485714285709</v>
      </c>
    </row>
    <row r="81" spans="1:26" s="26" customFormat="1" outlineLevel="1" collapsed="1" x14ac:dyDescent="0.25">
      <c r="A81" s="27"/>
      <c r="B81" s="13" t="str">
        <f>CONCATENATE("     ","Telephone/Data Lines                              ")</f>
        <v xml:space="preserve">     Telephone/Data Lines                              </v>
      </c>
      <c r="C81" s="13"/>
      <c r="D81" s="1">
        <f>SUM(OSRRefD22_14x_0)</f>
        <v>283</v>
      </c>
      <c r="E81" s="1"/>
      <c r="F81" s="5">
        <f t="shared" ref="F81:F87" si="60">IF(D$12=0,0,D81/D$12)</f>
        <v>8.3145621564789435E-4</v>
      </c>
      <c r="G81" s="1"/>
      <c r="H81" s="1">
        <f>SUM(OSRRefH22_14x_0)</f>
        <v>233</v>
      </c>
      <c r="I81" s="1"/>
      <c r="J81" s="5">
        <f t="shared" ref="J81:J87" si="61">IF(H$12=0,0,H81/H$12)</f>
        <v>7.4093389470470761E-4</v>
      </c>
      <c r="K81" s="1"/>
      <c r="L81" s="1">
        <f t="shared" ref="L81:L87" si="62">+D81-H81</f>
        <v>50</v>
      </c>
      <c r="M81" s="1"/>
      <c r="N81" s="5">
        <f t="shared" ref="N81:N87" si="63">IF(H81=0,0,L81/H81)</f>
        <v>0.21459227467811159</v>
      </c>
      <c r="O81" s="13"/>
      <c r="P81" s="1">
        <f>SUM(OSRRefP22_14x_0)</f>
        <v>444.9</v>
      </c>
      <c r="Q81" s="1"/>
      <c r="R81" s="5">
        <f t="shared" ref="R81:R87" si="64">IF(P$12=0,0,P81/P$12)</f>
        <v>9.5452881333939091E-4</v>
      </c>
      <c r="S81" s="1"/>
      <c r="T81" s="1">
        <f>SUM(OSRRefT22_14x_0)</f>
        <v>699</v>
      </c>
      <c r="U81" s="1"/>
      <c r="V81" s="5">
        <f t="shared" ref="V81:V87" si="65">IF(T$12=0,0,T81/T$12)</f>
        <v>1.7782413472912982E-3</v>
      </c>
      <c r="W81" s="1"/>
      <c r="X81" s="1">
        <f t="shared" ref="X81:X87" si="66">+P81-T81</f>
        <v>-254.10000000000002</v>
      </c>
      <c r="Y81" s="1"/>
      <c r="Z81" s="5">
        <f t="shared" ref="Z81:Z87" si="67">IF(T81=0,0,X81/T81)</f>
        <v>-0.36351931330472104</v>
      </c>
    </row>
    <row r="82" spans="1:26" s="24" customFormat="1" hidden="1" outlineLevel="2" x14ac:dyDescent="0.25">
      <c r="A82" s="25"/>
      <c r="B82" s="11" t="str">
        <f>CONCATENATE("          ", "6309", " - ", "TELEPHONE")</f>
        <v xml:space="preserve">          6309 - TELEPHONE</v>
      </c>
      <c r="C82" s="11"/>
      <c r="D82" s="7">
        <v>283</v>
      </c>
      <c r="E82" s="2"/>
      <c r="F82" s="6">
        <f t="shared" si="60"/>
        <v>8.3145621564789435E-4</v>
      </c>
      <c r="G82" s="2"/>
      <c r="H82" s="7">
        <v>233</v>
      </c>
      <c r="I82" s="2"/>
      <c r="J82" s="6">
        <f t="shared" si="61"/>
        <v>7.4093389470470761E-4</v>
      </c>
      <c r="K82" s="2"/>
      <c r="L82" s="7">
        <f t="shared" si="62"/>
        <v>50</v>
      </c>
      <c r="M82" s="2"/>
      <c r="N82" s="6">
        <f t="shared" si="63"/>
        <v>0.21459227467811159</v>
      </c>
      <c r="O82" s="11"/>
      <c r="P82" s="7">
        <v>444.9</v>
      </c>
      <c r="Q82" s="2"/>
      <c r="R82" s="6">
        <f t="shared" si="64"/>
        <v>9.5452881333939091E-4</v>
      </c>
      <c r="S82" s="2"/>
      <c r="T82" s="7">
        <v>699</v>
      </c>
      <c r="U82" s="2"/>
      <c r="V82" s="6">
        <f t="shared" si="65"/>
        <v>1.7782413472912982E-3</v>
      </c>
      <c r="W82" s="2"/>
      <c r="X82" s="7">
        <f t="shared" si="66"/>
        <v>-254.10000000000002</v>
      </c>
      <c r="Y82" s="2"/>
      <c r="Z82" s="6">
        <f t="shared" si="67"/>
        <v>-0.36351931330472104</v>
      </c>
    </row>
    <row r="83" spans="1:26" s="26" customFormat="1" outlineLevel="1" collapsed="1" x14ac:dyDescent="0.25">
      <c r="A83" s="27"/>
      <c r="B83" s="13" t="str">
        <f>CONCATENATE("     ","Training                                          ")</f>
        <v xml:space="preserve">     Training                                          </v>
      </c>
      <c r="C83" s="13"/>
      <c r="D83" s="1">
        <f>SUM(OSRRefD22_15x_0)</f>
        <v>0</v>
      </c>
      <c r="E83" s="1"/>
      <c r="F83" s="5">
        <f t="shared" si="60"/>
        <v>0</v>
      </c>
      <c r="G83" s="1"/>
      <c r="H83" s="1">
        <f>SUM(OSRRefH22_15x_0)</f>
        <v>0</v>
      </c>
      <c r="I83" s="1"/>
      <c r="J83" s="5">
        <f t="shared" si="61"/>
        <v>0</v>
      </c>
      <c r="K83" s="1"/>
      <c r="L83" s="1">
        <f t="shared" si="62"/>
        <v>0</v>
      </c>
      <c r="M83" s="1"/>
      <c r="N83" s="5">
        <f t="shared" si="63"/>
        <v>0</v>
      </c>
      <c r="O83" s="13"/>
      <c r="P83" s="1">
        <f>SUM(OSRRefP22_15x_0)</f>
        <v>1107.78</v>
      </c>
      <c r="Q83" s="1"/>
      <c r="R83" s="5">
        <f t="shared" si="64"/>
        <v>2.3767316899103406E-3</v>
      </c>
      <c r="S83" s="1"/>
      <c r="T83" s="1">
        <f>SUM(OSRRefT22_15x_0)</f>
        <v>2758</v>
      </c>
      <c r="U83" s="1"/>
      <c r="V83" s="5">
        <f t="shared" si="65"/>
        <v>7.0162941857359095E-3</v>
      </c>
      <c r="W83" s="1"/>
      <c r="X83" s="1">
        <f t="shared" si="66"/>
        <v>-1650.22</v>
      </c>
      <c r="Y83" s="1"/>
      <c r="Z83" s="5">
        <f t="shared" si="67"/>
        <v>-0.59833937635968093</v>
      </c>
    </row>
    <row r="84" spans="1:26" s="24" customFormat="1" hidden="1" outlineLevel="2" x14ac:dyDescent="0.25">
      <c r="A84" s="25"/>
      <c r="B84" s="11" t="str">
        <f>CONCATENATE("          ", "6376", " - ", "TRAINING")</f>
        <v xml:space="preserve">          6376 - TRAINING</v>
      </c>
      <c r="C84" s="11"/>
      <c r="D84" s="7"/>
      <c r="E84" s="2"/>
      <c r="F84" s="6">
        <f t="shared" si="60"/>
        <v>0</v>
      </c>
      <c r="G84" s="2"/>
      <c r="H84" s="7"/>
      <c r="I84" s="2"/>
      <c r="J84" s="6">
        <f t="shared" si="61"/>
        <v>0</v>
      </c>
      <c r="K84" s="2"/>
      <c r="L84" s="7">
        <f t="shared" si="62"/>
        <v>0</v>
      </c>
      <c r="M84" s="2"/>
      <c r="N84" s="6">
        <f t="shared" si="63"/>
        <v>0</v>
      </c>
      <c r="O84" s="11"/>
      <c r="P84" s="7">
        <v>1107.78</v>
      </c>
      <c r="Q84" s="2"/>
      <c r="R84" s="6">
        <f t="shared" si="64"/>
        <v>2.3767316899103406E-3</v>
      </c>
      <c r="S84" s="2"/>
      <c r="T84" s="7">
        <v>2758</v>
      </c>
      <c r="U84" s="2"/>
      <c r="V84" s="6">
        <f t="shared" si="65"/>
        <v>7.0162941857359095E-3</v>
      </c>
      <c r="W84" s="2"/>
      <c r="X84" s="7">
        <f t="shared" si="66"/>
        <v>-1650.22</v>
      </c>
      <c r="Y84" s="2"/>
      <c r="Z84" s="6">
        <f t="shared" si="67"/>
        <v>-0.59833937635968093</v>
      </c>
    </row>
    <row r="85" spans="1:26" s="26" customFormat="1" outlineLevel="1" collapsed="1" x14ac:dyDescent="0.25">
      <c r="A85" s="27"/>
      <c r="B85" s="13" t="str">
        <f>CONCATENATE("     ","Travel                                            ")</f>
        <v xml:space="preserve">     Travel                                            </v>
      </c>
      <c r="C85" s="13"/>
      <c r="D85" s="1">
        <f>SUM(OSRRefD22_16x_0)</f>
        <v>0</v>
      </c>
      <c r="E85" s="1"/>
      <c r="F85" s="5">
        <f t="shared" si="60"/>
        <v>0</v>
      </c>
      <c r="G85" s="1"/>
      <c r="H85" s="1">
        <f>SUM(OSRRefH22_16x_0)</f>
        <v>50</v>
      </c>
      <c r="I85" s="1"/>
      <c r="J85" s="5">
        <f t="shared" si="61"/>
        <v>1.5899868985079564E-4</v>
      </c>
      <c r="K85" s="1"/>
      <c r="L85" s="1">
        <f t="shared" si="62"/>
        <v>-50</v>
      </c>
      <c r="M85" s="1"/>
      <c r="N85" s="5">
        <f t="shared" si="63"/>
        <v>-1</v>
      </c>
      <c r="O85" s="13"/>
      <c r="P85" s="1">
        <f>SUM(OSRRefP22_16x_0)</f>
        <v>79.510000000000005</v>
      </c>
      <c r="Q85" s="1"/>
      <c r="R85" s="5">
        <f t="shared" si="64"/>
        <v>1.7058796571952121E-4</v>
      </c>
      <c r="S85" s="1"/>
      <c r="T85" s="1">
        <f>SUM(OSRRefT22_16x_0)</f>
        <v>150</v>
      </c>
      <c r="U85" s="1"/>
      <c r="V85" s="5">
        <f t="shared" si="65"/>
        <v>3.8159685564190954E-4</v>
      </c>
      <c r="W85" s="1"/>
      <c r="X85" s="1">
        <f t="shared" si="66"/>
        <v>-70.489999999999995</v>
      </c>
      <c r="Y85" s="1"/>
      <c r="Z85" s="5">
        <f t="shared" si="67"/>
        <v>-0.46993333333333331</v>
      </c>
    </row>
    <row r="86" spans="1:26" s="24" customFormat="1" hidden="1" outlineLevel="2" x14ac:dyDescent="0.25">
      <c r="A86" s="25"/>
      <c r="B86" s="11" t="str">
        <f>CONCATENATE("          ", "6292", " - ", "TRAVEL/CONFERENCE")</f>
        <v xml:space="preserve">          6292 - TRAVEL/CONFERENCE</v>
      </c>
      <c r="C86" s="11"/>
      <c r="D86" s="7"/>
      <c r="E86" s="2"/>
      <c r="F86" s="6">
        <f t="shared" si="60"/>
        <v>0</v>
      </c>
      <c r="G86" s="2"/>
      <c r="H86" s="7"/>
      <c r="I86" s="2"/>
      <c r="J86" s="6">
        <f t="shared" si="61"/>
        <v>0</v>
      </c>
      <c r="K86" s="2"/>
      <c r="L86" s="7">
        <f t="shared" si="62"/>
        <v>0</v>
      </c>
      <c r="M86" s="2"/>
      <c r="N86" s="6">
        <f t="shared" si="63"/>
        <v>0</v>
      </c>
      <c r="O86" s="11"/>
      <c r="P86" s="7">
        <v>79.510000000000005</v>
      </c>
      <c r="Q86" s="2"/>
      <c r="R86" s="6">
        <f t="shared" si="64"/>
        <v>1.7058796571952121E-4</v>
      </c>
      <c r="S86" s="2"/>
      <c r="T86" s="7"/>
      <c r="U86" s="2"/>
      <c r="V86" s="6">
        <f t="shared" si="65"/>
        <v>0</v>
      </c>
      <c r="W86" s="2"/>
      <c r="X86" s="7">
        <f t="shared" si="66"/>
        <v>79.510000000000005</v>
      </c>
      <c r="Y86" s="2"/>
      <c r="Z86" s="6">
        <f t="shared" si="67"/>
        <v>0</v>
      </c>
    </row>
    <row r="87" spans="1:26" s="24" customFormat="1" hidden="1" outlineLevel="2" x14ac:dyDescent="0.25">
      <c r="A87" s="25"/>
      <c r="B87" s="11" t="str">
        <f>CONCATENATE("          ", "6298", " - ", "VEHICLE MILEAGE")</f>
        <v xml:space="preserve">          6298 - VEHICLE MILEAGE</v>
      </c>
      <c r="C87" s="11"/>
      <c r="D87" s="7"/>
      <c r="E87" s="2"/>
      <c r="F87" s="6">
        <f t="shared" si="60"/>
        <v>0</v>
      </c>
      <c r="G87" s="2"/>
      <c r="H87" s="7">
        <v>50</v>
      </c>
      <c r="I87" s="2"/>
      <c r="J87" s="6">
        <f t="shared" si="61"/>
        <v>1.5899868985079564E-4</v>
      </c>
      <c r="K87" s="2"/>
      <c r="L87" s="7">
        <f t="shared" si="62"/>
        <v>-50</v>
      </c>
      <c r="M87" s="2"/>
      <c r="N87" s="6">
        <f t="shared" si="63"/>
        <v>-1</v>
      </c>
      <c r="O87" s="11"/>
      <c r="P87" s="7"/>
      <c r="Q87" s="2"/>
      <c r="R87" s="6">
        <f t="shared" si="64"/>
        <v>0</v>
      </c>
      <c r="S87" s="2"/>
      <c r="T87" s="7">
        <v>150</v>
      </c>
      <c r="U87" s="2"/>
      <c r="V87" s="6">
        <f t="shared" si="65"/>
        <v>3.8159685564190954E-4</v>
      </c>
      <c r="W87" s="2"/>
      <c r="X87" s="7">
        <f t="shared" si="66"/>
        <v>-150</v>
      </c>
      <c r="Y87" s="2"/>
      <c r="Z87" s="6">
        <f t="shared" si="67"/>
        <v>-1</v>
      </c>
    </row>
    <row r="88" spans="1:26" s="63" customFormat="1" x14ac:dyDescent="0.25">
      <c r="A88" s="36"/>
      <c r="B88" s="36"/>
      <c r="C88" s="36"/>
      <c r="D88" s="1"/>
      <c r="E88" s="1"/>
      <c r="F88" s="5"/>
      <c r="G88" s="1"/>
      <c r="H88" s="1"/>
      <c r="I88" s="1"/>
      <c r="J88" s="5"/>
      <c r="K88" s="1"/>
      <c r="L88" s="1"/>
      <c r="M88" s="1"/>
      <c r="N88" s="5"/>
      <c r="O88" s="36"/>
      <c r="P88" s="1"/>
      <c r="Q88" s="1"/>
      <c r="R88" s="5"/>
      <c r="S88" s="1"/>
      <c r="T88" s="1"/>
      <c r="U88" s="1"/>
      <c r="V88" s="5"/>
      <c r="W88" s="1"/>
      <c r="X88" s="1"/>
      <c r="Y88" s="1"/>
      <c r="Z88" s="5"/>
    </row>
    <row r="89" spans="1:26" s="23" customFormat="1" x14ac:dyDescent="0.25">
      <c r="A89" s="10"/>
      <c r="B89" s="28" t="s">
        <v>0</v>
      </c>
      <c r="C89" s="10"/>
      <c r="D89" s="4">
        <f>SUM(0)</f>
        <v>0</v>
      </c>
      <c r="E89" s="4"/>
      <c r="F89" s="12">
        <f>IF(D$12=0,0,D89/D$12)</f>
        <v>0</v>
      </c>
      <c r="G89" s="4"/>
      <c r="H89" s="4">
        <f>SUM(0)</f>
        <v>0</v>
      </c>
      <c r="I89" s="4"/>
      <c r="J89" s="12">
        <f>IF(H$12=0,0,H89/H$12)</f>
        <v>0</v>
      </c>
      <c r="K89" s="4"/>
      <c r="L89" s="4">
        <f>+D89-H89</f>
        <v>0</v>
      </c>
      <c r="M89" s="4"/>
      <c r="N89" s="12">
        <f>IF(H89=0,0,L89/H89)</f>
        <v>0</v>
      </c>
      <c r="O89" s="10"/>
      <c r="P89" s="4">
        <f>SUM(0)</f>
        <v>0</v>
      </c>
      <c r="Q89" s="4"/>
      <c r="R89" s="12">
        <f>IF(P$12=0,0,P89/P$12)</f>
        <v>0</v>
      </c>
      <c r="S89" s="4"/>
      <c r="T89" s="4">
        <f>SUM(0)</f>
        <v>0</v>
      </c>
      <c r="U89" s="4"/>
      <c r="V89" s="12">
        <f>IF(T$12=0,0,T89/T$12)</f>
        <v>0</v>
      </c>
      <c r="W89" s="4"/>
      <c r="X89" s="4">
        <f>+P89-T89</f>
        <v>0</v>
      </c>
      <c r="Y89" s="4"/>
      <c r="Z89" s="12">
        <f>IF(T89=0,0,X89/T89)</f>
        <v>0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25">
      <c r="A91" s="10"/>
      <c r="B91" s="29" t="s">
        <v>3</v>
      </c>
      <c r="C91" s="29"/>
      <c r="D91" s="22">
        <f>+D23-D25+D89</f>
        <v>130930.20000000001</v>
      </c>
      <c r="E91" s="14"/>
      <c r="F91" s="20">
        <f>IF(D$12=0,0,D91/D$12)</f>
        <v>0.38467395267145565</v>
      </c>
      <c r="G91" s="14"/>
      <c r="H91" s="22">
        <f>+H23-H25+H89</f>
        <v>119989.12098666771</v>
      </c>
      <c r="I91" s="14"/>
      <c r="J91" s="20">
        <f>IF(H$12=0,0,H91/H$12)</f>
        <v>0.38156226066457544</v>
      </c>
      <c r="K91" s="15"/>
      <c r="L91" s="22">
        <f>+D91-H91</f>
        <v>10941.079013332303</v>
      </c>
      <c r="M91" s="15"/>
      <c r="N91" s="20">
        <f>IF(H91=0,0,L91/H91)</f>
        <v>9.1183925037237282E-2</v>
      </c>
      <c r="O91" s="28"/>
      <c r="P91" s="22">
        <f>+P23-P25+P89</f>
        <v>31207.799999999988</v>
      </c>
      <c r="Q91" s="14"/>
      <c r="R91" s="20">
        <f>IF(P$12=0,0,P91/P$12)</f>
        <v>6.6956044731249803E-2</v>
      </c>
      <c r="S91" s="14"/>
      <c r="T91" s="22">
        <f>+T23-T25+T89</f>
        <v>47591.208289193106</v>
      </c>
      <c r="U91" s="14"/>
      <c r="V91" s="20">
        <f>IF(T$12=0,0,T91/T$12)</f>
        <v>0.12107103626236845</v>
      </c>
      <c r="W91" s="15"/>
      <c r="X91" s="22">
        <f>+P91-T91</f>
        <v>-16383.408289193118</v>
      </c>
      <c r="Y91" s="15"/>
      <c r="Z91" s="20">
        <f>IF(T91=0,0,X91/T91)</f>
        <v>-0.34425283320477118</v>
      </c>
    </row>
    <row r="92" spans="1:26" x14ac:dyDescent="0.25">
      <c r="A92" s="9"/>
      <c r="B92" s="10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52"/>
      <c r="B93" s="10" t="s">
        <v>14</v>
      </c>
      <c r="C93" s="10"/>
      <c r="D93" s="4">
        <v>34388.800000000003</v>
      </c>
      <c r="E93" s="4"/>
      <c r="F93" s="12">
        <f>IF(D$12=0,0,D93/D$12)</f>
        <v>0.10103456363488449</v>
      </c>
      <c r="G93" s="4"/>
      <c r="H93" s="4">
        <v>36952</v>
      </c>
      <c r="I93" s="4"/>
      <c r="J93" s="12">
        <f>IF(H$12=0,0,H93/H$12)</f>
        <v>0.117506391747332</v>
      </c>
      <c r="K93" s="4"/>
      <c r="L93" s="4">
        <f>+D93-H93</f>
        <v>-2563.1999999999971</v>
      </c>
      <c r="M93" s="4"/>
      <c r="N93" s="12">
        <f>IF(H93=0,0,L93/H93)</f>
        <v>-6.9365663563541818E-2</v>
      </c>
      <c r="O93" s="10"/>
      <c r="P93" s="4">
        <v>50064.65</v>
      </c>
      <c r="Q93" s="4"/>
      <c r="R93" s="12">
        <f>IF(P$12=0,0,P93/P$12)</f>
        <v>0.10741324107608888</v>
      </c>
      <c r="S93" s="4"/>
      <c r="T93" s="4">
        <v>49720</v>
      </c>
      <c r="U93" s="4"/>
      <c r="V93" s="12">
        <f>IF(T$12=0,0,T93/T$12)</f>
        <v>0.12648663775010494</v>
      </c>
      <c r="W93" s="4"/>
      <c r="X93" s="4">
        <f>+P93-T93</f>
        <v>344.65000000000146</v>
      </c>
      <c r="Y93" s="4"/>
      <c r="Z93" s="12">
        <f>IF(T93=0,0,X93/T93)</f>
        <v>6.9318181818182108E-3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.75" thickBot="1" x14ac:dyDescent="0.3">
      <c r="A95" s="10"/>
      <c r="B95" s="29" t="s">
        <v>4</v>
      </c>
      <c r="C95" s="29"/>
      <c r="D95" s="35">
        <f>+D91-D93</f>
        <v>96541.400000000009</v>
      </c>
      <c r="E95" s="14"/>
      <c r="F95" s="32">
        <f>IF(D$12=0,0,D95/D$12)</f>
        <v>0.28363938903657115</v>
      </c>
      <c r="G95" s="14"/>
      <c r="H95" s="35">
        <f>+H91-H93</f>
        <v>83037.120986667709</v>
      </c>
      <c r="I95" s="14"/>
      <c r="J95" s="32">
        <f>IF(H$12=0,0,H95/H$12)</f>
        <v>0.26405586891724342</v>
      </c>
      <c r="K95" s="15"/>
      <c r="L95" s="35">
        <f>D95-H95</f>
        <v>13504.2790133323</v>
      </c>
      <c r="M95" s="15"/>
      <c r="N95" s="32">
        <f>IF(H95=0,0,L95/H95)</f>
        <v>0.16262942227369037</v>
      </c>
      <c r="O95" s="28"/>
      <c r="P95" s="35">
        <f>+P91-P93</f>
        <v>-18856.850000000013</v>
      </c>
      <c r="Q95" s="14"/>
      <c r="R95" s="32">
        <f>IF(P$12=0,0,P95/P$12)</f>
        <v>-4.0457196344839082E-2</v>
      </c>
      <c r="S95" s="14"/>
      <c r="T95" s="35">
        <f>+T91-T93</f>
        <v>-2128.7917108068941</v>
      </c>
      <c r="U95" s="14"/>
      <c r="V95" s="32">
        <f>IF(T$12=0,0,T95/T$12)</f>
        <v>-5.4156014877364796E-3</v>
      </c>
      <c r="W95" s="15"/>
      <c r="X95" s="35">
        <f>P95-T95</f>
        <v>-16728.058289193119</v>
      </c>
      <c r="Y95" s="15"/>
      <c r="Z95" s="32">
        <f>IF(T95=0,0,X95/T95)</f>
        <v>7.8580061188102519</v>
      </c>
    </row>
    <row r="96" spans="1:26" ht="15.75" thickTop="1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ht="15.75" thickBot="1" x14ac:dyDescent="0.3">
      <c r="A98" s="10"/>
      <c r="B98" s="29" t="s">
        <v>5</v>
      </c>
      <c r="C98" s="29"/>
      <c r="D98" s="30">
        <f>SUM(D95:D97)</f>
        <v>96541.400000000009</v>
      </c>
      <c r="E98" s="14"/>
      <c r="F98" s="31">
        <f>IF(D$12=0,0,D98/D$12)</f>
        <v>0.28363938903657115</v>
      </c>
      <c r="G98" s="14"/>
      <c r="H98" s="30">
        <f>SUM(H95:H97)</f>
        <v>83037.120986667709</v>
      </c>
      <c r="I98" s="14"/>
      <c r="J98" s="31">
        <f>IF(H$12=0,0,H98/H$12)</f>
        <v>0.26405586891724342</v>
      </c>
      <c r="K98" s="15"/>
      <c r="L98" s="30">
        <f>+D98-H98</f>
        <v>13504.2790133323</v>
      </c>
      <c r="M98" s="15"/>
      <c r="N98" s="31">
        <f>IF(H98=0,0,L98/H98)</f>
        <v>0.16262942227369037</v>
      </c>
      <c r="O98" s="28"/>
      <c r="P98" s="30">
        <f>SUM(P95:P97)</f>
        <v>-18856.850000000013</v>
      </c>
      <c r="Q98" s="14"/>
      <c r="R98" s="31">
        <f>IF(P$12=0,0,P98/P$12)</f>
        <v>-4.0457196344839082E-2</v>
      </c>
      <c r="S98" s="14"/>
      <c r="T98" s="30">
        <f>SUM(T95:T97)</f>
        <v>-2128.7917108068941</v>
      </c>
      <c r="U98" s="14"/>
      <c r="V98" s="31">
        <f>IF(T$12=0,0,T98/T$12)</f>
        <v>-5.4156014877364796E-3</v>
      </c>
      <c r="W98" s="15"/>
      <c r="X98" s="30">
        <f>+P98-T98</f>
        <v>-16728.058289193119</v>
      </c>
      <c r="Y98" s="15"/>
      <c r="Z98" s="31">
        <f>IF(T98=0,0,X98/T98)</f>
        <v>7.8580061188102519</v>
      </c>
    </row>
    <row r="99" spans="1:26" ht="15.75" thickTop="1" x14ac:dyDescent="0.25">
      <c r="A99" s="9"/>
      <c r="C99" s="9"/>
      <c r="D99" s="18"/>
      <c r="E99" s="18"/>
      <c r="G99" s="18"/>
      <c r="H99" s="18"/>
      <c r="I99" s="18"/>
      <c r="J99" s="43"/>
      <c r="K99" s="18"/>
      <c r="L99" s="18"/>
      <c r="M99" s="18"/>
      <c r="P99" s="18"/>
      <c r="Q99" s="18"/>
      <c r="R99" s="43"/>
      <c r="S99" s="18"/>
      <c r="T99" s="18"/>
      <c r="U99" s="18"/>
      <c r="V99" s="43"/>
      <c r="W99" s="18"/>
      <c r="X99" s="18"/>
    </row>
    <row r="100" spans="1:26" x14ac:dyDescent="0.25">
      <c r="A100" s="9"/>
      <c r="B100" s="53">
        <v>43756.45285991898</v>
      </c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6" x14ac:dyDescent="0.25">
      <c r="A101" s="9"/>
      <c r="B101" s="55" t="s">
        <v>314</v>
      </c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  <row r="102" spans="1:26" x14ac:dyDescent="0.25">
      <c r="A102" s="9"/>
      <c r="B102" s="56"/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  <row r="103" spans="1:26" x14ac:dyDescent="0.25">
      <c r="D103" s="18"/>
      <c r="E103" s="18"/>
      <c r="G103" s="18"/>
      <c r="H103" s="18"/>
      <c r="I103" s="18"/>
      <c r="J103" s="43"/>
      <c r="K103" s="18"/>
      <c r="L103" s="18"/>
      <c r="M103" s="18"/>
      <c r="P103" s="18"/>
      <c r="Q103" s="18"/>
      <c r="R103" s="43"/>
      <c r="S103" s="18"/>
      <c r="T103" s="18"/>
      <c r="U103" s="18"/>
      <c r="V103" s="43"/>
      <c r="W103" s="18"/>
      <c r="X103" s="18"/>
    </row>
  </sheetData>
  <pageMargins left="0.25" right="0.25" top="0.75" bottom="0.75" header="0.3" footer="0.3"/>
  <pageSetup scale="55" fitToWidth="2" orientation="landscape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8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str">
        <f>CONCATENATE("Period ",RIGHT(202003,2),", ",2020)</f>
        <v>Period 03, 2020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43736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">
        <v>298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28226</v>
      </c>
      <c r="E12" s="4"/>
      <c r="F12" s="12"/>
      <c r="G12" s="4"/>
      <c r="H12" s="4">
        <f>SUM(OSRRefH13x_0)</f>
        <v>24032</v>
      </c>
      <c r="I12" s="4"/>
      <c r="J12" s="12"/>
      <c r="K12" s="4"/>
      <c r="L12" s="4">
        <f t="shared" ref="L12:L13" si="0">+D12-H12</f>
        <v>4194</v>
      </c>
      <c r="M12" s="4"/>
      <c r="N12" s="12">
        <f t="shared" ref="N12:N13" si="1">IF(H12=0,0,L12/H12)</f>
        <v>0.17451731025299599</v>
      </c>
      <c r="O12" s="10"/>
      <c r="P12" s="4">
        <f>SUM(OSRRefP13x_0)</f>
        <v>96112</v>
      </c>
      <c r="Q12" s="4"/>
      <c r="R12" s="12"/>
      <c r="S12" s="4"/>
      <c r="T12" s="4">
        <f>SUM(OSRRefT13x_0)</f>
        <v>226476</v>
      </c>
      <c r="U12" s="4"/>
      <c r="V12" s="12"/>
      <c r="W12" s="4"/>
      <c r="X12" s="4">
        <f t="shared" ref="X12:X13" si="2">+P12-T12</f>
        <v>-130364</v>
      </c>
      <c r="Y12" s="4"/>
      <c r="Z12" s="12">
        <f t="shared" ref="Z12:Z13" si="3">IF(T12=0,0,X12/T12)</f>
        <v>-0.57561949169006865</v>
      </c>
    </row>
    <row r="13" spans="1:26" s="24" customFormat="1" hidden="1" outlineLevel="1" x14ac:dyDescent="0.25">
      <c r="A13" s="46"/>
      <c r="B13" s="11" t="str">
        <f>CONCATENATE("          ", "4100", " - ", "NON-TAXABLE SALES")</f>
        <v xml:space="preserve">          4100 - NON-TAXABLE SALES</v>
      </c>
      <c r="C13" s="11"/>
      <c r="D13" s="2">
        <f>--28226</f>
        <v>28226</v>
      </c>
      <c r="E13" s="2"/>
      <c r="F13" s="19"/>
      <c r="G13" s="2"/>
      <c r="H13" s="2">
        <v>24032</v>
      </c>
      <c r="I13" s="2"/>
      <c r="J13" s="19"/>
      <c r="K13" s="2"/>
      <c r="L13" s="2">
        <f t="shared" si="0"/>
        <v>4194</v>
      </c>
      <c r="M13" s="2"/>
      <c r="N13" s="19">
        <f t="shared" si="1"/>
        <v>0.17451731025299599</v>
      </c>
      <c r="O13" s="11"/>
      <c r="P13" s="2">
        <f>--96112</f>
        <v>96112</v>
      </c>
      <c r="Q13" s="2"/>
      <c r="R13" s="19"/>
      <c r="S13" s="2"/>
      <c r="T13" s="2">
        <v>226476</v>
      </c>
      <c r="U13" s="2"/>
      <c r="V13" s="19"/>
      <c r="W13" s="2"/>
      <c r="X13" s="2">
        <f t="shared" si="2"/>
        <v>-130364</v>
      </c>
      <c r="Y13" s="2"/>
      <c r="Z13" s="19">
        <f t="shared" si="3"/>
        <v>-0.57561949169006865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8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9" t="s">
        <v>6</v>
      </c>
      <c r="C17" s="29"/>
      <c r="D17" s="22">
        <f>D12-D15</f>
        <v>28226</v>
      </c>
      <c r="E17" s="14"/>
      <c r="F17" s="20">
        <f>IF(D$12=0,0,D17/D$12)</f>
        <v>1</v>
      </c>
      <c r="G17" s="14"/>
      <c r="H17" s="22">
        <f>H12-H15</f>
        <v>24032</v>
      </c>
      <c r="I17" s="14"/>
      <c r="J17" s="20">
        <f>IF(H$12=0,0,H17/H$12)</f>
        <v>1</v>
      </c>
      <c r="K17" s="15"/>
      <c r="L17" s="22">
        <f>+D17-H17</f>
        <v>4194</v>
      </c>
      <c r="M17" s="15"/>
      <c r="N17" s="20">
        <f>IF(H17=0,0,L17/H17)</f>
        <v>0.17451731025299599</v>
      </c>
      <c r="O17" s="28"/>
      <c r="P17" s="22">
        <f>P12-P15</f>
        <v>96112</v>
      </c>
      <c r="Q17" s="14"/>
      <c r="R17" s="20">
        <f>IF(P$12=0,0,P17/P$12)</f>
        <v>1</v>
      </c>
      <c r="S17" s="14"/>
      <c r="T17" s="22">
        <f>T12-T15</f>
        <v>226476</v>
      </c>
      <c r="U17" s="14"/>
      <c r="V17" s="20">
        <f>IF(T$12=0,0,T17/T$12)</f>
        <v>1</v>
      </c>
      <c r="W17" s="15"/>
      <c r="X17" s="22">
        <f>+P17-T17</f>
        <v>-130364</v>
      </c>
      <c r="Y17" s="15"/>
      <c r="Z17" s="20">
        <f>IF(T17=0,0,X17/T17)</f>
        <v>-0.57561949169006865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8" t="s">
        <v>9</v>
      </c>
      <c r="C19" s="10"/>
      <c r="D19" s="21">
        <f>SUM(OSRRefD22x_0)</f>
        <v>30098.410000000003</v>
      </c>
      <c r="E19" s="21"/>
      <c r="F19" s="33">
        <f t="shared" ref="F19:F29" si="4">IF(D$12=0,0,D19/D$12)</f>
        <v>1.066336356550698</v>
      </c>
      <c r="G19" s="21"/>
      <c r="H19" s="21">
        <f>SUM(OSRRefH22x_0)</f>
        <v>23878.866620846155</v>
      </c>
      <c r="I19" s="21"/>
      <c r="J19" s="33">
        <f t="shared" ref="J19:J29" si="5">IF(H$12=0,0,H19/H$12)</f>
        <v>0.9936279386171003</v>
      </c>
      <c r="K19" s="4"/>
      <c r="L19" s="21">
        <f t="shared" ref="L19:L29" si="6">+D19-H19</f>
        <v>6219.5433791538489</v>
      </c>
      <c r="M19" s="4"/>
      <c r="N19" s="33">
        <f t="shared" ref="N19:N29" si="7">IF(H19=0,0,L19/H19)</f>
        <v>0.26046225216251312</v>
      </c>
      <c r="O19" s="10"/>
      <c r="P19" s="21">
        <f>SUM(OSRRefP22x_0)</f>
        <v>94698.610000000015</v>
      </c>
      <c r="Q19" s="21"/>
      <c r="R19" s="33">
        <f t="shared" ref="R19:R29" si="8">IF(P$12=0,0,P19/P$12)</f>
        <v>0.98529434409855188</v>
      </c>
      <c r="S19" s="21"/>
      <c r="T19" s="21">
        <f>SUM(OSRRefT22x_0)</f>
        <v>205764.21101775</v>
      </c>
      <c r="U19" s="21"/>
      <c r="V19" s="33">
        <f t="shared" ref="V19:V29" si="9">IF(T$12=0,0,T19/T$12)</f>
        <v>0.90854753270876387</v>
      </c>
      <c r="W19" s="4"/>
      <c r="X19" s="21">
        <f t="shared" ref="X19:X29" si="10">+P19-T19</f>
        <v>-111065.60101774998</v>
      </c>
      <c r="Y19" s="4"/>
      <c r="Z19" s="33">
        <f t="shared" ref="Z19:Z29" si="11">IF(T19=0,0,X19/T19)</f>
        <v>-0.53977122876907413</v>
      </c>
    </row>
    <row r="20" spans="1:26" s="26" customFormat="1" outlineLevel="1" collapsed="1" x14ac:dyDescent="0.25">
      <c r="A20" s="27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4870.5900000000011</v>
      </c>
      <c r="E20" s="1"/>
      <c r="F20" s="5">
        <f t="shared" si="4"/>
        <v>0.17255686246722884</v>
      </c>
      <c r="G20" s="1"/>
      <c r="H20" s="1">
        <f>SUM(OSRRefH22_0x_0)</f>
        <v>953.71815930769242</v>
      </c>
      <c r="I20" s="1"/>
      <c r="J20" s="5">
        <f t="shared" si="5"/>
        <v>3.9685342847357377E-2</v>
      </c>
      <c r="K20" s="1"/>
      <c r="L20" s="1">
        <f t="shared" si="6"/>
        <v>3916.8718406923085</v>
      </c>
      <c r="M20" s="1"/>
      <c r="N20" s="5">
        <f t="shared" si="7"/>
        <v>4.1069490000437661</v>
      </c>
      <c r="O20" s="13"/>
      <c r="P20" s="1">
        <f>SUM(OSRRefP22_0x_0)</f>
        <v>13496.070000000002</v>
      </c>
      <c r="Q20" s="1"/>
      <c r="R20" s="5">
        <f t="shared" si="8"/>
        <v>0.14042023888796407</v>
      </c>
      <c r="S20" s="1"/>
      <c r="T20" s="1">
        <f>SUM(OSRRefT22_0x_0)</f>
        <v>5096.6035177499971</v>
      </c>
      <c r="U20" s="1"/>
      <c r="V20" s="5">
        <f t="shared" si="9"/>
        <v>2.2503945308774427E-2</v>
      </c>
      <c r="W20" s="1"/>
      <c r="X20" s="1">
        <f t="shared" si="10"/>
        <v>8399.4664822500054</v>
      </c>
      <c r="Y20" s="1"/>
      <c r="Z20" s="5">
        <f t="shared" si="11"/>
        <v>1.6480517766385183</v>
      </c>
    </row>
    <row r="21" spans="1:26" s="24" customFormat="1" hidden="1" outlineLevel="2" x14ac:dyDescent="0.25">
      <c r="A21" s="25"/>
      <c r="B21" s="11" t="str">
        <f>CONCATENATE("          ", "6111", " - ", "F.I.C.A.")</f>
        <v xml:space="preserve">          6111 - F.I.C.A.</v>
      </c>
      <c r="C21" s="11"/>
      <c r="D21" s="7">
        <v>1067.03</v>
      </c>
      <c r="E21" s="2"/>
      <c r="F21" s="6">
        <f t="shared" si="4"/>
        <v>3.7803089350244456E-2</v>
      </c>
      <c r="G21" s="2"/>
      <c r="H21" s="7">
        <v>261.889780846154</v>
      </c>
      <c r="I21" s="2"/>
      <c r="J21" s="6">
        <f t="shared" si="5"/>
        <v>1.0897544143065662E-2</v>
      </c>
      <c r="K21" s="2"/>
      <c r="L21" s="7">
        <f t="shared" si="6"/>
        <v>805.14021915384592</v>
      </c>
      <c r="M21" s="2"/>
      <c r="N21" s="6">
        <f t="shared" si="7"/>
        <v>3.0743475997897836</v>
      </c>
      <c r="O21" s="11"/>
      <c r="P21" s="7">
        <v>3424.24</v>
      </c>
      <c r="Q21" s="2"/>
      <c r="R21" s="6">
        <f t="shared" si="8"/>
        <v>3.5627601132012653E-2</v>
      </c>
      <c r="S21" s="2"/>
      <c r="T21" s="7">
        <v>2412.353787749998</v>
      </c>
      <c r="U21" s="2"/>
      <c r="V21" s="6">
        <f t="shared" si="9"/>
        <v>1.0651697256000627E-2</v>
      </c>
      <c r="W21" s="2"/>
      <c r="X21" s="7">
        <f t="shared" si="10"/>
        <v>1011.8862122500018</v>
      </c>
      <c r="Y21" s="2"/>
      <c r="Z21" s="6">
        <f t="shared" si="11"/>
        <v>0.41946012122616055</v>
      </c>
    </row>
    <row r="22" spans="1:26" s="24" customFormat="1" hidden="1" outlineLevel="2" x14ac:dyDescent="0.25">
      <c r="A22" s="25"/>
      <c r="B22" s="11" t="str">
        <f>CONCATENATE("          ", "6112", " - ", "COMPENSATION INSURANCE")</f>
        <v xml:space="preserve">          6112 - COMPENSATION INSURANCE</v>
      </c>
      <c r="C22" s="11"/>
      <c r="D22" s="7">
        <v>60.71</v>
      </c>
      <c r="E22" s="2"/>
      <c r="F22" s="6">
        <f t="shared" si="4"/>
        <v>2.1508538227166443E-3</v>
      </c>
      <c r="G22" s="2"/>
      <c r="H22" s="7">
        <v>198.256523076923</v>
      </c>
      <c r="I22" s="2"/>
      <c r="J22" s="6">
        <f t="shared" si="5"/>
        <v>8.249688876369966E-3</v>
      </c>
      <c r="K22" s="2"/>
      <c r="L22" s="7">
        <f t="shared" si="6"/>
        <v>-137.54652307692299</v>
      </c>
      <c r="M22" s="2"/>
      <c r="N22" s="6">
        <f t="shared" si="7"/>
        <v>-0.69378056742957861</v>
      </c>
      <c r="O22" s="11"/>
      <c r="P22" s="7">
        <v>170.49</v>
      </c>
      <c r="Q22" s="2"/>
      <c r="R22" s="6">
        <f t="shared" si="8"/>
        <v>1.7738679873480941E-3</v>
      </c>
      <c r="S22" s="2"/>
      <c r="T22" s="7">
        <v>732.14932499999998</v>
      </c>
      <c r="U22" s="2"/>
      <c r="V22" s="6">
        <f t="shared" si="9"/>
        <v>3.2327898982673661E-3</v>
      </c>
      <c r="W22" s="2"/>
      <c r="X22" s="7">
        <f t="shared" si="10"/>
        <v>-561.65932499999997</v>
      </c>
      <c r="Y22" s="2"/>
      <c r="Z22" s="6">
        <f t="shared" si="11"/>
        <v>-0.76713766689602558</v>
      </c>
    </row>
    <row r="23" spans="1:26" s="24" customFormat="1" hidden="1" outlineLevel="2" x14ac:dyDescent="0.25">
      <c r="A23" s="25"/>
      <c r="B23" s="11" t="str">
        <f>CONCATENATE("          ", "6113", " - ", "GROUP INSURANCE")</f>
        <v xml:space="preserve">          6113 - GROUP INSURANCE</v>
      </c>
      <c r="C23" s="11"/>
      <c r="D23" s="7">
        <v>1243.31</v>
      </c>
      <c r="E23" s="2"/>
      <c r="F23" s="6">
        <f t="shared" si="4"/>
        <v>4.4048395096719338E-2</v>
      </c>
      <c r="G23" s="2"/>
      <c r="H23" s="7">
        <v>138.1</v>
      </c>
      <c r="I23" s="2"/>
      <c r="J23" s="6">
        <f t="shared" si="5"/>
        <v>5.7465046604527293E-3</v>
      </c>
      <c r="K23" s="2"/>
      <c r="L23" s="7">
        <f t="shared" si="6"/>
        <v>1105.21</v>
      </c>
      <c r="M23" s="2"/>
      <c r="N23" s="6">
        <f t="shared" si="7"/>
        <v>8.0029688631426517</v>
      </c>
      <c r="O23" s="11"/>
      <c r="P23" s="7">
        <v>3729.93</v>
      </c>
      <c r="Q23" s="2"/>
      <c r="R23" s="6">
        <f t="shared" si="8"/>
        <v>3.8808161311802897E-2</v>
      </c>
      <c r="S23" s="2"/>
      <c r="T23" s="7">
        <v>414.3</v>
      </c>
      <c r="U23" s="2"/>
      <c r="V23" s="6">
        <f t="shared" si="9"/>
        <v>1.8293329094473587E-3</v>
      </c>
      <c r="W23" s="2"/>
      <c r="X23" s="7">
        <f t="shared" si="10"/>
        <v>3315.6299999999997</v>
      </c>
      <c r="Y23" s="2"/>
      <c r="Z23" s="6">
        <f t="shared" si="11"/>
        <v>8.0029688631426499</v>
      </c>
    </row>
    <row r="24" spans="1:26" s="24" customFormat="1" hidden="1" outlineLevel="2" x14ac:dyDescent="0.25">
      <c r="A24" s="25"/>
      <c r="B24" s="11" t="str">
        <f>CONCATENATE("          ", "6114", " - ", "STATE UNEMPLOYMENT INSURANCE")</f>
        <v xml:space="preserve">          6114 - STATE UNEMPLOYMENT INSURANCE</v>
      </c>
      <c r="C24" s="11"/>
      <c r="D24" s="7">
        <v>46.4</v>
      </c>
      <c r="E24" s="2"/>
      <c r="F24" s="6">
        <f t="shared" si="4"/>
        <v>1.6438744420038261E-3</v>
      </c>
      <c r="G24" s="2"/>
      <c r="H24" s="7">
        <v>27.129840000000002</v>
      </c>
      <c r="I24" s="2"/>
      <c r="J24" s="6">
        <f t="shared" si="5"/>
        <v>1.128904793608522E-3</v>
      </c>
      <c r="K24" s="2"/>
      <c r="L24" s="7">
        <f t="shared" si="6"/>
        <v>19.270159999999997</v>
      </c>
      <c r="M24" s="2"/>
      <c r="N24" s="6">
        <f t="shared" si="7"/>
        <v>0.71029390516125401</v>
      </c>
      <c r="O24" s="11"/>
      <c r="P24" s="7">
        <v>130.35</v>
      </c>
      <c r="Q24" s="2"/>
      <c r="R24" s="6">
        <f t="shared" si="8"/>
        <v>1.3562302313967038E-3</v>
      </c>
      <c r="S24" s="2"/>
      <c r="T24" s="7">
        <v>100.188855</v>
      </c>
      <c r="U24" s="2"/>
      <c r="V24" s="6">
        <f t="shared" si="9"/>
        <v>4.4238177555237643E-4</v>
      </c>
      <c r="W24" s="2"/>
      <c r="X24" s="7">
        <f t="shared" si="10"/>
        <v>30.161144999999991</v>
      </c>
      <c r="Y24" s="2"/>
      <c r="Z24" s="6">
        <f t="shared" si="11"/>
        <v>0.30104291540211725</v>
      </c>
    </row>
    <row r="25" spans="1:26" s="24" customFormat="1" hidden="1" outlineLevel="2" x14ac:dyDescent="0.25">
      <c r="A25" s="25"/>
      <c r="B25" s="11" t="str">
        <f>CONCATENATE("          ", "6115", " - ", "P.E.R.S.")</f>
        <v xml:space="preserve">          6115 - P.E.R.S.</v>
      </c>
      <c r="C25" s="11"/>
      <c r="D25" s="7">
        <v>639.47</v>
      </c>
      <c r="E25" s="2"/>
      <c r="F25" s="6">
        <f t="shared" si="4"/>
        <v>2.2655353220435062E-2</v>
      </c>
      <c r="G25" s="2"/>
      <c r="H25" s="7">
        <v>56.936630769230796</v>
      </c>
      <c r="I25" s="2"/>
      <c r="J25" s="6">
        <f t="shared" si="5"/>
        <v>2.3692006811430926E-3</v>
      </c>
      <c r="K25" s="2"/>
      <c r="L25" s="7">
        <f t="shared" si="6"/>
        <v>582.53336923076927</v>
      </c>
      <c r="M25" s="2"/>
      <c r="N25" s="6">
        <f t="shared" si="7"/>
        <v>10.231258178795802</v>
      </c>
      <c r="O25" s="11"/>
      <c r="P25" s="7">
        <v>1857.51</v>
      </c>
      <c r="Q25" s="2"/>
      <c r="R25" s="6">
        <f t="shared" si="8"/>
        <v>1.9326514899284167E-2</v>
      </c>
      <c r="S25" s="2"/>
      <c r="T25" s="7">
        <v>185.04405000000011</v>
      </c>
      <c r="U25" s="2"/>
      <c r="V25" s="6">
        <f t="shared" si="9"/>
        <v>8.1705809887140407E-4</v>
      </c>
      <c r="W25" s="2"/>
      <c r="X25" s="7">
        <f t="shared" si="10"/>
        <v>1672.4659499999998</v>
      </c>
      <c r="Y25" s="2"/>
      <c r="Z25" s="6">
        <f t="shared" si="11"/>
        <v>9.0382044167321176</v>
      </c>
    </row>
    <row r="26" spans="1:26" s="24" customFormat="1" hidden="1" outlineLevel="2" x14ac:dyDescent="0.25">
      <c r="A26" s="25"/>
      <c r="B26" s="11" t="str">
        <f>CONCATENATE("          ", "6116", " - ", "EDUCATIONAL BENEFITS")</f>
        <v xml:space="preserve">          6116 - EDUCATIONAL BENEFITS</v>
      </c>
      <c r="C26" s="11"/>
      <c r="D26" s="7"/>
      <c r="E26" s="2"/>
      <c r="F26" s="6">
        <f t="shared" si="4"/>
        <v>0</v>
      </c>
      <c r="G26" s="2"/>
      <c r="H26" s="7">
        <v>0</v>
      </c>
      <c r="I26" s="2"/>
      <c r="J26" s="6">
        <f t="shared" si="5"/>
        <v>0</v>
      </c>
      <c r="K26" s="2"/>
      <c r="L26" s="7">
        <f t="shared" si="6"/>
        <v>0</v>
      </c>
      <c r="M26" s="2"/>
      <c r="N26" s="6">
        <f t="shared" si="7"/>
        <v>0</v>
      </c>
      <c r="O26" s="11"/>
      <c r="P26" s="7"/>
      <c r="Q26" s="2"/>
      <c r="R26" s="6">
        <f t="shared" si="8"/>
        <v>0</v>
      </c>
      <c r="S26" s="2"/>
      <c r="T26" s="7">
        <v>0</v>
      </c>
      <c r="U26" s="2"/>
      <c r="V26" s="6">
        <f t="shared" si="9"/>
        <v>0</v>
      </c>
      <c r="W26" s="2"/>
      <c r="X26" s="7">
        <f t="shared" si="10"/>
        <v>0</v>
      </c>
      <c r="Y26" s="2"/>
      <c r="Z26" s="6">
        <f t="shared" si="11"/>
        <v>0</v>
      </c>
    </row>
    <row r="27" spans="1:26" s="24" customFormat="1" hidden="1" outlineLevel="2" x14ac:dyDescent="0.25">
      <c r="A27" s="25"/>
      <c r="B27" s="11" t="str">
        <f>CONCATENATE("          ", "6118", " - ", "VACATION")</f>
        <v xml:space="preserve">          6118 - VACATION</v>
      </c>
      <c r="C27" s="11"/>
      <c r="D27" s="7">
        <v>1076.3</v>
      </c>
      <c r="E27" s="2"/>
      <c r="F27" s="6">
        <f t="shared" si="4"/>
        <v>3.8131509955360306E-2</v>
      </c>
      <c r="G27" s="2"/>
      <c r="H27" s="7">
        <v>33.102692307692301</v>
      </c>
      <c r="I27" s="2"/>
      <c r="J27" s="6">
        <f t="shared" si="5"/>
        <v>1.3774422564785411E-3</v>
      </c>
      <c r="K27" s="2"/>
      <c r="L27" s="7">
        <f t="shared" si="6"/>
        <v>1043.1973076923077</v>
      </c>
      <c r="M27" s="2"/>
      <c r="N27" s="6">
        <f t="shared" si="7"/>
        <v>31.513971673231328</v>
      </c>
      <c r="O27" s="11"/>
      <c r="P27" s="7">
        <v>2470.08</v>
      </c>
      <c r="Q27" s="2"/>
      <c r="R27" s="6">
        <f t="shared" si="8"/>
        <v>2.5700016647244882E-2</v>
      </c>
      <c r="S27" s="2"/>
      <c r="T27" s="7">
        <v>107.58374999999999</v>
      </c>
      <c r="U27" s="2"/>
      <c r="V27" s="6">
        <f t="shared" si="9"/>
        <v>4.7503377841360672E-4</v>
      </c>
      <c r="W27" s="2"/>
      <c r="X27" s="7">
        <f t="shared" si="10"/>
        <v>2362.4962500000001</v>
      </c>
      <c r="Y27" s="2"/>
      <c r="Z27" s="6">
        <f t="shared" si="11"/>
        <v>21.959601240893726</v>
      </c>
    </row>
    <row r="28" spans="1:26" s="24" customFormat="1" hidden="1" outlineLevel="2" x14ac:dyDescent="0.25">
      <c r="A28" s="25"/>
      <c r="B28" s="11" t="str">
        <f>CONCATENATE("          ", "6119", " - ", "SICK LEAVE")</f>
        <v xml:space="preserve">          6119 - SICK LEAVE</v>
      </c>
      <c r="C28" s="11"/>
      <c r="D28" s="7">
        <v>562.48</v>
      </c>
      <c r="E28" s="2"/>
      <c r="F28" s="6">
        <f t="shared" si="4"/>
        <v>1.9927726209877417E-2</v>
      </c>
      <c r="G28" s="2"/>
      <c r="H28" s="7">
        <v>88.302692307692297</v>
      </c>
      <c r="I28" s="2"/>
      <c r="J28" s="6">
        <f t="shared" si="5"/>
        <v>3.6743796732561706E-3</v>
      </c>
      <c r="K28" s="2"/>
      <c r="L28" s="7">
        <f t="shared" si="6"/>
        <v>474.17730769230775</v>
      </c>
      <c r="M28" s="2"/>
      <c r="N28" s="6">
        <f t="shared" si="7"/>
        <v>5.3699077038334062</v>
      </c>
      <c r="O28" s="11"/>
      <c r="P28" s="7">
        <v>1255.7</v>
      </c>
      <c r="Q28" s="2"/>
      <c r="R28" s="6">
        <f t="shared" si="8"/>
        <v>1.3064965873147994E-2</v>
      </c>
      <c r="S28" s="2"/>
      <c r="T28" s="7">
        <v>694.9837499999993</v>
      </c>
      <c r="U28" s="2"/>
      <c r="V28" s="6">
        <f t="shared" si="9"/>
        <v>3.0686860859428784E-3</v>
      </c>
      <c r="W28" s="2"/>
      <c r="X28" s="7">
        <f t="shared" si="10"/>
        <v>560.71625000000074</v>
      </c>
      <c r="Y28" s="2"/>
      <c r="Z28" s="6">
        <f t="shared" si="11"/>
        <v>0.80680483536485748</v>
      </c>
    </row>
    <row r="29" spans="1:26" s="24" customFormat="1" hidden="1" outlineLevel="2" x14ac:dyDescent="0.25">
      <c r="A29" s="25"/>
      <c r="B29" s="11" t="str">
        <f>CONCATENATE("          ", "6156", " - ", "EMPLOYEE MEALS")</f>
        <v xml:space="preserve">          6156 - EMPLOYEE MEALS</v>
      </c>
      <c r="C29" s="11"/>
      <c r="D29" s="7">
        <v>174.89</v>
      </c>
      <c r="E29" s="2"/>
      <c r="F29" s="6">
        <f t="shared" si="4"/>
        <v>6.1960603698717493E-3</v>
      </c>
      <c r="G29" s="2"/>
      <c r="H29" s="7">
        <v>150</v>
      </c>
      <c r="I29" s="2"/>
      <c r="J29" s="6">
        <f t="shared" si="5"/>
        <v>6.2416777629826893E-3</v>
      </c>
      <c r="K29" s="2"/>
      <c r="L29" s="7">
        <f t="shared" si="6"/>
        <v>24.889999999999986</v>
      </c>
      <c r="M29" s="2"/>
      <c r="N29" s="6">
        <f t="shared" si="7"/>
        <v>0.16593333333333324</v>
      </c>
      <c r="O29" s="11"/>
      <c r="P29" s="7">
        <v>457.77</v>
      </c>
      <c r="Q29" s="2"/>
      <c r="R29" s="6">
        <f t="shared" si="8"/>
        <v>4.7628808057266518E-3</v>
      </c>
      <c r="S29" s="2"/>
      <c r="T29" s="7">
        <v>450</v>
      </c>
      <c r="U29" s="2"/>
      <c r="V29" s="6">
        <f t="shared" si="9"/>
        <v>1.9869655062788108E-3</v>
      </c>
      <c r="W29" s="2"/>
      <c r="X29" s="7">
        <f t="shared" si="10"/>
        <v>7.7699999999999818</v>
      </c>
      <c r="Y29" s="2"/>
      <c r="Z29" s="6">
        <f t="shared" si="11"/>
        <v>1.7266666666666625E-2</v>
      </c>
    </row>
    <row r="30" spans="1:26" s="26" customFormat="1" outlineLevel="1" collapsed="1" x14ac:dyDescent="0.25">
      <c r="A30" s="27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17084.79</v>
      </c>
      <c r="E30" s="1"/>
      <c r="F30" s="5">
        <f t="shared" ref="F30:F40" si="12">IF(D$12=0,0,D30/D$12)</f>
        <v>0.60528555232764125</v>
      </c>
      <c r="G30" s="1"/>
      <c r="H30" s="1">
        <f>SUM(OSRRefH22_1x_0)</f>
        <v>10313.148461538462</v>
      </c>
      <c r="I30" s="1"/>
      <c r="J30" s="5">
        <f t="shared" ref="J30:J40" si="13">IF(H$12=0,0,H30/H$12)</f>
        <v>0.42914232945815833</v>
      </c>
      <c r="K30" s="1"/>
      <c r="L30" s="1">
        <f t="shared" ref="L30:L40" si="14">+D30-H30</f>
        <v>6771.6415384615393</v>
      </c>
      <c r="M30" s="1"/>
      <c r="N30" s="5">
        <f t="shared" ref="N30:N40" si="15">IF(H30=0,0,L30/H30)</f>
        <v>0.65660274005707286</v>
      </c>
      <c r="O30" s="13"/>
      <c r="P30" s="1">
        <f>SUM(OSRRefP22_1x_0)</f>
        <v>53857.280000000006</v>
      </c>
      <c r="Q30" s="1"/>
      <c r="R30" s="5">
        <f t="shared" ref="R30:R40" si="16">IF(P$12=0,0,P30/P$12)</f>
        <v>0.56035958048942902</v>
      </c>
      <c r="S30" s="1"/>
      <c r="T30" s="1">
        <f>SUM(OSRRefT22_1x_0)</f>
        <v>37731.607499999998</v>
      </c>
      <c r="U30" s="1"/>
      <c r="V30" s="5">
        <f t="shared" ref="V30:V40" si="17">IF(T$12=0,0,T30/T$12)</f>
        <v>0.16660311688655752</v>
      </c>
      <c r="W30" s="1"/>
      <c r="X30" s="1">
        <f t="shared" ref="X30:X40" si="18">+P30-T30</f>
        <v>16125.672500000008</v>
      </c>
      <c r="Y30" s="1"/>
      <c r="Z30" s="5">
        <f t="shared" ref="Z30:Z40" si="19">IF(T30=0,0,X30/T30)</f>
        <v>0.42737835911178734</v>
      </c>
    </row>
    <row r="31" spans="1:26" s="24" customFormat="1" hidden="1" outlineLevel="2" x14ac:dyDescent="0.25">
      <c r="A31" s="25"/>
      <c r="B31" s="11" t="str">
        <f>CONCATENATE("          ", "6001", " - ", "ADMINISTRATIVE SALARIES")</f>
        <v xml:space="preserve">          6001 - ADMINISTRATIVE SALARIES</v>
      </c>
      <c r="C31" s="11"/>
      <c r="D31" s="7"/>
      <c r="E31" s="2"/>
      <c r="F31" s="6">
        <f t="shared" si="12"/>
        <v>0</v>
      </c>
      <c r="G31" s="2"/>
      <c r="H31" s="7">
        <v>0</v>
      </c>
      <c r="I31" s="2"/>
      <c r="J31" s="6">
        <f t="shared" si="13"/>
        <v>0</v>
      </c>
      <c r="K31" s="2"/>
      <c r="L31" s="7">
        <f t="shared" si="14"/>
        <v>0</v>
      </c>
      <c r="M31" s="2"/>
      <c r="N31" s="6">
        <f t="shared" si="15"/>
        <v>0</v>
      </c>
      <c r="O31" s="11"/>
      <c r="P31" s="7"/>
      <c r="Q31" s="2"/>
      <c r="R31" s="6">
        <f t="shared" si="16"/>
        <v>0</v>
      </c>
      <c r="S31" s="2"/>
      <c r="T31" s="7">
        <v>0</v>
      </c>
      <c r="U31" s="2"/>
      <c r="V31" s="6">
        <f t="shared" si="17"/>
        <v>0</v>
      </c>
      <c r="W31" s="2"/>
      <c r="X31" s="7">
        <f t="shared" si="18"/>
        <v>0</v>
      </c>
      <c r="Y31" s="2"/>
      <c r="Z31" s="6">
        <f t="shared" si="19"/>
        <v>0</v>
      </c>
    </row>
    <row r="32" spans="1:26" s="24" customFormat="1" hidden="1" outlineLevel="2" x14ac:dyDescent="0.25">
      <c r="A32" s="25"/>
      <c r="B32" s="11" t="str">
        <f>CONCATENATE("          ", "6002", " - ", "STAFF SALARIES")</f>
        <v xml:space="preserve">          6002 - STAFF SALARIES</v>
      </c>
      <c r="C32" s="11"/>
      <c r="D32" s="7">
        <v>6017.64</v>
      </c>
      <c r="E32" s="2"/>
      <c r="F32" s="6">
        <f t="shared" si="12"/>
        <v>0.21319492666336004</v>
      </c>
      <c r="G32" s="2"/>
      <c r="H32" s="7">
        <v>595.84846153846195</v>
      </c>
      <c r="I32" s="2"/>
      <c r="J32" s="6">
        <f t="shared" si="13"/>
        <v>2.4793960616613764E-2</v>
      </c>
      <c r="K32" s="2"/>
      <c r="L32" s="7">
        <f t="shared" si="14"/>
        <v>5421.791538461538</v>
      </c>
      <c r="M32" s="2"/>
      <c r="N32" s="6">
        <f t="shared" si="15"/>
        <v>9.0992792436899865</v>
      </c>
      <c r="O32" s="11"/>
      <c r="P32" s="7">
        <v>18232.95</v>
      </c>
      <c r="Q32" s="2"/>
      <c r="R32" s="6">
        <f t="shared" si="16"/>
        <v>0.1897052397203263</v>
      </c>
      <c r="S32" s="2"/>
      <c r="T32" s="7">
        <v>1936.5075000000008</v>
      </c>
      <c r="U32" s="2"/>
      <c r="V32" s="6">
        <f t="shared" si="17"/>
        <v>8.5506080114449243E-3</v>
      </c>
      <c r="W32" s="2"/>
      <c r="X32" s="7">
        <f t="shared" si="18"/>
        <v>16296.442499999999</v>
      </c>
      <c r="Y32" s="2"/>
      <c r="Z32" s="6">
        <f t="shared" si="19"/>
        <v>8.4153779419909256</v>
      </c>
    </row>
    <row r="33" spans="1:26" s="24" customFormat="1" hidden="1" outlineLevel="2" x14ac:dyDescent="0.25">
      <c r="A33" s="25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12"/>
        <v>0</v>
      </c>
      <c r="G33" s="2"/>
      <c r="H33" s="7">
        <v>0</v>
      </c>
      <c r="I33" s="2"/>
      <c r="J33" s="6">
        <f t="shared" si="13"/>
        <v>0</v>
      </c>
      <c r="K33" s="2"/>
      <c r="L33" s="7">
        <f t="shared" si="14"/>
        <v>0</v>
      </c>
      <c r="M33" s="2"/>
      <c r="N33" s="6">
        <f t="shared" si="15"/>
        <v>0</v>
      </c>
      <c r="O33" s="11"/>
      <c r="P33" s="7"/>
      <c r="Q33" s="2"/>
      <c r="R33" s="6">
        <f t="shared" si="16"/>
        <v>0</v>
      </c>
      <c r="S33" s="2"/>
      <c r="T33" s="7">
        <v>0</v>
      </c>
      <c r="U33" s="2"/>
      <c r="V33" s="6">
        <f t="shared" si="17"/>
        <v>0</v>
      </c>
      <c r="W33" s="2"/>
      <c r="X33" s="7">
        <f t="shared" si="18"/>
        <v>0</v>
      </c>
      <c r="Y33" s="2"/>
      <c r="Z33" s="6">
        <f t="shared" si="19"/>
        <v>0</v>
      </c>
    </row>
    <row r="34" spans="1:26" s="24" customFormat="1" hidden="1" outlineLevel="2" x14ac:dyDescent="0.25">
      <c r="A34" s="25"/>
      <c r="B34" s="11" t="str">
        <f>CONCATENATE("          ", "6004", " - ", "STAFF HOURLY")</f>
        <v xml:space="preserve">          6004 - STAFF HOURLY</v>
      </c>
      <c r="C34" s="11"/>
      <c r="D34" s="7"/>
      <c r="E34" s="2"/>
      <c r="F34" s="6">
        <f t="shared" si="12"/>
        <v>0</v>
      </c>
      <c r="G34" s="2"/>
      <c r="H34" s="7">
        <v>2704.8</v>
      </c>
      <c r="I34" s="2"/>
      <c r="J34" s="6">
        <f t="shared" si="13"/>
        <v>0.11254993342210387</v>
      </c>
      <c r="K34" s="2"/>
      <c r="L34" s="7">
        <f t="shared" si="14"/>
        <v>-2704.8</v>
      </c>
      <c r="M34" s="2"/>
      <c r="N34" s="6">
        <f t="shared" si="15"/>
        <v>-1</v>
      </c>
      <c r="O34" s="11"/>
      <c r="P34" s="7"/>
      <c r="Q34" s="2"/>
      <c r="R34" s="6">
        <f t="shared" si="16"/>
        <v>0</v>
      </c>
      <c r="S34" s="2"/>
      <c r="T34" s="7">
        <v>8790.6</v>
      </c>
      <c r="U34" s="2"/>
      <c r="V34" s="6">
        <f t="shared" si="17"/>
        <v>3.8814708843321145E-2</v>
      </c>
      <c r="W34" s="2"/>
      <c r="X34" s="7">
        <f t="shared" si="18"/>
        <v>-8790.6</v>
      </c>
      <c r="Y34" s="2"/>
      <c r="Z34" s="6">
        <f t="shared" si="19"/>
        <v>-1</v>
      </c>
    </row>
    <row r="35" spans="1:26" s="24" customFormat="1" hidden="1" outlineLevel="2" x14ac:dyDescent="0.25">
      <c r="A35" s="25"/>
      <c r="B35" s="11" t="str">
        <f>CONCATENATE("          ", "6005", " - ", "TEMPORARY WAGES-HOURLY")</f>
        <v xml:space="preserve">          6005 - TEMPORARY WAGES-HOURLY</v>
      </c>
      <c r="C35" s="11"/>
      <c r="D35" s="7">
        <v>8155.67</v>
      </c>
      <c r="E35" s="2"/>
      <c r="F35" s="6">
        <f t="shared" si="12"/>
        <v>0.28894175582796006</v>
      </c>
      <c r="G35" s="2"/>
      <c r="H35" s="7">
        <v>0</v>
      </c>
      <c r="I35" s="2"/>
      <c r="J35" s="6">
        <f t="shared" si="13"/>
        <v>0</v>
      </c>
      <c r="K35" s="2"/>
      <c r="L35" s="7">
        <f t="shared" si="14"/>
        <v>8155.67</v>
      </c>
      <c r="M35" s="2"/>
      <c r="N35" s="6">
        <f t="shared" si="15"/>
        <v>0</v>
      </c>
      <c r="O35" s="11"/>
      <c r="P35" s="7">
        <v>21350.06</v>
      </c>
      <c r="Q35" s="2"/>
      <c r="R35" s="6">
        <f t="shared" si="16"/>
        <v>0.22213729815215583</v>
      </c>
      <c r="S35" s="2"/>
      <c r="T35" s="7">
        <v>0</v>
      </c>
      <c r="U35" s="2"/>
      <c r="V35" s="6">
        <f t="shared" si="17"/>
        <v>0</v>
      </c>
      <c r="W35" s="2"/>
      <c r="X35" s="7">
        <f t="shared" si="18"/>
        <v>21350.06</v>
      </c>
      <c r="Y35" s="2"/>
      <c r="Z35" s="6">
        <f t="shared" si="19"/>
        <v>0</v>
      </c>
    </row>
    <row r="36" spans="1:26" s="24" customFormat="1" hidden="1" outlineLevel="2" x14ac:dyDescent="0.25">
      <c r="A36" s="25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12"/>
        <v>0</v>
      </c>
      <c r="G36" s="2"/>
      <c r="H36" s="7">
        <v>0</v>
      </c>
      <c r="I36" s="2"/>
      <c r="J36" s="6">
        <f t="shared" si="13"/>
        <v>0</v>
      </c>
      <c r="K36" s="2"/>
      <c r="L36" s="7">
        <f t="shared" si="14"/>
        <v>0</v>
      </c>
      <c r="M36" s="2"/>
      <c r="N36" s="6">
        <f t="shared" si="15"/>
        <v>0</v>
      </c>
      <c r="O36" s="11"/>
      <c r="P36" s="7"/>
      <c r="Q36" s="2"/>
      <c r="R36" s="6">
        <f t="shared" si="16"/>
        <v>0</v>
      </c>
      <c r="S36" s="2"/>
      <c r="T36" s="7">
        <v>0</v>
      </c>
      <c r="U36" s="2"/>
      <c r="V36" s="6">
        <f t="shared" si="17"/>
        <v>0</v>
      </c>
      <c r="W36" s="2"/>
      <c r="X36" s="7">
        <f t="shared" si="18"/>
        <v>0</v>
      </c>
      <c r="Y36" s="2"/>
      <c r="Z36" s="6">
        <f t="shared" si="19"/>
        <v>0</v>
      </c>
    </row>
    <row r="37" spans="1:26" s="24" customFormat="1" hidden="1" outlineLevel="2" x14ac:dyDescent="0.25">
      <c r="A37" s="25"/>
      <c r="B37" s="11" t="str">
        <f>CONCATENATE("          ", "6007", " - ", "STUDENT HOURLY")</f>
        <v xml:space="preserve">          6007 - STUDENT HOURLY</v>
      </c>
      <c r="C37" s="11"/>
      <c r="D37" s="7">
        <v>2136.91</v>
      </c>
      <c r="E37" s="2"/>
      <c r="F37" s="6">
        <f t="shared" si="12"/>
        <v>7.5707149436689575E-2</v>
      </c>
      <c r="G37" s="2"/>
      <c r="H37" s="7">
        <v>0</v>
      </c>
      <c r="I37" s="2"/>
      <c r="J37" s="6">
        <f t="shared" si="13"/>
        <v>0</v>
      </c>
      <c r="K37" s="2"/>
      <c r="L37" s="7">
        <f t="shared" si="14"/>
        <v>2136.91</v>
      </c>
      <c r="M37" s="2"/>
      <c r="N37" s="6">
        <f t="shared" si="15"/>
        <v>0</v>
      </c>
      <c r="O37" s="11"/>
      <c r="P37" s="7">
        <v>12199.2</v>
      </c>
      <c r="Q37" s="2"/>
      <c r="R37" s="6">
        <f t="shared" si="16"/>
        <v>0.12692691859497254</v>
      </c>
      <c r="S37" s="2"/>
      <c r="T37" s="7">
        <v>19992</v>
      </c>
      <c r="U37" s="2"/>
      <c r="V37" s="6">
        <f t="shared" si="17"/>
        <v>8.8274254225613316E-2</v>
      </c>
      <c r="W37" s="2"/>
      <c r="X37" s="7">
        <f t="shared" si="18"/>
        <v>-7792.7999999999993</v>
      </c>
      <c r="Y37" s="2"/>
      <c r="Z37" s="6">
        <f t="shared" si="19"/>
        <v>-0.38979591836734689</v>
      </c>
    </row>
    <row r="38" spans="1:26" s="24" customFormat="1" hidden="1" outlineLevel="2" x14ac:dyDescent="0.25">
      <c r="A38" s="25"/>
      <c r="B38" s="11" t="str">
        <f>CONCATENATE("          ", "6008", " - ", "STUDENT HOURLY-FICA EXEMPT")</f>
        <v xml:space="preserve">          6008 - STUDENT HOURLY-FICA EXEMPT</v>
      </c>
      <c r="C38" s="11"/>
      <c r="D38" s="7">
        <v>774.57</v>
      </c>
      <c r="E38" s="2"/>
      <c r="F38" s="6">
        <f t="shared" si="12"/>
        <v>2.7441720399631546E-2</v>
      </c>
      <c r="G38" s="2"/>
      <c r="H38" s="7">
        <v>7012.5</v>
      </c>
      <c r="I38" s="2"/>
      <c r="J38" s="6">
        <f t="shared" si="13"/>
        <v>0.29179843541944073</v>
      </c>
      <c r="K38" s="2"/>
      <c r="L38" s="7">
        <f t="shared" si="14"/>
        <v>-6237.93</v>
      </c>
      <c r="M38" s="2"/>
      <c r="N38" s="6">
        <f t="shared" si="15"/>
        <v>-0.88954438502673805</v>
      </c>
      <c r="O38" s="11"/>
      <c r="P38" s="7">
        <v>2075.0700000000002</v>
      </c>
      <c r="Q38" s="2"/>
      <c r="R38" s="6">
        <f t="shared" si="16"/>
        <v>2.1590124021974366E-2</v>
      </c>
      <c r="S38" s="2"/>
      <c r="T38" s="7">
        <v>7012.5</v>
      </c>
      <c r="U38" s="2"/>
      <c r="V38" s="6">
        <f t="shared" si="17"/>
        <v>3.0963545806178137E-2</v>
      </c>
      <c r="W38" s="2"/>
      <c r="X38" s="7">
        <f t="shared" si="18"/>
        <v>-4937.43</v>
      </c>
      <c r="Y38" s="2"/>
      <c r="Z38" s="6">
        <f t="shared" si="19"/>
        <v>-0.70408983957219251</v>
      </c>
    </row>
    <row r="39" spans="1:26" s="24" customFormat="1" hidden="1" outlineLevel="2" x14ac:dyDescent="0.25">
      <c r="A39" s="25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12"/>
        <v>0</v>
      </c>
      <c r="G39" s="2"/>
      <c r="H39" s="7">
        <v>0</v>
      </c>
      <c r="I39" s="2"/>
      <c r="J39" s="6">
        <f t="shared" si="13"/>
        <v>0</v>
      </c>
      <c r="K39" s="2"/>
      <c r="L39" s="7">
        <f t="shared" si="14"/>
        <v>0</v>
      </c>
      <c r="M39" s="2"/>
      <c r="N39" s="6">
        <f t="shared" si="15"/>
        <v>0</v>
      </c>
      <c r="O39" s="11"/>
      <c r="P39" s="7"/>
      <c r="Q39" s="2"/>
      <c r="R39" s="6">
        <f t="shared" si="16"/>
        <v>0</v>
      </c>
      <c r="S39" s="2"/>
      <c r="T39" s="7">
        <v>0</v>
      </c>
      <c r="U39" s="2"/>
      <c r="V39" s="6">
        <f t="shared" si="17"/>
        <v>0</v>
      </c>
      <c r="W39" s="2"/>
      <c r="X39" s="7">
        <f t="shared" si="18"/>
        <v>0</v>
      </c>
      <c r="Y39" s="2"/>
      <c r="Z39" s="6">
        <f t="shared" si="19"/>
        <v>0</v>
      </c>
    </row>
    <row r="40" spans="1:26" s="24" customFormat="1" hidden="1" outlineLevel="2" x14ac:dyDescent="0.25">
      <c r="A40" s="25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12"/>
        <v>0</v>
      </c>
      <c r="G40" s="2"/>
      <c r="H40" s="7">
        <v>0</v>
      </c>
      <c r="I40" s="2"/>
      <c r="J40" s="6">
        <f t="shared" si="13"/>
        <v>0</v>
      </c>
      <c r="K40" s="2"/>
      <c r="L40" s="7">
        <f t="shared" si="14"/>
        <v>0</v>
      </c>
      <c r="M40" s="2"/>
      <c r="N40" s="6">
        <f t="shared" si="15"/>
        <v>0</v>
      </c>
      <c r="O40" s="11"/>
      <c r="P40" s="7"/>
      <c r="Q40" s="2"/>
      <c r="R40" s="6">
        <f t="shared" si="16"/>
        <v>0</v>
      </c>
      <c r="S40" s="2"/>
      <c r="T40" s="7">
        <v>0</v>
      </c>
      <c r="U40" s="2"/>
      <c r="V40" s="6">
        <f t="shared" si="17"/>
        <v>0</v>
      </c>
      <c r="W40" s="2"/>
      <c r="X40" s="7">
        <f t="shared" si="18"/>
        <v>0</v>
      </c>
      <c r="Y40" s="2"/>
      <c r="Z40" s="6">
        <f t="shared" si="19"/>
        <v>0</v>
      </c>
    </row>
    <row r="41" spans="1:26" s="26" customFormat="1" outlineLevel="1" collapsed="1" x14ac:dyDescent="0.25">
      <c r="A41" s="27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0</v>
      </c>
      <c r="E41" s="1"/>
      <c r="F41" s="5">
        <f t="shared" ref="F41:F59" si="20">IF(D$12=0,0,D41/D$12)</f>
        <v>0</v>
      </c>
      <c r="G41" s="1"/>
      <c r="H41" s="1">
        <f>SUM(OSRRefH22_2x_0)</f>
        <v>400</v>
      </c>
      <c r="I41" s="1"/>
      <c r="J41" s="5">
        <f t="shared" ref="J41:J59" si="21">IF(H$12=0,0,H41/H$12)</f>
        <v>1.6644474034620507E-2</v>
      </c>
      <c r="K41" s="1"/>
      <c r="L41" s="1">
        <f t="shared" ref="L41:L59" si="22">+D41-H41</f>
        <v>-400</v>
      </c>
      <c r="M41" s="1"/>
      <c r="N41" s="5">
        <f t="shared" ref="N41:N59" si="23">IF(H41=0,0,L41/H41)</f>
        <v>-1</v>
      </c>
      <c r="O41" s="13"/>
      <c r="P41" s="1">
        <f>SUM(OSRRefP22_2x_0)</f>
        <v>38</v>
      </c>
      <c r="Q41" s="1"/>
      <c r="R41" s="5">
        <f t="shared" ref="R41:R59" si="24">IF(P$12=0,0,P41/P$12)</f>
        <v>3.9537206592308975E-4</v>
      </c>
      <c r="S41" s="1"/>
      <c r="T41" s="1">
        <f>SUM(OSRRefT22_2x_0)</f>
        <v>1200</v>
      </c>
      <c r="U41" s="1"/>
      <c r="V41" s="5">
        <f t="shared" ref="V41:V59" si="25">IF(T$12=0,0,T41/T$12)</f>
        <v>5.298574683410163E-3</v>
      </c>
      <c r="W41" s="1"/>
      <c r="X41" s="1">
        <f t="shared" ref="X41:X59" si="26">+P41-T41</f>
        <v>-1162</v>
      </c>
      <c r="Y41" s="1"/>
      <c r="Z41" s="5">
        <f t="shared" ref="Z41:Z59" si="27">IF(T41=0,0,X41/T41)</f>
        <v>-0.96833333333333338</v>
      </c>
    </row>
    <row r="42" spans="1:26" s="24" customFormat="1" hidden="1" outlineLevel="2" x14ac:dyDescent="0.25">
      <c r="A42" s="25"/>
      <c r="B42" s="11" t="str">
        <f>CONCATENATE("          ", "6362", " - ", "ADVERTISING EXPENSE")</f>
        <v xml:space="preserve">          6362 - ADVERTISING EXPENSE</v>
      </c>
      <c r="C42" s="11"/>
      <c r="D42" s="7"/>
      <c r="E42" s="2"/>
      <c r="F42" s="6">
        <f t="shared" si="20"/>
        <v>0</v>
      </c>
      <c r="G42" s="2"/>
      <c r="H42" s="7">
        <v>400</v>
      </c>
      <c r="I42" s="2"/>
      <c r="J42" s="6">
        <f t="shared" si="21"/>
        <v>1.6644474034620507E-2</v>
      </c>
      <c r="K42" s="2"/>
      <c r="L42" s="7">
        <f t="shared" si="22"/>
        <v>-400</v>
      </c>
      <c r="M42" s="2"/>
      <c r="N42" s="6">
        <f t="shared" si="23"/>
        <v>-1</v>
      </c>
      <c r="O42" s="11"/>
      <c r="P42" s="7">
        <v>38</v>
      </c>
      <c r="Q42" s="2"/>
      <c r="R42" s="6">
        <f t="shared" si="24"/>
        <v>3.9537206592308975E-4</v>
      </c>
      <c r="S42" s="2"/>
      <c r="T42" s="7">
        <v>1200</v>
      </c>
      <c r="U42" s="2"/>
      <c r="V42" s="6">
        <f t="shared" si="25"/>
        <v>5.298574683410163E-3</v>
      </c>
      <c r="W42" s="2"/>
      <c r="X42" s="7">
        <f t="shared" si="26"/>
        <v>-1162</v>
      </c>
      <c r="Y42" s="2"/>
      <c r="Z42" s="6">
        <f t="shared" si="27"/>
        <v>-0.96833333333333338</v>
      </c>
    </row>
    <row r="43" spans="1:26" s="26" customFormat="1" outlineLevel="1" collapsed="1" x14ac:dyDescent="0.25">
      <c r="A43" s="27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SUM(OSRRefD22_3x_0)</f>
        <v>3111.56</v>
      </c>
      <c r="E43" s="1"/>
      <c r="F43" s="5">
        <f t="shared" si="20"/>
        <v>0.1102373698008928</v>
      </c>
      <c r="G43" s="1"/>
      <c r="H43" s="1">
        <f>SUM(OSRRefH22_3x_0)</f>
        <v>1500</v>
      </c>
      <c r="I43" s="1"/>
      <c r="J43" s="5">
        <f t="shared" si="21"/>
        <v>6.2416777629826899E-2</v>
      </c>
      <c r="K43" s="1"/>
      <c r="L43" s="1">
        <f t="shared" si="22"/>
        <v>1611.56</v>
      </c>
      <c r="M43" s="1"/>
      <c r="N43" s="5">
        <f t="shared" si="23"/>
        <v>1.0743733333333334</v>
      </c>
      <c r="O43" s="13"/>
      <c r="P43" s="1">
        <f>SUM(OSRRefP22_3x_0)</f>
        <v>5606.05</v>
      </c>
      <c r="Q43" s="1"/>
      <c r="R43" s="5">
        <f t="shared" si="24"/>
        <v>5.8328304478108876E-2</v>
      </c>
      <c r="S43" s="1"/>
      <c r="T43" s="1">
        <f>SUM(OSRRefT22_3x_0)</f>
        <v>4500</v>
      </c>
      <c r="U43" s="1"/>
      <c r="V43" s="5">
        <f t="shared" si="25"/>
        <v>1.9869655062788111E-2</v>
      </c>
      <c r="W43" s="1"/>
      <c r="X43" s="1">
        <f t="shared" si="26"/>
        <v>1106.0500000000002</v>
      </c>
      <c r="Y43" s="1"/>
      <c r="Z43" s="5">
        <f t="shared" si="27"/>
        <v>0.24578888888888892</v>
      </c>
    </row>
    <row r="44" spans="1:26" s="24" customFormat="1" hidden="1" outlineLevel="2" x14ac:dyDescent="0.25">
      <c r="A44" s="25"/>
      <c r="B44" s="11" t="str">
        <f>CONCATENATE("          ", "6381", " - ", "BANK/CREDIT CARD FEES")</f>
        <v xml:space="preserve">          6381 - BANK/CREDIT CARD FEES</v>
      </c>
      <c r="C44" s="11"/>
      <c r="D44" s="7">
        <v>3111.56</v>
      </c>
      <c r="E44" s="2"/>
      <c r="F44" s="6">
        <f t="shared" si="20"/>
        <v>0.1102373698008928</v>
      </c>
      <c r="G44" s="2"/>
      <c r="H44" s="7">
        <v>1500</v>
      </c>
      <c r="I44" s="2"/>
      <c r="J44" s="6">
        <f t="shared" si="21"/>
        <v>6.2416777629826899E-2</v>
      </c>
      <c r="K44" s="2"/>
      <c r="L44" s="7">
        <f t="shared" si="22"/>
        <v>1611.56</v>
      </c>
      <c r="M44" s="2"/>
      <c r="N44" s="6">
        <f t="shared" si="23"/>
        <v>1.0743733333333334</v>
      </c>
      <c r="O44" s="11"/>
      <c r="P44" s="7">
        <v>5606.05</v>
      </c>
      <c r="Q44" s="2"/>
      <c r="R44" s="6">
        <f t="shared" si="24"/>
        <v>5.8328304478108876E-2</v>
      </c>
      <c r="S44" s="2"/>
      <c r="T44" s="7">
        <v>4500</v>
      </c>
      <c r="U44" s="2"/>
      <c r="V44" s="6">
        <f t="shared" si="25"/>
        <v>1.9869655062788111E-2</v>
      </c>
      <c r="W44" s="2"/>
      <c r="X44" s="7">
        <f t="shared" si="26"/>
        <v>1106.0500000000002</v>
      </c>
      <c r="Y44" s="2"/>
      <c r="Z44" s="6">
        <f t="shared" si="27"/>
        <v>0.24578888888888892</v>
      </c>
    </row>
    <row r="45" spans="1:26" s="26" customFormat="1" outlineLevel="1" collapsed="1" x14ac:dyDescent="0.25">
      <c r="A45" s="27"/>
      <c r="B45" s="13" t="str">
        <f>CONCATENATE("     ","Employees' Appreciation                           ")</f>
        <v xml:space="preserve">     Employees' Appreciation                           </v>
      </c>
      <c r="C45" s="13"/>
      <c r="D45" s="1">
        <f>SUM(OSRRefD22_4x_0)</f>
        <v>64.239999999999995</v>
      </c>
      <c r="E45" s="1"/>
      <c r="F45" s="5">
        <f t="shared" si="20"/>
        <v>2.2759158222915043E-3</v>
      </c>
      <c r="G45" s="1"/>
      <c r="H45" s="1">
        <f>SUM(OSRRefH22_4x_0)</f>
        <v>75</v>
      </c>
      <c r="I45" s="1"/>
      <c r="J45" s="5">
        <f t="shared" si="21"/>
        <v>3.1208388814913447E-3</v>
      </c>
      <c r="K45" s="1"/>
      <c r="L45" s="1">
        <f t="shared" si="22"/>
        <v>-10.760000000000005</v>
      </c>
      <c r="M45" s="1"/>
      <c r="N45" s="5">
        <f t="shared" si="23"/>
        <v>-0.14346666666666674</v>
      </c>
      <c r="O45" s="13"/>
      <c r="P45" s="1">
        <f>SUM(OSRRefP22_4x_0)</f>
        <v>64.239999999999995</v>
      </c>
      <c r="Q45" s="1"/>
      <c r="R45" s="5">
        <f t="shared" si="24"/>
        <v>6.6838688197103373E-4</v>
      </c>
      <c r="S45" s="1"/>
      <c r="T45" s="1">
        <f>SUM(OSRRefT22_4x_0)</f>
        <v>225</v>
      </c>
      <c r="U45" s="1"/>
      <c r="V45" s="5">
        <f t="shared" si="25"/>
        <v>9.934827531394054E-4</v>
      </c>
      <c r="W45" s="1"/>
      <c r="X45" s="1">
        <f t="shared" si="26"/>
        <v>-160.76</v>
      </c>
      <c r="Y45" s="1"/>
      <c r="Z45" s="5">
        <f t="shared" si="27"/>
        <v>-0.71448888888888884</v>
      </c>
    </row>
    <row r="46" spans="1:26" s="24" customFormat="1" hidden="1" outlineLevel="2" x14ac:dyDescent="0.25">
      <c r="A46" s="25"/>
      <c r="B46" s="11" t="str">
        <f>CONCATENATE("          ", "6277", " - ", "EMPLOYEE APPRECIATION")</f>
        <v xml:space="preserve">          6277 - EMPLOYEE APPRECIATION</v>
      </c>
      <c r="C46" s="11"/>
      <c r="D46" s="7">
        <v>64.239999999999995</v>
      </c>
      <c r="E46" s="2"/>
      <c r="F46" s="6">
        <f t="shared" si="20"/>
        <v>2.2759158222915043E-3</v>
      </c>
      <c r="G46" s="2"/>
      <c r="H46" s="7">
        <v>75</v>
      </c>
      <c r="I46" s="2"/>
      <c r="J46" s="6">
        <f t="shared" si="21"/>
        <v>3.1208388814913447E-3</v>
      </c>
      <c r="K46" s="2"/>
      <c r="L46" s="7">
        <f t="shared" si="22"/>
        <v>-10.760000000000005</v>
      </c>
      <c r="M46" s="2"/>
      <c r="N46" s="6">
        <f t="shared" si="23"/>
        <v>-0.14346666666666674</v>
      </c>
      <c r="O46" s="11"/>
      <c r="P46" s="7">
        <v>64.239999999999995</v>
      </c>
      <c r="Q46" s="2"/>
      <c r="R46" s="6">
        <f t="shared" si="24"/>
        <v>6.6838688197103373E-4</v>
      </c>
      <c r="S46" s="2"/>
      <c r="T46" s="7">
        <v>225</v>
      </c>
      <c r="U46" s="2"/>
      <c r="V46" s="6">
        <f t="shared" si="25"/>
        <v>9.934827531394054E-4</v>
      </c>
      <c r="W46" s="2"/>
      <c r="X46" s="7">
        <f t="shared" si="26"/>
        <v>-160.76</v>
      </c>
      <c r="Y46" s="2"/>
      <c r="Z46" s="6">
        <f t="shared" si="27"/>
        <v>-0.71448888888888884</v>
      </c>
    </row>
    <row r="47" spans="1:26" s="26" customFormat="1" outlineLevel="1" collapsed="1" x14ac:dyDescent="0.25">
      <c r="A47" s="27"/>
      <c r="B47" s="13" t="str">
        <f>CONCATENATE("     ","Freight out/Postage                               ")</f>
        <v xml:space="preserve">     Freight out/Postage                               </v>
      </c>
      <c r="C47" s="13"/>
      <c r="D47" s="1">
        <f>SUM(OSRRefD22_5x_0)</f>
        <v>0</v>
      </c>
      <c r="E47" s="1"/>
      <c r="F47" s="5">
        <f t="shared" si="20"/>
        <v>0</v>
      </c>
      <c r="G47" s="1"/>
      <c r="H47" s="1">
        <f>SUM(OSRRefH22_5x_0)</f>
        <v>10</v>
      </c>
      <c r="I47" s="1"/>
      <c r="J47" s="5">
        <f t="shared" si="21"/>
        <v>4.1611185086551264E-4</v>
      </c>
      <c r="K47" s="1"/>
      <c r="L47" s="1">
        <f t="shared" si="22"/>
        <v>-10</v>
      </c>
      <c r="M47" s="1"/>
      <c r="N47" s="5">
        <f t="shared" si="23"/>
        <v>-1</v>
      </c>
      <c r="O47" s="13"/>
      <c r="P47" s="1">
        <f>SUM(OSRRefP22_5x_0)</f>
        <v>0</v>
      </c>
      <c r="Q47" s="1"/>
      <c r="R47" s="5">
        <f t="shared" si="24"/>
        <v>0</v>
      </c>
      <c r="S47" s="1"/>
      <c r="T47" s="1">
        <f>SUM(OSRRefT22_5x_0)</f>
        <v>30</v>
      </c>
      <c r="U47" s="1"/>
      <c r="V47" s="5">
        <f t="shared" si="25"/>
        <v>1.3246436708525406E-4</v>
      </c>
      <c r="W47" s="1"/>
      <c r="X47" s="1">
        <f t="shared" si="26"/>
        <v>-30</v>
      </c>
      <c r="Y47" s="1"/>
      <c r="Z47" s="5">
        <f t="shared" si="27"/>
        <v>-1</v>
      </c>
    </row>
    <row r="48" spans="1:26" s="24" customFormat="1" hidden="1" outlineLevel="2" x14ac:dyDescent="0.25">
      <c r="A48" s="25"/>
      <c r="B48" s="11" t="str">
        <f>CONCATENATE("          ", "6307", " - ", "POSTAGE")</f>
        <v xml:space="preserve">          6307 - POSTAGE</v>
      </c>
      <c r="C48" s="11"/>
      <c r="D48" s="7"/>
      <c r="E48" s="2"/>
      <c r="F48" s="6">
        <f t="shared" si="20"/>
        <v>0</v>
      </c>
      <c r="G48" s="2"/>
      <c r="H48" s="7">
        <v>10</v>
      </c>
      <c r="I48" s="2"/>
      <c r="J48" s="6">
        <f t="shared" si="21"/>
        <v>4.1611185086551264E-4</v>
      </c>
      <c r="K48" s="2"/>
      <c r="L48" s="7">
        <f t="shared" si="22"/>
        <v>-10</v>
      </c>
      <c r="M48" s="2"/>
      <c r="N48" s="6">
        <f t="shared" si="23"/>
        <v>-1</v>
      </c>
      <c r="O48" s="11"/>
      <c r="P48" s="7"/>
      <c r="Q48" s="2"/>
      <c r="R48" s="6">
        <f t="shared" si="24"/>
        <v>0</v>
      </c>
      <c r="S48" s="2"/>
      <c r="T48" s="7">
        <v>30</v>
      </c>
      <c r="U48" s="2"/>
      <c r="V48" s="6">
        <f t="shared" si="25"/>
        <v>1.3246436708525406E-4</v>
      </c>
      <c r="W48" s="2"/>
      <c r="X48" s="7">
        <f t="shared" si="26"/>
        <v>-30</v>
      </c>
      <c r="Y48" s="2"/>
      <c r="Z48" s="6">
        <f t="shared" si="27"/>
        <v>-1</v>
      </c>
    </row>
    <row r="49" spans="1:26" s="26" customFormat="1" outlineLevel="1" collapsed="1" x14ac:dyDescent="0.25">
      <c r="A49" s="27"/>
      <c r="B49" s="13" t="str">
        <f>CONCATENATE("     ","General                                           ")</f>
        <v xml:space="preserve">     General                                           </v>
      </c>
      <c r="C49" s="13"/>
      <c r="D49" s="1">
        <f>SUM(OSRRefD22_6x_0)</f>
        <v>0</v>
      </c>
      <c r="E49" s="1"/>
      <c r="F49" s="5">
        <f t="shared" si="20"/>
        <v>0</v>
      </c>
      <c r="G49" s="1"/>
      <c r="H49" s="1">
        <f>SUM(OSRRefH22_6x_0)</f>
        <v>50</v>
      </c>
      <c r="I49" s="1"/>
      <c r="J49" s="5">
        <f t="shared" si="21"/>
        <v>2.0805592543275634E-3</v>
      </c>
      <c r="K49" s="1"/>
      <c r="L49" s="1">
        <f t="shared" si="22"/>
        <v>-50</v>
      </c>
      <c r="M49" s="1"/>
      <c r="N49" s="5">
        <f t="shared" si="23"/>
        <v>-1</v>
      </c>
      <c r="O49" s="13"/>
      <c r="P49" s="1">
        <f>SUM(OSRRefP22_6x_0)</f>
        <v>0</v>
      </c>
      <c r="Q49" s="1"/>
      <c r="R49" s="5">
        <f t="shared" si="24"/>
        <v>0</v>
      </c>
      <c r="S49" s="1"/>
      <c r="T49" s="1">
        <f>SUM(OSRRefT22_6x_0)</f>
        <v>150</v>
      </c>
      <c r="U49" s="1"/>
      <c r="V49" s="5">
        <f t="shared" si="25"/>
        <v>6.6232183542627038E-4</v>
      </c>
      <c r="W49" s="1"/>
      <c r="X49" s="1">
        <f t="shared" si="26"/>
        <v>-150</v>
      </c>
      <c r="Y49" s="1"/>
      <c r="Z49" s="5">
        <f t="shared" si="27"/>
        <v>-1</v>
      </c>
    </row>
    <row r="50" spans="1:26" s="24" customFormat="1" hidden="1" outlineLevel="2" x14ac:dyDescent="0.25">
      <c r="A50" s="25"/>
      <c r="B50" s="11" t="str">
        <f>CONCATENATE("          ", "6279", " - ", "GENERAL EXPENSE")</f>
        <v xml:space="preserve">          6279 - GENERAL EXPENSE</v>
      </c>
      <c r="C50" s="11"/>
      <c r="D50" s="7"/>
      <c r="E50" s="2"/>
      <c r="F50" s="6">
        <f t="shared" si="20"/>
        <v>0</v>
      </c>
      <c r="G50" s="2"/>
      <c r="H50" s="7">
        <v>50</v>
      </c>
      <c r="I50" s="2"/>
      <c r="J50" s="6">
        <f t="shared" si="21"/>
        <v>2.0805592543275634E-3</v>
      </c>
      <c r="K50" s="2"/>
      <c r="L50" s="7">
        <f t="shared" si="22"/>
        <v>-50</v>
      </c>
      <c r="M50" s="2"/>
      <c r="N50" s="6">
        <f t="shared" si="23"/>
        <v>-1</v>
      </c>
      <c r="O50" s="11"/>
      <c r="P50" s="7"/>
      <c r="Q50" s="2"/>
      <c r="R50" s="6">
        <f t="shared" si="24"/>
        <v>0</v>
      </c>
      <c r="S50" s="2"/>
      <c r="T50" s="7">
        <v>150</v>
      </c>
      <c r="U50" s="2"/>
      <c r="V50" s="6">
        <f t="shared" si="25"/>
        <v>6.6232183542627038E-4</v>
      </c>
      <c r="W50" s="2"/>
      <c r="X50" s="7">
        <f t="shared" si="26"/>
        <v>-150</v>
      </c>
      <c r="Y50" s="2"/>
      <c r="Z50" s="6">
        <f t="shared" si="27"/>
        <v>-1</v>
      </c>
    </row>
    <row r="51" spans="1:26" s="26" customFormat="1" outlineLevel="1" collapsed="1" x14ac:dyDescent="0.25">
      <c r="A51" s="27"/>
      <c r="B51" s="13" t="str">
        <f>CONCATENATE("     ","Insurance                                         ")</f>
        <v xml:space="preserve">     Insurance                                         </v>
      </c>
      <c r="C51" s="13"/>
      <c r="D51" s="1">
        <f>SUM(OSRRefD22_7x_0)</f>
        <v>29.01</v>
      </c>
      <c r="E51" s="1"/>
      <c r="F51" s="5">
        <f t="shared" si="20"/>
        <v>1.027775809537306E-3</v>
      </c>
      <c r="G51" s="1"/>
      <c r="H51" s="1">
        <f>SUM(OSRRefH22_7x_0)</f>
        <v>27</v>
      </c>
      <c r="I51" s="1"/>
      <c r="J51" s="5">
        <f t="shared" si="21"/>
        <v>1.1235019973368841E-3</v>
      </c>
      <c r="K51" s="1"/>
      <c r="L51" s="1">
        <f t="shared" si="22"/>
        <v>2.0100000000000016</v>
      </c>
      <c r="M51" s="1"/>
      <c r="N51" s="5">
        <f t="shared" si="23"/>
        <v>7.4444444444444507E-2</v>
      </c>
      <c r="O51" s="13"/>
      <c r="P51" s="1">
        <f>SUM(OSRRefP22_7x_0)</f>
        <v>87.03</v>
      </c>
      <c r="Q51" s="1"/>
      <c r="R51" s="5">
        <f t="shared" si="24"/>
        <v>9.0550607624438162E-4</v>
      </c>
      <c r="S51" s="1"/>
      <c r="T51" s="1">
        <f>SUM(OSRRefT22_7x_0)</f>
        <v>81</v>
      </c>
      <c r="U51" s="1"/>
      <c r="V51" s="5">
        <f t="shared" si="25"/>
        <v>3.5765379113018598E-4</v>
      </c>
      <c r="W51" s="1"/>
      <c r="X51" s="1">
        <f t="shared" si="26"/>
        <v>6.0300000000000011</v>
      </c>
      <c r="Y51" s="1"/>
      <c r="Z51" s="5">
        <f t="shared" si="27"/>
        <v>7.4444444444444452E-2</v>
      </c>
    </row>
    <row r="52" spans="1:26" s="24" customFormat="1" hidden="1" outlineLevel="2" x14ac:dyDescent="0.25">
      <c r="A52" s="25"/>
      <c r="B52" s="11" t="str">
        <f>CONCATENATE("          ", "6314", " - ", "LIABILITY INSURANCE")</f>
        <v xml:space="preserve">          6314 - LIABILITY INSURANCE</v>
      </c>
      <c r="C52" s="11"/>
      <c r="D52" s="7">
        <v>29.01</v>
      </c>
      <c r="E52" s="2"/>
      <c r="F52" s="6">
        <f t="shared" si="20"/>
        <v>1.027775809537306E-3</v>
      </c>
      <c r="G52" s="2"/>
      <c r="H52" s="7">
        <v>27</v>
      </c>
      <c r="I52" s="2"/>
      <c r="J52" s="6">
        <f t="shared" si="21"/>
        <v>1.1235019973368841E-3</v>
      </c>
      <c r="K52" s="2"/>
      <c r="L52" s="7">
        <f t="shared" si="22"/>
        <v>2.0100000000000016</v>
      </c>
      <c r="M52" s="2"/>
      <c r="N52" s="6">
        <f t="shared" si="23"/>
        <v>7.4444444444444507E-2</v>
      </c>
      <c r="O52" s="11"/>
      <c r="P52" s="7">
        <v>87.03</v>
      </c>
      <c r="Q52" s="2"/>
      <c r="R52" s="6">
        <f t="shared" si="24"/>
        <v>9.0550607624438162E-4</v>
      </c>
      <c r="S52" s="2"/>
      <c r="T52" s="7">
        <v>81</v>
      </c>
      <c r="U52" s="2"/>
      <c r="V52" s="6">
        <f t="shared" si="25"/>
        <v>3.5765379113018598E-4</v>
      </c>
      <c r="W52" s="2"/>
      <c r="X52" s="7">
        <f t="shared" si="26"/>
        <v>6.0300000000000011</v>
      </c>
      <c r="Y52" s="2"/>
      <c r="Z52" s="6">
        <f t="shared" si="27"/>
        <v>7.4444444444444452E-2</v>
      </c>
    </row>
    <row r="53" spans="1:26" s="26" customFormat="1" outlineLevel="1" collapsed="1" x14ac:dyDescent="0.25">
      <c r="A53" s="27"/>
      <c r="B53" s="13" t="str">
        <f>CONCATENATE("     ","Professional Services                             ")</f>
        <v xml:space="preserve">     Professional Services                             </v>
      </c>
      <c r="C53" s="13"/>
      <c r="D53" s="1">
        <f>SUM(OSRRefD22_8x_0)</f>
        <v>0</v>
      </c>
      <c r="E53" s="1"/>
      <c r="F53" s="5">
        <f t="shared" si="20"/>
        <v>0</v>
      </c>
      <c r="G53" s="1"/>
      <c r="H53" s="1">
        <f>SUM(OSRRefH22_8x_0)</f>
        <v>400</v>
      </c>
      <c r="I53" s="1"/>
      <c r="J53" s="5">
        <f t="shared" si="21"/>
        <v>1.6644474034620507E-2</v>
      </c>
      <c r="K53" s="1"/>
      <c r="L53" s="1">
        <f t="shared" si="22"/>
        <v>-400</v>
      </c>
      <c r="M53" s="1"/>
      <c r="N53" s="5">
        <f t="shared" si="23"/>
        <v>-1</v>
      </c>
      <c r="O53" s="13"/>
      <c r="P53" s="1">
        <f>SUM(OSRRefP22_8x_0)</f>
        <v>0</v>
      </c>
      <c r="Q53" s="1"/>
      <c r="R53" s="5">
        <f t="shared" si="24"/>
        <v>0</v>
      </c>
      <c r="S53" s="1"/>
      <c r="T53" s="1">
        <f>SUM(OSRRefT22_8x_0)</f>
        <v>1200</v>
      </c>
      <c r="U53" s="1"/>
      <c r="V53" s="5">
        <f t="shared" si="25"/>
        <v>5.298574683410163E-3</v>
      </c>
      <c r="W53" s="1"/>
      <c r="X53" s="1">
        <f t="shared" si="26"/>
        <v>-1200</v>
      </c>
      <c r="Y53" s="1"/>
      <c r="Z53" s="5">
        <f t="shared" si="27"/>
        <v>-1</v>
      </c>
    </row>
    <row r="54" spans="1:26" s="24" customFormat="1" hidden="1" outlineLevel="2" x14ac:dyDescent="0.25">
      <c r="A54" s="25"/>
      <c r="B54" s="11" t="str">
        <f>CONCATENATE("          ", "6336", " - ", "PROFESSIONAL SERVICES")</f>
        <v xml:space="preserve">          6336 - PROFESSIONAL SERVICES</v>
      </c>
      <c r="C54" s="11"/>
      <c r="D54" s="7"/>
      <c r="E54" s="2"/>
      <c r="F54" s="6">
        <f t="shared" si="20"/>
        <v>0</v>
      </c>
      <c r="G54" s="2"/>
      <c r="H54" s="7">
        <v>400</v>
      </c>
      <c r="I54" s="2"/>
      <c r="J54" s="6">
        <f t="shared" si="21"/>
        <v>1.6644474034620507E-2</v>
      </c>
      <c r="K54" s="2"/>
      <c r="L54" s="7">
        <f t="shared" si="22"/>
        <v>-400</v>
      </c>
      <c r="M54" s="2"/>
      <c r="N54" s="6">
        <f t="shared" si="23"/>
        <v>-1</v>
      </c>
      <c r="O54" s="11"/>
      <c r="P54" s="7"/>
      <c r="Q54" s="2"/>
      <c r="R54" s="6">
        <f t="shared" si="24"/>
        <v>0</v>
      </c>
      <c r="S54" s="2"/>
      <c r="T54" s="7">
        <v>1200</v>
      </c>
      <c r="U54" s="2"/>
      <c r="V54" s="6">
        <f t="shared" si="25"/>
        <v>5.298574683410163E-3</v>
      </c>
      <c r="W54" s="2"/>
      <c r="X54" s="7">
        <f t="shared" si="26"/>
        <v>-1200</v>
      </c>
      <c r="Y54" s="2"/>
      <c r="Z54" s="6">
        <f t="shared" si="27"/>
        <v>-1</v>
      </c>
    </row>
    <row r="55" spans="1:26" s="26" customFormat="1" outlineLevel="1" collapsed="1" x14ac:dyDescent="0.25">
      <c r="A55" s="27"/>
      <c r="B55" s="13" t="str">
        <f>CONCATENATE("     ","Rent                                              ")</f>
        <v xml:space="preserve">     Rent                                              </v>
      </c>
      <c r="C55" s="13"/>
      <c r="D55" s="1">
        <f>SUM(OSRRefD22_9x_0)</f>
        <v>800</v>
      </c>
      <c r="E55" s="1"/>
      <c r="F55" s="5">
        <f t="shared" si="20"/>
        <v>2.8342662793169417E-2</v>
      </c>
      <c r="G55" s="1"/>
      <c r="H55" s="1">
        <f>SUM(OSRRefH22_9x_0)</f>
        <v>800</v>
      </c>
      <c r="I55" s="1"/>
      <c r="J55" s="5">
        <f t="shared" si="21"/>
        <v>3.3288948069241014E-2</v>
      </c>
      <c r="K55" s="1"/>
      <c r="L55" s="1">
        <f t="shared" si="22"/>
        <v>0</v>
      </c>
      <c r="M55" s="1"/>
      <c r="N55" s="5">
        <f t="shared" si="23"/>
        <v>0</v>
      </c>
      <c r="O55" s="13"/>
      <c r="P55" s="1">
        <f>SUM(OSRRefP22_9x_0)</f>
        <v>2400</v>
      </c>
      <c r="Q55" s="1"/>
      <c r="R55" s="5">
        <f t="shared" si="24"/>
        <v>2.4970867321458298E-2</v>
      </c>
      <c r="S55" s="1"/>
      <c r="T55" s="1">
        <f>SUM(OSRRefT22_9x_0)</f>
        <v>2400</v>
      </c>
      <c r="U55" s="1"/>
      <c r="V55" s="5">
        <f t="shared" si="25"/>
        <v>1.0597149366820326E-2</v>
      </c>
      <c r="W55" s="1"/>
      <c r="X55" s="1">
        <f t="shared" si="26"/>
        <v>0</v>
      </c>
      <c r="Y55" s="1"/>
      <c r="Z55" s="5">
        <f t="shared" si="27"/>
        <v>0</v>
      </c>
    </row>
    <row r="56" spans="1:26" s="24" customFormat="1" hidden="1" outlineLevel="2" x14ac:dyDescent="0.25">
      <c r="A56" s="25"/>
      <c r="B56" s="11" t="str">
        <f>CONCATENATE("          ", "6273", " - ", "RENT")</f>
        <v xml:space="preserve">          6273 - RENT</v>
      </c>
      <c r="C56" s="11"/>
      <c r="D56" s="7">
        <v>800</v>
      </c>
      <c r="E56" s="2"/>
      <c r="F56" s="6">
        <f t="shared" si="20"/>
        <v>2.8342662793169417E-2</v>
      </c>
      <c r="G56" s="2"/>
      <c r="H56" s="7">
        <v>800</v>
      </c>
      <c r="I56" s="2"/>
      <c r="J56" s="6">
        <f t="shared" si="21"/>
        <v>3.3288948069241014E-2</v>
      </c>
      <c r="K56" s="2"/>
      <c r="L56" s="7">
        <f t="shared" si="22"/>
        <v>0</v>
      </c>
      <c r="M56" s="2"/>
      <c r="N56" s="6">
        <f t="shared" si="23"/>
        <v>0</v>
      </c>
      <c r="O56" s="11"/>
      <c r="P56" s="7">
        <v>2400</v>
      </c>
      <c r="Q56" s="2"/>
      <c r="R56" s="6">
        <f t="shared" si="24"/>
        <v>2.4970867321458298E-2</v>
      </c>
      <c r="S56" s="2"/>
      <c r="T56" s="7">
        <v>2400</v>
      </c>
      <c r="U56" s="2"/>
      <c r="V56" s="6">
        <f t="shared" si="25"/>
        <v>1.0597149366820326E-2</v>
      </c>
      <c r="W56" s="2"/>
      <c r="X56" s="7">
        <f t="shared" si="26"/>
        <v>0</v>
      </c>
      <c r="Y56" s="2"/>
      <c r="Z56" s="6">
        <f t="shared" si="27"/>
        <v>0</v>
      </c>
    </row>
    <row r="57" spans="1:26" s="26" customFormat="1" outlineLevel="1" collapsed="1" x14ac:dyDescent="0.25">
      <c r="A57" s="27"/>
      <c r="B57" s="13" t="str">
        <f>CONCATENATE("     ","Repair and Maintenance                            ")</f>
        <v xml:space="preserve">     Repair and Maintenance                            </v>
      </c>
      <c r="C57" s="13"/>
      <c r="D57" s="1">
        <f>SUM(OSRRefD22_10x_0)</f>
        <v>437.31</v>
      </c>
      <c r="E57" s="1"/>
      <c r="F57" s="5">
        <f t="shared" si="20"/>
        <v>1.5493162332601148E-2</v>
      </c>
      <c r="G57" s="1"/>
      <c r="H57" s="1">
        <f>SUM(OSRRefH22_10x_0)</f>
        <v>2000</v>
      </c>
      <c r="I57" s="1"/>
      <c r="J57" s="5">
        <f t="shared" si="21"/>
        <v>8.3222370173102536E-2</v>
      </c>
      <c r="K57" s="1"/>
      <c r="L57" s="1">
        <f t="shared" si="22"/>
        <v>-1562.69</v>
      </c>
      <c r="M57" s="1"/>
      <c r="N57" s="5">
        <f t="shared" si="23"/>
        <v>-0.78134500000000007</v>
      </c>
      <c r="O57" s="13"/>
      <c r="P57" s="1">
        <f>SUM(OSRRefP22_10x_0)</f>
        <v>437.31</v>
      </c>
      <c r="Q57" s="1"/>
      <c r="R57" s="5">
        <f t="shared" si="24"/>
        <v>4.5500041618112205E-3</v>
      </c>
      <c r="S57" s="1"/>
      <c r="T57" s="1">
        <f>SUM(OSRRefT22_10x_0)</f>
        <v>131000</v>
      </c>
      <c r="U57" s="1"/>
      <c r="V57" s="5">
        <f t="shared" si="25"/>
        <v>0.57842773627227606</v>
      </c>
      <c r="W57" s="1"/>
      <c r="X57" s="1">
        <f t="shared" si="26"/>
        <v>-130562.69</v>
      </c>
      <c r="Y57" s="1"/>
      <c r="Z57" s="5">
        <f t="shared" si="27"/>
        <v>-0.99666175572519089</v>
      </c>
    </row>
    <row r="58" spans="1:26" s="24" customFormat="1" hidden="1" outlineLevel="2" x14ac:dyDescent="0.25">
      <c r="A58" s="25"/>
      <c r="B58" s="11" t="str">
        <f>CONCATENATE("          ", "6371", " - ", "COMPUTER SOFTWARE MAINTENANCE")</f>
        <v xml:space="preserve">          6371 - COMPUTER SOFTWARE MAINTENANCE</v>
      </c>
      <c r="C58" s="11"/>
      <c r="D58" s="7">
        <v>437.31</v>
      </c>
      <c r="E58" s="2"/>
      <c r="F58" s="6">
        <f t="shared" si="20"/>
        <v>1.5493162332601148E-2</v>
      </c>
      <c r="G58" s="2"/>
      <c r="H58" s="7"/>
      <c r="I58" s="2"/>
      <c r="J58" s="6">
        <f t="shared" si="21"/>
        <v>0</v>
      </c>
      <c r="K58" s="2"/>
      <c r="L58" s="7">
        <f t="shared" si="22"/>
        <v>437.31</v>
      </c>
      <c r="M58" s="2"/>
      <c r="N58" s="6">
        <f t="shared" si="23"/>
        <v>0</v>
      </c>
      <c r="O58" s="11"/>
      <c r="P58" s="7">
        <v>437.31</v>
      </c>
      <c r="Q58" s="2"/>
      <c r="R58" s="6">
        <f t="shared" si="24"/>
        <v>4.5500041618112205E-3</v>
      </c>
      <c r="S58" s="2"/>
      <c r="T58" s="7">
        <v>125000</v>
      </c>
      <c r="U58" s="2"/>
      <c r="V58" s="6">
        <f t="shared" si="25"/>
        <v>0.55193486285522531</v>
      </c>
      <c r="W58" s="2"/>
      <c r="X58" s="7">
        <f t="shared" si="26"/>
        <v>-124562.69</v>
      </c>
      <c r="Y58" s="2"/>
      <c r="Z58" s="6">
        <f t="shared" si="27"/>
        <v>-0.99650152000000003</v>
      </c>
    </row>
    <row r="59" spans="1:26" s="24" customFormat="1" hidden="1" outlineLevel="2" x14ac:dyDescent="0.25">
      <c r="A59" s="25"/>
      <c r="B59" s="11" t="str">
        <f>CONCATENATE("          ", "6372", " - ", "COMPUTER HARDWARE MAINTENANCE")</f>
        <v xml:space="preserve">          6372 - COMPUTER HARDWARE MAINTENANCE</v>
      </c>
      <c r="C59" s="11"/>
      <c r="D59" s="7"/>
      <c r="E59" s="2"/>
      <c r="F59" s="6">
        <f t="shared" si="20"/>
        <v>0</v>
      </c>
      <c r="G59" s="2"/>
      <c r="H59" s="7">
        <v>2000</v>
      </c>
      <c r="I59" s="2"/>
      <c r="J59" s="6">
        <f t="shared" si="21"/>
        <v>8.3222370173102536E-2</v>
      </c>
      <c r="K59" s="2"/>
      <c r="L59" s="7">
        <f t="shared" si="22"/>
        <v>-2000</v>
      </c>
      <c r="M59" s="2"/>
      <c r="N59" s="6">
        <f t="shared" si="23"/>
        <v>-1</v>
      </c>
      <c r="O59" s="11"/>
      <c r="P59" s="7"/>
      <c r="Q59" s="2"/>
      <c r="R59" s="6">
        <f t="shared" si="24"/>
        <v>0</v>
      </c>
      <c r="S59" s="2"/>
      <c r="T59" s="7">
        <v>6000</v>
      </c>
      <c r="U59" s="2"/>
      <c r="V59" s="6">
        <f t="shared" si="25"/>
        <v>2.6492873417050814E-2</v>
      </c>
      <c r="W59" s="2"/>
      <c r="X59" s="7">
        <f t="shared" si="26"/>
        <v>-6000</v>
      </c>
      <c r="Y59" s="2"/>
      <c r="Z59" s="6">
        <f t="shared" si="27"/>
        <v>-1</v>
      </c>
    </row>
    <row r="60" spans="1:26" s="26" customFormat="1" outlineLevel="1" collapsed="1" x14ac:dyDescent="0.25">
      <c r="A60" s="27"/>
      <c r="B60" s="13" t="str">
        <f>CONCATENATE("     ","Supplies                                          ")</f>
        <v xml:space="preserve">     Supplies                                          </v>
      </c>
      <c r="C60" s="13"/>
      <c r="D60" s="1">
        <f>SUM(OSRRefD22_11x_0)</f>
        <v>3300.91</v>
      </c>
      <c r="E60" s="1"/>
      <c r="F60" s="5">
        <f t="shared" ref="F60:F63" si="28">IF(D$12=0,0,D60/D$12)</f>
        <v>0.11694572380075108</v>
      </c>
      <c r="G60" s="1"/>
      <c r="H60" s="1">
        <f>SUM(OSRRefH22_11x_0)</f>
        <v>7000</v>
      </c>
      <c r="I60" s="1"/>
      <c r="J60" s="5">
        <f t="shared" ref="J60:J63" si="29">IF(H$12=0,0,H60/H$12)</f>
        <v>0.29127829560585883</v>
      </c>
      <c r="K60" s="1"/>
      <c r="L60" s="1">
        <f t="shared" ref="L60:L63" si="30">+D60-H60</f>
        <v>-3699.09</v>
      </c>
      <c r="M60" s="1"/>
      <c r="N60" s="5">
        <f t="shared" ref="N60:N63" si="31">IF(H60=0,0,L60/H60)</f>
        <v>-0.52844142857142862</v>
      </c>
      <c r="O60" s="13"/>
      <c r="P60" s="1">
        <f>SUM(OSRRefP22_11x_0)</f>
        <v>18136.980000000003</v>
      </c>
      <c r="Q60" s="1"/>
      <c r="R60" s="5">
        <f t="shared" ref="R60:R63" si="32">IF(P$12=0,0,P60/P$12)</f>
        <v>0.1887067171633095</v>
      </c>
      <c r="S60" s="1"/>
      <c r="T60" s="1">
        <f>SUM(OSRRefT22_11x_0)</f>
        <v>21100</v>
      </c>
      <c r="U60" s="1"/>
      <c r="V60" s="5">
        <f t="shared" ref="V60:V63" si="33">IF(T$12=0,0,T60/T$12)</f>
        <v>9.3166604849962031E-2</v>
      </c>
      <c r="W60" s="1"/>
      <c r="X60" s="1">
        <f t="shared" ref="X60:X63" si="34">+P60-T60</f>
        <v>-2963.0199999999968</v>
      </c>
      <c r="Y60" s="1"/>
      <c r="Z60" s="5">
        <f t="shared" ref="Z60:Z63" si="35">IF(T60=0,0,X60/T60)</f>
        <v>-0.14042748815165862</v>
      </c>
    </row>
    <row r="61" spans="1:26" s="24" customFormat="1" hidden="1" outlineLevel="2" x14ac:dyDescent="0.25">
      <c r="A61" s="25"/>
      <c r="B61" s="11" t="str">
        <f>CONCATENATE("          ", "6234", " - ", "EXPENDABLE SUPPLIES &amp; EQUIPMEN")</f>
        <v xml:space="preserve">          6234 - EXPENDABLE SUPPLIES &amp; EQUIPMEN</v>
      </c>
      <c r="C61" s="11"/>
      <c r="D61" s="7"/>
      <c r="E61" s="2"/>
      <c r="F61" s="6">
        <f t="shared" si="28"/>
        <v>0</v>
      </c>
      <c r="G61" s="2"/>
      <c r="H61" s="7">
        <v>7000</v>
      </c>
      <c r="I61" s="2"/>
      <c r="J61" s="6">
        <f t="shared" si="29"/>
        <v>0.29127829560585883</v>
      </c>
      <c r="K61" s="2"/>
      <c r="L61" s="7">
        <f t="shared" si="30"/>
        <v>-7000</v>
      </c>
      <c r="M61" s="2"/>
      <c r="N61" s="6">
        <f t="shared" si="31"/>
        <v>-1</v>
      </c>
      <c r="O61" s="11"/>
      <c r="P61" s="7">
        <v>413.27</v>
      </c>
      <c r="Q61" s="2"/>
      <c r="R61" s="6">
        <f t="shared" si="32"/>
        <v>4.299879307474613E-3</v>
      </c>
      <c r="S61" s="2"/>
      <c r="T61" s="7">
        <v>21100</v>
      </c>
      <c r="U61" s="2"/>
      <c r="V61" s="6">
        <f t="shared" si="33"/>
        <v>9.3166604849962031E-2</v>
      </c>
      <c r="W61" s="2"/>
      <c r="X61" s="7">
        <f t="shared" si="34"/>
        <v>-20686.73</v>
      </c>
      <c r="Y61" s="2"/>
      <c r="Z61" s="6">
        <f t="shared" si="35"/>
        <v>-0.98041374407582937</v>
      </c>
    </row>
    <row r="62" spans="1:26" s="24" customFormat="1" hidden="1" outlineLevel="2" x14ac:dyDescent="0.25">
      <c r="A62" s="25"/>
      <c r="B62" s="11" t="str">
        <f>CONCATENATE("          ", "6241", " - ", "OFFICE EXPENSE")</f>
        <v xml:space="preserve">          6241 - OFFICE EXPENSE</v>
      </c>
      <c r="C62" s="11"/>
      <c r="D62" s="7">
        <v>3180.08</v>
      </c>
      <c r="E62" s="2"/>
      <c r="F62" s="6">
        <f t="shared" si="28"/>
        <v>0.11266491886912776</v>
      </c>
      <c r="G62" s="2"/>
      <c r="H62" s="7"/>
      <c r="I62" s="2"/>
      <c r="J62" s="6">
        <f t="shared" si="29"/>
        <v>0</v>
      </c>
      <c r="K62" s="2"/>
      <c r="L62" s="7">
        <f t="shared" si="30"/>
        <v>3180.08</v>
      </c>
      <c r="M62" s="2"/>
      <c r="N62" s="6">
        <f t="shared" si="31"/>
        <v>0</v>
      </c>
      <c r="O62" s="11"/>
      <c r="P62" s="7">
        <v>17602.88</v>
      </c>
      <c r="Q62" s="2"/>
      <c r="R62" s="6">
        <f t="shared" si="32"/>
        <v>0.18314965873147995</v>
      </c>
      <c r="S62" s="2"/>
      <c r="T62" s="7"/>
      <c r="U62" s="2"/>
      <c r="V62" s="6">
        <f t="shared" si="33"/>
        <v>0</v>
      </c>
      <c r="W62" s="2"/>
      <c r="X62" s="7">
        <f t="shared" si="34"/>
        <v>17602.88</v>
      </c>
      <c r="Y62" s="2"/>
      <c r="Z62" s="6">
        <f t="shared" si="35"/>
        <v>0</v>
      </c>
    </row>
    <row r="63" spans="1:26" s="24" customFormat="1" hidden="1" outlineLevel="2" x14ac:dyDescent="0.25">
      <c r="A63" s="25"/>
      <c r="B63" s="11" t="str">
        <f>CONCATENATE("          ", "6245", " - ", "PRINTING")</f>
        <v xml:space="preserve">          6245 - PRINTING</v>
      </c>
      <c r="C63" s="11"/>
      <c r="D63" s="7">
        <v>120.83</v>
      </c>
      <c r="E63" s="2"/>
      <c r="F63" s="6">
        <f t="shared" si="28"/>
        <v>4.2808049316233263E-3</v>
      </c>
      <c r="G63" s="2"/>
      <c r="H63" s="7"/>
      <c r="I63" s="2"/>
      <c r="J63" s="6">
        <f t="shared" si="29"/>
        <v>0</v>
      </c>
      <c r="K63" s="2"/>
      <c r="L63" s="7">
        <f t="shared" si="30"/>
        <v>120.83</v>
      </c>
      <c r="M63" s="2"/>
      <c r="N63" s="6">
        <f t="shared" si="31"/>
        <v>0</v>
      </c>
      <c r="O63" s="11"/>
      <c r="P63" s="7">
        <v>120.83</v>
      </c>
      <c r="Q63" s="2"/>
      <c r="R63" s="6">
        <f t="shared" si="32"/>
        <v>1.2571791243549191E-3</v>
      </c>
      <c r="S63" s="2"/>
      <c r="T63" s="7"/>
      <c r="U63" s="2"/>
      <c r="V63" s="6">
        <f t="shared" si="33"/>
        <v>0</v>
      </c>
      <c r="W63" s="2"/>
      <c r="X63" s="7">
        <f t="shared" si="34"/>
        <v>120.83</v>
      </c>
      <c r="Y63" s="2"/>
      <c r="Z63" s="6">
        <f t="shared" si="35"/>
        <v>0</v>
      </c>
    </row>
    <row r="64" spans="1:26" s="26" customFormat="1" outlineLevel="1" collapsed="1" x14ac:dyDescent="0.25">
      <c r="A64" s="27"/>
      <c r="B64" s="13" t="str">
        <f>CONCATENATE("     ","Telephone/Data Lines                              ")</f>
        <v xml:space="preserve">     Telephone/Data Lines                              </v>
      </c>
      <c r="C64" s="13"/>
      <c r="D64" s="1">
        <f>SUM(OSRRefD22_12x_0)</f>
        <v>400</v>
      </c>
      <c r="E64" s="1"/>
      <c r="F64" s="5">
        <f t="shared" ref="F64:F65" si="36">IF(D$12=0,0,D64/D$12)</f>
        <v>1.4171331396584708E-2</v>
      </c>
      <c r="G64" s="1"/>
      <c r="H64" s="1">
        <f>SUM(OSRRefH22_12x_0)</f>
        <v>350</v>
      </c>
      <c r="I64" s="1"/>
      <c r="J64" s="5">
        <f t="shared" ref="J64:J65" si="37">IF(H$12=0,0,H64/H$12)</f>
        <v>1.4563914780292942E-2</v>
      </c>
      <c r="K64" s="1"/>
      <c r="L64" s="1">
        <f t="shared" ref="L64:L65" si="38">+D64-H64</f>
        <v>50</v>
      </c>
      <c r="M64" s="1"/>
      <c r="N64" s="5">
        <f t="shared" ref="N64:N65" si="39">IF(H64=0,0,L64/H64)</f>
        <v>0.14285714285714285</v>
      </c>
      <c r="O64" s="13"/>
      <c r="P64" s="1">
        <f>SUM(OSRRefP22_12x_0)</f>
        <v>575.65</v>
      </c>
      <c r="Q64" s="1"/>
      <c r="R64" s="5">
        <f t="shared" ref="R64:R65" si="40">IF(P$12=0,0,P64/P$12)</f>
        <v>5.9893665723322791E-3</v>
      </c>
      <c r="S64" s="1"/>
      <c r="T64" s="1">
        <f>SUM(OSRRefT22_12x_0)</f>
        <v>1050</v>
      </c>
      <c r="U64" s="1"/>
      <c r="V64" s="5">
        <f t="shared" ref="V64:V65" si="41">IF(T$12=0,0,T64/T$12)</f>
        <v>4.6362528479838927E-3</v>
      </c>
      <c r="W64" s="1"/>
      <c r="X64" s="1">
        <f t="shared" ref="X64:X65" si="42">+P64-T64</f>
        <v>-474.35</v>
      </c>
      <c r="Y64" s="1"/>
      <c r="Z64" s="5">
        <f t="shared" ref="Z64:Z65" si="43">IF(T64=0,0,X64/T64)</f>
        <v>-0.45176190476190481</v>
      </c>
    </row>
    <row r="65" spans="1:26" s="24" customFormat="1" hidden="1" outlineLevel="2" x14ac:dyDescent="0.25">
      <c r="A65" s="25"/>
      <c r="B65" s="11" t="str">
        <f>CONCATENATE("          ", "6309", " - ", "TELEPHONE")</f>
        <v xml:space="preserve">          6309 - TELEPHONE</v>
      </c>
      <c r="C65" s="11"/>
      <c r="D65" s="7">
        <v>400</v>
      </c>
      <c r="E65" s="2"/>
      <c r="F65" s="6">
        <f t="shared" si="36"/>
        <v>1.4171331396584708E-2</v>
      </c>
      <c r="G65" s="2"/>
      <c r="H65" s="7">
        <v>350</v>
      </c>
      <c r="I65" s="2"/>
      <c r="J65" s="6">
        <f t="shared" si="37"/>
        <v>1.4563914780292942E-2</v>
      </c>
      <c r="K65" s="2"/>
      <c r="L65" s="7">
        <f t="shared" si="38"/>
        <v>50</v>
      </c>
      <c r="M65" s="2"/>
      <c r="N65" s="6">
        <f t="shared" si="39"/>
        <v>0.14285714285714285</v>
      </c>
      <c r="O65" s="11"/>
      <c r="P65" s="7">
        <v>575.65</v>
      </c>
      <c r="Q65" s="2"/>
      <c r="R65" s="6">
        <f t="shared" si="40"/>
        <v>5.9893665723322791E-3</v>
      </c>
      <c r="S65" s="2"/>
      <c r="T65" s="7">
        <v>1050</v>
      </c>
      <c r="U65" s="2"/>
      <c r="V65" s="6">
        <f t="shared" si="41"/>
        <v>4.6362528479838927E-3</v>
      </c>
      <c r="W65" s="2"/>
      <c r="X65" s="7">
        <f t="shared" si="42"/>
        <v>-474.35</v>
      </c>
      <c r="Y65" s="2"/>
      <c r="Z65" s="6">
        <f t="shared" si="43"/>
        <v>-0.45176190476190481</v>
      </c>
    </row>
    <row r="66" spans="1:26" s="63" customFormat="1" x14ac:dyDescent="0.25">
      <c r="A66" s="36"/>
      <c r="B66" s="36"/>
      <c r="C66" s="36"/>
      <c r="D66" s="1"/>
      <c r="E66" s="1"/>
      <c r="F66" s="5"/>
      <c r="G66" s="1"/>
      <c r="H66" s="1"/>
      <c r="I66" s="1"/>
      <c r="J66" s="5"/>
      <c r="K66" s="1"/>
      <c r="L66" s="1"/>
      <c r="M66" s="1"/>
      <c r="N66" s="5"/>
      <c r="O66" s="36"/>
      <c r="P66" s="1"/>
      <c r="Q66" s="1"/>
      <c r="R66" s="5"/>
      <c r="S66" s="1"/>
      <c r="T66" s="1"/>
      <c r="U66" s="1"/>
      <c r="V66" s="5"/>
      <c r="W66" s="1"/>
      <c r="X66" s="1"/>
      <c r="Y66" s="1"/>
      <c r="Z66" s="5"/>
    </row>
    <row r="67" spans="1:26" s="23" customFormat="1" collapsed="1" x14ac:dyDescent="0.25">
      <c r="A67" s="10"/>
      <c r="B67" s="28" t="s">
        <v>0</v>
      </c>
      <c r="C67" s="10"/>
      <c r="D67" s="4">
        <f>SUM(OSRRefD25x_0)</f>
        <v>2661.9</v>
      </c>
      <c r="E67" s="4"/>
      <c r="F67" s="12">
        <f t="shared" ref="F67:F68" si="44">IF(D$12=0,0,D67/D$12)</f>
        <v>9.430666761142209E-2</v>
      </c>
      <c r="G67" s="4"/>
      <c r="H67" s="4">
        <f>SUM(OSRRefH25x_0)</f>
        <v>3000</v>
      </c>
      <c r="I67" s="4"/>
      <c r="J67" s="12">
        <f t="shared" ref="J67:J68" si="45">IF(H$12=0,0,H67/H$12)</f>
        <v>0.1248335552596538</v>
      </c>
      <c r="K67" s="4"/>
      <c r="L67" s="4">
        <f t="shared" ref="L67:L68" si="46">+D67-H67</f>
        <v>-338.09999999999991</v>
      </c>
      <c r="M67" s="4"/>
      <c r="N67" s="12">
        <f t="shared" ref="N67:N68" si="47">IF(H67=0,0,L67/H67)</f>
        <v>-0.11269999999999997</v>
      </c>
      <c r="O67" s="10"/>
      <c r="P67" s="4">
        <f>SUM(OSRRefP25x_0)</f>
        <v>7050.9</v>
      </c>
      <c r="Q67" s="4"/>
      <c r="R67" s="12">
        <f t="shared" ref="R67:R68" si="48">IF(P$12=0,0,P67/P$12)</f>
        <v>7.336128683202929E-2</v>
      </c>
      <c r="S67" s="4"/>
      <c r="T67" s="4">
        <f>SUM(OSRRefT25x_0)</f>
        <v>9000</v>
      </c>
      <c r="U67" s="4"/>
      <c r="V67" s="12">
        <f t="shared" ref="V67:V68" si="49">IF(T$12=0,0,T67/T$12)</f>
        <v>3.9739310125576223E-2</v>
      </c>
      <c r="W67" s="4"/>
      <c r="X67" s="4">
        <f t="shared" ref="X67:X68" si="50">+P67-T67</f>
        <v>-1949.1000000000004</v>
      </c>
      <c r="Y67" s="4"/>
      <c r="Z67" s="12">
        <f t="shared" ref="Z67:Z68" si="51">IF(T67=0,0,X67/T67)</f>
        <v>-0.21656666666666671</v>
      </c>
    </row>
    <row r="68" spans="1:26" s="24" customFormat="1" hidden="1" outlineLevel="1" x14ac:dyDescent="0.25">
      <c r="A68" s="46"/>
      <c r="B68" s="11" t="str">
        <f>CONCATENATE("          ", "9150", " - ", "MISC. INCOME")</f>
        <v xml:space="preserve">          9150 - MISC. INCOME</v>
      </c>
      <c r="C68" s="11"/>
      <c r="D68" s="2">
        <f>--2661.9</f>
        <v>2661.9</v>
      </c>
      <c r="E68" s="2"/>
      <c r="F68" s="19">
        <f t="shared" si="44"/>
        <v>9.430666761142209E-2</v>
      </c>
      <c r="G68" s="2"/>
      <c r="H68" s="2">
        <v>3000</v>
      </c>
      <c r="I68" s="2"/>
      <c r="J68" s="19">
        <f t="shared" si="45"/>
        <v>0.1248335552596538</v>
      </c>
      <c r="K68" s="2"/>
      <c r="L68" s="2">
        <f t="shared" si="46"/>
        <v>-338.09999999999991</v>
      </c>
      <c r="M68" s="2"/>
      <c r="N68" s="19">
        <f t="shared" si="47"/>
        <v>-0.11269999999999997</v>
      </c>
      <c r="O68" s="11"/>
      <c r="P68" s="2">
        <f>--7050.9</f>
        <v>7050.9</v>
      </c>
      <c r="Q68" s="2"/>
      <c r="R68" s="19">
        <f t="shared" si="48"/>
        <v>7.336128683202929E-2</v>
      </c>
      <c r="S68" s="2"/>
      <c r="T68" s="2">
        <v>9000</v>
      </c>
      <c r="U68" s="2"/>
      <c r="V68" s="19">
        <f t="shared" si="49"/>
        <v>3.9739310125576223E-2</v>
      </c>
      <c r="W68" s="2"/>
      <c r="X68" s="2">
        <f t="shared" si="50"/>
        <v>-1949.1000000000004</v>
      </c>
      <c r="Y68" s="2"/>
      <c r="Z68" s="19">
        <f t="shared" si="51"/>
        <v>-0.21656666666666671</v>
      </c>
    </row>
    <row r="69" spans="1:26" x14ac:dyDescent="0.2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10"/>
      <c r="B70" s="29" t="s">
        <v>3</v>
      </c>
      <c r="C70" s="29"/>
      <c r="D70" s="22">
        <f>+D17-D19+D67</f>
        <v>789.4899999999966</v>
      </c>
      <c r="E70" s="14"/>
      <c r="F70" s="20">
        <f>IF(D$12=0,0,D70/D$12)</f>
        <v>2.7970311060724035E-2</v>
      </c>
      <c r="G70" s="14"/>
      <c r="H70" s="22">
        <f>+H17-H19+H67</f>
        <v>3153.1333791538455</v>
      </c>
      <c r="I70" s="14"/>
      <c r="J70" s="20">
        <f>IF(H$12=0,0,H70/H$12)</f>
        <v>0.13120561664255348</v>
      </c>
      <c r="K70" s="15"/>
      <c r="L70" s="22">
        <f>+D70-H70</f>
        <v>-2363.6433791538489</v>
      </c>
      <c r="M70" s="15"/>
      <c r="N70" s="20">
        <f>IF(H70=0,0,L70/H70)</f>
        <v>-0.74961731551874311</v>
      </c>
      <c r="O70" s="28"/>
      <c r="P70" s="22">
        <f>+P17-P19+P67</f>
        <v>8464.2899999999845</v>
      </c>
      <c r="Q70" s="14"/>
      <c r="R70" s="20">
        <f>IF(P$12=0,0,P70/P$12)</f>
        <v>8.8066942733477455E-2</v>
      </c>
      <c r="S70" s="14"/>
      <c r="T70" s="22">
        <f>+T17-T19+T67</f>
        <v>29711.78898225</v>
      </c>
      <c r="U70" s="14"/>
      <c r="V70" s="20">
        <f>IF(T$12=0,0,T70/T$12)</f>
        <v>0.13119177741681237</v>
      </c>
      <c r="W70" s="15"/>
      <c r="X70" s="22">
        <f>+P70-T70</f>
        <v>-21247.498982250014</v>
      </c>
      <c r="Y70" s="15"/>
      <c r="Z70" s="20">
        <f>IF(T70=0,0,X70/T70)</f>
        <v>-0.71512014961278147</v>
      </c>
    </row>
    <row r="71" spans="1:26" x14ac:dyDescent="0.25">
      <c r="A71" s="9"/>
      <c r="B71" s="10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52"/>
      <c r="B72" s="10" t="s">
        <v>14</v>
      </c>
      <c r="C72" s="10"/>
      <c r="D72" s="4">
        <v>1859.55</v>
      </c>
      <c r="E72" s="4"/>
      <c r="F72" s="12">
        <f>IF(D$12=0,0,D72/D$12)</f>
        <v>6.5880748246297735E-2</v>
      </c>
      <c r="G72" s="4"/>
      <c r="H72" s="4">
        <v>-4232</v>
      </c>
      <c r="I72" s="4"/>
      <c r="J72" s="12">
        <f>IF(H$12=0,0,H72/H$12)</f>
        <v>-0.17609853528628494</v>
      </c>
      <c r="K72" s="4"/>
      <c r="L72" s="4">
        <f>+D72-H72</f>
        <v>6091.55</v>
      </c>
      <c r="M72" s="4"/>
      <c r="N72" s="12">
        <f>IF(H72=0,0,L72/H72)</f>
        <v>-1.4394021739130436</v>
      </c>
      <c r="O72" s="10"/>
      <c r="P72" s="4">
        <v>10323.700000000001</v>
      </c>
      <c r="Q72" s="4"/>
      <c r="R72" s="12">
        <f>IF(P$12=0,0,P72/P$12)</f>
        <v>0.10741322623605794</v>
      </c>
      <c r="S72" s="4"/>
      <c r="T72" s="4">
        <v>28646</v>
      </c>
      <c r="U72" s="4"/>
      <c r="V72" s="12">
        <f>IF(T$12=0,0,T72/T$12)</f>
        <v>0.12648580865080628</v>
      </c>
      <c r="W72" s="4"/>
      <c r="X72" s="4">
        <f>+P72-T72</f>
        <v>-18322.3</v>
      </c>
      <c r="Y72" s="4"/>
      <c r="Z72" s="12">
        <f>IF(T72=0,0,X72/T72)</f>
        <v>-0.63961111498987644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.75" thickBot="1" x14ac:dyDescent="0.3">
      <c r="A74" s="10"/>
      <c r="B74" s="29" t="s">
        <v>4</v>
      </c>
      <c r="C74" s="29"/>
      <c r="D74" s="35">
        <f>+D70-D72</f>
        <v>-1070.0600000000034</v>
      </c>
      <c r="E74" s="14"/>
      <c r="F74" s="32">
        <f>IF(D$12=0,0,D74/D$12)</f>
        <v>-3.79104371855737E-2</v>
      </c>
      <c r="G74" s="14"/>
      <c r="H74" s="35">
        <f>+H70-H72</f>
        <v>7385.1333791538455</v>
      </c>
      <c r="I74" s="14"/>
      <c r="J74" s="32">
        <f>IF(H$12=0,0,H74/H$12)</f>
        <v>0.30730415192883842</v>
      </c>
      <c r="K74" s="15"/>
      <c r="L74" s="35">
        <f>D74-H74</f>
        <v>-8455.1933791538486</v>
      </c>
      <c r="M74" s="15"/>
      <c r="N74" s="32">
        <f>IF(H74=0,0,L74/H74)</f>
        <v>-1.1448937947445177</v>
      </c>
      <c r="O74" s="28"/>
      <c r="P74" s="35">
        <f>+P70-P72</f>
        <v>-1859.4100000000162</v>
      </c>
      <c r="Q74" s="14"/>
      <c r="R74" s="32">
        <f>IF(P$12=0,0,P74/P$12)</f>
        <v>-1.9346283502580493E-2</v>
      </c>
      <c r="S74" s="14"/>
      <c r="T74" s="35">
        <f>+T70-T72</f>
        <v>1065.7889822500001</v>
      </c>
      <c r="U74" s="14"/>
      <c r="V74" s="32">
        <f>IF(T$12=0,0,T74/T$12)</f>
        <v>4.7059687660061114E-3</v>
      </c>
      <c r="W74" s="15"/>
      <c r="X74" s="35">
        <f>P74-T74</f>
        <v>-2925.1989822500163</v>
      </c>
      <c r="Y74" s="15"/>
      <c r="Z74" s="32">
        <f>IF(T74=0,0,X74/T74)</f>
        <v>-2.7446324093861367</v>
      </c>
    </row>
    <row r="75" spans="1:26" ht="15.75" thickTop="1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9" t="s">
        <v>5</v>
      </c>
      <c r="C77" s="29"/>
      <c r="D77" s="30">
        <f>SUM(D74:D76)</f>
        <v>-1070.0600000000034</v>
      </c>
      <c r="E77" s="14"/>
      <c r="F77" s="31">
        <f>IF(D$12=0,0,D77/D$12)</f>
        <v>-3.79104371855737E-2</v>
      </c>
      <c r="G77" s="14"/>
      <c r="H77" s="30">
        <f>SUM(H74:H76)</f>
        <v>7385.1333791538455</v>
      </c>
      <c r="I77" s="14"/>
      <c r="J77" s="31">
        <f>IF(H$12=0,0,H77/H$12)</f>
        <v>0.30730415192883842</v>
      </c>
      <c r="K77" s="15"/>
      <c r="L77" s="30">
        <f>+D77-H77</f>
        <v>-8455.1933791538486</v>
      </c>
      <c r="M77" s="15"/>
      <c r="N77" s="31">
        <f>IF(H77=0,0,L77/H77)</f>
        <v>-1.1448937947445177</v>
      </c>
      <c r="O77" s="28"/>
      <c r="P77" s="30">
        <f>SUM(P74:P76)</f>
        <v>-1859.4100000000162</v>
      </c>
      <c r="Q77" s="14"/>
      <c r="R77" s="31">
        <f>IF(P$12=0,0,P77/P$12)</f>
        <v>-1.9346283502580493E-2</v>
      </c>
      <c r="S77" s="14"/>
      <c r="T77" s="30">
        <f>SUM(T74:T76)</f>
        <v>1065.7889822500001</v>
      </c>
      <c r="U77" s="14"/>
      <c r="V77" s="31">
        <f>IF(T$12=0,0,T77/T$12)</f>
        <v>4.7059687660061114E-3</v>
      </c>
      <c r="W77" s="15"/>
      <c r="X77" s="30">
        <f>+P77-T77</f>
        <v>-2925.1989822500163</v>
      </c>
      <c r="Y77" s="15"/>
      <c r="Z77" s="31">
        <f>IF(T77=0,0,X77/T77)</f>
        <v>-2.7446324093861367</v>
      </c>
    </row>
    <row r="78" spans="1:26" ht="15.75" thickTop="1" x14ac:dyDescent="0.25">
      <c r="A78" s="9"/>
      <c r="C78" s="9"/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25">
      <c r="A79" s="9"/>
      <c r="B79" s="53">
        <v>43756.452008414351</v>
      </c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A80" s="9"/>
      <c r="B80" s="55" t="s">
        <v>314</v>
      </c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1:24" x14ac:dyDescent="0.25">
      <c r="A81" s="9"/>
      <c r="B81" s="56"/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</sheetData>
  <pageMargins left="0.25" right="0.25" top="0.75" bottom="0.75" header="0.3" footer="0.3"/>
  <pageSetup scale="55" fitToWidth="2" orientation="landscape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str">
        <f>CONCATENATE("Period ",RIGHT(202003,2),", ",2020)</f>
        <v>Period 03, 2020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43736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str">
        <f>CONCATENATE("Department ","501", " - ", "ID Card Services")</f>
        <v>Department 501 - ID Card Services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28226</v>
      </c>
      <c r="E12" s="4"/>
      <c r="F12" s="12"/>
      <c r="G12" s="4"/>
      <c r="H12" s="4">
        <f>SUM(OSRRefH13x_0)</f>
        <v>24032</v>
      </c>
      <c r="I12" s="4"/>
      <c r="J12" s="12"/>
      <c r="K12" s="4"/>
      <c r="L12" s="4">
        <f t="shared" ref="L12:L13" si="0">+D12-H12</f>
        <v>4194</v>
      </c>
      <c r="M12" s="4"/>
      <c r="N12" s="12">
        <f t="shared" ref="N12:N13" si="1">IF(H12=0,0,L12/H12)</f>
        <v>0.17451731025299599</v>
      </c>
      <c r="O12" s="10"/>
      <c r="P12" s="4">
        <f>SUM(OSRRefP13x_0)</f>
        <v>96112</v>
      </c>
      <c r="Q12" s="4"/>
      <c r="R12" s="12"/>
      <c r="S12" s="4"/>
      <c r="T12" s="4">
        <f>SUM(OSRRefT13x_0)</f>
        <v>226476</v>
      </c>
      <c r="U12" s="4"/>
      <c r="V12" s="12"/>
      <c r="W12" s="4"/>
      <c r="X12" s="4">
        <f t="shared" ref="X12:X13" si="2">+P12-T12</f>
        <v>-130364</v>
      </c>
      <c r="Y12" s="4"/>
      <c r="Z12" s="12">
        <f t="shared" ref="Z12:Z13" si="3">IF(T12=0,0,X12/T12)</f>
        <v>-0.57561949169006865</v>
      </c>
    </row>
    <row r="13" spans="1:26" s="24" customFormat="1" hidden="1" outlineLevel="1" x14ac:dyDescent="0.25">
      <c r="A13" s="46"/>
      <c r="B13" s="11" t="str">
        <f>CONCATENATE("          ", "4100", " - ", "NON-TAXABLE SALES")</f>
        <v xml:space="preserve">          4100 - NON-TAXABLE SALES</v>
      </c>
      <c r="C13" s="11"/>
      <c r="D13" s="2">
        <f>--28226</f>
        <v>28226</v>
      </c>
      <c r="E13" s="2"/>
      <c r="F13" s="19"/>
      <c r="G13" s="2"/>
      <c r="H13" s="2">
        <v>24032</v>
      </c>
      <c r="I13" s="2"/>
      <c r="J13" s="19"/>
      <c r="K13" s="2"/>
      <c r="L13" s="2">
        <f t="shared" si="0"/>
        <v>4194</v>
      </c>
      <c r="M13" s="2"/>
      <c r="N13" s="19">
        <f t="shared" si="1"/>
        <v>0.17451731025299599</v>
      </c>
      <c r="O13" s="11"/>
      <c r="P13" s="2">
        <f>--96112</f>
        <v>96112</v>
      </c>
      <c r="Q13" s="2"/>
      <c r="R13" s="19"/>
      <c r="S13" s="2"/>
      <c r="T13" s="2">
        <v>226476</v>
      </c>
      <c r="U13" s="2"/>
      <c r="V13" s="19"/>
      <c r="W13" s="2"/>
      <c r="X13" s="2">
        <f t="shared" si="2"/>
        <v>-130364</v>
      </c>
      <c r="Y13" s="2"/>
      <c r="Z13" s="19">
        <f t="shared" si="3"/>
        <v>-0.57561949169006865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8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9" t="s">
        <v>6</v>
      </c>
      <c r="C17" s="29"/>
      <c r="D17" s="22">
        <f>D12-D15</f>
        <v>28226</v>
      </c>
      <c r="E17" s="14"/>
      <c r="F17" s="20">
        <f>IF(D$12=0,0,D17/D$12)</f>
        <v>1</v>
      </c>
      <c r="G17" s="14"/>
      <c r="H17" s="22">
        <f>H12-H15</f>
        <v>24032</v>
      </c>
      <c r="I17" s="14"/>
      <c r="J17" s="20">
        <f>IF(H$12=0,0,H17/H$12)</f>
        <v>1</v>
      </c>
      <c r="K17" s="15"/>
      <c r="L17" s="22">
        <f>+D17-H17</f>
        <v>4194</v>
      </c>
      <c r="M17" s="15"/>
      <c r="N17" s="20">
        <f>IF(H17=0,0,L17/H17)</f>
        <v>0.17451731025299599</v>
      </c>
      <c r="O17" s="28"/>
      <c r="P17" s="22">
        <f>P12-P15</f>
        <v>96112</v>
      </c>
      <c r="Q17" s="14"/>
      <c r="R17" s="20">
        <f>IF(P$12=0,0,P17/P$12)</f>
        <v>1</v>
      </c>
      <c r="S17" s="14"/>
      <c r="T17" s="22">
        <f>T12-T15</f>
        <v>226476</v>
      </c>
      <c r="U17" s="14"/>
      <c r="V17" s="20">
        <f>IF(T$12=0,0,T17/T$12)</f>
        <v>1</v>
      </c>
      <c r="W17" s="15"/>
      <c r="X17" s="22">
        <f>+P17-T17</f>
        <v>-130364</v>
      </c>
      <c r="Y17" s="15"/>
      <c r="Z17" s="20">
        <f>IF(T17=0,0,X17/T17)</f>
        <v>-0.57561949169006865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8" t="s">
        <v>9</v>
      </c>
      <c r="C19" s="10"/>
      <c r="D19" s="21">
        <f>SUM(OSRRefD22x_0)</f>
        <v>30098.410000000003</v>
      </c>
      <c r="E19" s="21"/>
      <c r="F19" s="33">
        <f t="shared" ref="F19:F29" si="4">IF(D$12=0,0,D19/D$12)</f>
        <v>1.066336356550698</v>
      </c>
      <c r="G19" s="21"/>
      <c r="H19" s="21">
        <f>SUM(OSRRefH22x_0)</f>
        <v>23878.866620846155</v>
      </c>
      <c r="I19" s="21"/>
      <c r="J19" s="33">
        <f t="shared" ref="J19:J29" si="5">IF(H$12=0,0,H19/H$12)</f>
        <v>0.9936279386171003</v>
      </c>
      <c r="K19" s="4"/>
      <c r="L19" s="21">
        <f t="shared" ref="L19:L29" si="6">+D19-H19</f>
        <v>6219.5433791538489</v>
      </c>
      <c r="M19" s="4"/>
      <c r="N19" s="33">
        <f t="shared" ref="N19:N29" si="7">IF(H19=0,0,L19/H19)</f>
        <v>0.26046225216251312</v>
      </c>
      <c r="O19" s="10"/>
      <c r="P19" s="21">
        <f>SUM(OSRRefP22x_0)</f>
        <v>94698.610000000015</v>
      </c>
      <c r="Q19" s="21"/>
      <c r="R19" s="33">
        <f t="shared" ref="R19:R29" si="8">IF(P$12=0,0,P19/P$12)</f>
        <v>0.98529434409855188</v>
      </c>
      <c r="S19" s="21"/>
      <c r="T19" s="21">
        <f>SUM(OSRRefT22x_0)</f>
        <v>205764.21101775</v>
      </c>
      <c r="U19" s="21"/>
      <c r="V19" s="33">
        <f t="shared" ref="V19:V29" si="9">IF(T$12=0,0,T19/T$12)</f>
        <v>0.90854753270876387</v>
      </c>
      <c r="W19" s="4"/>
      <c r="X19" s="21">
        <f t="shared" ref="X19:X29" si="10">+P19-T19</f>
        <v>-111065.60101774998</v>
      </c>
      <c r="Y19" s="4"/>
      <c r="Z19" s="33">
        <f t="shared" ref="Z19:Z29" si="11">IF(T19=0,0,X19/T19)</f>
        <v>-0.53977122876907413</v>
      </c>
    </row>
    <row r="20" spans="1:26" s="26" customFormat="1" outlineLevel="1" collapsed="1" x14ac:dyDescent="0.25">
      <c r="A20" s="27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4870.5900000000011</v>
      </c>
      <c r="E20" s="1"/>
      <c r="F20" s="5">
        <f t="shared" si="4"/>
        <v>0.17255686246722884</v>
      </c>
      <c r="G20" s="1"/>
      <c r="H20" s="1">
        <f>SUM(OSRRefH22_0x_0)</f>
        <v>953.71815930769242</v>
      </c>
      <c r="I20" s="1"/>
      <c r="J20" s="5">
        <f t="shared" si="5"/>
        <v>3.9685342847357377E-2</v>
      </c>
      <c r="K20" s="1"/>
      <c r="L20" s="1">
        <f t="shared" si="6"/>
        <v>3916.8718406923085</v>
      </c>
      <c r="M20" s="1"/>
      <c r="N20" s="5">
        <f t="shared" si="7"/>
        <v>4.1069490000437661</v>
      </c>
      <c r="O20" s="13"/>
      <c r="P20" s="1">
        <f>SUM(OSRRefP22_0x_0)</f>
        <v>13496.070000000002</v>
      </c>
      <c r="Q20" s="1"/>
      <c r="R20" s="5">
        <f t="shared" si="8"/>
        <v>0.14042023888796407</v>
      </c>
      <c r="S20" s="1"/>
      <c r="T20" s="1">
        <f>SUM(OSRRefT22_0x_0)</f>
        <v>5096.6035177499971</v>
      </c>
      <c r="U20" s="1"/>
      <c r="V20" s="5">
        <f t="shared" si="9"/>
        <v>2.2503945308774427E-2</v>
      </c>
      <c r="W20" s="1"/>
      <c r="X20" s="1">
        <f t="shared" si="10"/>
        <v>8399.4664822500054</v>
      </c>
      <c r="Y20" s="1"/>
      <c r="Z20" s="5">
        <f t="shared" si="11"/>
        <v>1.6480517766385183</v>
      </c>
    </row>
    <row r="21" spans="1:26" s="24" customFormat="1" hidden="1" outlineLevel="2" x14ac:dyDescent="0.25">
      <c r="A21" s="25"/>
      <c r="B21" s="11" t="str">
        <f>CONCATENATE("          ", "6111", " - ", "F.I.C.A.")</f>
        <v xml:space="preserve">          6111 - F.I.C.A.</v>
      </c>
      <c r="C21" s="11"/>
      <c r="D21" s="7">
        <v>1067.03</v>
      </c>
      <c r="E21" s="2"/>
      <c r="F21" s="6">
        <f t="shared" si="4"/>
        <v>3.7803089350244456E-2</v>
      </c>
      <c r="G21" s="2"/>
      <c r="H21" s="7">
        <v>261.889780846154</v>
      </c>
      <c r="I21" s="2"/>
      <c r="J21" s="6">
        <f t="shared" si="5"/>
        <v>1.0897544143065662E-2</v>
      </c>
      <c r="K21" s="2"/>
      <c r="L21" s="7">
        <f t="shared" si="6"/>
        <v>805.14021915384592</v>
      </c>
      <c r="M21" s="2"/>
      <c r="N21" s="6">
        <f t="shared" si="7"/>
        <v>3.0743475997897836</v>
      </c>
      <c r="O21" s="11"/>
      <c r="P21" s="7">
        <v>3424.24</v>
      </c>
      <c r="Q21" s="2"/>
      <c r="R21" s="6">
        <f t="shared" si="8"/>
        <v>3.5627601132012653E-2</v>
      </c>
      <c r="S21" s="2"/>
      <c r="T21" s="7">
        <v>2412.353787749998</v>
      </c>
      <c r="U21" s="2"/>
      <c r="V21" s="6">
        <f t="shared" si="9"/>
        <v>1.0651697256000627E-2</v>
      </c>
      <c r="W21" s="2"/>
      <c r="X21" s="7">
        <f t="shared" si="10"/>
        <v>1011.8862122500018</v>
      </c>
      <c r="Y21" s="2"/>
      <c r="Z21" s="6">
        <f t="shared" si="11"/>
        <v>0.41946012122616055</v>
      </c>
    </row>
    <row r="22" spans="1:26" s="24" customFormat="1" hidden="1" outlineLevel="2" x14ac:dyDescent="0.25">
      <c r="A22" s="25"/>
      <c r="B22" s="11" t="str">
        <f>CONCATENATE("          ", "6112", " - ", "COMPENSATION INSURANCE")</f>
        <v xml:space="preserve">          6112 - COMPENSATION INSURANCE</v>
      </c>
      <c r="C22" s="11"/>
      <c r="D22" s="7">
        <v>60.71</v>
      </c>
      <c r="E22" s="2"/>
      <c r="F22" s="6">
        <f t="shared" si="4"/>
        <v>2.1508538227166443E-3</v>
      </c>
      <c r="G22" s="2"/>
      <c r="H22" s="7">
        <v>198.256523076923</v>
      </c>
      <c r="I22" s="2"/>
      <c r="J22" s="6">
        <f t="shared" si="5"/>
        <v>8.249688876369966E-3</v>
      </c>
      <c r="K22" s="2"/>
      <c r="L22" s="7">
        <f t="shared" si="6"/>
        <v>-137.54652307692299</v>
      </c>
      <c r="M22" s="2"/>
      <c r="N22" s="6">
        <f t="shared" si="7"/>
        <v>-0.69378056742957861</v>
      </c>
      <c r="O22" s="11"/>
      <c r="P22" s="7">
        <v>170.49</v>
      </c>
      <c r="Q22" s="2"/>
      <c r="R22" s="6">
        <f t="shared" si="8"/>
        <v>1.7738679873480941E-3</v>
      </c>
      <c r="S22" s="2"/>
      <c r="T22" s="7">
        <v>732.14932499999998</v>
      </c>
      <c r="U22" s="2"/>
      <c r="V22" s="6">
        <f t="shared" si="9"/>
        <v>3.2327898982673661E-3</v>
      </c>
      <c r="W22" s="2"/>
      <c r="X22" s="7">
        <f t="shared" si="10"/>
        <v>-561.65932499999997</v>
      </c>
      <c r="Y22" s="2"/>
      <c r="Z22" s="6">
        <f t="shared" si="11"/>
        <v>-0.76713766689602558</v>
      </c>
    </row>
    <row r="23" spans="1:26" s="24" customFormat="1" hidden="1" outlineLevel="2" x14ac:dyDescent="0.25">
      <c r="A23" s="25"/>
      <c r="B23" s="11" t="str">
        <f>CONCATENATE("          ", "6113", " - ", "GROUP INSURANCE")</f>
        <v xml:space="preserve">          6113 - GROUP INSURANCE</v>
      </c>
      <c r="C23" s="11"/>
      <c r="D23" s="7">
        <v>1243.31</v>
      </c>
      <c r="E23" s="2"/>
      <c r="F23" s="6">
        <f t="shared" si="4"/>
        <v>4.4048395096719338E-2</v>
      </c>
      <c r="G23" s="2"/>
      <c r="H23" s="7">
        <v>138.1</v>
      </c>
      <c r="I23" s="2"/>
      <c r="J23" s="6">
        <f t="shared" si="5"/>
        <v>5.7465046604527293E-3</v>
      </c>
      <c r="K23" s="2"/>
      <c r="L23" s="7">
        <f t="shared" si="6"/>
        <v>1105.21</v>
      </c>
      <c r="M23" s="2"/>
      <c r="N23" s="6">
        <f t="shared" si="7"/>
        <v>8.0029688631426517</v>
      </c>
      <c r="O23" s="11"/>
      <c r="P23" s="7">
        <v>3729.93</v>
      </c>
      <c r="Q23" s="2"/>
      <c r="R23" s="6">
        <f t="shared" si="8"/>
        <v>3.8808161311802897E-2</v>
      </c>
      <c r="S23" s="2"/>
      <c r="T23" s="7">
        <v>414.3</v>
      </c>
      <c r="U23" s="2"/>
      <c r="V23" s="6">
        <f t="shared" si="9"/>
        <v>1.8293329094473587E-3</v>
      </c>
      <c r="W23" s="2"/>
      <c r="X23" s="7">
        <f t="shared" si="10"/>
        <v>3315.6299999999997</v>
      </c>
      <c r="Y23" s="2"/>
      <c r="Z23" s="6">
        <f t="shared" si="11"/>
        <v>8.0029688631426499</v>
      </c>
    </row>
    <row r="24" spans="1:26" s="24" customFormat="1" hidden="1" outlineLevel="2" x14ac:dyDescent="0.25">
      <c r="A24" s="25"/>
      <c r="B24" s="11" t="str">
        <f>CONCATENATE("          ", "6114", " - ", "STATE UNEMPLOYMENT INSURANCE")</f>
        <v xml:space="preserve">          6114 - STATE UNEMPLOYMENT INSURANCE</v>
      </c>
      <c r="C24" s="11"/>
      <c r="D24" s="7">
        <v>46.4</v>
      </c>
      <c r="E24" s="2"/>
      <c r="F24" s="6">
        <f t="shared" si="4"/>
        <v>1.6438744420038261E-3</v>
      </c>
      <c r="G24" s="2"/>
      <c r="H24" s="7">
        <v>27.129840000000002</v>
      </c>
      <c r="I24" s="2"/>
      <c r="J24" s="6">
        <f t="shared" si="5"/>
        <v>1.128904793608522E-3</v>
      </c>
      <c r="K24" s="2"/>
      <c r="L24" s="7">
        <f t="shared" si="6"/>
        <v>19.270159999999997</v>
      </c>
      <c r="M24" s="2"/>
      <c r="N24" s="6">
        <f t="shared" si="7"/>
        <v>0.71029390516125401</v>
      </c>
      <c r="O24" s="11"/>
      <c r="P24" s="7">
        <v>130.35</v>
      </c>
      <c r="Q24" s="2"/>
      <c r="R24" s="6">
        <f t="shared" si="8"/>
        <v>1.3562302313967038E-3</v>
      </c>
      <c r="S24" s="2"/>
      <c r="T24" s="7">
        <v>100.188855</v>
      </c>
      <c r="U24" s="2"/>
      <c r="V24" s="6">
        <f t="shared" si="9"/>
        <v>4.4238177555237643E-4</v>
      </c>
      <c r="W24" s="2"/>
      <c r="X24" s="7">
        <f t="shared" si="10"/>
        <v>30.161144999999991</v>
      </c>
      <c r="Y24" s="2"/>
      <c r="Z24" s="6">
        <f t="shared" si="11"/>
        <v>0.30104291540211725</v>
      </c>
    </row>
    <row r="25" spans="1:26" s="24" customFormat="1" hidden="1" outlineLevel="2" x14ac:dyDescent="0.25">
      <c r="A25" s="25"/>
      <c r="B25" s="11" t="str">
        <f>CONCATENATE("          ", "6115", " - ", "P.E.R.S.")</f>
        <v xml:space="preserve">          6115 - P.E.R.S.</v>
      </c>
      <c r="C25" s="11"/>
      <c r="D25" s="7">
        <v>639.47</v>
      </c>
      <c r="E25" s="2"/>
      <c r="F25" s="6">
        <f t="shared" si="4"/>
        <v>2.2655353220435062E-2</v>
      </c>
      <c r="G25" s="2"/>
      <c r="H25" s="7">
        <v>56.936630769230796</v>
      </c>
      <c r="I25" s="2"/>
      <c r="J25" s="6">
        <f t="shared" si="5"/>
        <v>2.3692006811430926E-3</v>
      </c>
      <c r="K25" s="2"/>
      <c r="L25" s="7">
        <f t="shared" si="6"/>
        <v>582.53336923076927</v>
      </c>
      <c r="M25" s="2"/>
      <c r="N25" s="6">
        <f t="shared" si="7"/>
        <v>10.231258178795802</v>
      </c>
      <c r="O25" s="11"/>
      <c r="P25" s="7">
        <v>1857.51</v>
      </c>
      <c r="Q25" s="2"/>
      <c r="R25" s="6">
        <f t="shared" si="8"/>
        <v>1.9326514899284167E-2</v>
      </c>
      <c r="S25" s="2"/>
      <c r="T25" s="7">
        <v>185.04405000000011</v>
      </c>
      <c r="U25" s="2"/>
      <c r="V25" s="6">
        <f t="shared" si="9"/>
        <v>8.1705809887140407E-4</v>
      </c>
      <c r="W25" s="2"/>
      <c r="X25" s="7">
        <f t="shared" si="10"/>
        <v>1672.4659499999998</v>
      </c>
      <c r="Y25" s="2"/>
      <c r="Z25" s="6">
        <f t="shared" si="11"/>
        <v>9.0382044167321176</v>
      </c>
    </row>
    <row r="26" spans="1:26" s="24" customFormat="1" hidden="1" outlineLevel="2" x14ac:dyDescent="0.25">
      <c r="A26" s="25"/>
      <c r="B26" s="11" t="str">
        <f>CONCATENATE("          ", "6116", " - ", "EDUCATIONAL BENEFITS")</f>
        <v xml:space="preserve">          6116 - EDUCATIONAL BENEFITS</v>
      </c>
      <c r="C26" s="11"/>
      <c r="D26" s="7"/>
      <c r="E26" s="2"/>
      <c r="F26" s="6">
        <f t="shared" si="4"/>
        <v>0</v>
      </c>
      <c r="G26" s="2"/>
      <c r="H26" s="7">
        <v>0</v>
      </c>
      <c r="I26" s="2"/>
      <c r="J26" s="6">
        <f t="shared" si="5"/>
        <v>0</v>
      </c>
      <c r="K26" s="2"/>
      <c r="L26" s="7">
        <f t="shared" si="6"/>
        <v>0</v>
      </c>
      <c r="M26" s="2"/>
      <c r="N26" s="6">
        <f t="shared" si="7"/>
        <v>0</v>
      </c>
      <c r="O26" s="11"/>
      <c r="P26" s="7"/>
      <c r="Q26" s="2"/>
      <c r="R26" s="6">
        <f t="shared" si="8"/>
        <v>0</v>
      </c>
      <c r="S26" s="2"/>
      <c r="T26" s="7">
        <v>0</v>
      </c>
      <c r="U26" s="2"/>
      <c r="V26" s="6">
        <f t="shared" si="9"/>
        <v>0</v>
      </c>
      <c r="W26" s="2"/>
      <c r="X26" s="7">
        <f t="shared" si="10"/>
        <v>0</v>
      </c>
      <c r="Y26" s="2"/>
      <c r="Z26" s="6">
        <f t="shared" si="11"/>
        <v>0</v>
      </c>
    </row>
    <row r="27" spans="1:26" s="24" customFormat="1" hidden="1" outlineLevel="2" x14ac:dyDescent="0.25">
      <c r="A27" s="25"/>
      <c r="B27" s="11" t="str">
        <f>CONCATENATE("          ", "6118", " - ", "VACATION")</f>
        <v xml:space="preserve">          6118 - VACATION</v>
      </c>
      <c r="C27" s="11"/>
      <c r="D27" s="7">
        <v>1076.3</v>
      </c>
      <c r="E27" s="2"/>
      <c r="F27" s="6">
        <f t="shared" si="4"/>
        <v>3.8131509955360306E-2</v>
      </c>
      <c r="G27" s="2"/>
      <c r="H27" s="7">
        <v>33.102692307692301</v>
      </c>
      <c r="I27" s="2"/>
      <c r="J27" s="6">
        <f t="shared" si="5"/>
        <v>1.3774422564785411E-3</v>
      </c>
      <c r="K27" s="2"/>
      <c r="L27" s="7">
        <f t="shared" si="6"/>
        <v>1043.1973076923077</v>
      </c>
      <c r="M27" s="2"/>
      <c r="N27" s="6">
        <f t="shared" si="7"/>
        <v>31.513971673231328</v>
      </c>
      <c r="O27" s="11"/>
      <c r="P27" s="7">
        <v>2470.08</v>
      </c>
      <c r="Q27" s="2"/>
      <c r="R27" s="6">
        <f t="shared" si="8"/>
        <v>2.5700016647244882E-2</v>
      </c>
      <c r="S27" s="2"/>
      <c r="T27" s="7">
        <v>107.58374999999999</v>
      </c>
      <c r="U27" s="2"/>
      <c r="V27" s="6">
        <f t="shared" si="9"/>
        <v>4.7503377841360672E-4</v>
      </c>
      <c r="W27" s="2"/>
      <c r="X27" s="7">
        <f t="shared" si="10"/>
        <v>2362.4962500000001</v>
      </c>
      <c r="Y27" s="2"/>
      <c r="Z27" s="6">
        <f t="shared" si="11"/>
        <v>21.959601240893726</v>
      </c>
    </row>
    <row r="28" spans="1:26" s="24" customFormat="1" hidden="1" outlineLevel="2" x14ac:dyDescent="0.25">
      <c r="A28" s="25"/>
      <c r="B28" s="11" t="str">
        <f>CONCATENATE("          ", "6119", " - ", "SICK LEAVE")</f>
        <v xml:space="preserve">          6119 - SICK LEAVE</v>
      </c>
      <c r="C28" s="11"/>
      <c r="D28" s="7">
        <v>562.48</v>
      </c>
      <c r="E28" s="2"/>
      <c r="F28" s="6">
        <f t="shared" si="4"/>
        <v>1.9927726209877417E-2</v>
      </c>
      <c r="G28" s="2"/>
      <c r="H28" s="7">
        <v>88.302692307692297</v>
      </c>
      <c r="I28" s="2"/>
      <c r="J28" s="6">
        <f t="shared" si="5"/>
        <v>3.6743796732561706E-3</v>
      </c>
      <c r="K28" s="2"/>
      <c r="L28" s="7">
        <f t="shared" si="6"/>
        <v>474.17730769230775</v>
      </c>
      <c r="M28" s="2"/>
      <c r="N28" s="6">
        <f t="shared" si="7"/>
        <v>5.3699077038334062</v>
      </c>
      <c r="O28" s="11"/>
      <c r="P28" s="7">
        <v>1255.7</v>
      </c>
      <c r="Q28" s="2"/>
      <c r="R28" s="6">
        <f t="shared" si="8"/>
        <v>1.3064965873147994E-2</v>
      </c>
      <c r="S28" s="2"/>
      <c r="T28" s="7">
        <v>694.9837499999993</v>
      </c>
      <c r="U28" s="2"/>
      <c r="V28" s="6">
        <f t="shared" si="9"/>
        <v>3.0686860859428784E-3</v>
      </c>
      <c r="W28" s="2"/>
      <c r="X28" s="7">
        <f t="shared" si="10"/>
        <v>560.71625000000074</v>
      </c>
      <c r="Y28" s="2"/>
      <c r="Z28" s="6">
        <f t="shared" si="11"/>
        <v>0.80680483536485748</v>
      </c>
    </row>
    <row r="29" spans="1:26" s="24" customFormat="1" hidden="1" outlineLevel="2" x14ac:dyDescent="0.25">
      <c r="A29" s="25"/>
      <c r="B29" s="11" t="str">
        <f>CONCATENATE("          ", "6156", " - ", "EMPLOYEE MEALS")</f>
        <v xml:space="preserve">          6156 - EMPLOYEE MEALS</v>
      </c>
      <c r="C29" s="11"/>
      <c r="D29" s="7">
        <v>174.89</v>
      </c>
      <c r="E29" s="2"/>
      <c r="F29" s="6">
        <f t="shared" si="4"/>
        <v>6.1960603698717493E-3</v>
      </c>
      <c r="G29" s="2"/>
      <c r="H29" s="7">
        <v>150</v>
      </c>
      <c r="I29" s="2"/>
      <c r="J29" s="6">
        <f t="shared" si="5"/>
        <v>6.2416777629826893E-3</v>
      </c>
      <c r="K29" s="2"/>
      <c r="L29" s="7">
        <f t="shared" si="6"/>
        <v>24.889999999999986</v>
      </c>
      <c r="M29" s="2"/>
      <c r="N29" s="6">
        <f t="shared" si="7"/>
        <v>0.16593333333333324</v>
      </c>
      <c r="O29" s="11"/>
      <c r="P29" s="7">
        <v>457.77</v>
      </c>
      <c r="Q29" s="2"/>
      <c r="R29" s="6">
        <f t="shared" si="8"/>
        <v>4.7628808057266518E-3</v>
      </c>
      <c r="S29" s="2"/>
      <c r="T29" s="7">
        <v>450</v>
      </c>
      <c r="U29" s="2"/>
      <c r="V29" s="6">
        <f t="shared" si="9"/>
        <v>1.9869655062788108E-3</v>
      </c>
      <c r="W29" s="2"/>
      <c r="X29" s="7">
        <f t="shared" si="10"/>
        <v>7.7699999999999818</v>
      </c>
      <c r="Y29" s="2"/>
      <c r="Z29" s="6">
        <f t="shared" si="11"/>
        <v>1.7266666666666625E-2</v>
      </c>
    </row>
    <row r="30" spans="1:26" s="26" customFormat="1" outlineLevel="1" collapsed="1" x14ac:dyDescent="0.25">
      <c r="A30" s="27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17084.79</v>
      </c>
      <c r="E30" s="1"/>
      <c r="F30" s="5">
        <f t="shared" ref="F30:F40" si="12">IF(D$12=0,0,D30/D$12)</f>
        <v>0.60528555232764125</v>
      </c>
      <c r="G30" s="1"/>
      <c r="H30" s="1">
        <f>SUM(OSRRefH22_1x_0)</f>
        <v>10313.148461538462</v>
      </c>
      <c r="I30" s="1"/>
      <c r="J30" s="5">
        <f t="shared" ref="J30:J40" si="13">IF(H$12=0,0,H30/H$12)</f>
        <v>0.42914232945815833</v>
      </c>
      <c r="K30" s="1"/>
      <c r="L30" s="1">
        <f t="shared" ref="L30:L40" si="14">+D30-H30</f>
        <v>6771.6415384615393</v>
      </c>
      <c r="M30" s="1"/>
      <c r="N30" s="5">
        <f t="shared" ref="N30:N40" si="15">IF(H30=0,0,L30/H30)</f>
        <v>0.65660274005707286</v>
      </c>
      <c r="O30" s="13"/>
      <c r="P30" s="1">
        <f>SUM(OSRRefP22_1x_0)</f>
        <v>53857.280000000006</v>
      </c>
      <c r="Q30" s="1"/>
      <c r="R30" s="5">
        <f t="shared" ref="R30:R40" si="16">IF(P$12=0,0,P30/P$12)</f>
        <v>0.56035958048942902</v>
      </c>
      <c r="S30" s="1"/>
      <c r="T30" s="1">
        <f>SUM(OSRRefT22_1x_0)</f>
        <v>37731.607499999998</v>
      </c>
      <c r="U30" s="1"/>
      <c r="V30" s="5">
        <f t="shared" ref="V30:V40" si="17">IF(T$12=0,0,T30/T$12)</f>
        <v>0.16660311688655752</v>
      </c>
      <c r="W30" s="1"/>
      <c r="X30" s="1">
        <f t="shared" ref="X30:X40" si="18">+P30-T30</f>
        <v>16125.672500000008</v>
      </c>
      <c r="Y30" s="1"/>
      <c r="Z30" s="5">
        <f t="shared" ref="Z30:Z40" si="19">IF(T30=0,0,X30/T30)</f>
        <v>0.42737835911178734</v>
      </c>
    </row>
    <row r="31" spans="1:26" s="24" customFormat="1" hidden="1" outlineLevel="2" x14ac:dyDescent="0.25">
      <c r="A31" s="25"/>
      <c r="B31" s="11" t="str">
        <f>CONCATENATE("          ", "6001", " - ", "ADMINISTRATIVE SALARIES")</f>
        <v xml:space="preserve">          6001 - ADMINISTRATIVE SALARIES</v>
      </c>
      <c r="C31" s="11"/>
      <c r="D31" s="7"/>
      <c r="E31" s="2"/>
      <c r="F31" s="6">
        <f t="shared" si="12"/>
        <v>0</v>
      </c>
      <c r="G31" s="2"/>
      <c r="H31" s="7">
        <v>0</v>
      </c>
      <c r="I31" s="2"/>
      <c r="J31" s="6">
        <f t="shared" si="13"/>
        <v>0</v>
      </c>
      <c r="K31" s="2"/>
      <c r="L31" s="7">
        <f t="shared" si="14"/>
        <v>0</v>
      </c>
      <c r="M31" s="2"/>
      <c r="N31" s="6">
        <f t="shared" si="15"/>
        <v>0</v>
      </c>
      <c r="O31" s="11"/>
      <c r="P31" s="7"/>
      <c r="Q31" s="2"/>
      <c r="R31" s="6">
        <f t="shared" si="16"/>
        <v>0</v>
      </c>
      <c r="S31" s="2"/>
      <c r="T31" s="7">
        <v>0</v>
      </c>
      <c r="U31" s="2"/>
      <c r="V31" s="6">
        <f t="shared" si="17"/>
        <v>0</v>
      </c>
      <c r="W31" s="2"/>
      <c r="X31" s="7">
        <f t="shared" si="18"/>
        <v>0</v>
      </c>
      <c r="Y31" s="2"/>
      <c r="Z31" s="6">
        <f t="shared" si="19"/>
        <v>0</v>
      </c>
    </row>
    <row r="32" spans="1:26" s="24" customFormat="1" hidden="1" outlineLevel="2" x14ac:dyDescent="0.25">
      <c r="A32" s="25"/>
      <c r="B32" s="11" t="str">
        <f>CONCATENATE("          ", "6002", " - ", "STAFF SALARIES")</f>
        <v xml:space="preserve">          6002 - STAFF SALARIES</v>
      </c>
      <c r="C32" s="11"/>
      <c r="D32" s="7">
        <v>6017.64</v>
      </c>
      <c r="E32" s="2"/>
      <c r="F32" s="6">
        <f t="shared" si="12"/>
        <v>0.21319492666336004</v>
      </c>
      <c r="G32" s="2"/>
      <c r="H32" s="7">
        <v>595.84846153846195</v>
      </c>
      <c r="I32" s="2"/>
      <c r="J32" s="6">
        <f t="shared" si="13"/>
        <v>2.4793960616613764E-2</v>
      </c>
      <c r="K32" s="2"/>
      <c r="L32" s="7">
        <f t="shared" si="14"/>
        <v>5421.791538461538</v>
      </c>
      <c r="M32" s="2"/>
      <c r="N32" s="6">
        <f t="shared" si="15"/>
        <v>9.0992792436899865</v>
      </c>
      <c r="O32" s="11"/>
      <c r="P32" s="7">
        <v>18232.95</v>
      </c>
      <c r="Q32" s="2"/>
      <c r="R32" s="6">
        <f t="shared" si="16"/>
        <v>0.1897052397203263</v>
      </c>
      <c r="S32" s="2"/>
      <c r="T32" s="7">
        <v>1936.5075000000008</v>
      </c>
      <c r="U32" s="2"/>
      <c r="V32" s="6">
        <f t="shared" si="17"/>
        <v>8.5506080114449243E-3</v>
      </c>
      <c r="W32" s="2"/>
      <c r="X32" s="7">
        <f t="shared" si="18"/>
        <v>16296.442499999999</v>
      </c>
      <c r="Y32" s="2"/>
      <c r="Z32" s="6">
        <f t="shared" si="19"/>
        <v>8.4153779419909256</v>
      </c>
    </row>
    <row r="33" spans="1:26" s="24" customFormat="1" hidden="1" outlineLevel="2" x14ac:dyDescent="0.25">
      <c r="A33" s="25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12"/>
        <v>0</v>
      </c>
      <c r="G33" s="2"/>
      <c r="H33" s="7">
        <v>0</v>
      </c>
      <c r="I33" s="2"/>
      <c r="J33" s="6">
        <f t="shared" si="13"/>
        <v>0</v>
      </c>
      <c r="K33" s="2"/>
      <c r="L33" s="7">
        <f t="shared" si="14"/>
        <v>0</v>
      </c>
      <c r="M33" s="2"/>
      <c r="N33" s="6">
        <f t="shared" si="15"/>
        <v>0</v>
      </c>
      <c r="O33" s="11"/>
      <c r="P33" s="7"/>
      <c r="Q33" s="2"/>
      <c r="R33" s="6">
        <f t="shared" si="16"/>
        <v>0</v>
      </c>
      <c r="S33" s="2"/>
      <c r="T33" s="7">
        <v>0</v>
      </c>
      <c r="U33" s="2"/>
      <c r="V33" s="6">
        <f t="shared" si="17"/>
        <v>0</v>
      </c>
      <c r="W33" s="2"/>
      <c r="X33" s="7">
        <f t="shared" si="18"/>
        <v>0</v>
      </c>
      <c r="Y33" s="2"/>
      <c r="Z33" s="6">
        <f t="shared" si="19"/>
        <v>0</v>
      </c>
    </row>
    <row r="34" spans="1:26" s="24" customFormat="1" hidden="1" outlineLevel="2" x14ac:dyDescent="0.25">
      <c r="A34" s="25"/>
      <c r="B34" s="11" t="str">
        <f>CONCATENATE("          ", "6004", " - ", "STAFF HOURLY")</f>
        <v xml:space="preserve">          6004 - STAFF HOURLY</v>
      </c>
      <c r="C34" s="11"/>
      <c r="D34" s="7"/>
      <c r="E34" s="2"/>
      <c r="F34" s="6">
        <f t="shared" si="12"/>
        <v>0</v>
      </c>
      <c r="G34" s="2"/>
      <c r="H34" s="7">
        <v>2704.8</v>
      </c>
      <c r="I34" s="2"/>
      <c r="J34" s="6">
        <f t="shared" si="13"/>
        <v>0.11254993342210387</v>
      </c>
      <c r="K34" s="2"/>
      <c r="L34" s="7">
        <f t="shared" si="14"/>
        <v>-2704.8</v>
      </c>
      <c r="M34" s="2"/>
      <c r="N34" s="6">
        <f t="shared" si="15"/>
        <v>-1</v>
      </c>
      <c r="O34" s="11"/>
      <c r="P34" s="7"/>
      <c r="Q34" s="2"/>
      <c r="R34" s="6">
        <f t="shared" si="16"/>
        <v>0</v>
      </c>
      <c r="S34" s="2"/>
      <c r="T34" s="7">
        <v>8790.6</v>
      </c>
      <c r="U34" s="2"/>
      <c r="V34" s="6">
        <f t="shared" si="17"/>
        <v>3.8814708843321145E-2</v>
      </c>
      <c r="W34" s="2"/>
      <c r="X34" s="7">
        <f t="shared" si="18"/>
        <v>-8790.6</v>
      </c>
      <c r="Y34" s="2"/>
      <c r="Z34" s="6">
        <f t="shared" si="19"/>
        <v>-1</v>
      </c>
    </row>
    <row r="35" spans="1:26" s="24" customFormat="1" hidden="1" outlineLevel="2" x14ac:dyDescent="0.25">
      <c r="A35" s="25"/>
      <c r="B35" s="11" t="str">
        <f>CONCATENATE("          ", "6005", " - ", "TEMPORARY WAGES-HOURLY")</f>
        <v xml:space="preserve">          6005 - TEMPORARY WAGES-HOURLY</v>
      </c>
      <c r="C35" s="11"/>
      <c r="D35" s="7">
        <v>8155.67</v>
      </c>
      <c r="E35" s="2"/>
      <c r="F35" s="6">
        <f t="shared" si="12"/>
        <v>0.28894175582796006</v>
      </c>
      <c r="G35" s="2"/>
      <c r="H35" s="7">
        <v>0</v>
      </c>
      <c r="I35" s="2"/>
      <c r="J35" s="6">
        <f t="shared" si="13"/>
        <v>0</v>
      </c>
      <c r="K35" s="2"/>
      <c r="L35" s="7">
        <f t="shared" si="14"/>
        <v>8155.67</v>
      </c>
      <c r="M35" s="2"/>
      <c r="N35" s="6">
        <f t="shared" si="15"/>
        <v>0</v>
      </c>
      <c r="O35" s="11"/>
      <c r="P35" s="7">
        <v>21350.06</v>
      </c>
      <c r="Q35" s="2"/>
      <c r="R35" s="6">
        <f t="shared" si="16"/>
        <v>0.22213729815215583</v>
      </c>
      <c r="S35" s="2"/>
      <c r="T35" s="7">
        <v>0</v>
      </c>
      <c r="U35" s="2"/>
      <c r="V35" s="6">
        <f t="shared" si="17"/>
        <v>0</v>
      </c>
      <c r="W35" s="2"/>
      <c r="X35" s="7">
        <f t="shared" si="18"/>
        <v>21350.06</v>
      </c>
      <c r="Y35" s="2"/>
      <c r="Z35" s="6">
        <f t="shared" si="19"/>
        <v>0</v>
      </c>
    </row>
    <row r="36" spans="1:26" s="24" customFormat="1" hidden="1" outlineLevel="2" x14ac:dyDescent="0.25">
      <c r="A36" s="25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12"/>
        <v>0</v>
      </c>
      <c r="G36" s="2"/>
      <c r="H36" s="7">
        <v>0</v>
      </c>
      <c r="I36" s="2"/>
      <c r="J36" s="6">
        <f t="shared" si="13"/>
        <v>0</v>
      </c>
      <c r="K36" s="2"/>
      <c r="L36" s="7">
        <f t="shared" si="14"/>
        <v>0</v>
      </c>
      <c r="M36" s="2"/>
      <c r="N36" s="6">
        <f t="shared" si="15"/>
        <v>0</v>
      </c>
      <c r="O36" s="11"/>
      <c r="P36" s="7"/>
      <c r="Q36" s="2"/>
      <c r="R36" s="6">
        <f t="shared" si="16"/>
        <v>0</v>
      </c>
      <c r="S36" s="2"/>
      <c r="T36" s="7">
        <v>0</v>
      </c>
      <c r="U36" s="2"/>
      <c r="V36" s="6">
        <f t="shared" si="17"/>
        <v>0</v>
      </c>
      <c r="W36" s="2"/>
      <c r="X36" s="7">
        <f t="shared" si="18"/>
        <v>0</v>
      </c>
      <c r="Y36" s="2"/>
      <c r="Z36" s="6">
        <f t="shared" si="19"/>
        <v>0</v>
      </c>
    </row>
    <row r="37" spans="1:26" s="24" customFormat="1" hidden="1" outlineLevel="2" x14ac:dyDescent="0.25">
      <c r="A37" s="25"/>
      <c r="B37" s="11" t="str">
        <f>CONCATENATE("          ", "6007", " - ", "STUDENT HOURLY")</f>
        <v xml:space="preserve">          6007 - STUDENT HOURLY</v>
      </c>
      <c r="C37" s="11"/>
      <c r="D37" s="7">
        <v>2136.91</v>
      </c>
      <c r="E37" s="2"/>
      <c r="F37" s="6">
        <f t="shared" si="12"/>
        <v>7.5707149436689575E-2</v>
      </c>
      <c r="G37" s="2"/>
      <c r="H37" s="7">
        <v>0</v>
      </c>
      <c r="I37" s="2"/>
      <c r="J37" s="6">
        <f t="shared" si="13"/>
        <v>0</v>
      </c>
      <c r="K37" s="2"/>
      <c r="L37" s="7">
        <f t="shared" si="14"/>
        <v>2136.91</v>
      </c>
      <c r="M37" s="2"/>
      <c r="N37" s="6">
        <f t="shared" si="15"/>
        <v>0</v>
      </c>
      <c r="O37" s="11"/>
      <c r="P37" s="7">
        <v>12199.2</v>
      </c>
      <c r="Q37" s="2"/>
      <c r="R37" s="6">
        <f t="shared" si="16"/>
        <v>0.12692691859497254</v>
      </c>
      <c r="S37" s="2"/>
      <c r="T37" s="7">
        <v>19992</v>
      </c>
      <c r="U37" s="2"/>
      <c r="V37" s="6">
        <f t="shared" si="17"/>
        <v>8.8274254225613316E-2</v>
      </c>
      <c r="W37" s="2"/>
      <c r="X37" s="7">
        <f t="shared" si="18"/>
        <v>-7792.7999999999993</v>
      </c>
      <c r="Y37" s="2"/>
      <c r="Z37" s="6">
        <f t="shared" si="19"/>
        <v>-0.38979591836734689</v>
      </c>
    </row>
    <row r="38" spans="1:26" s="24" customFormat="1" hidden="1" outlineLevel="2" x14ac:dyDescent="0.25">
      <c r="A38" s="25"/>
      <c r="B38" s="11" t="str">
        <f>CONCATENATE("          ", "6008", " - ", "STUDENT HOURLY-FICA EXEMPT")</f>
        <v xml:space="preserve">          6008 - STUDENT HOURLY-FICA EXEMPT</v>
      </c>
      <c r="C38" s="11"/>
      <c r="D38" s="7">
        <v>774.57</v>
      </c>
      <c r="E38" s="2"/>
      <c r="F38" s="6">
        <f t="shared" si="12"/>
        <v>2.7441720399631546E-2</v>
      </c>
      <c r="G38" s="2"/>
      <c r="H38" s="7">
        <v>7012.5</v>
      </c>
      <c r="I38" s="2"/>
      <c r="J38" s="6">
        <f t="shared" si="13"/>
        <v>0.29179843541944073</v>
      </c>
      <c r="K38" s="2"/>
      <c r="L38" s="7">
        <f t="shared" si="14"/>
        <v>-6237.93</v>
      </c>
      <c r="M38" s="2"/>
      <c r="N38" s="6">
        <f t="shared" si="15"/>
        <v>-0.88954438502673805</v>
      </c>
      <c r="O38" s="11"/>
      <c r="P38" s="7">
        <v>2075.0700000000002</v>
      </c>
      <c r="Q38" s="2"/>
      <c r="R38" s="6">
        <f t="shared" si="16"/>
        <v>2.1590124021974366E-2</v>
      </c>
      <c r="S38" s="2"/>
      <c r="T38" s="7">
        <v>7012.5</v>
      </c>
      <c r="U38" s="2"/>
      <c r="V38" s="6">
        <f t="shared" si="17"/>
        <v>3.0963545806178137E-2</v>
      </c>
      <c r="W38" s="2"/>
      <c r="X38" s="7">
        <f t="shared" si="18"/>
        <v>-4937.43</v>
      </c>
      <c r="Y38" s="2"/>
      <c r="Z38" s="6">
        <f t="shared" si="19"/>
        <v>-0.70408983957219251</v>
      </c>
    </row>
    <row r="39" spans="1:26" s="24" customFormat="1" hidden="1" outlineLevel="2" x14ac:dyDescent="0.25">
      <c r="A39" s="25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12"/>
        <v>0</v>
      </c>
      <c r="G39" s="2"/>
      <c r="H39" s="7">
        <v>0</v>
      </c>
      <c r="I39" s="2"/>
      <c r="J39" s="6">
        <f t="shared" si="13"/>
        <v>0</v>
      </c>
      <c r="K39" s="2"/>
      <c r="L39" s="7">
        <f t="shared" si="14"/>
        <v>0</v>
      </c>
      <c r="M39" s="2"/>
      <c r="N39" s="6">
        <f t="shared" si="15"/>
        <v>0</v>
      </c>
      <c r="O39" s="11"/>
      <c r="P39" s="7"/>
      <c r="Q39" s="2"/>
      <c r="R39" s="6">
        <f t="shared" si="16"/>
        <v>0</v>
      </c>
      <c r="S39" s="2"/>
      <c r="T39" s="7">
        <v>0</v>
      </c>
      <c r="U39" s="2"/>
      <c r="V39" s="6">
        <f t="shared" si="17"/>
        <v>0</v>
      </c>
      <c r="W39" s="2"/>
      <c r="X39" s="7">
        <f t="shared" si="18"/>
        <v>0</v>
      </c>
      <c r="Y39" s="2"/>
      <c r="Z39" s="6">
        <f t="shared" si="19"/>
        <v>0</v>
      </c>
    </row>
    <row r="40" spans="1:26" s="24" customFormat="1" hidden="1" outlineLevel="2" x14ac:dyDescent="0.25">
      <c r="A40" s="25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12"/>
        <v>0</v>
      </c>
      <c r="G40" s="2"/>
      <c r="H40" s="7">
        <v>0</v>
      </c>
      <c r="I40" s="2"/>
      <c r="J40" s="6">
        <f t="shared" si="13"/>
        <v>0</v>
      </c>
      <c r="K40" s="2"/>
      <c r="L40" s="7">
        <f t="shared" si="14"/>
        <v>0</v>
      </c>
      <c r="M40" s="2"/>
      <c r="N40" s="6">
        <f t="shared" si="15"/>
        <v>0</v>
      </c>
      <c r="O40" s="11"/>
      <c r="P40" s="7"/>
      <c r="Q40" s="2"/>
      <c r="R40" s="6">
        <f t="shared" si="16"/>
        <v>0</v>
      </c>
      <c r="S40" s="2"/>
      <c r="T40" s="7">
        <v>0</v>
      </c>
      <c r="U40" s="2"/>
      <c r="V40" s="6">
        <f t="shared" si="17"/>
        <v>0</v>
      </c>
      <c r="W40" s="2"/>
      <c r="X40" s="7">
        <f t="shared" si="18"/>
        <v>0</v>
      </c>
      <c r="Y40" s="2"/>
      <c r="Z40" s="6">
        <f t="shared" si="19"/>
        <v>0</v>
      </c>
    </row>
    <row r="41" spans="1:26" s="26" customFormat="1" outlineLevel="1" collapsed="1" x14ac:dyDescent="0.25">
      <c r="A41" s="27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0</v>
      </c>
      <c r="E41" s="1"/>
      <c r="F41" s="5">
        <f t="shared" ref="F41:F59" si="20">IF(D$12=0,0,D41/D$12)</f>
        <v>0</v>
      </c>
      <c r="G41" s="1"/>
      <c r="H41" s="1">
        <f>SUM(OSRRefH22_2x_0)</f>
        <v>400</v>
      </c>
      <c r="I41" s="1"/>
      <c r="J41" s="5">
        <f t="shared" ref="J41:J59" si="21">IF(H$12=0,0,H41/H$12)</f>
        <v>1.6644474034620507E-2</v>
      </c>
      <c r="K41" s="1"/>
      <c r="L41" s="1">
        <f t="shared" ref="L41:L59" si="22">+D41-H41</f>
        <v>-400</v>
      </c>
      <c r="M41" s="1"/>
      <c r="N41" s="5">
        <f t="shared" ref="N41:N59" si="23">IF(H41=0,0,L41/H41)</f>
        <v>-1</v>
      </c>
      <c r="O41" s="13"/>
      <c r="P41" s="1">
        <f>SUM(OSRRefP22_2x_0)</f>
        <v>38</v>
      </c>
      <c r="Q41" s="1"/>
      <c r="R41" s="5">
        <f t="shared" ref="R41:R59" si="24">IF(P$12=0,0,P41/P$12)</f>
        <v>3.9537206592308975E-4</v>
      </c>
      <c r="S41" s="1"/>
      <c r="T41" s="1">
        <f>SUM(OSRRefT22_2x_0)</f>
        <v>1200</v>
      </c>
      <c r="U41" s="1"/>
      <c r="V41" s="5">
        <f t="shared" ref="V41:V59" si="25">IF(T$12=0,0,T41/T$12)</f>
        <v>5.298574683410163E-3</v>
      </c>
      <c r="W41" s="1"/>
      <c r="X41" s="1">
        <f t="shared" ref="X41:X59" si="26">+P41-T41</f>
        <v>-1162</v>
      </c>
      <c r="Y41" s="1"/>
      <c r="Z41" s="5">
        <f t="shared" ref="Z41:Z59" si="27">IF(T41=0,0,X41/T41)</f>
        <v>-0.96833333333333338</v>
      </c>
    </row>
    <row r="42" spans="1:26" s="24" customFormat="1" hidden="1" outlineLevel="2" x14ac:dyDescent="0.25">
      <c r="A42" s="25"/>
      <c r="B42" s="11" t="str">
        <f>CONCATENATE("          ", "6362", " - ", "ADVERTISING EXPENSE")</f>
        <v xml:space="preserve">          6362 - ADVERTISING EXPENSE</v>
      </c>
      <c r="C42" s="11"/>
      <c r="D42" s="7"/>
      <c r="E42" s="2"/>
      <c r="F42" s="6">
        <f t="shared" si="20"/>
        <v>0</v>
      </c>
      <c r="G42" s="2"/>
      <c r="H42" s="7">
        <v>400</v>
      </c>
      <c r="I42" s="2"/>
      <c r="J42" s="6">
        <f t="shared" si="21"/>
        <v>1.6644474034620507E-2</v>
      </c>
      <c r="K42" s="2"/>
      <c r="L42" s="7">
        <f t="shared" si="22"/>
        <v>-400</v>
      </c>
      <c r="M42" s="2"/>
      <c r="N42" s="6">
        <f t="shared" si="23"/>
        <v>-1</v>
      </c>
      <c r="O42" s="11"/>
      <c r="P42" s="7">
        <v>38</v>
      </c>
      <c r="Q42" s="2"/>
      <c r="R42" s="6">
        <f t="shared" si="24"/>
        <v>3.9537206592308975E-4</v>
      </c>
      <c r="S42" s="2"/>
      <c r="T42" s="7">
        <v>1200</v>
      </c>
      <c r="U42" s="2"/>
      <c r="V42" s="6">
        <f t="shared" si="25"/>
        <v>5.298574683410163E-3</v>
      </c>
      <c r="W42" s="2"/>
      <c r="X42" s="7">
        <f t="shared" si="26"/>
        <v>-1162</v>
      </c>
      <c r="Y42" s="2"/>
      <c r="Z42" s="6">
        <f t="shared" si="27"/>
        <v>-0.96833333333333338</v>
      </c>
    </row>
    <row r="43" spans="1:26" s="26" customFormat="1" outlineLevel="1" collapsed="1" x14ac:dyDescent="0.25">
      <c r="A43" s="27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SUM(OSRRefD22_3x_0)</f>
        <v>3111.56</v>
      </c>
      <c r="E43" s="1"/>
      <c r="F43" s="5">
        <f t="shared" si="20"/>
        <v>0.1102373698008928</v>
      </c>
      <c r="G43" s="1"/>
      <c r="H43" s="1">
        <f>SUM(OSRRefH22_3x_0)</f>
        <v>1500</v>
      </c>
      <c r="I43" s="1"/>
      <c r="J43" s="5">
        <f t="shared" si="21"/>
        <v>6.2416777629826899E-2</v>
      </c>
      <c r="K43" s="1"/>
      <c r="L43" s="1">
        <f t="shared" si="22"/>
        <v>1611.56</v>
      </c>
      <c r="M43" s="1"/>
      <c r="N43" s="5">
        <f t="shared" si="23"/>
        <v>1.0743733333333334</v>
      </c>
      <c r="O43" s="13"/>
      <c r="P43" s="1">
        <f>SUM(OSRRefP22_3x_0)</f>
        <v>5606.05</v>
      </c>
      <c r="Q43" s="1"/>
      <c r="R43" s="5">
        <f t="shared" si="24"/>
        <v>5.8328304478108876E-2</v>
      </c>
      <c r="S43" s="1"/>
      <c r="T43" s="1">
        <f>SUM(OSRRefT22_3x_0)</f>
        <v>4500</v>
      </c>
      <c r="U43" s="1"/>
      <c r="V43" s="5">
        <f t="shared" si="25"/>
        <v>1.9869655062788111E-2</v>
      </c>
      <c r="W43" s="1"/>
      <c r="X43" s="1">
        <f t="shared" si="26"/>
        <v>1106.0500000000002</v>
      </c>
      <c r="Y43" s="1"/>
      <c r="Z43" s="5">
        <f t="shared" si="27"/>
        <v>0.24578888888888892</v>
      </c>
    </row>
    <row r="44" spans="1:26" s="24" customFormat="1" hidden="1" outlineLevel="2" x14ac:dyDescent="0.25">
      <c r="A44" s="25"/>
      <c r="B44" s="11" t="str">
        <f>CONCATENATE("          ", "6381", " - ", "BANK/CREDIT CARD FEES")</f>
        <v xml:space="preserve">          6381 - BANK/CREDIT CARD FEES</v>
      </c>
      <c r="C44" s="11"/>
      <c r="D44" s="7">
        <v>3111.56</v>
      </c>
      <c r="E44" s="2"/>
      <c r="F44" s="6">
        <f t="shared" si="20"/>
        <v>0.1102373698008928</v>
      </c>
      <c r="G44" s="2"/>
      <c r="H44" s="7">
        <v>1500</v>
      </c>
      <c r="I44" s="2"/>
      <c r="J44" s="6">
        <f t="shared" si="21"/>
        <v>6.2416777629826899E-2</v>
      </c>
      <c r="K44" s="2"/>
      <c r="L44" s="7">
        <f t="shared" si="22"/>
        <v>1611.56</v>
      </c>
      <c r="M44" s="2"/>
      <c r="N44" s="6">
        <f t="shared" si="23"/>
        <v>1.0743733333333334</v>
      </c>
      <c r="O44" s="11"/>
      <c r="P44" s="7">
        <v>5606.05</v>
      </c>
      <c r="Q44" s="2"/>
      <c r="R44" s="6">
        <f t="shared" si="24"/>
        <v>5.8328304478108876E-2</v>
      </c>
      <c r="S44" s="2"/>
      <c r="T44" s="7">
        <v>4500</v>
      </c>
      <c r="U44" s="2"/>
      <c r="V44" s="6">
        <f t="shared" si="25"/>
        <v>1.9869655062788111E-2</v>
      </c>
      <c r="W44" s="2"/>
      <c r="X44" s="7">
        <f t="shared" si="26"/>
        <v>1106.0500000000002</v>
      </c>
      <c r="Y44" s="2"/>
      <c r="Z44" s="6">
        <f t="shared" si="27"/>
        <v>0.24578888888888892</v>
      </c>
    </row>
    <row r="45" spans="1:26" s="26" customFormat="1" outlineLevel="1" collapsed="1" x14ac:dyDescent="0.25">
      <c r="A45" s="27"/>
      <c r="B45" s="13" t="str">
        <f>CONCATENATE("     ","Employees' Appreciation                           ")</f>
        <v xml:space="preserve">     Employees' Appreciation                           </v>
      </c>
      <c r="C45" s="13"/>
      <c r="D45" s="1">
        <f>SUM(OSRRefD22_4x_0)</f>
        <v>64.239999999999995</v>
      </c>
      <c r="E45" s="1"/>
      <c r="F45" s="5">
        <f t="shared" si="20"/>
        <v>2.2759158222915043E-3</v>
      </c>
      <c r="G45" s="1"/>
      <c r="H45" s="1">
        <f>SUM(OSRRefH22_4x_0)</f>
        <v>75</v>
      </c>
      <c r="I45" s="1"/>
      <c r="J45" s="5">
        <f t="shared" si="21"/>
        <v>3.1208388814913447E-3</v>
      </c>
      <c r="K45" s="1"/>
      <c r="L45" s="1">
        <f t="shared" si="22"/>
        <v>-10.760000000000005</v>
      </c>
      <c r="M45" s="1"/>
      <c r="N45" s="5">
        <f t="shared" si="23"/>
        <v>-0.14346666666666674</v>
      </c>
      <c r="O45" s="13"/>
      <c r="P45" s="1">
        <f>SUM(OSRRefP22_4x_0)</f>
        <v>64.239999999999995</v>
      </c>
      <c r="Q45" s="1"/>
      <c r="R45" s="5">
        <f t="shared" si="24"/>
        <v>6.6838688197103373E-4</v>
      </c>
      <c r="S45" s="1"/>
      <c r="T45" s="1">
        <f>SUM(OSRRefT22_4x_0)</f>
        <v>225</v>
      </c>
      <c r="U45" s="1"/>
      <c r="V45" s="5">
        <f t="shared" si="25"/>
        <v>9.934827531394054E-4</v>
      </c>
      <c r="W45" s="1"/>
      <c r="X45" s="1">
        <f t="shared" si="26"/>
        <v>-160.76</v>
      </c>
      <c r="Y45" s="1"/>
      <c r="Z45" s="5">
        <f t="shared" si="27"/>
        <v>-0.71448888888888884</v>
      </c>
    </row>
    <row r="46" spans="1:26" s="24" customFormat="1" hidden="1" outlineLevel="2" x14ac:dyDescent="0.25">
      <c r="A46" s="25"/>
      <c r="B46" s="11" t="str">
        <f>CONCATENATE("          ", "6277", " - ", "EMPLOYEE APPRECIATION")</f>
        <v xml:space="preserve">          6277 - EMPLOYEE APPRECIATION</v>
      </c>
      <c r="C46" s="11"/>
      <c r="D46" s="7">
        <v>64.239999999999995</v>
      </c>
      <c r="E46" s="2"/>
      <c r="F46" s="6">
        <f t="shared" si="20"/>
        <v>2.2759158222915043E-3</v>
      </c>
      <c r="G46" s="2"/>
      <c r="H46" s="7">
        <v>75</v>
      </c>
      <c r="I46" s="2"/>
      <c r="J46" s="6">
        <f t="shared" si="21"/>
        <v>3.1208388814913447E-3</v>
      </c>
      <c r="K46" s="2"/>
      <c r="L46" s="7">
        <f t="shared" si="22"/>
        <v>-10.760000000000005</v>
      </c>
      <c r="M46" s="2"/>
      <c r="N46" s="6">
        <f t="shared" si="23"/>
        <v>-0.14346666666666674</v>
      </c>
      <c r="O46" s="11"/>
      <c r="P46" s="7">
        <v>64.239999999999995</v>
      </c>
      <c r="Q46" s="2"/>
      <c r="R46" s="6">
        <f t="shared" si="24"/>
        <v>6.6838688197103373E-4</v>
      </c>
      <c r="S46" s="2"/>
      <c r="T46" s="7">
        <v>225</v>
      </c>
      <c r="U46" s="2"/>
      <c r="V46" s="6">
        <f t="shared" si="25"/>
        <v>9.934827531394054E-4</v>
      </c>
      <c r="W46" s="2"/>
      <c r="X46" s="7">
        <f t="shared" si="26"/>
        <v>-160.76</v>
      </c>
      <c r="Y46" s="2"/>
      <c r="Z46" s="6">
        <f t="shared" si="27"/>
        <v>-0.71448888888888884</v>
      </c>
    </row>
    <row r="47" spans="1:26" s="26" customFormat="1" outlineLevel="1" collapsed="1" x14ac:dyDescent="0.25">
      <c r="A47" s="27"/>
      <c r="B47" s="13" t="str">
        <f>CONCATENATE("     ","Freight out/Postage                               ")</f>
        <v xml:space="preserve">     Freight out/Postage                               </v>
      </c>
      <c r="C47" s="13"/>
      <c r="D47" s="1">
        <f>SUM(OSRRefD22_5x_0)</f>
        <v>0</v>
      </c>
      <c r="E47" s="1"/>
      <c r="F47" s="5">
        <f t="shared" si="20"/>
        <v>0</v>
      </c>
      <c r="G47" s="1"/>
      <c r="H47" s="1">
        <f>SUM(OSRRefH22_5x_0)</f>
        <v>10</v>
      </c>
      <c r="I47" s="1"/>
      <c r="J47" s="5">
        <f t="shared" si="21"/>
        <v>4.1611185086551264E-4</v>
      </c>
      <c r="K47" s="1"/>
      <c r="L47" s="1">
        <f t="shared" si="22"/>
        <v>-10</v>
      </c>
      <c r="M47" s="1"/>
      <c r="N47" s="5">
        <f t="shared" si="23"/>
        <v>-1</v>
      </c>
      <c r="O47" s="13"/>
      <c r="P47" s="1">
        <f>SUM(OSRRefP22_5x_0)</f>
        <v>0</v>
      </c>
      <c r="Q47" s="1"/>
      <c r="R47" s="5">
        <f t="shared" si="24"/>
        <v>0</v>
      </c>
      <c r="S47" s="1"/>
      <c r="T47" s="1">
        <f>SUM(OSRRefT22_5x_0)</f>
        <v>30</v>
      </c>
      <c r="U47" s="1"/>
      <c r="V47" s="5">
        <f t="shared" si="25"/>
        <v>1.3246436708525406E-4</v>
      </c>
      <c r="W47" s="1"/>
      <c r="X47" s="1">
        <f t="shared" si="26"/>
        <v>-30</v>
      </c>
      <c r="Y47" s="1"/>
      <c r="Z47" s="5">
        <f t="shared" si="27"/>
        <v>-1</v>
      </c>
    </row>
    <row r="48" spans="1:26" s="24" customFormat="1" hidden="1" outlineLevel="2" x14ac:dyDescent="0.25">
      <c r="A48" s="25"/>
      <c r="B48" s="11" t="str">
        <f>CONCATENATE("          ", "6307", " - ", "POSTAGE")</f>
        <v xml:space="preserve">          6307 - POSTAGE</v>
      </c>
      <c r="C48" s="11"/>
      <c r="D48" s="7"/>
      <c r="E48" s="2"/>
      <c r="F48" s="6">
        <f t="shared" si="20"/>
        <v>0</v>
      </c>
      <c r="G48" s="2"/>
      <c r="H48" s="7">
        <v>10</v>
      </c>
      <c r="I48" s="2"/>
      <c r="J48" s="6">
        <f t="shared" si="21"/>
        <v>4.1611185086551264E-4</v>
      </c>
      <c r="K48" s="2"/>
      <c r="L48" s="7">
        <f t="shared" si="22"/>
        <v>-10</v>
      </c>
      <c r="M48" s="2"/>
      <c r="N48" s="6">
        <f t="shared" si="23"/>
        <v>-1</v>
      </c>
      <c r="O48" s="11"/>
      <c r="P48" s="7"/>
      <c r="Q48" s="2"/>
      <c r="R48" s="6">
        <f t="shared" si="24"/>
        <v>0</v>
      </c>
      <c r="S48" s="2"/>
      <c r="T48" s="7">
        <v>30</v>
      </c>
      <c r="U48" s="2"/>
      <c r="V48" s="6">
        <f t="shared" si="25"/>
        <v>1.3246436708525406E-4</v>
      </c>
      <c r="W48" s="2"/>
      <c r="X48" s="7">
        <f t="shared" si="26"/>
        <v>-30</v>
      </c>
      <c r="Y48" s="2"/>
      <c r="Z48" s="6">
        <f t="shared" si="27"/>
        <v>-1</v>
      </c>
    </row>
    <row r="49" spans="1:26" s="26" customFormat="1" outlineLevel="1" collapsed="1" x14ac:dyDescent="0.25">
      <c r="A49" s="27"/>
      <c r="B49" s="13" t="str">
        <f>CONCATENATE("     ","General                                           ")</f>
        <v xml:space="preserve">     General                                           </v>
      </c>
      <c r="C49" s="13"/>
      <c r="D49" s="1">
        <f>SUM(OSRRefD22_6x_0)</f>
        <v>0</v>
      </c>
      <c r="E49" s="1"/>
      <c r="F49" s="5">
        <f t="shared" si="20"/>
        <v>0</v>
      </c>
      <c r="G49" s="1"/>
      <c r="H49" s="1">
        <f>SUM(OSRRefH22_6x_0)</f>
        <v>50</v>
      </c>
      <c r="I49" s="1"/>
      <c r="J49" s="5">
        <f t="shared" si="21"/>
        <v>2.0805592543275634E-3</v>
      </c>
      <c r="K49" s="1"/>
      <c r="L49" s="1">
        <f t="shared" si="22"/>
        <v>-50</v>
      </c>
      <c r="M49" s="1"/>
      <c r="N49" s="5">
        <f t="shared" si="23"/>
        <v>-1</v>
      </c>
      <c r="O49" s="13"/>
      <c r="P49" s="1">
        <f>SUM(OSRRefP22_6x_0)</f>
        <v>0</v>
      </c>
      <c r="Q49" s="1"/>
      <c r="R49" s="5">
        <f t="shared" si="24"/>
        <v>0</v>
      </c>
      <c r="S49" s="1"/>
      <c r="T49" s="1">
        <f>SUM(OSRRefT22_6x_0)</f>
        <v>150</v>
      </c>
      <c r="U49" s="1"/>
      <c r="V49" s="5">
        <f t="shared" si="25"/>
        <v>6.6232183542627038E-4</v>
      </c>
      <c r="W49" s="1"/>
      <c r="X49" s="1">
        <f t="shared" si="26"/>
        <v>-150</v>
      </c>
      <c r="Y49" s="1"/>
      <c r="Z49" s="5">
        <f t="shared" si="27"/>
        <v>-1</v>
      </c>
    </row>
    <row r="50" spans="1:26" s="24" customFormat="1" hidden="1" outlineLevel="2" x14ac:dyDescent="0.25">
      <c r="A50" s="25"/>
      <c r="B50" s="11" t="str">
        <f>CONCATENATE("          ", "6279", " - ", "GENERAL EXPENSE")</f>
        <v xml:space="preserve">          6279 - GENERAL EXPENSE</v>
      </c>
      <c r="C50" s="11"/>
      <c r="D50" s="7"/>
      <c r="E50" s="2"/>
      <c r="F50" s="6">
        <f t="shared" si="20"/>
        <v>0</v>
      </c>
      <c r="G50" s="2"/>
      <c r="H50" s="7">
        <v>50</v>
      </c>
      <c r="I50" s="2"/>
      <c r="J50" s="6">
        <f t="shared" si="21"/>
        <v>2.0805592543275634E-3</v>
      </c>
      <c r="K50" s="2"/>
      <c r="L50" s="7">
        <f t="shared" si="22"/>
        <v>-50</v>
      </c>
      <c r="M50" s="2"/>
      <c r="N50" s="6">
        <f t="shared" si="23"/>
        <v>-1</v>
      </c>
      <c r="O50" s="11"/>
      <c r="P50" s="7"/>
      <c r="Q50" s="2"/>
      <c r="R50" s="6">
        <f t="shared" si="24"/>
        <v>0</v>
      </c>
      <c r="S50" s="2"/>
      <c r="T50" s="7">
        <v>150</v>
      </c>
      <c r="U50" s="2"/>
      <c r="V50" s="6">
        <f t="shared" si="25"/>
        <v>6.6232183542627038E-4</v>
      </c>
      <c r="W50" s="2"/>
      <c r="X50" s="7">
        <f t="shared" si="26"/>
        <v>-150</v>
      </c>
      <c r="Y50" s="2"/>
      <c r="Z50" s="6">
        <f t="shared" si="27"/>
        <v>-1</v>
      </c>
    </row>
    <row r="51" spans="1:26" s="26" customFormat="1" outlineLevel="1" collapsed="1" x14ac:dyDescent="0.25">
      <c r="A51" s="27"/>
      <c r="B51" s="13" t="str">
        <f>CONCATENATE("     ","Insurance                                         ")</f>
        <v xml:space="preserve">     Insurance                                         </v>
      </c>
      <c r="C51" s="13"/>
      <c r="D51" s="1">
        <f>SUM(OSRRefD22_7x_0)</f>
        <v>29.01</v>
      </c>
      <c r="E51" s="1"/>
      <c r="F51" s="5">
        <f t="shared" si="20"/>
        <v>1.027775809537306E-3</v>
      </c>
      <c r="G51" s="1"/>
      <c r="H51" s="1">
        <f>SUM(OSRRefH22_7x_0)</f>
        <v>27</v>
      </c>
      <c r="I51" s="1"/>
      <c r="J51" s="5">
        <f t="shared" si="21"/>
        <v>1.1235019973368841E-3</v>
      </c>
      <c r="K51" s="1"/>
      <c r="L51" s="1">
        <f t="shared" si="22"/>
        <v>2.0100000000000016</v>
      </c>
      <c r="M51" s="1"/>
      <c r="N51" s="5">
        <f t="shared" si="23"/>
        <v>7.4444444444444507E-2</v>
      </c>
      <c r="O51" s="13"/>
      <c r="P51" s="1">
        <f>SUM(OSRRefP22_7x_0)</f>
        <v>87.03</v>
      </c>
      <c r="Q51" s="1"/>
      <c r="R51" s="5">
        <f t="shared" si="24"/>
        <v>9.0550607624438162E-4</v>
      </c>
      <c r="S51" s="1"/>
      <c r="T51" s="1">
        <f>SUM(OSRRefT22_7x_0)</f>
        <v>81</v>
      </c>
      <c r="U51" s="1"/>
      <c r="V51" s="5">
        <f t="shared" si="25"/>
        <v>3.5765379113018598E-4</v>
      </c>
      <c r="W51" s="1"/>
      <c r="X51" s="1">
        <f t="shared" si="26"/>
        <v>6.0300000000000011</v>
      </c>
      <c r="Y51" s="1"/>
      <c r="Z51" s="5">
        <f t="shared" si="27"/>
        <v>7.4444444444444452E-2</v>
      </c>
    </row>
    <row r="52" spans="1:26" s="24" customFormat="1" hidden="1" outlineLevel="2" x14ac:dyDescent="0.25">
      <c r="A52" s="25"/>
      <c r="B52" s="11" t="str">
        <f>CONCATENATE("          ", "6314", " - ", "LIABILITY INSURANCE")</f>
        <v xml:space="preserve">          6314 - LIABILITY INSURANCE</v>
      </c>
      <c r="C52" s="11"/>
      <c r="D52" s="7">
        <v>29.01</v>
      </c>
      <c r="E52" s="2"/>
      <c r="F52" s="6">
        <f t="shared" si="20"/>
        <v>1.027775809537306E-3</v>
      </c>
      <c r="G52" s="2"/>
      <c r="H52" s="7">
        <v>27</v>
      </c>
      <c r="I52" s="2"/>
      <c r="J52" s="6">
        <f t="shared" si="21"/>
        <v>1.1235019973368841E-3</v>
      </c>
      <c r="K52" s="2"/>
      <c r="L52" s="7">
        <f t="shared" si="22"/>
        <v>2.0100000000000016</v>
      </c>
      <c r="M52" s="2"/>
      <c r="N52" s="6">
        <f t="shared" si="23"/>
        <v>7.4444444444444507E-2</v>
      </c>
      <c r="O52" s="11"/>
      <c r="P52" s="7">
        <v>87.03</v>
      </c>
      <c r="Q52" s="2"/>
      <c r="R52" s="6">
        <f t="shared" si="24"/>
        <v>9.0550607624438162E-4</v>
      </c>
      <c r="S52" s="2"/>
      <c r="T52" s="7">
        <v>81</v>
      </c>
      <c r="U52" s="2"/>
      <c r="V52" s="6">
        <f t="shared" si="25"/>
        <v>3.5765379113018598E-4</v>
      </c>
      <c r="W52" s="2"/>
      <c r="X52" s="7">
        <f t="shared" si="26"/>
        <v>6.0300000000000011</v>
      </c>
      <c r="Y52" s="2"/>
      <c r="Z52" s="6">
        <f t="shared" si="27"/>
        <v>7.4444444444444452E-2</v>
      </c>
    </row>
    <row r="53" spans="1:26" s="26" customFormat="1" outlineLevel="1" collapsed="1" x14ac:dyDescent="0.25">
      <c r="A53" s="27"/>
      <c r="B53" s="13" t="str">
        <f>CONCATENATE("     ","Professional Services                             ")</f>
        <v xml:space="preserve">     Professional Services                             </v>
      </c>
      <c r="C53" s="13"/>
      <c r="D53" s="1">
        <f>SUM(OSRRefD22_8x_0)</f>
        <v>0</v>
      </c>
      <c r="E53" s="1"/>
      <c r="F53" s="5">
        <f t="shared" si="20"/>
        <v>0</v>
      </c>
      <c r="G53" s="1"/>
      <c r="H53" s="1">
        <f>SUM(OSRRefH22_8x_0)</f>
        <v>400</v>
      </c>
      <c r="I53" s="1"/>
      <c r="J53" s="5">
        <f t="shared" si="21"/>
        <v>1.6644474034620507E-2</v>
      </c>
      <c r="K53" s="1"/>
      <c r="L53" s="1">
        <f t="shared" si="22"/>
        <v>-400</v>
      </c>
      <c r="M53" s="1"/>
      <c r="N53" s="5">
        <f t="shared" si="23"/>
        <v>-1</v>
      </c>
      <c r="O53" s="13"/>
      <c r="P53" s="1">
        <f>SUM(OSRRefP22_8x_0)</f>
        <v>0</v>
      </c>
      <c r="Q53" s="1"/>
      <c r="R53" s="5">
        <f t="shared" si="24"/>
        <v>0</v>
      </c>
      <c r="S53" s="1"/>
      <c r="T53" s="1">
        <f>SUM(OSRRefT22_8x_0)</f>
        <v>1200</v>
      </c>
      <c r="U53" s="1"/>
      <c r="V53" s="5">
        <f t="shared" si="25"/>
        <v>5.298574683410163E-3</v>
      </c>
      <c r="W53" s="1"/>
      <c r="X53" s="1">
        <f t="shared" si="26"/>
        <v>-1200</v>
      </c>
      <c r="Y53" s="1"/>
      <c r="Z53" s="5">
        <f t="shared" si="27"/>
        <v>-1</v>
      </c>
    </row>
    <row r="54" spans="1:26" s="24" customFormat="1" hidden="1" outlineLevel="2" x14ac:dyDescent="0.25">
      <c r="A54" s="25"/>
      <c r="B54" s="11" t="str">
        <f>CONCATENATE("          ", "6336", " - ", "PROFESSIONAL SERVICES")</f>
        <v xml:space="preserve">          6336 - PROFESSIONAL SERVICES</v>
      </c>
      <c r="C54" s="11"/>
      <c r="D54" s="7"/>
      <c r="E54" s="2"/>
      <c r="F54" s="6">
        <f t="shared" si="20"/>
        <v>0</v>
      </c>
      <c r="G54" s="2"/>
      <c r="H54" s="7">
        <v>400</v>
      </c>
      <c r="I54" s="2"/>
      <c r="J54" s="6">
        <f t="shared" si="21"/>
        <v>1.6644474034620507E-2</v>
      </c>
      <c r="K54" s="2"/>
      <c r="L54" s="7">
        <f t="shared" si="22"/>
        <v>-400</v>
      </c>
      <c r="M54" s="2"/>
      <c r="N54" s="6">
        <f t="shared" si="23"/>
        <v>-1</v>
      </c>
      <c r="O54" s="11"/>
      <c r="P54" s="7"/>
      <c r="Q54" s="2"/>
      <c r="R54" s="6">
        <f t="shared" si="24"/>
        <v>0</v>
      </c>
      <c r="S54" s="2"/>
      <c r="T54" s="7">
        <v>1200</v>
      </c>
      <c r="U54" s="2"/>
      <c r="V54" s="6">
        <f t="shared" si="25"/>
        <v>5.298574683410163E-3</v>
      </c>
      <c r="W54" s="2"/>
      <c r="X54" s="7">
        <f t="shared" si="26"/>
        <v>-1200</v>
      </c>
      <c r="Y54" s="2"/>
      <c r="Z54" s="6">
        <f t="shared" si="27"/>
        <v>-1</v>
      </c>
    </row>
    <row r="55" spans="1:26" s="26" customFormat="1" outlineLevel="1" collapsed="1" x14ac:dyDescent="0.25">
      <c r="A55" s="27"/>
      <c r="B55" s="13" t="str">
        <f>CONCATENATE("     ","Rent                                              ")</f>
        <v xml:space="preserve">     Rent                                              </v>
      </c>
      <c r="C55" s="13"/>
      <c r="D55" s="1">
        <f>SUM(OSRRefD22_9x_0)</f>
        <v>800</v>
      </c>
      <c r="E55" s="1"/>
      <c r="F55" s="5">
        <f t="shared" si="20"/>
        <v>2.8342662793169417E-2</v>
      </c>
      <c r="G55" s="1"/>
      <c r="H55" s="1">
        <f>SUM(OSRRefH22_9x_0)</f>
        <v>800</v>
      </c>
      <c r="I55" s="1"/>
      <c r="J55" s="5">
        <f t="shared" si="21"/>
        <v>3.3288948069241014E-2</v>
      </c>
      <c r="K55" s="1"/>
      <c r="L55" s="1">
        <f t="shared" si="22"/>
        <v>0</v>
      </c>
      <c r="M55" s="1"/>
      <c r="N55" s="5">
        <f t="shared" si="23"/>
        <v>0</v>
      </c>
      <c r="O55" s="13"/>
      <c r="P55" s="1">
        <f>SUM(OSRRefP22_9x_0)</f>
        <v>2400</v>
      </c>
      <c r="Q55" s="1"/>
      <c r="R55" s="5">
        <f t="shared" si="24"/>
        <v>2.4970867321458298E-2</v>
      </c>
      <c r="S55" s="1"/>
      <c r="T55" s="1">
        <f>SUM(OSRRefT22_9x_0)</f>
        <v>2400</v>
      </c>
      <c r="U55" s="1"/>
      <c r="V55" s="5">
        <f t="shared" si="25"/>
        <v>1.0597149366820326E-2</v>
      </c>
      <c r="W55" s="1"/>
      <c r="X55" s="1">
        <f t="shared" si="26"/>
        <v>0</v>
      </c>
      <c r="Y55" s="1"/>
      <c r="Z55" s="5">
        <f t="shared" si="27"/>
        <v>0</v>
      </c>
    </row>
    <row r="56" spans="1:26" s="24" customFormat="1" hidden="1" outlineLevel="2" x14ac:dyDescent="0.25">
      <c r="A56" s="25"/>
      <c r="B56" s="11" t="str">
        <f>CONCATENATE("          ", "6273", " - ", "RENT")</f>
        <v xml:space="preserve">          6273 - RENT</v>
      </c>
      <c r="C56" s="11"/>
      <c r="D56" s="7">
        <v>800</v>
      </c>
      <c r="E56" s="2"/>
      <c r="F56" s="6">
        <f t="shared" si="20"/>
        <v>2.8342662793169417E-2</v>
      </c>
      <c r="G56" s="2"/>
      <c r="H56" s="7">
        <v>800</v>
      </c>
      <c r="I56" s="2"/>
      <c r="J56" s="6">
        <f t="shared" si="21"/>
        <v>3.3288948069241014E-2</v>
      </c>
      <c r="K56" s="2"/>
      <c r="L56" s="7">
        <f t="shared" si="22"/>
        <v>0</v>
      </c>
      <c r="M56" s="2"/>
      <c r="N56" s="6">
        <f t="shared" si="23"/>
        <v>0</v>
      </c>
      <c r="O56" s="11"/>
      <c r="P56" s="7">
        <v>2400</v>
      </c>
      <c r="Q56" s="2"/>
      <c r="R56" s="6">
        <f t="shared" si="24"/>
        <v>2.4970867321458298E-2</v>
      </c>
      <c r="S56" s="2"/>
      <c r="T56" s="7">
        <v>2400</v>
      </c>
      <c r="U56" s="2"/>
      <c r="V56" s="6">
        <f t="shared" si="25"/>
        <v>1.0597149366820326E-2</v>
      </c>
      <c r="W56" s="2"/>
      <c r="X56" s="7">
        <f t="shared" si="26"/>
        <v>0</v>
      </c>
      <c r="Y56" s="2"/>
      <c r="Z56" s="6">
        <f t="shared" si="27"/>
        <v>0</v>
      </c>
    </row>
    <row r="57" spans="1:26" s="26" customFormat="1" outlineLevel="1" collapsed="1" x14ac:dyDescent="0.25">
      <c r="A57" s="27"/>
      <c r="B57" s="13" t="str">
        <f>CONCATENATE("     ","Repair and Maintenance                            ")</f>
        <v xml:space="preserve">     Repair and Maintenance                            </v>
      </c>
      <c r="C57" s="13"/>
      <c r="D57" s="1">
        <f>SUM(OSRRefD22_10x_0)</f>
        <v>437.31</v>
      </c>
      <c r="E57" s="1"/>
      <c r="F57" s="5">
        <f t="shared" si="20"/>
        <v>1.5493162332601148E-2</v>
      </c>
      <c r="G57" s="1"/>
      <c r="H57" s="1">
        <f>SUM(OSRRefH22_10x_0)</f>
        <v>2000</v>
      </c>
      <c r="I57" s="1"/>
      <c r="J57" s="5">
        <f t="shared" si="21"/>
        <v>8.3222370173102536E-2</v>
      </c>
      <c r="K57" s="1"/>
      <c r="L57" s="1">
        <f t="shared" si="22"/>
        <v>-1562.69</v>
      </c>
      <c r="M57" s="1"/>
      <c r="N57" s="5">
        <f t="shared" si="23"/>
        <v>-0.78134500000000007</v>
      </c>
      <c r="O57" s="13"/>
      <c r="P57" s="1">
        <f>SUM(OSRRefP22_10x_0)</f>
        <v>437.31</v>
      </c>
      <c r="Q57" s="1"/>
      <c r="R57" s="5">
        <f t="shared" si="24"/>
        <v>4.5500041618112205E-3</v>
      </c>
      <c r="S57" s="1"/>
      <c r="T57" s="1">
        <f>SUM(OSRRefT22_10x_0)</f>
        <v>131000</v>
      </c>
      <c r="U57" s="1"/>
      <c r="V57" s="5">
        <f t="shared" si="25"/>
        <v>0.57842773627227606</v>
      </c>
      <c r="W57" s="1"/>
      <c r="X57" s="1">
        <f t="shared" si="26"/>
        <v>-130562.69</v>
      </c>
      <c r="Y57" s="1"/>
      <c r="Z57" s="5">
        <f t="shared" si="27"/>
        <v>-0.99666175572519089</v>
      </c>
    </row>
    <row r="58" spans="1:26" s="24" customFormat="1" hidden="1" outlineLevel="2" x14ac:dyDescent="0.25">
      <c r="A58" s="25"/>
      <c r="B58" s="11" t="str">
        <f>CONCATENATE("          ", "6371", " - ", "COMPUTER SOFTWARE MAINTENANCE")</f>
        <v xml:space="preserve">          6371 - COMPUTER SOFTWARE MAINTENANCE</v>
      </c>
      <c r="C58" s="11"/>
      <c r="D58" s="7">
        <v>437.31</v>
      </c>
      <c r="E58" s="2"/>
      <c r="F58" s="6">
        <f t="shared" si="20"/>
        <v>1.5493162332601148E-2</v>
      </c>
      <c r="G58" s="2"/>
      <c r="H58" s="7"/>
      <c r="I58" s="2"/>
      <c r="J58" s="6">
        <f t="shared" si="21"/>
        <v>0</v>
      </c>
      <c r="K58" s="2"/>
      <c r="L58" s="7">
        <f t="shared" si="22"/>
        <v>437.31</v>
      </c>
      <c r="M58" s="2"/>
      <c r="N58" s="6">
        <f t="shared" si="23"/>
        <v>0</v>
      </c>
      <c r="O58" s="11"/>
      <c r="P58" s="7">
        <v>437.31</v>
      </c>
      <c r="Q58" s="2"/>
      <c r="R58" s="6">
        <f t="shared" si="24"/>
        <v>4.5500041618112205E-3</v>
      </c>
      <c r="S58" s="2"/>
      <c r="T58" s="7">
        <v>125000</v>
      </c>
      <c r="U58" s="2"/>
      <c r="V58" s="6">
        <f t="shared" si="25"/>
        <v>0.55193486285522531</v>
      </c>
      <c r="W58" s="2"/>
      <c r="X58" s="7">
        <f t="shared" si="26"/>
        <v>-124562.69</v>
      </c>
      <c r="Y58" s="2"/>
      <c r="Z58" s="6">
        <f t="shared" si="27"/>
        <v>-0.99650152000000003</v>
      </c>
    </row>
    <row r="59" spans="1:26" s="24" customFormat="1" hidden="1" outlineLevel="2" x14ac:dyDescent="0.25">
      <c r="A59" s="25"/>
      <c r="B59" s="11" t="str">
        <f>CONCATENATE("          ", "6372", " - ", "COMPUTER HARDWARE MAINTENANCE")</f>
        <v xml:space="preserve">          6372 - COMPUTER HARDWARE MAINTENANCE</v>
      </c>
      <c r="C59" s="11"/>
      <c r="D59" s="7"/>
      <c r="E59" s="2"/>
      <c r="F59" s="6">
        <f t="shared" si="20"/>
        <v>0</v>
      </c>
      <c r="G59" s="2"/>
      <c r="H59" s="7">
        <v>2000</v>
      </c>
      <c r="I59" s="2"/>
      <c r="J59" s="6">
        <f t="shared" si="21"/>
        <v>8.3222370173102536E-2</v>
      </c>
      <c r="K59" s="2"/>
      <c r="L59" s="7">
        <f t="shared" si="22"/>
        <v>-2000</v>
      </c>
      <c r="M59" s="2"/>
      <c r="N59" s="6">
        <f t="shared" si="23"/>
        <v>-1</v>
      </c>
      <c r="O59" s="11"/>
      <c r="P59" s="7"/>
      <c r="Q59" s="2"/>
      <c r="R59" s="6">
        <f t="shared" si="24"/>
        <v>0</v>
      </c>
      <c r="S59" s="2"/>
      <c r="T59" s="7">
        <v>6000</v>
      </c>
      <c r="U59" s="2"/>
      <c r="V59" s="6">
        <f t="shared" si="25"/>
        <v>2.6492873417050814E-2</v>
      </c>
      <c r="W59" s="2"/>
      <c r="X59" s="7">
        <f t="shared" si="26"/>
        <v>-6000</v>
      </c>
      <c r="Y59" s="2"/>
      <c r="Z59" s="6">
        <f t="shared" si="27"/>
        <v>-1</v>
      </c>
    </row>
    <row r="60" spans="1:26" s="26" customFormat="1" outlineLevel="1" collapsed="1" x14ac:dyDescent="0.25">
      <c r="A60" s="27"/>
      <c r="B60" s="13" t="str">
        <f>CONCATENATE("     ","Supplies                                          ")</f>
        <v xml:space="preserve">     Supplies                                          </v>
      </c>
      <c r="C60" s="13"/>
      <c r="D60" s="1">
        <f>SUM(OSRRefD22_11x_0)</f>
        <v>3300.91</v>
      </c>
      <c r="E60" s="1"/>
      <c r="F60" s="5">
        <f t="shared" ref="F60:F63" si="28">IF(D$12=0,0,D60/D$12)</f>
        <v>0.11694572380075108</v>
      </c>
      <c r="G60" s="1"/>
      <c r="H60" s="1">
        <f>SUM(OSRRefH22_11x_0)</f>
        <v>7000</v>
      </c>
      <c r="I60" s="1"/>
      <c r="J60" s="5">
        <f t="shared" ref="J60:J63" si="29">IF(H$12=0,0,H60/H$12)</f>
        <v>0.29127829560585883</v>
      </c>
      <c r="K60" s="1"/>
      <c r="L60" s="1">
        <f t="shared" ref="L60:L63" si="30">+D60-H60</f>
        <v>-3699.09</v>
      </c>
      <c r="M60" s="1"/>
      <c r="N60" s="5">
        <f t="shared" ref="N60:N63" si="31">IF(H60=0,0,L60/H60)</f>
        <v>-0.52844142857142862</v>
      </c>
      <c r="O60" s="13"/>
      <c r="P60" s="1">
        <f>SUM(OSRRefP22_11x_0)</f>
        <v>18136.980000000003</v>
      </c>
      <c r="Q60" s="1"/>
      <c r="R60" s="5">
        <f t="shared" ref="R60:R63" si="32">IF(P$12=0,0,P60/P$12)</f>
        <v>0.1887067171633095</v>
      </c>
      <c r="S60" s="1"/>
      <c r="T60" s="1">
        <f>SUM(OSRRefT22_11x_0)</f>
        <v>21100</v>
      </c>
      <c r="U60" s="1"/>
      <c r="V60" s="5">
        <f t="shared" ref="V60:V63" si="33">IF(T$12=0,0,T60/T$12)</f>
        <v>9.3166604849962031E-2</v>
      </c>
      <c r="W60" s="1"/>
      <c r="X60" s="1">
        <f t="shared" ref="X60:X63" si="34">+P60-T60</f>
        <v>-2963.0199999999968</v>
      </c>
      <c r="Y60" s="1"/>
      <c r="Z60" s="5">
        <f t="shared" ref="Z60:Z63" si="35">IF(T60=0,0,X60/T60)</f>
        <v>-0.14042748815165862</v>
      </c>
    </row>
    <row r="61" spans="1:26" s="24" customFormat="1" hidden="1" outlineLevel="2" x14ac:dyDescent="0.25">
      <c r="A61" s="25"/>
      <c r="B61" s="11" t="str">
        <f>CONCATENATE("          ", "6234", " - ", "EXPENDABLE SUPPLIES &amp; EQUIPMEN")</f>
        <v xml:space="preserve">          6234 - EXPENDABLE SUPPLIES &amp; EQUIPMEN</v>
      </c>
      <c r="C61" s="11"/>
      <c r="D61" s="7"/>
      <c r="E61" s="2"/>
      <c r="F61" s="6">
        <f t="shared" si="28"/>
        <v>0</v>
      </c>
      <c r="G61" s="2"/>
      <c r="H61" s="7">
        <v>7000</v>
      </c>
      <c r="I61" s="2"/>
      <c r="J61" s="6">
        <f t="shared" si="29"/>
        <v>0.29127829560585883</v>
      </c>
      <c r="K61" s="2"/>
      <c r="L61" s="7">
        <f t="shared" si="30"/>
        <v>-7000</v>
      </c>
      <c r="M61" s="2"/>
      <c r="N61" s="6">
        <f t="shared" si="31"/>
        <v>-1</v>
      </c>
      <c r="O61" s="11"/>
      <c r="P61" s="7">
        <v>413.27</v>
      </c>
      <c r="Q61" s="2"/>
      <c r="R61" s="6">
        <f t="shared" si="32"/>
        <v>4.299879307474613E-3</v>
      </c>
      <c r="S61" s="2"/>
      <c r="T61" s="7">
        <v>21100</v>
      </c>
      <c r="U61" s="2"/>
      <c r="V61" s="6">
        <f t="shared" si="33"/>
        <v>9.3166604849962031E-2</v>
      </c>
      <c r="W61" s="2"/>
      <c r="X61" s="7">
        <f t="shared" si="34"/>
        <v>-20686.73</v>
      </c>
      <c r="Y61" s="2"/>
      <c r="Z61" s="6">
        <f t="shared" si="35"/>
        <v>-0.98041374407582937</v>
      </c>
    </row>
    <row r="62" spans="1:26" s="24" customFormat="1" hidden="1" outlineLevel="2" x14ac:dyDescent="0.25">
      <c r="A62" s="25"/>
      <c r="B62" s="11" t="str">
        <f>CONCATENATE("          ", "6241", " - ", "OFFICE EXPENSE")</f>
        <v xml:space="preserve">          6241 - OFFICE EXPENSE</v>
      </c>
      <c r="C62" s="11"/>
      <c r="D62" s="7">
        <v>3180.08</v>
      </c>
      <c r="E62" s="2"/>
      <c r="F62" s="6">
        <f t="shared" si="28"/>
        <v>0.11266491886912776</v>
      </c>
      <c r="G62" s="2"/>
      <c r="H62" s="7"/>
      <c r="I62" s="2"/>
      <c r="J62" s="6">
        <f t="shared" si="29"/>
        <v>0</v>
      </c>
      <c r="K62" s="2"/>
      <c r="L62" s="7">
        <f t="shared" si="30"/>
        <v>3180.08</v>
      </c>
      <c r="M62" s="2"/>
      <c r="N62" s="6">
        <f t="shared" si="31"/>
        <v>0</v>
      </c>
      <c r="O62" s="11"/>
      <c r="P62" s="7">
        <v>17602.88</v>
      </c>
      <c r="Q62" s="2"/>
      <c r="R62" s="6">
        <f t="shared" si="32"/>
        <v>0.18314965873147995</v>
      </c>
      <c r="S62" s="2"/>
      <c r="T62" s="7"/>
      <c r="U62" s="2"/>
      <c r="V62" s="6">
        <f t="shared" si="33"/>
        <v>0</v>
      </c>
      <c r="W62" s="2"/>
      <c r="X62" s="7">
        <f t="shared" si="34"/>
        <v>17602.88</v>
      </c>
      <c r="Y62" s="2"/>
      <c r="Z62" s="6">
        <f t="shared" si="35"/>
        <v>0</v>
      </c>
    </row>
    <row r="63" spans="1:26" s="24" customFormat="1" hidden="1" outlineLevel="2" x14ac:dyDescent="0.25">
      <c r="A63" s="25"/>
      <c r="B63" s="11" t="str">
        <f>CONCATENATE("          ", "6245", " - ", "PRINTING")</f>
        <v xml:space="preserve">          6245 - PRINTING</v>
      </c>
      <c r="C63" s="11"/>
      <c r="D63" s="7">
        <v>120.83</v>
      </c>
      <c r="E63" s="2"/>
      <c r="F63" s="6">
        <f t="shared" si="28"/>
        <v>4.2808049316233263E-3</v>
      </c>
      <c r="G63" s="2"/>
      <c r="H63" s="7"/>
      <c r="I63" s="2"/>
      <c r="J63" s="6">
        <f t="shared" si="29"/>
        <v>0</v>
      </c>
      <c r="K63" s="2"/>
      <c r="L63" s="7">
        <f t="shared" si="30"/>
        <v>120.83</v>
      </c>
      <c r="M63" s="2"/>
      <c r="N63" s="6">
        <f t="shared" si="31"/>
        <v>0</v>
      </c>
      <c r="O63" s="11"/>
      <c r="P63" s="7">
        <v>120.83</v>
      </c>
      <c r="Q63" s="2"/>
      <c r="R63" s="6">
        <f t="shared" si="32"/>
        <v>1.2571791243549191E-3</v>
      </c>
      <c r="S63" s="2"/>
      <c r="T63" s="7"/>
      <c r="U63" s="2"/>
      <c r="V63" s="6">
        <f t="shared" si="33"/>
        <v>0</v>
      </c>
      <c r="W63" s="2"/>
      <c r="X63" s="7">
        <f t="shared" si="34"/>
        <v>120.83</v>
      </c>
      <c r="Y63" s="2"/>
      <c r="Z63" s="6">
        <f t="shared" si="35"/>
        <v>0</v>
      </c>
    </row>
    <row r="64" spans="1:26" s="26" customFormat="1" outlineLevel="1" collapsed="1" x14ac:dyDescent="0.25">
      <c r="A64" s="27"/>
      <c r="B64" s="13" t="str">
        <f>CONCATENATE("     ","Telephone/Data Lines                              ")</f>
        <v xml:space="preserve">     Telephone/Data Lines                              </v>
      </c>
      <c r="C64" s="13"/>
      <c r="D64" s="1">
        <f>SUM(OSRRefD22_12x_0)</f>
        <v>400</v>
      </c>
      <c r="E64" s="1"/>
      <c r="F64" s="5">
        <f t="shared" ref="F64:F65" si="36">IF(D$12=0,0,D64/D$12)</f>
        <v>1.4171331396584708E-2</v>
      </c>
      <c r="G64" s="1"/>
      <c r="H64" s="1">
        <f>SUM(OSRRefH22_12x_0)</f>
        <v>350</v>
      </c>
      <c r="I64" s="1"/>
      <c r="J64" s="5">
        <f t="shared" ref="J64:J65" si="37">IF(H$12=0,0,H64/H$12)</f>
        <v>1.4563914780292942E-2</v>
      </c>
      <c r="K64" s="1"/>
      <c r="L64" s="1">
        <f t="shared" ref="L64:L65" si="38">+D64-H64</f>
        <v>50</v>
      </c>
      <c r="M64" s="1"/>
      <c r="N64" s="5">
        <f t="shared" ref="N64:N65" si="39">IF(H64=0,0,L64/H64)</f>
        <v>0.14285714285714285</v>
      </c>
      <c r="O64" s="13"/>
      <c r="P64" s="1">
        <f>SUM(OSRRefP22_12x_0)</f>
        <v>575.65</v>
      </c>
      <c r="Q64" s="1"/>
      <c r="R64" s="5">
        <f t="shared" ref="R64:R65" si="40">IF(P$12=0,0,P64/P$12)</f>
        <v>5.9893665723322791E-3</v>
      </c>
      <c r="S64" s="1"/>
      <c r="T64" s="1">
        <f>SUM(OSRRefT22_12x_0)</f>
        <v>1050</v>
      </c>
      <c r="U64" s="1"/>
      <c r="V64" s="5">
        <f t="shared" ref="V64:V65" si="41">IF(T$12=0,0,T64/T$12)</f>
        <v>4.6362528479838927E-3</v>
      </c>
      <c r="W64" s="1"/>
      <c r="X64" s="1">
        <f t="shared" ref="X64:X65" si="42">+P64-T64</f>
        <v>-474.35</v>
      </c>
      <c r="Y64" s="1"/>
      <c r="Z64" s="5">
        <f t="shared" ref="Z64:Z65" si="43">IF(T64=0,0,X64/T64)</f>
        <v>-0.45176190476190481</v>
      </c>
    </row>
    <row r="65" spans="1:26" s="24" customFormat="1" hidden="1" outlineLevel="2" x14ac:dyDescent="0.25">
      <c r="A65" s="25"/>
      <c r="B65" s="11" t="str">
        <f>CONCATENATE("          ", "6309", " - ", "TELEPHONE")</f>
        <v xml:space="preserve">          6309 - TELEPHONE</v>
      </c>
      <c r="C65" s="11"/>
      <c r="D65" s="7">
        <v>400</v>
      </c>
      <c r="E65" s="2"/>
      <c r="F65" s="6">
        <f t="shared" si="36"/>
        <v>1.4171331396584708E-2</v>
      </c>
      <c r="G65" s="2"/>
      <c r="H65" s="7">
        <v>350</v>
      </c>
      <c r="I65" s="2"/>
      <c r="J65" s="6">
        <f t="shared" si="37"/>
        <v>1.4563914780292942E-2</v>
      </c>
      <c r="K65" s="2"/>
      <c r="L65" s="7">
        <f t="shared" si="38"/>
        <v>50</v>
      </c>
      <c r="M65" s="2"/>
      <c r="N65" s="6">
        <f t="shared" si="39"/>
        <v>0.14285714285714285</v>
      </c>
      <c r="O65" s="11"/>
      <c r="P65" s="7">
        <v>575.65</v>
      </c>
      <c r="Q65" s="2"/>
      <c r="R65" s="6">
        <f t="shared" si="40"/>
        <v>5.9893665723322791E-3</v>
      </c>
      <c r="S65" s="2"/>
      <c r="T65" s="7">
        <v>1050</v>
      </c>
      <c r="U65" s="2"/>
      <c r="V65" s="6">
        <f t="shared" si="41"/>
        <v>4.6362528479838927E-3</v>
      </c>
      <c r="W65" s="2"/>
      <c r="X65" s="7">
        <f t="shared" si="42"/>
        <v>-474.35</v>
      </c>
      <c r="Y65" s="2"/>
      <c r="Z65" s="6">
        <f t="shared" si="43"/>
        <v>-0.45176190476190481</v>
      </c>
    </row>
    <row r="66" spans="1:26" s="63" customFormat="1" x14ac:dyDescent="0.25">
      <c r="A66" s="36"/>
      <c r="B66" s="36"/>
      <c r="C66" s="36"/>
      <c r="D66" s="1"/>
      <c r="E66" s="1"/>
      <c r="F66" s="5"/>
      <c r="G66" s="1"/>
      <c r="H66" s="1"/>
      <c r="I66" s="1"/>
      <c r="J66" s="5"/>
      <c r="K66" s="1"/>
      <c r="L66" s="1"/>
      <c r="M66" s="1"/>
      <c r="N66" s="5"/>
      <c r="O66" s="36"/>
      <c r="P66" s="1"/>
      <c r="Q66" s="1"/>
      <c r="R66" s="5"/>
      <c r="S66" s="1"/>
      <c r="T66" s="1"/>
      <c r="U66" s="1"/>
      <c r="V66" s="5"/>
      <c r="W66" s="1"/>
      <c r="X66" s="1"/>
      <c r="Y66" s="1"/>
      <c r="Z66" s="5"/>
    </row>
    <row r="67" spans="1:26" s="23" customFormat="1" collapsed="1" x14ac:dyDescent="0.25">
      <c r="A67" s="10"/>
      <c r="B67" s="28" t="s">
        <v>0</v>
      </c>
      <c r="C67" s="10"/>
      <c r="D67" s="4">
        <f>SUM(OSRRefD25x_0)</f>
        <v>2661.9</v>
      </c>
      <c r="E67" s="4"/>
      <c r="F67" s="12">
        <f t="shared" ref="F67:F68" si="44">IF(D$12=0,0,D67/D$12)</f>
        <v>9.430666761142209E-2</v>
      </c>
      <c r="G67" s="4"/>
      <c r="H67" s="4">
        <f>SUM(OSRRefH25x_0)</f>
        <v>3000</v>
      </c>
      <c r="I67" s="4"/>
      <c r="J67" s="12">
        <f t="shared" ref="J67:J68" si="45">IF(H$12=0,0,H67/H$12)</f>
        <v>0.1248335552596538</v>
      </c>
      <c r="K67" s="4"/>
      <c r="L67" s="4">
        <f t="shared" ref="L67:L68" si="46">+D67-H67</f>
        <v>-338.09999999999991</v>
      </c>
      <c r="M67" s="4"/>
      <c r="N67" s="12">
        <f t="shared" ref="N67:N68" si="47">IF(H67=0,0,L67/H67)</f>
        <v>-0.11269999999999997</v>
      </c>
      <c r="O67" s="10"/>
      <c r="P67" s="4">
        <f>SUM(OSRRefP25x_0)</f>
        <v>7050.9</v>
      </c>
      <c r="Q67" s="4"/>
      <c r="R67" s="12">
        <f t="shared" ref="R67:R68" si="48">IF(P$12=0,0,P67/P$12)</f>
        <v>7.336128683202929E-2</v>
      </c>
      <c r="S67" s="4"/>
      <c r="T67" s="4">
        <f>SUM(OSRRefT25x_0)</f>
        <v>9000</v>
      </c>
      <c r="U67" s="4"/>
      <c r="V67" s="12">
        <f t="shared" ref="V67:V68" si="49">IF(T$12=0,0,T67/T$12)</f>
        <v>3.9739310125576223E-2</v>
      </c>
      <c r="W67" s="4"/>
      <c r="X67" s="4">
        <f t="shared" ref="X67:X68" si="50">+P67-T67</f>
        <v>-1949.1000000000004</v>
      </c>
      <c r="Y67" s="4"/>
      <c r="Z67" s="12">
        <f t="shared" ref="Z67:Z68" si="51">IF(T67=0,0,X67/T67)</f>
        <v>-0.21656666666666671</v>
      </c>
    </row>
    <row r="68" spans="1:26" s="24" customFormat="1" hidden="1" outlineLevel="1" x14ac:dyDescent="0.25">
      <c r="A68" s="46"/>
      <c r="B68" s="11" t="str">
        <f>CONCATENATE("          ", "9150", " - ", "MISC. INCOME")</f>
        <v xml:space="preserve">          9150 - MISC. INCOME</v>
      </c>
      <c r="C68" s="11"/>
      <c r="D68" s="2">
        <f>--2661.9</f>
        <v>2661.9</v>
      </c>
      <c r="E68" s="2"/>
      <c r="F68" s="19">
        <f t="shared" si="44"/>
        <v>9.430666761142209E-2</v>
      </c>
      <c r="G68" s="2"/>
      <c r="H68" s="2">
        <v>3000</v>
      </c>
      <c r="I68" s="2"/>
      <c r="J68" s="19">
        <f t="shared" si="45"/>
        <v>0.1248335552596538</v>
      </c>
      <c r="K68" s="2"/>
      <c r="L68" s="2">
        <f t="shared" si="46"/>
        <v>-338.09999999999991</v>
      </c>
      <c r="M68" s="2"/>
      <c r="N68" s="19">
        <f t="shared" si="47"/>
        <v>-0.11269999999999997</v>
      </c>
      <c r="O68" s="11"/>
      <c r="P68" s="2">
        <f>--7050.9</f>
        <v>7050.9</v>
      </c>
      <c r="Q68" s="2"/>
      <c r="R68" s="19">
        <f t="shared" si="48"/>
        <v>7.336128683202929E-2</v>
      </c>
      <c r="S68" s="2"/>
      <c r="T68" s="2">
        <v>9000</v>
      </c>
      <c r="U68" s="2"/>
      <c r="V68" s="19">
        <f t="shared" si="49"/>
        <v>3.9739310125576223E-2</v>
      </c>
      <c r="W68" s="2"/>
      <c r="X68" s="2">
        <f t="shared" si="50"/>
        <v>-1949.1000000000004</v>
      </c>
      <c r="Y68" s="2"/>
      <c r="Z68" s="19">
        <f t="shared" si="51"/>
        <v>-0.21656666666666671</v>
      </c>
    </row>
    <row r="69" spans="1:26" x14ac:dyDescent="0.2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10"/>
      <c r="B70" s="29" t="s">
        <v>3</v>
      </c>
      <c r="C70" s="29"/>
      <c r="D70" s="22">
        <f>+D17-D19+D67</f>
        <v>789.4899999999966</v>
      </c>
      <c r="E70" s="14"/>
      <c r="F70" s="20">
        <f>IF(D$12=0,0,D70/D$12)</f>
        <v>2.7970311060724035E-2</v>
      </c>
      <c r="G70" s="14"/>
      <c r="H70" s="22">
        <f>+H17-H19+H67</f>
        <v>3153.1333791538455</v>
      </c>
      <c r="I70" s="14"/>
      <c r="J70" s="20">
        <f>IF(H$12=0,0,H70/H$12)</f>
        <v>0.13120561664255348</v>
      </c>
      <c r="K70" s="15"/>
      <c r="L70" s="22">
        <f>+D70-H70</f>
        <v>-2363.6433791538489</v>
      </c>
      <c r="M70" s="15"/>
      <c r="N70" s="20">
        <f>IF(H70=0,0,L70/H70)</f>
        <v>-0.74961731551874311</v>
      </c>
      <c r="O70" s="28"/>
      <c r="P70" s="22">
        <f>+P17-P19+P67</f>
        <v>8464.2899999999845</v>
      </c>
      <c r="Q70" s="14"/>
      <c r="R70" s="20">
        <f>IF(P$12=0,0,P70/P$12)</f>
        <v>8.8066942733477455E-2</v>
      </c>
      <c r="S70" s="14"/>
      <c r="T70" s="22">
        <f>+T17-T19+T67</f>
        <v>29711.78898225</v>
      </c>
      <c r="U70" s="14"/>
      <c r="V70" s="20">
        <f>IF(T$12=0,0,T70/T$12)</f>
        <v>0.13119177741681237</v>
      </c>
      <c r="W70" s="15"/>
      <c r="X70" s="22">
        <f>+P70-T70</f>
        <v>-21247.498982250014</v>
      </c>
      <c r="Y70" s="15"/>
      <c r="Z70" s="20">
        <f>IF(T70=0,0,X70/T70)</f>
        <v>-0.71512014961278147</v>
      </c>
    </row>
    <row r="71" spans="1:26" x14ac:dyDescent="0.25">
      <c r="A71" s="9"/>
      <c r="B71" s="10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52"/>
      <c r="B72" s="10" t="s">
        <v>14</v>
      </c>
      <c r="C72" s="10"/>
      <c r="D72" s="4">
        <v>1859.55</v>
      </c>
      <c r="E72" s="4"/>
      <c r="F72" s="12">
        <f>IF(D$12=0,0,D72/D$12)</f>
        <v>6.5880748246297735E-2</v>
      </c>
      <c r="G72" s="4"/>
      <c r="H72" s="4">
        <v>-4232</v>
      </c>
      <c r="I72" s="4"/>
      <c r="J72" s="12">
        <f>IF(H$12=0,0,H72/H$12)</f>
        <v>-0.17609853528628494</v>
      </c>
      <c r="K72" s="4"/>
      <c r="L72" s="4">
        <f>+D72-H72</f>
        <v>6091.55</v>
      </c>
      <c r="M72" s="4"/>
      <c r="N72" s="12">
        <f>IF(H72=0,0,L72/H72)</f>
        <v>-1.4394021739130436</v>
      </c>
      <c r="O72" s="10"/>
      <c r="P72" s="4">
        <v>10323.700000000001</v>
      </c>
      <c r="Q72" s="4"/>
      <c r="R72" s="12">
        <f>IF(P$12=0,0,P72/P$12)</f>
        <v>0.10741322623605794</v>
      </c>
      <c r="S72" s="4"/>
      <c r="T72" s="4">
        <v>28646</v>
      </c>
      <c r="U72" s="4"/>
      <c r="V72" s="12">
        <f>IF(T$12=0,0,T72/T$12)</f>
        <v>0.12648580865080628</v>
      </c>
      <c r="W72" s="4"/>
      <c r="X72" s="4">
        <f>+P72-T72</f>
        <v>-18322.3</v>
      </c>
      <c r="Y72" s="4"/>
      <c r="Z72" s="12">
        <f>IF(T72=0,0,X72/T72)</f>
        <v>-0.63961111498987644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.75" thickBot="1" x14ac:dyDescent="0.3">
      <c r="A74" s="10"/>
      <c r="B74" s="29" t="s">
        <v>4</v>
      </c>
      <c r="C74" s="29"/>
      <c r="D74" s="35">
        <f>+D70-D72</f>
        <v>-1070.0600000000034</v>
      </c>
      <c r="E74" s="14"/>
      <c r="F74" s="32">
        <f>IF(D$12=0,0,D74/D$12)</f>
        <v>-3.79104371855737E-2</v>
      </c>
      <c r="G74" s="14"/>
      <c r="H74" s="35">
        <f>+H70-H72</f>
        <v>7385.1333791538455</v>
      </c>
      <c r="I74" s="14"/>
      <c r="J74" s="32">
        <f>IF(H$12=0,0,H74/H$12)</f>
        <v>0.30730415192883842</v>
      </c>
      <c r="K74" s="15"/>
      <c r="L74" s="35">
        <f>D74-H74</f>
        <v>-8455.1933791538486</v>
      </c>
      <c r="M74" s="15"/>
      <c r="N74" s="32">
        <f>IF(H74=0,0,L74/H74)</f>
        <v>-1.1448937947445177</v>
      </c>
      <c r="O74" s="28"/>
      <c r="P74" s="35">
        <f>+P70-P72</f>
        <v>-1859.4100000000162</v>
      </c>
      <c r="Q74" s="14"/>
      <c r="R74" s="32">
        <f>IF(P$12=0,0,P74/P$12)</f>
        <v>-1.9346283502580493E-2</v>
      </c>
      <c r="S74" s="14"/>
      <c r="T74" s="35">
        <f>+T70-T72</f>
        <v>1065.7889822500001</v>
      </c>
      <c r="U74" s="14"/>
      <c r="V74" s="32">
        <f>IF(T$12=0,0,T74/T$12)</f>
        <v>4.7059687660061114E-3</v>
      </c>
      <c r="W74" s="15"/>
      <c r="X74" s="35">
        <f>P74-T74</f>
        <v>-2925.1989822500163</v>
      </c>
      <c r="Y74" s="15"/>
      <c r="Z74" s="32">
        <f>IF(T74=0,0,X74/T74)</f>
        <v>-2.7446324093861367</v>
      </c>
    </row>
    <row r="75" spans="1:26" ht="15.75" thickTop="1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9" t="s">
        <v>5</v>
      </c>
      <c r="C77" s="29"/>
      <c r="D77" s="30">
        <f>SUM(D74:D76)</f>
        <v>-1070.0600000000034</v>
      </c>
      <c r="E77" s="14"/>
      <c r="F77" s="31">
        <f>IF(D$12=0,0,D77/D$12)</f>
        <v>-3.79104371855737E-2</v>
      </c>
      <c r="G77" s="14"/>
      <c r="H77" s="30">
        <f>SUM(H74:H76)</f>
        <v>7385.1333791538455</v>
      </c>
      <c r="I77" s="14"/>
      <c r="J77" s="31">
        <f>IF(H$12=0,0,H77/H$12)</f>
        <v>0.30730415192883842</v>
      </c>
      <c r="K77" s="15"/>
      <c r="L77" s="30">
        <f>+D77-H77</f>
        <v>-8455.1933791538486</v>
      </c>
      <c r="M77" s="15"/>
      <c r="N77" s="31">
        <f>IF(H77=0,0,L77/H77)</f>
        <v>-1.1448937947445177</v>
      </c>
      <c r="O77" s="28"/>
      <c r="P77" s="30">
        <f>SUM(P74:P76)</f>
        <v>-1859.4100000000162</v>
      </c>
      <c r="Q77" s="14"/>
      <c r="R77" s="31">
        <f>IF(P$12=0,0,P77/P$12)</f>
        <v>-1.9346283502580493E-2</v>
      </c>
      <c r="S77" s="14"/>
      <c r="T77" s="30">
        <f>SUM(T74:T76)</f>
        <v>1065.7889822500001</v>
      </c>
      <c r="U77" s="14"/>
      <c r="V77" s="31">
        <f>IF(T$12=0,0,T77/T$12)</f>
        <v>4.7059687660061114E-3</v>
      </c>
      <c r="W77" s="15"/>
      <c r="X77" s="30">
        <f>+P77-T77</f>
        <v>-2925.1989822500163</v>
      </c>
      <c r="Y77" s="15"/>
      <c r="Z77" s="31">
        <f>IF(T77=0,0,X77/T77)</f>
        <v>-2.7446324093861367</v>
      </c>
    </row>
    <row r="78" spans="1:26" ht="15.75" thickTop="1" x14ac:dyDescent="0.25">
      <c r="A78" s="9"/>
      <c r="C78" s="9"/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25">
      <c r="A79" s="9"/>
      <c r="B79" s="53">
        <v>43756.452890196757</v>
      </c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A80" s="9"/>
      <c r="B80" s="55" t="s">
        <v>314</v>
      </c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1:24" x14ac:dyDescent="0.25">
      <c r="A81" s="9"/>
      <c r="B81" s="56"/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</sheetData>
  <pageMargins left="0.25" right="0.25" top="0.75" bottom="0.75" header="0.3" footer="0.3"/>
  <pageSetup scale="55" fitToWidth="2" orientation="landscape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7" t="s">
        <v>13</v>
      </c>
    </row>
    <row r="3" spans="1:26" x14ac:dyDescent="0.25">
      <c r="D3" s="57" t="s">
        <v>296</v>
      </c>
      <c r="E3" s="17"/>
      <c r="F3" s="48"/>
      <c r="G3" s="17"/>
      <c r="H3" s="17"/>
      <c r="I3" s="17"/>
      <c r="J3" s="37"/>
      <c r="K3" s="17"/>
      <c r="L3" s="17"/>
      <c r="M3" s="17"/>
      <c r="N3" s="48"/>
      <c r="O3" s="54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7"/>
      <c r="K4" s="17"/>
      <c r="L4" s="17"/>
      <c r="M4" s="17"/>
      <c r="N4" s="48"/>
      <c r="O4" s="54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8"/>
      <c r="G5" s="17"/>
      <c r="H5" s="17"/>
      <c r="I5" s="17"/>
      <c r="J5" s="37"/>
      <c r="K5" s="17"/>
      <c r="L5" s="17"/>
      <c r="M5" s="17"/>
      <c r="N5" s="48"/>
      <c r="O5" s="54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4"/>
      <c r="C6" s="44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48"/>
      <c r="G6" s="17"/>
      <c r="H6" s="17"/>
      <c r="I6" s="17"/>
      <c r="J6" s="37"/>
      <c r="K6" s="17"/>
      <c r="L6" s="17"/>
      <c r="M6" s="17"/>
      <c r="N6" s="48"/>
      <c r="O6" s="60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294</v>
      </c>
      <c r="E9" s="16"/>
      <c r="F9" s="38"/>
      <c r="G9" s="16"/>
      <c r="H9" s="16"/>
      <c r="I9" s="16"/>
      <c r="J9" s="49"/>
      <c r="K9" s="16"/>
      <c r="L9" s="16"/>
      <c r="M9" s="16"/>
      <c r="N9" s="38"/>
      <c r="P9" s="16" t="s">
        <v>295</v>
      </c>
      <c r="Q9" s="16"/>
      <c r="R9" s="38"/>
      <c r="S9" s="16"/>
      <c r="T9" s="16"/>
      <c r="U9" s="16"/>
      <c r="V9" s="49"/>
      <c r="W9" s="16"/>
      <c r="X9" s="16"/>
      <c r="Y9" s="16"/>
      <c r="Z9" s="38"/>
    </row>
    <row r="10" spans="1:26" x14ac:dyDescent="0.25">
      <c r="A10" s="10"/>
      <c r="B10" s="61"/>
      <c r="C10" s="10"/>
      <c r="D10" s="42" t="s">
        <v>10</v>
      </c>
      <c r="E10" s="34"/>
      <c r="F10" s="40" t="s">
        <v>15</v>
      </c>
      <c r="G10" s="34"/>
      <c r="H10" s="47" t="s">
        <v>11</v>
      </c>
      <c r="I10" s="34"/>
      <c r="J10" s="45" t="s">
        <v>16</v>
      </c>
      <c r="K10" s="10"/>
      <c r="L10" s="42" t="s">
        <v>12</v>
      </c>
      <c r="M10" s="10"/>
      <c r="N10" s="40" t="s">
        <v>17</v>
      </c>
      <c r="O10" s="10"/>
      <c r="P10" s="59" t="s">
        <v>10</v>
      </c>
      <c r="Q10" s="34"/>
      <c r="R10" s="40" t="s">
        <v>15</v>
      </c>
      <c r="S10" s="34"/>
      <c r="T10" s="47" t="s">
        <v>11</v>
      </c>
      <c r="U10" s="34"/>
      <c r="V10" s="45" t="s">
        <v>16</v>
      </c>
      <c r="W10" s="10"/>
      <c r="X10" s="42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5"/>
      <c r="L31" s="35" t="e">
        <f ca="1">D31-H31</f>
        <v>#NAME?</v>
      </c>
      <c r="M31" s="15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5"/>
      <c r="X31" s="35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8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101</vt:i4>
      </vt:variant>
      <vt:variant>
        <vt:lpstr>Named Ranges</vt:lpstr>
      </vt:variant>
      <vt:variant>
        <vt:i4>4390</vt:i4>
      </vt:variant>
    </vt:vector>
  </HeadingPairs>
  <TitlesOfParts>
    <vt:vector size="4491" baseType="lpstr">
      <vt:lpstr>Interface</vt:lpstr>
      <vt:lpstr>DataSetting</vt:lpstr>
      <vt:lpstr>Summary</vt:lpstr>
      <vt:lpstr>OSR_Summary_18VAVWG</vt:lpstr>
      <vt:lpstr>OSR_Current ...69b7dd8c_1IEQKFK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OSR_310 (2)_5...3d931dee_QNK8R2</vt:lpstr>
      <vt:lpstr>OSR_300 &amp; 317_1C00ID4</vt:lpstr>
      <vt:lpstr>OSR_300 (2)_...6aa5a22d_14M6XO4</vt:lpstr>
      <vt:lpstr>OSR_310_1CMTOSB</vt:lpstr>
      <vt:lpstr>OSR_300 (2)_e...5d0da5bf_6BPGAO</vt:lpstr>
      <vt:lpstr>OSR_330_10VFP5Y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OSR_Div 4_1740TMT</vt:lpstr>
      <vt:lpstr>OSR_310 (2)_...8cac1423_1JTU33X</vt:lpstr>
      <vt:lpstr>OSR_310 &amp; 491_1NGRCS9</vt:lpstr>
      <vt:lpstr>OSR_491 (2)_...853a34aa_1UNC34K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(2)...32d16c57_IVJ1QO</vt:lpstr>
      <vt:lpstr>Div 1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306</vt:lpstr>
      <vt:lpstr>330</vt:lpstr>
      <vt:lpstr>307</vt:lpstr>
      <vt:lpstr>314</vt:lpstr>
      <vt:lpstr>308</vt:lpstr>
      <vt:lpstr>311</vt:lpstr>
      <vt:lpstr>324</vt:lpstr>
      <vt:lpstr>331</vt:lpstr>
      <vt:lpstr>315</vt:lpstr>
      <vt:lpstr>326</vt:lpstr>
      <vt:lpstr>332</vt:lpstr>
      <vt:lpstr>316</vt:lpstr>
      <vt:lpstr>320</vt:lpstr>
      <vt:lpstr>Div 6</vt:lpstr>
      <vt:lpstr>317</vt:lpstr>
      <vt:lpstr>310</vt:lpstr>
      <vt:lpstr>309</vt:lpstr>
      <vt:lpstr>313</vt:lpstr>
      <vt:lpstr>321</vt:lpstr>
      <vt:lpstr>322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413</vt:lpstr>
      <vt:lpstr>414</vt:lpstr>
      <vt:lpstr>415</vt:lpstr>
      <vt:lpstr>418</vt:lpstr>
      <vt:lpstr>420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445</vt:lpstr>
      <vt:lpstr>450</vt:lpstr>
      <vt:lpstr>Div 5</vt:lpstr>
      <vt:lpstr>501</vt:lpstr>
      <vt:lpstr>Dept</vt:lpstr>
      <vt:lpstr>OSR_Dept_Y0WUKY</vt:lpstr>
      <vt:lpstr>OSR_Summary (...56e5d78f_5JEYZH</vt:lpstr>
      <vt:lpstr>'300'!OSRRefD13x_0</vt:lpstr>
      <vt:lpstr>'300 &amp; 317'!OSRRefD13x_0</vt:lpstr>
      <vt:lpstr>'307'!OSRRefD13x_0</vt:lpstr>
      <vt:lpstr>'308'!OSRRefD13x_0</vt:lpstr>
      <vt:lpstr>'309'!OSRRefD13x_0</vt:lpstr>
      <vt:lpstr>'310'!OSRRefD13x_0</vt:lpstr>
      <vt:lpstr>'310 &amp; 491'!OSRRefD13x_0</vt:lpstr>
      <vt:lpstr>'311'!OSRRefD13x_0</vt:lpstr>
      <vt:lpstr>'313'!OSRRefD13x_0</vt:lpstr>
      <vt:lpstr>'314'!OSRRefD13x_0</vt:lpstr>
      <vt:lpstr>'315'!OSRRefD13x_0</vt:lpstr>
      <vt:lpstr>'316'!OSRRefD13x_0</vt:lpstr>
      <vt:lpstr>'317'!OSRRefD13x_0</vt:lpstr>
      <vt:lpstr>'320'!OSRRefD13x_0</vt:lpstr>
      <vt:lpstr>'321'!OSRRefD13x_0</vt:lpstr>
      <vt:lpstr>'322'!OSRRefD13x_0</vt:lpstr>
      <vt:lpstr>'324'!OSRRefD13x_0</vt:lpstr>
      <vt:lpstr>'325'!OSRRefD13x_0</vt:lpstr>
      <vt:lpstr>'326'!OSRRefD13x_0</vt:lpstr>
      <vt:lpstr>'327'!OSRRefD13x_0</vt:lpstr>
      <vt:lpstr>'330'!OSRRefD13x_0</vt:lpstr>
      <vt:lpstr>'331'!OSRRefD13x_0</vt:lpstr>
      <vt:lpstr>'332'!OSRRefD13x_0</vt:lpstr>
      <vt:lpstr>'405'!OSRRefD13x_0</vt:lpstr>
      <vt:lpstr>'406'!OSRRefD13x_0</vt:lpstr>
      <vt:lpstr>'412'!OSRRefD13x_0</vt:lpstr>
      <vt:lpstr>'413'!OSRRefD13x_0</vt:lpstr>
      <vt:lpstr>'414'!OSRRefD13x_0</vt:lpstr>
      <vt:lpstr>'415'!OSRRefD13x_0</vt:lpstr>
      <vt:lpstr>'418'!OSRRefD13x_0</vt:lpstr>
      <vt:lpstr>'424'!OSRRefD13x_0</vt:lpstr>
      <vt:lpstr>'425'!OSRRefD13x_0</vt:lpstr>
      <vt:lpstr>'433'!OSRRefD13x_0</vt:lpstr>
      <vt:lpstr>'435'!OSRRefD13x_0</vt:lpstr>
      <vt:lpstr>'444'!OSRRefD13x_0</vt:lpstr>
      <vt:lpstr>'450'!OSRRefD13x_0</vt:lpstr>
      <vt:lpstr>'491'!OSRRefD13x_0</vt:lpstr>
      <vt:lpstr>'492'!OSRRefD13x_0</vt:lpstr>
      <vt:lpstr>'501'!OSRRefD13x_0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'307'!OSRRefD16x_0</vt:lpstr>
      <vt:lpstr>'308'!OSRRefD16x_0</vt:lpstr>
      <vt:lpstr>'309'!OSRRefD16x_0</vt:lpstr>
      <vt:lpstr>'310'!OSRRefD16x_0</vt:lpstr>
      <vt:lpstr>'310 &amp; 491'!OSRRefD16x_0</vt:lpstr>
      <vt:lpstr>'311'!OSRRefD16x_0</vt:lpstr>
      <vt:lpstr>'313'!OSRRefD16x_0</vt:lpstr>
      <vt:lpstr>'314'!OSRRefD16x_0</vt:lpstr>
      <vt:lpstr>'315'!OSRRefD16x_0</vt:lpstr>
      <vt:lpstr>'317'!OSRRefD16x_0</vt:lpstr>
      <vt:lpstr>'320'!OSRRefD16x_0</vt:lpstr>
      <vt:lpstr>'321'!OSRRefD16x_0</vt:lpstr>
      <vt:lpstr>'322'!OSRRefD16x_0</vt:lpstr>
      <vt:lpstr>'324'!OSRRefD16x_0</vt:lpstr>
      <vt:lpstr>'325'!OSRRefD16x_0</vt:lpstr>
      <vt:lpstr>'326'!OSRRefD16x_0</vt:lpstr>
      <vt:lpstr>'327'!OSRRefD16x_0</vt:lpstr>
      <vt:lpstr>'330'!OSRRefD16x_0</vt:lpstr>
      <vt:lpstr>'331'!OSRRefD16x_0</vt:lpstr>
      <vt:lpstr>'332'!OSRRefD16x_0</vt:lpstr>
      <vt:lpstr>'405'!OSRRefD16x_0</vt:lpstr>
      <vt:lpstr>'406'!OSRRefD16x_0</vt:lpstr>
      <vt:lpstr>'412'!OSRRefD16x_0</vt:lpstr>
      <vt:lpstr>'413'!OSRRefD16x_0</vt:lpstr>
      <vt:lpstr>'414'!OSRRefD16x_0</vt:lpstr>
      <vt:lpstr>'415'!OSRRefD16x_0</vt:lpstr>
      <vt:lpstr>'418'!OSRRefD16x_0</vt:lpstr>
      <vt:lpstr>'423'!OSRRefD16x_0</vt:lpstr>
      <vt:lpstr>'424'!OSRRefD16x_0</vt:lpstr>
      <vt:lpstr>'425'!OSRRefD16x_0</vt:lpstr>
      <vt:lpstr>'433'!OSRRefD16x_0</vt:lpstr>
      <vt:lpstr>'435'!OSRRefD16x_0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'306'!OSRRefD22_0x_0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'313'!OSRRefD22_0x_0</vt:lpstr>
      <vt:lpstr>'314'!OSRRefD22_0x_0</vt:lpstr>
      <vt:lpstr>'315'!OSRRefD22_0x_0</vt:lpstr>
      <vt:lpstr>'316'!OSRRefD22_0x_0</vt:lpstr>
      <vt:lpstr>'317'!OSRRefD22_0x_0</vt:lpstr>
      <vt:lpstr>'320'!OSRRefD22_0x_0</vt:lpstr>
      <vt:lpstr>'321'!OSRRefD22_0x_0</vt:lpstr>
      <vt:lpstr>'322'!OSRRefD22_0x_0</vt:lpstr>
      <vt:lpstr>'325'!OSRRefD22_0x_0</vt:lpstr>
      <vt:lpstr>'326'!OSRRefD22_0x_0</vt:lpstr>
      <vt:lpstr>'327'!OSRRefD22_0x_0</vt:lpstr>
      <vt:lpstr>'330'!OSRRefD22_0x_0</vt:lpstr>
      <vt:lpstr>'331'!OSRRefD22_0x_0</vt:lpstr>
      <vt:lpstr>'332'!OSRRefD22_0x_0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'420'!OSRRefD22_0x_0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'450'!OSRRefD22_0x_0</vt:lpstr>
      <vt:lpstr>'455'!OSRRefD22_0x_0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'204'!OSRRefD22_10x_0</vt:lpstr>
      <vt:lpstr>'206'!OSRRefD22_10x_0</vt:lpstr>
      <vt:lpstr>'300'!OSRRefD22_10x_0</vt:lpstr>
      <vt:lpstr>'300 &amp; 317'!OSRRefD22_10x_0</vt:lpstr>
      <vt:lpstr>'301'!OSRRefD22_10x_0</vt:lpstr>
      <vt:lpstr>'307'!OSRRefD22_10x_0</vt:lpstr>
      <vt:lpstr>'308'!OSRRefD22_10x_0</vt:lpstr>
      <vt:lpstr>'309'!OSRRefD22_10x_0</vt:lpstr>
      <vt:lpstr>'310'!OSRRefD22_10x_0</vt:lpstr>
      <vt:lpstr>'310 &amp; 491'!OSRRefD22_10x_0</vt:lpstr>
      <vt:lpstr>'311'!OSRRefD22_10x_0</vt:lpstr>
      <vt:lpstr>'313'!OSRRefD22_10x_0</vt:lpstr>
      <vt:lpstr>'315'!OSRRefD22_10x_0</vt:lpstr>
      <vt:lpstr>'316'!OSRRefD22_10x_0</vt:lpstr>
      <vt:lpstr>'317'!OSRRefD22_10x_0</vt:lpstr>
      <vt:lpstr>'321'!OSRRefD22_10x_0</vt:lpstr>
      <vt:lpstr>'322'!OSRRefD22_10x_0</vt:lpstr>
      <vt:lpstr>'325'!OSRRefD22_10x_0</vt:lpstr>
      <vt:lpstr>'326'!OSRRefD22_10x_0</vt:lpstr>
      <vt:lpstr>'330'!OSRRefD22_10x_0</vt:lpstr>
      <vt:lpstr>'331'!OSRRefD22_10x_0</vt:lpstr>
      <vt:lpstr>'332'!OSRRefD22_10x_0</vt:lpstr>
      <vt:lpstr>'405'!OSRRefD22_10x_0</vt:lpstr>
      <vt:lpstr>'406'!OSRRefD22_10x_0</vt:lpstr>
      <vt:lpstr>'411'!OSRRefD22_10x_0</vt:lpstr>
      <vt:lpstr>'412'!OSRRefD22_10x_0</vt:lpstr>
      <vt:lpstr>'413'!OSRRefD22_10x_0</vt:lpstr>
      <vt:lpstr>'414'!OSRRefD22_10x_0</vt:lpstr>
      <vt:lpstr>'415'!OSRRefD22_10x_0</vt:lpstr>
      <vt:lpstr>'418'!OSRRefD22_10x_0</vt:lpstr>
      <vt:lpstr>'424'!OSRRefD22_10x_0</vt:lpstr>
      <vt:lpstr>'425'!OSRRefD22_10x_0</vt:lpstr>
      <vt:lpstr>'430'!OSRRefD22_10x_0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'Div 6'!OSRRefD22_10x_0</vt:lpstr>
      <vt:lpstr>Summary!OSRRefD22_10x_0</vt:lpstr>
      <vt:lpstr>'201'!OSRRefD22_11x_0</vt:lpstr>
      <vt:lpstr>'202'!OSRRefD22_11x_0</vt:lpstr>
      <vt:lpstr>'203'!OSRRefD22_11x_0</vt:lpstr>
      <vt:lpstr>'204'!OSRRefD22_11x_0</vt:lpstr>
      <vt:lpstr>'300'!OSRRefD22_11x_0</vt:lpstr>
      <vt:lpstr>'300 &amp; 317'!OSRRefD22_11x_0</vt:lpstr>
      <vt:lpstr>'301'!OSRRefD22_11x_0</vt:lpstr>
      <vt:lpstr>'307'!OSRRefD22_11x_0</vt:lpstr>
      <vt:lpstr>'308'!OSRRefD22_11x_0</vt:lpstr>
      <vt:lpstr>'309'!OSRRefD22_11x_0</vt:lpstr>
      <vt:lpstr>'310'!OSRRefD22_11x_0</vt:lpstr>
      <vt:lpstr>'310 &amp; 491'!OSRRefD22_11x_0</vt:lpstr>
      <vt:lpstr>'311'!OSRRefD22_11x_0</vt:lpstr>
      <vt:lpstr>'313'!OSRRefD22_11x_0</vt:lpstr>
      <vt:lpstr>'315'!OSRRefD22_11x_0</vt:lpstr>
      <vt:lpstr>'316'!OSRRefD22_11x_0</vt:lpstr>
      <vt:lpstr>'321'!OSRRefD22_11x_0</vt:lpstr>
      <vt:lpstr>'322'!OSRRefD22_11x_0</vt:lpstr>
      <vt:lpstr>'325'!OSRRefD22_11x_0</vt:lpstr>
      <vt:lpstr>'326'!OSRRefD22_11x_0</vt:lpstr>
      <vt:lpstr>'330'!OSRRefD22_11x_0</vt:lpstr>
      <vt:lpstr>'331'!OSRRefD22_11x_0</vt:lpstr>
      <vt:lpstr>'332'!OSRRefD22_11x_0</vt:lpstr>
      <vt:lpstr>'405'!OSRRefD22_11x_0</vt:lpstr>
      <vt:lpstr>'406'!OSRRefD22_11x_0</vt:lpstr>
      <vt:lpstr>'411'!OSRRefD22_11x_0</vt:lpstr>
      <vt:lpstr>'412'!OSRRefD22_11x_0</vt:lpstr>
      <vt:lpstr>'413'!OSRRefD22_11x_0</vt:lpstr>
      <vt:lpstr>'414'!OSRRefD22_11x_0</vt:lpstr>
      <vt:lpstr>'415'!OSRRefD22_11x_0</vt:lpstr>
      <vt:lpstr>'418'!OSRRefD22_11x_0</vt:lpstr>
      <vt:lpstr>'424'!OSRRefD22_11x_0</vt:lpstr>
      <vt:lpstr>'425'!OSRRefD22_11x_0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'501'!OSRRefD22_11x_0</vt:lpstr>
      <vt:lpstr>'Div 2'!OSRRefD22_11x_0</vt:lpstr>
      <vt:lpstr>'Div 3'!OSRRefD22_11x_0</vt:lpstr>
      <vt:lpstr>'Div 4'!OSRRefD22_11x_0</vt:lpstr>
      <vt:lpstr>'Div 5'!OSRRefD22_11x_0</vt:lpstr>
      <vt:lpstr>Summary!OSRRefD22_11x_0</vt:lpstr>
      <vt:lpstr>'201'!OSRRefD22_12x_0</vt:lpstr>
      <vt:lpstr>'202'!OSRRefD22_12x_0</vt:lpstr>
      <vt:lpstr>'203'!OSRRefD22_12x_0</vt:lpstr>
      <vt:lpstr>'204'!OSRRefD22_12x_0</vt:lpstr>
      <vt:lpstr>'300'!OSRRefD22_12x_0</vt:lpstr>
      <vt:lpstr>'300 &amp; 317'!OSRRefD22_12x_0</vt:lpstr>
      <vt:lpstr>'301'!OSRRefD22_12x_0</vt:lpstr>
      <vt:lpstr>'307'!OSRRefD22_12x_0</vt:lpstr>
      <vt:lpstr>'308'!OSRRefD22_12x_0</vt:lpstr>
      <vt:lpstr>'309'!OSRRefD22_12x_0</vt:lpstr>
      <vt:lpstr>'310'!OSRRefD22_12x_0</vt:lpstr>
      <vt:lpstr>'310 &amp; 491'!OSRRefD22_12x_0</vt:lpstr>
      <vt:lpstr>'311'!OSRRefD22_12x_0</vt:lpstr>
      <vt:lpstr>'313'!OSRRefD22_12x_0</vt:lpstr>
      <vt:lpstr>'315'!OSRRefD22_12x_0</vt:lpstr>
      <vt:lpstr>'316'!OSRRefD22_12x_0</vt:lpstr>
      <vt:lpstr>'321'!OSRRefD22_12x_0</vt:lpstr>
      <vt:lpstr>'322'!OSRRefD22_12x_0</vt:lpstr>
      <vt:lpstr>'325'!OSRRefD22_12x_0</vt:lpstr>
      <vt:lpstr>'326'!OSRRefD22_12x_0</vt:lpstr>
      <vt:lpstr>'330'!OSRRefD22_12x_0</vt:lpstr>
      <vt:lpstr>'331'!OSRRefD22_12x_0</vt:lpstr>
      <vt:lpstr>'332'!OSRRefD22_12x_0</vt:lpstr>
      <vt:lpstr>'405'!OSRRefD22_12x_0</vt:lpstr>
      <vt:lpstr>'406'!OSRRefD22_12x_0</vt:lpstr>
      <vt:lpstr>'411'!OSRRefD22_12x_0</vt:lpstr>
      <vt:lpstr>'412'!OSRRefD22_12x_0</vt:lpstr>
      <vt:lpstr>'414'!OSRRefD22_12x_0</vt:lpstr>
      <vt:lpstr>'415'!OSRRefD22_12x_0</vt:lpstr>
      <vt:lpstr>'418'!OSRRefD22_12x_0</vt:lpstr>
      <vt:lpstr>'425'!OSRRefD22_12x_0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'501'!OSRRefD22_12x_0</vt:lpstr>
      <vt:lpstr>'Div 2'!OSRRefD22_12x_0</vt:lpstr>
      <vt:lpstr>'Div 3'!OSRRefD22_12x_0</vt:lpstr>
      <vt:lpstr>'Div 4'!OSRRefD22_12x_0</vt:lpstr>
      <vt:lpstr>'Div 5'!OSRRefD22_12x_0</vt:lpstr>
      <vt:lpstr>Summary!OSRRefD22_12x_0</vt:lpstr>
      <vt:lpstr>'201'!OSRRefD22_13x_0</vt:lpstr>
      <vt:lpstr>'202'!OSRRefD22_13x_0</vt:lpstr>
      <vt:lpstr>'203'!OSRRefD22_13x_0</vt:lpstr>
      <vt:lpstr>'300'!OSRRefD22_13x_0</vt:lpstr>
      <vt:lpstr>'300 &amp; 317'!OSRRefD22_13x_0</vt:lpstr>
      <vt:lpstr>'301'!OSRRefD22_13x_0</vt:lpstr>
      <vt:lpstr>'308'!OSRRefD22_13x_0</vt:lpstr>
      <vt:lpstr>'310'!OSRRefD22_13x_0</vt:lpstr>
      <vt:lpstr>'310 &amp; 491'!OSRRefD22_13x_0</vt:lpstr>
      <vt:lpstr>'311'!OSRRefD22_13x_0</vt:lpstr>
      <vt:lpstr>'313'!OSRRefD22_13x_0</vt:lpstr>
      <vt:lpstr>'315'!OSRRefD22_13x_0</vt:lpstr>
      <vt:lpstr>'316'!OSRRefD22_13x_0</vt:lpstr>
      <vt:lpstr>'321'!OSRRefD22_13x_0</vt:lpstr>
      <vt:lpstr>'322'!OSRRefD22_13x_0</vt:lpstr>
      <vt:lpstr>'325'!OSRRefD22_13x_0</vt:lpstr>
      <vt:lpstr>'326'!OSRRefD22_13x_0</vt:lpstr>
      <vt:lpstr>'330'!OSRRefD22_13x_0</vt:lpstr>
      <vt:lpstr>'331'!OSRRefD22_13x_0</vt:lpstr>
      <vt:lpstr>'332'!OSRRefD22_13x_0</vt:lpstr>
      <vt:lpstr>'405'!OSRRefD22_13x_0</vt:lpstr>
      <vt:lpstr>'406'!OSRRefD22_13x_0</vt:lpstr>
      <vt:lpstr>'411'!OSRRefD22_13x_0</vt:lpstr>
      <vt:lpstr>'412'!OSRRefD22_13x_0</vt:lpstr>
      <vt:lpstr>'414'!OSRRefD22_13x_0</vt:lpstr>
      <vt:lpstr>'415'!OSRRefD22_13x_0</vt:lpstr>
      <vt:lpstr>'418'!OSRRefD22_13x_0</vt:lpstr>
      <vt:lpstr>'425'!OSRRefD22_13x_0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'Div 2'!OSRRefD22_13x_0</vt:lpstr>
      <vt:lpstr>'Div 3'!OSRRefD22_13x_0</vt:lpstr>
      <vt:lpstr>'Div 4'!OSRRefD22_13x_0</vt:lpstr>
      <vt:lpstr>Summary!OSRRefD22_13x_0</vt:lpstr>
      <vt:lpstr>'201'!OSRRefD22_14x_0</vt:lpstr>
      <vt:lpstr>'202'!OSRRefD22_14x_0</vt:lpstr>
      <vt:lpstr>'203'!OSRRefD22_14x_0</vt:lpstr>
      <vt:lpstr>'300'!OSRRefD22_14x_0</vt:lpstr>
      <vt:lpstr>'300 &amp; 317'!OSRRefD22_14x_0</vt:lpstr>
      <vt:lpstr>'301'!OSRRefD22_14x_0</vt:lpstr>
      <vt:lpstr>'308'!OSRRefD22_14x_0</vt:lpstr>
      <vt:lpstr>'310'!OSRRefD22_14x_0</vt:lpstr>
      <vt:lpstr>'310 &amp; 491'!OSRRefD22_14x_0</vt:lpstr>
      <vt:lpstr>'311'!OSRRefD22_14x_0</vt:lpstr>
      <vt:lpstr>'315'!OSRRefD22_14x_0</vt:lpstr>
      <vt:lpstr>'321'!OSRRefD22_14x_0</vt:lpstr>
      <vt:lpstr>'325'!OSRRefD22_14x_0</vt:lpstr>
      <vt:lpstr>'326'!OSRRefD22_14x_0</vt:lpstr>
      <vt:lpstr>'331'!OSRRefD22_14x_0</vt:lpstr>
      <vt:lpstr>'332'!OSRRefD22_14x_0</vt:lpstr>
      <vt:lpstr>'405'!OSRRefD22_14x_0</vt:lpstr>
      <vt:lpstr>'411'!OSRRefD22_14x_0</vt:lpstr>
      <vt:lpstr>'414'!OSRRefD22_14x_0</vt:lpstr>
      <vt:lpstr>'415'!OSRRefD22_14x_0</vt:lpstr>
      <vt:lpstr>'418'!OSRRefD22_14x_0</vt:lpstr>
      <vt:lpstr>'425'!OSRRefD22_14x_0</vt:lpstr>
      <vt:lpstr>'433'!OSRRefD22_14x_0</vt:lpstr>
      <vt:lpstr>'444'!OSRRefD22_14x_0</vt:lpstr>
      <vt:lpstr>'450'!OSRRefD22_14x_0</vt:lpstr>
      <vt:lpstr>'491'!OSRRefD22_14x_0</vt:lpstr>
      <vt:lpstr>'492'!OSRRefD22_14x_0</vt:lpstr>
      <vt:lpstr>'Div 2'!OSRRefD22_14x_0</vt:lpstr>
      <vt:lpstr>'Div 3'!OSRRefD22_14x_0</vt:lpstr>
      <vt:lpstr>'Div 4'!OSRRefD22_14x_0</vt:lpstr>
      <vt:lpstr>Summary!OSRRefD22_14x_0</vt:lpstr>
      <vt:lpstr>'201'!OSRRefD22_15x_0</vt:lpstr>
      <vt:lpstr>'202'!OSRRefD22_15x_0</vt:lpstr>
      <vt:lpstr>'203'!OSRRefD22_15x_0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'315'!OSRRefD22_15x_0</vt:lpstr>
      <vt:lpstr>'325'!OSRRefD22_15x_0</vt:lpstr>
      <vt:lpstr>'326'!OSRRefD22_15x_0</vt:lpstr>
      <vt:lpstr>'331'!OSRRefD22_15x_0</vt:lpstr>
      <vt:lpstr>'405'!OSRRefD22_15x_0</vt:lpstr>
      <vt:lpstr>'411'!OSRRefD22_15x_0</vt:lpstr>
      <vt:lpstr>'414'!OSRRefD22_15x_0</vt:lpstr>
      <vt:lpstr>'415'!OSRRefD22_15x_0</vt:lpstr>
      <vt:lpstr>'418'!OSRRefD22_15x_0</vt:lpstr>
      <vt:lpstr>'425'!OSRRefD22_15x_0</vt:lpstr>
      <vt:lpstr>'433'!OSRRefD22_15x_0</vt:lpstr>
      <vt:lpstr>'444'!OSRRefD22_15x_0</vt:lpstr>
      <vt:lpstr>'450'!OSRRefD22_15x_0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Summary!OSRRefD22_15x_0</vt:lpstr>
      <vt:lpstr>'201'!OSRRefD22_16x_0</vt:lpstr>
      <vt:lpstr>'202'!OSRRefD22_16x_0</vt:lpstr>
      <vt:lpstr>'300'!OSRRefD22_16x_0</vt:lpstr>
      <vt:lpstr>'300 &amp; 317'!OSRRefD22_16x_0</vt:lpstr>
      <vt:lpstr>'301'!OSRRefD22_16x_0</vt:lpstr>
      <vt:lpstr>'310'!OSRRefD22_16x_0</vt:lpstr>
      <vt:lpstr>'310 &amp; 491'!OSRRefD22_16x_0</vt:lpstr>
      <vt:lpstr>'325'!OSRRefD22_16x_0</vt:lpstr>
      <vt:lpstr>'326'!OSRRefD22_16x_0</vt:lpstr>
      <vt:lpstr>'331'!OSRRefD22_16x_0</vt:lpstr>
      <vt:lpstr>'405'!OSRRefD22_16x_0</vt:lpstr>
      <vt:lpstr>'411'!OSRRefD22_16x_0</vt:lpstr>
      <vt:lpstr>'415'!OSRRefD22_16x_0</vt:lpstr>
      <vt:lpstr>'444'!OSRRefD22_16x_0</vt:lpstr>
      <vt:lpstr>'450'!OSRRefD22_16x_0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'310'!OSRRefD22_17x_0</vt:lpstr>
      <vt:lpstr>'310 &amp; 491'!OSRRefD22_17x_0</vt:lpstr>
      <vt:lpstr>'325'!OSRRefD22_17x_0</vt:lpstr>
      <vt:lpstr>'326'!OSRRefD22_17x_0</vt:lpstr>
      <vt:lpstr>'331'!OSRRefD22_17x_0</vt:lpstr>
      <vt:lpstr>'405'!OSRRefD22_17x_0</vt:lpstr>
      <vt:lpstr>'415'!OSRRefD22_17x_0</vt:lpstr>
      <vt:lpstr>'491'!OSRRefD22_17x_0</vt:lpstr>
      <vt:lpstr>'492'!OSRRefD22_17x_0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'310'!OSRRefD22_18x_0</vt:lpstr>
      <vt:lpstr>'310 &amp; 491'!OSRRefD22_18x_0</vt:lpstr>
      <vt:lpstr>'326'!OSRRefD22_18x_0</vt:lpstr>
      <vt:lpstr>'331'!OSRRefD22_18x_0</vt:lpstr>
      <vt:lpstr>'415'!OSRRefD22_18x_0</vt:lpstr>
      <vt:lpstr>'491'!OSRRefD22_18x_0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'310'!OSRRefD22_19x_0</vt:lpstr>
      <vt:lpstr>'310 &amp; 491'!OSRRefD22_19x_0</vt:lpstr>
      <vt:lpstr>'326'!OSRRefD22_19x_0</vt:lpstr>
      <vt:lpstr>'331'!OSRRefD22_19x_0</vt:lpstr>
      <vt:lpstr>'491'!OSRRefD22_19x_0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'306'!OSRRefD22_1x_0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'313'!OSRRefD22_1x_0</vt:lpstr>
      <vt:lpstr>'314'!OSRRefD22_1x_0</vt:lpstr>
      <vt:lpstr>'315'!OSRRefD22_1x_0</vt:lpstr>
      <vt:lpstr>'316'!OSRRefD22_1x_0</vt:lpstr>
      <vt:lpstr>'317'!OSRRefD22_1x_0</vt:lpstr>
      <vt:lpstr>'320'!OSRRefD22_1x_0</vt:lpstr>
      <vt:lpstr>'321'!OSRRefD22_1x_0</vt:lpstr>
      <vt:lpstr>'322'!OSRRefD22_1x_0</vt:lpstr>
      <vt:lpstr>'325'!OSRRefD22_1x_0</vt:lpstr>
      <vt:lpstr>'326'!OSRRefD22_1x_0</vt:lpstr>
      <vt:lpstr>'330'!OSRRefD22_1x_0</vt:lpstr>
      <vt:lpstr>'331'!OSRRefD22_1x_0</vt:lpstr>
      <vt:lpstr>'332'!OSRRefD22_1x_0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'420'!OSRRefD22_1x_0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'435'!OSRRefD22_1x_0</vt:lpstr>
      <vt:lpstr>'444'!OSRRefD22_1x_0</vt:lpstr>
      <vt:lpstr>'450'!OSRRefD22_1x_0</vt:lpstr>
      <vt:lpstr>'455'!OSRRefD22_1x_0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'310'!OSRRefD22_20x_0</vt:lpstr>
      <vt:lpstr>'310 &amp; 491'!OSRRefD22_20x_0</vt:lpstr>
      <vt:lpstr>'326'!OSRRefD22_20x_0</vt:lpstr>
      <vt:lpstr>'331'!OSRRefD22_20x_0</vt:lpstr>
      <vt:lpstr>'491'!OSRRefD22_20x_0</vt:lpstr>
      <vt:lpstr>'Div 2'!OSRRefD22_20x_0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'301'!OSRRefD22_21x_0</vt:lpstr>
      <vt:lpstr>'310'!OSRRefD22_21x_0</vt:lpstr>
      <vt:lpstr>'310 &amp; 491'!OSRRefD22_21x_0</vt:lpstr>
      <vt:lpstr>'331'!OSRRefD22_21x_0</vt:lpstr>
      <vt:lpstr>'491'!OSRRefD22_21x_0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'301'!OSRRefD22_22x_0</vt:lpstr>
      <vt:lpstr>'310'!OSRRefD22_22x_0</vt:lpstr>
      <vt:lpstr>'310 &amp; 491'!OSRRefD22_22x_0</vt:lpstr>
      <vt:lpstr>'331'!OSRRefD22_22x_0</vt:lpstr>
      <vt:lpstr>'491'!OSRRefD22_22x_0</vt:lpstr>
      <vt:lpstr>'Div 3'!OSRRefD22_22x_0</vt:lpstr>
      <vt:lpstr>'Div 4'!OSRRefD22_22x_0</vt:lpstr>
      <vt:lpstr>Summary!OSRRefD22_22x_0</vt:lpstr>
      <vt:lpstr>'300'!OSRRefD22_23x_0</vt:lpstr>
      <vt:lpstr>'300 &amp; 317'!OSRRefD22_23x_0</vt:lpstr>
      <vt:lpstr>'310 &amp; 491'!OSRRefD22_23x_0</vt:lpstr>
      <vt:lpstr>'Div 3'!OSRRefD22_23x_0</vt:lpstr>
      <vt:lpstr>'Div 4'!OSRRefD22_23x_0</vt:lpstr>
      <vt:lpstr>Summary!OSRRefD22_23x_0</vt:lpstr>
      <vt:lpstr>'300'!OSRRefD22_24x_0</vt:lpstr>
      <vt:lpstr>'300 &amp; 317'!OSRRefD22_24x_0</vt:lpstr>
      <vt:lpstr>'310 &amp; 491'!OSRRefD22_24x_0</vt:lpstr>
      <vt:lpstr>'Div 3'!OSRRefD22_24x_0</vt:lpstr>
      <vt:lpstr>'Div 4'!OSRRefD22_24x_0</vt:lpstr>
      <vt:lpstr>Summary!OSRRefD22_24x_0</vt:lpstr>
      <vt:lpstr>'310 &amp; 491'!OSRRefD22_25x_0</vt:lpstr>
      <vt:lpstr>'Div 3'!OSRRefD22_25x_0</vt:lpstr>
      <vt:lpstr>Summary!OSRRefD22_25x_0</vt:lpstr>
      <vt:lpstr>'Div 3'!OSRRefD22_26x_0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'306'!OSRRefD22_2x_0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'313'!OSRRefD22_2x_0</vt:lpstr>
      <vt:lpstr>'314'!OSRRefD22_2x_0</vt:lpstr>
      <vt:lpstr>'315'!OSRRefD22_2x_0</vt:lpstr>
      <vt:lpstr>'316'!OSRRefD22_2x_0</vt:lpstr>
      <vt:lpstr>'317'!OSRRefD22_2x_0</vt:lpstr>
      <vt:lpstr>'320'!OSRRefD22_2x_0</vt:lpstr>
      <vt:lpstr>'321'!OSRRefD22_2x_0</vt:lpstr>
      <vt:lpstr>'322'!OSRRefD22_2x_0</vt:lpstr>
      <vt:lpstr>'325'!OSRRefD22_2x_0</vt:lpstr>
      <vt:lpstr>'326'!OSRRefD22_2x_0</vt:lpstr>
      <vt:lpstr>'330'!OSRRefD22_2x_0</vt:lpstr>
      <vt:lpstr>'331'!OSRRefD22_2x_0</vt:lpstr>
      <vt:lpstr>'332'!OSRRefD22_2x_0</vt:lpstr>
      <vt:lpstr>'405'!OSRRefD22_2x_0</vt:lpstr>
      <vt:lpstr>'406'!OSRRefD22_2x_0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'435'!OSRRefD22_2x_0</vt:lpstr>
      <vt:lpstr>'444'!OSRRefD22_2x_0</vt:lpstr>
      <vt:lpstr>'450'!OSRRefD22_2x_0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'306'!OSRRefD22_3x_0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'313'!OSRRefD22_3x_0</vt:lpstr>
      <vt:lpstr>'314'!OSRRefD22_3x_0</vt:lpstr>
      <vt:lpstr>'315'!OSRRefD22_3x_0</vt:lpstr>
      <vt:lpstr>'316'!OSRRefD22_3x_0</vt:lpstr>
      <vt:lpstr>'317'!OSRRefD22_3x_0</vt:lpstr>
      <vt:lpstr>'320'!OSRRefD22_3x_0</vt:lpstr>
      <vt:lpstr>'321'!OSRRefD22_3x_0</vt:lpstr>
      <vt:lpstr>'322'!OSRRefD22_3x_0</vt:lpstr>
      <vt:lpstr>'325'!OSRRefD22_3x_0</vt:lpstr>
      <vt:lpstr>'326'!OSRRefD22_3x_0</vt:lpstr>
      <vt:lpstr>'330'!OSRRefD22_3x_0</vt:lpstr>
      <vt:lpstr>'331'!OSRRefD22_3x_0</vt:lpstr>
      <vt:lpstr>'332'!OSRRefD22_3x_0</vt:lpstr>
      <vt:lpstr>'405'!OSRRefD22_3x_0</vt:lpstr>
      <vt:lpstr>'406'!OSRRefD22_3x_0</vt:lpstr>
      <vt:lpstr>'411'!OSRRefD22_3x_0</vt:lpstr>
      <vt:lpstr>'412'!OSRRefD22_3x_0</vt:lpstr>
      <vt:lpstr>'413'!OSRRefD22_3x_0</vt:lpstr>
      <vt:lpstr>'414'!OSRRefD22_3x_0</vt:lpstr>
      <vt:lpstr>'415'!OSRRefD22_3x_0</vt:lpstr>
      <vt:lpstr>'418'!OSRRefD22_3x_0</vt:lpstr>
      <vt:lpstr>'423'!OSRRefD22_3x_0</vt:lpstr>
      <vt:lpstr>'424'!OSRRefD22_3x_0</vt:lpstr>
      <vt:lpstr>'425'!OSRRefD22_3x_0</vt:lpstr>
      <vt:lpstr>'430'!OSRRefD22_3x_0</vt:lpstr>
      <vt:lpstr>'433'!OSRRefD22_3x_0</vt:lpstr>
      <vt:lpstr>'435'!OSRRefD22_3x_0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'306'!OSRRefD22_4x_0</vt:lpstr>
      <vt:lpstr>'307'!OSRRefD22_4x_0</vt:lpstr>
      <vt:lpstr>'308'!OSRRefD22_4x_0</vt:lpstr>
      <vt:lpstr>'309'!OSRRefD22_4x_0</vt:lpstr>
      <vt:lpstr>'310'!OSRRefD22_4x_0</vt:lpstr>
      <vt:lpstr>'310 &amp; 491'!OSRRefD22_4x_0</vt:lpstr>
      <vt:lpstr>'311'!OSRRefD22_4x_0</vt:lpstr>
      <vt:lpstr>'313'!OSRRefD22_4x_0</vt:lpstr>
      <vt:lpstr>'314'!OSRRefD22_4x_0</vt:lpstr>
      <vt:lpstr>'315'!OSRRefD22_4x_0</vt:lpstr>
      <vt:lpstr>'316'!OSRRefD22_4x_0</vt:lpstr>
      <vt:lpstr>'317'!OSRRefD22_4x_0</vt:lpstr>
      <vt:lpstr>'320'!OSRRefD22_4x_0</vt:lpstr>
      <vt:lpstr>'321'!OSRRefD22_4x_0</vt:lpstr>
      <vt:lpstr>'322'!OSRRefD22_4x_0</vt:lpstr>
      <vt:lpstr>'325'!OSRRefD22_4x_0</vt:lpstr>
      <vt:lpstr>'326'!OSRRefD22_4x_0</vt:lpstr>
      <vt:lpstr>'330'!OSRRefD22_4x_0</vt:lpstr>
      <vt:lpstr>'331'!OSRRefD22_4x_0</vt:lpstr>
      <vt:lpstr>'332'!OSRRefD22_4x_0</vt:lpstr>
      <vt:lpstr>'405'!OSRRefD22_4x_0</vt:lpstr>
      <vt:lpstr>'406'!OSRRefD22_4x_0</vt:lpstr>
      <vt:lpstr>'411'!OSRRefD22_4x_0</vt:lpstr>
      <vt:lpstr>'412'!OSRRefD22_4x_0</vt:lpstr>
      <vt:lpstr>'413'!OSRRefD22_4x_0</vt:lpstr>
      <vt:lpstr>'414'!OSRRefD22_4x_0</vt:lpstr>
      <vt:lpstr>'415'!OSRRefD22_4x_0</vt:lpstr>
      <vt:lpstr>'418'!OSRRefD22_4x_0</vt:lpstr>
      <vt:lpstr>'423'!OSRRefD22_4x_0</vt:lpstr>
      <vt:lpstr>'424'!OSRRefD22_4x_0</vt:lpstr>
      <vt:lpstr>'425'!OSRRefD22_4x_0</vt:lpstr>
      <vt:lpstr>'430'!OSRRefD22_4x_0</vt:lpstr>
      <vt:lpstr>'433'!OSRRefD22_4x_0</vt:lpstr>
      <vt:lpstr>'435'!OSRRefD22_4x_0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'306'!OSRRefD22_5x_0</vt:lpstr>
      <vt:lpstr>'307'!OSRRefD22_5x_0</vt:lpstr>
      <vt:lpstr>'308'!OSRRefD22_5x_0</vt:lpstr>
      <vt:lpstr>'309'!OSRRefD22_5x_0</vt:lpstr>
      <vt:lpstr>'310'!OSRRefD22_5x_0</vt:lpstr>
      <vt:lpstr>'310 &amp; 491'!OSRRefD22_5x_0</vt:lpstr>
      <vt:lpstr>'311'!OSRRefD22_5x_0</vt:lpstr>
      <vt:lpstr>'313'!OSRRefD22_5x_0</vt:lpstr>
      <vt:lpstr>'314'!OSRRefD22_5x_0</vt:lpstr>
      <vt:lpstr>'315'!OSRRefD22_5x_0</vt:lpstr>
      <vt:lpstr>'316'!OSRRefD22_5x_0</vt:lpstr>
      <vt:lpstr>'317'!OSRRefD22_5x_0</vt:lpstr>
      <vt:lpstr>'320'!OSRRefD22_5x_0</vt:lpstr>
      <vt:lpstr>'321'!OSRRefD22_5x_0</vt:lpstr>
      <vt:lpstr>'322'!OSRRefD22_5x_0</vt:lpstr>
      <vt:lpstr>'325'!OSRRefD22_5x_0</vt:lpstr>
      <vt:lpstr>'326'!OSRRefD22_5x_0</vt:lpstr>
      <vt:lpstr>'330'!OSRRefD22_5x_0</vt:lpstr>
      <vt:lpstr>'331'!OSRRefD22_5x_0</vt:lpstr>
      <vt:lpstr>'332'!OSRRefD22_5x_0</vt:lpstr>
      <vt:lpstr>'405'!OSRRefD22_5x_0</vt:lpstr>
      <vt:lpstr>'406'!OSRRefD22_5x_0</vt:lpstr>
      <vt:lpstr>'411'!OSRRefD22_5x_0</vt:lpstr>
      <vt:lpstr>'412'!OSRRefD22_5x_0</vt:lpstr>
      <vt:lpstr>'413'!OSRRefD22_5x_0</vt:lpstr>
      <vt:lpstr>'414'!OSRRefD22_5x_0</vt:lpstr>
      <vt:lpstr>'415'!OSRRefD22_5x_0</vt:lpstr>
      <vt:lpstr>'418'!OSRRefD22_5x_0</vt:lpstr>
      <vt:lpstr>'423'!OSRRefD22_5x_0</vt:lpstr>
      <vt:lpstr>'424'!OSRRefD22_5x_0</vt:lpstr>
      <vt:lpstr>'425'!OSRRefD22_5x_0</vt:lpstr>
      <vt:lpstr>'430'!OSRRefD22_5x_0</vt:lpstr>
      <vt:lpstr>'433'!OSRRefD22_5x_0</vt:lpstr>
      <vt:lpstr>'435'!OSRRefD22_5x_0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'306'!OSRRefD22_6x_0</vt:lpstr>
      <vt:lpstr>'307'!OSRRefD22_6x_0</vt:lpstr>
      <vt:lpstr>'308'!OSRRefD22_6x_0</vt:lpstr>
      <vt:lpstr>'309'!OSRRefD22_6x_0</vt:lpstr>
      <vt:lpstr>'310'!OSRRefD22_6x_0</vt:lpstr>
      <vt:lpstr>'310 &amp; 491'!OSRRefD22_6x_0</vt:lpstr>
      <vt:lpstr>'311'!OSRRefD22_6x_0</vt:lpstr>
      <vt:lpstr>'313'!OSRRefD22_6x_0</vt:lpstr>
      <vt:lpstr>'314'!OSRRefD22_6x_0</vt:lpstr>
      <vt:lpstr>'315'!OSRRefD22_6x_0</vt:lpstr>
      <vt:lpstr>'316'!OSRRefD22_6x_0</vt:lpstr>
      <vt:lpstr>'317'!OSRRefD22_6x_0</vt:lpstr>
      <vt:lpstr>'320'!OSRRefD22_6x_0</vt:lpstr>
      <vt:lpstr>'321'!OSRRefD22_6x_0</vt:lpstr>
      <vt:lpstr>'322'!OSRRefD22_6x_0</vt:lpstr>
      <vt:lpstr>'325'!OSRRefD22_6x_0</vt:lpstr>
      <vt:lpstr>'326'!OSRRefD22_6x_0</vt:lpstr>
      <vt:lpstr>'330'!OSRRefD22_6x_0</vt:lpstr>
      <vt:lpstr>'331'!OSRRefD22_6x_0</vt:lpstr>
      <vt:lpstr>'332'!OSRRefD22_6x_0</vt:lpstr>
      <vt:lpstr>'405'!OSRRefD22_6x_0</vt:lpstr>
      <vt:lpstr>'406'!OSRRefD22_6x_0</vt:lpstr>
      <vt:lpstr>'411'!OSRRefD22_6x_0</vt:lpstr>
      <vt:lpstr>'412'!OSRRefD22_6x_0</vt:lpstr>
      <vt:lpstr>'413'!OSRRefD22_6x_0</vt:lpstr>
      <vt:lpstr>'414'!OSRRefD22_6x_0</vt:lpstr>
      <vt:lpstr>'415'!OSRRefD22_6x_0</vt:lpstr>
      <vt:lpstr>'418'!OSRRefD22_6x_0</vt:lpstr>
      <vt:lpstr>'424'!OSRRefD22_6x_0</vt:lpstr>
      <vt:lpstr>'425'!OSRRefD22_6x_0</vt:lpstr>
      <vt:lpstr>'430'!OSRRefD22_6x_0</vt:lpstr>
      <vt:lpstr>'433'!OSRRefD22_6x_0</vt:lpstr>
      <vt:lpstr>'435'!OSRRefD22_6x_0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'205'!OSRRefD22_7x_0</vt:lpstr>
      <vt:lpstr>'206'!OSRRefD22_7x_0</vt:lpstr>
      <vt:lpstr>'300'!OSRRefD22_7x_0</vt:lpstr>
      <vt:lpstr>'300 &amp; 317'!OSRRefD22_7x_0</vt:lpstr>
      <vt:lpstr>'301'!OSRRefD22_7x_0</vt:lpstr>
      <vt:lpstr>'306'!OSRRefD22_7x_0</vt:lpstr>
      <vt:lpstr>'307'!OSRRefD22_7x_0</vt:lpstr>
      <vt:lpstr>'308'!OSRRefD22_7x_0</vt:lpstr>
      <vt:lpstr>'309'!OSRRefD22_7x_0</vt:lpstr>
      <vt:lpstr>'310'!OSRRefD22_7x_0</vt:lpstr>
      <vt:lpstr>'310 &amp; 491'!OSRRefD22_7x_0</vt:lpstr>
      <vt:lpstr>'311'!OSRRefD22_7x_0</vt:lpstr>
      <vt:lpstr>'313'!OSRRefD22_7x_0</vt:lpstr>
      <vt:lpstr>'314'!OSRRefD22_7x_0</vt:lpstr>
      <vt:lpstr>'315'!OSRRefD22_7x_0</vt:lpstr>
      <vt:lpstr>'316'!OSRRefD22_7x_0</vt:lpstr>
      <vt:lpstr>'317'!OSRRefD22_7x_0</vt:lpstr>
      <vt:lpstr>'320'!OSRRefD22_7x_0</vt:lpstr>
      <vt:lpstr>'321'!OSRRefD22_7x_0</vt:lpstr>
      <vt:lpstr>'322'!OSRRefD22_7x_0</vt:lpstr>
      <vt:lpstr>'325'!OSRRefD22_7x_0</vt:lpstr>
      <vt:lpstr>'326'!OSRRefD22_7x_0</vt:lpstr>
      <vt:lpstr>'330'!OSRRefD22_7x_0</vt:lpstr>
      <vt:lpstr>'331'!OSRRefD22_7x_0</vt:lpstr>
      <vt:lpstr>'332'!OSRRefD22_7x_0</vt:lpstr>
      <vt:lpstr>'405'!OSRRefD22_7x_0</vt:lpstr>
      <vt:lpstr>'406'!OSRRefD22_7x_0</vt:lpstr>
      <vt:lpstr>'411'!OSRRefD22_7x_0</vt:lpstr>
      <vt:lpstr>'412'!OSRRefD22_7x_0</vt:lpstr>
      <vt:lpstr>'413'!OSRRefD22_7x_0</vt:lpstr>
      <vt:lpstr>'414'!OSRRefD22_7x_0</vt:lpstr>
      <vt:lpstr>'415'!OSRRefD22_7x_0</vt:lpstr>
      <vt:lpstr>'418'!OSRRefD22_7x_0</vt:lpstr>
      <vt:lpstr>'424'!OSRRefD22_7x_0</vt:lpstr>
      <vt:lpstr>'425'!OSRRefD22_7x_0</vt:lpstr>
      <vt:lpstr>'430'!OSRRefD22_7x_0</vt:lpstr>
      <vt:lpstr>'433'!OSRRefD22_7x_0</vt:lpstr>
      <vt:lpstr>'435'!OSRRefD22_7x_0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'204'!OSRRefD22_8x_0</vt:lpstr>
      <vt:lpstr>'205'!OSRRefD22_8x_0</vt:lpstr>
      <vt:lpstr>'206'!OSRRefD22_8x_0</vt:lpstr>
      <vt:lpstr>'300'!OSRRefD22_8x_0</vt:lpstr>
      <vt:lpstr>'300 &amp; 317'!OSRRefD22_8x_0</vt:lpstr>
      <vt:lpstr>'301'!OSRRefD22_8x_0</vt:lpstr>
      <vt:lpstr>'306'!OSRRefD22_8x_0</vt:lpstr>
      <vt:lpstr>'307'!OSRRefD22_8x_0</vt:lpstr>
      <vt:lpstr>'308'!OSRRefD22_8x_0</vt:lpstr>
      <vt:lpstr>'309'!OSRRefD22_8x_0</vt:lpstr>
      <vt:lpstr>'310'!OSRRefD22_8x_0</vt:lpstr>
      <vt:lpstr>'310 &amp; 491'!OSRRefD22_8x_0</vt:lpstr>
      <vt:lpstr>'311'!OSRRefD22_8x_0</vt:lpstr>
      <vt:lpstr>'313'!OSRRefD22_8x_0</vt:lpstr>
      <vt:lpstr>'315'!OSRRefD22_8x_0</vt:lpstr>
      <vt:lpstr>'316'!OSRRefD22_8x_0</vt:lpstr>
      <vt:lpstr>'317'!OSRRefD22_8x_0</vt:lpstr>
      <vt:lpstr>'320'!OSRRefD22_8x_0</vt:lpstr>
      <vt:lpstr>'321'!OSRRefD22_8x_0</vt:lpstr>
      <vt:lpstr>'322'!OSRRefD22_8x_0</vt:lpstr>
      <vt:lpstr>'325'!OSRRefD22_8x_0</vt:lpstr>
      <vt:lpstr>'326'!OSRRefD22_8x_0</vt:lpstr>
      <vt:lpstr>'330'!OSRRefD22_8x_0</vt:lpstr>
      <vt:lpstr>'331'!OSRRefD22_8x_0</vt:lpstr>
      <vt:lpstr>'332'!OSRRefD22_8x_0</vt:lpstr>
      <vt:lpstr>'405'!OSRRefD22_8x_0</vt:lpstr>
      <vt:lpstr>'406'!OSRRefD22_8x_0</vt:lpstr>
      <vt:lpstr>'411'!OSRRefD22_8x_0</vt:lpstr>
      <vt:lpstr>'412'!OSRRefD22_8x_0</vt:lpstr>
      <vt:lpstr>'413'!OSRRefD22_8x_0</vt:lpstr>
      <vt:lpstr>'414'!OSRRefD22_8x_0</vt:lpstr>
      <vt:lpstr>'415'!OSRRefD22_8x_0</vt:lpstr>
      <vt:lpstr>'418'!OSRRefD22_8x_0</vt:lpstr>
      <vt:lpstr>'424'!OSRRefD22_8x_0</vt:lpstr>
      <vt:lpstr>'425'!OSRRefD22_8x_0</vt:lpstr>
      <vt:lpstr>'430'!OSRRefD22_8x_0</vt:lpstr>
      <vt:lpstr>'433'!OSRRefD22_8x_0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'204'!OSRRefD22_9x_0</vt:lpstr>
      <vt:lpstr>'205'!OSRRefD22_9x_0</vt:lpstr>
      <vt:lpstr>'206'!OSRRefD22_9x_0</vt:lpstr>
      <vt:lpstr>'300'!OSRRefD22_9x_0</vt:lpstr>
      <vt:lpstr>'300 &amp; 317'!OSRRefD22_9x_0</vt:lpstr>
      <vt:lpstr>'301'!OSRRefD22_9x_0</vt:lpstr>
      <vt:lpstr>'307'!OSRRefD22_9x_0</vt:lpstr>
      <vt:lpstr>'308'!OSRRefD22_9x_0</vt:lpstr>
      <vt:lpstr>'309'!OSRRefD22_9x_0</vt:lpstr>
      <vt:lpstr>'310'!OSRRefD22_9x_0</vt:lpstr>
      <vt:lpstr>'310 &amp; 491'!OSRRefD22_9x_0</vt:lpstr>
      <vt:lpstr>'311'!OSRRefD22_9x_0</vt:lpstr>
      <vt:lpstr>'313'!OSRRefD22_9x_0</vt:lpstr>
      <vt:lpstr>'315'!OSRRefD22_9x_0</vt:lpstr>
      <vt:lpstr>'316'!OSRRefD22_9x_0</vt:lpstr>
      <vt:lpstr>'317'!OSRRefD22_9x_0</vt:lpstr>
      <vt:lpstr>'321'!OSRRefD22_9x_0</vt:lpstr>
      <vt:lpstr>'322'!OSRRefD22_9x_0</vt:lpstr>
      <vt:lpstr>'325'!OSRRefD22_9x_0</vt:lpstr>
      <vt:lpstr>'326'!OSRRefD22_9x_0</vt:lpstr>
      <vt:lpstr>'330'!OSRRefD22_9x_0</vt:lpstr>
      <vt:lpstr>'331'!OSRRefD22_9x_0</vt:lpstr>
      <vt:lpstr>'332'!OSRRefD22_9x_0</vt:lpstr>
      <vt:lpstr>'405'!OSRRefD22_9x_0</vt:lpstr>
      <vt:lpstr>'406'!OSRRefD22_9x_0</vt:lpstr>
      <vt:lpstr>'411'!OSRRefD22_9x_0</vt:lpstr>
      <vt:lpstr>'412'!OSRRefD22_9x_0</vt:lpstr>
      <vt:lpstr>'413'!OSRRefD22_9x_0</vt:lpstr>
      <vt:lpstr>'414'!OSRRefD22_9x_0</vt:lpstr>
      <vt:lpstr>'415'!OSRRefD22_9x_0</vt:lpstr>
      <vt:lpstr>'418'!OSRRefD22_9x_0</vt:lpstr>
      <vt:lpstr>'424'!OSRRefD22_9x_0</vt:lpstr>
      <vt:lpstr>'425'!OSRRefD22_9x_0</vt:lpstr>
      <vt:lpstr>'430'!OSRRefD22_9x_0</vt:lpstr>
      <vt:lpstr>'433'!OSRRefD22_9x_0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'306'!OSRRefD22x_0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'313'!OSRRefD22x_0</vt:lpstr>
      <vt:lpstr>'314'!OSRRefD22x_0</vt:lpstr>
      <vt:lpstr>'315'!OSRRefD22x_0</vt:lpstr>
      <vt:lpstr>'316'!OSRRefD22x_0</vt:lpstr>
      <vt:lpstr>'317'!OSRRefD22x_0</vt:lpstr>
      <vt:lpstr>'320'!OSRRefD22x_0</vt:lpstr>
      <vt:lpstr>'321'!OSRRefD22x_0</vt:lpstr>
      <vt:lpstr>'322'!OSRRefD22x_0</vt:lpstr>
      <vt:lpstr>'325'!OSRRefD22x_0</vt:lpstr>
      <vt:lpstr>'326'!OSRRefD22x_0</vt:lpstr>
      <vt:lpstr>'327'!OSRRefD22x_0</vt:lpstr>
      <vt:lpstr>'330'!OSRRefD22x_0</vt:lpstr>
      <vt:lpstr>'331'!OSRRefD22x_0</vt:lpstr>
      <vt:lpstr>'332'!OSRRefD22x_0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'420'!OSRRefD22x_0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'450'!OSRRefD22x_0</vt:lpstr>
      <vt:lpstr>'455'!OSRRefD22x_0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'300'!OSRRefD25x_0</vt:lpstr>
      <vt:lpstr>'300 &amp; 317'!OSRRefD25x_0</vt:lpstr>
      <vt:lpstr>'301'!OSRRefD25x_0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'320'!OSRRefD25x_0</vt:lpstr>
      <vt:lpstr>'331'!OSRRefD25x_0</vt:lpstr>
      <vt:lpstr>'332'!OSRRefD25x_0</vt:lpstr>
      <vt:lpstr>'411'!OSRRefD25x_0</vt:lpstr>
      <vt:lpstr>'413'!OSRRefD25x_0</vt:lpstr>
      <vt:lpstr>'423'!OSRRefD25x_0</vt:lpstr>
      <vt:lpstr>'424'!OSRRefD25x_0</vt:lpstr>
      <vt:lpstr>'425'!OSRRefD25x_0</vt:lpstr>
      <vt:lpstr>'455'!OSRRefD25x_0</vt:lpstr>
      <vt:lpstr>'491'!OSRRefD25x_0</vt:lpstr>
      <vt:lpstr>'501'!OSRRefD25x_0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'300'!OSRRefH13x_0</vt:lpstr>
      <vt:lpstr>'300 &amp; 317'!OSRRefH13x_0</vt:lpstr>
      <vt:lpstr>'307'!OSRRefH13x_0</vt:lpstr>
      <vt:lpstr>'308'!OSRRefH13x_0</vt:lpstr>
      <vt:lpstr>'309'!OSRRefH13x_0</vt:lpstr>
      <vt:lpstr>'310'!OSRRefH13x_0</vt:lpstr>
      <vt:lpstr>'310 &amp; 491'!OSRRefH13x_0</vt:lpstr>
      <vt:lpstr>'311'!OSRRefH13x_0</vt:lpstr>
      <vt:lpstr>'313'!OSRRefH13x_0</vt:lpstr>
      <vt:lpstr>'314'!OSRRefH13x_0</vt:lpstr>
      <vt:lpstr>'315'!OSRRefH13x_0</vt:lpstr>
      <vt:lpstr>'316'!OSRRefH13x_0</vt:lpstr>
      <vt:lpstr>'317'!OSRRefH13x_0</vt:lpstr>
      <vt:lpstr>'320'!OSRRefH13x_0</vt:lpstr>
      <vt:lpstr>'321'!OSRRefH13x_0</vt:lpstr>
      <vt:lpstr>'322'!OSRRefH13x_0</vt:lpstr>
      <vt:lpstr>'324'!OSRRefH13x_0</vt:lpstr>
      <vt:lpstr>'325'!OSRRefH13x_0</vt:lpstr>
      <vt:lpstr>'326'!OSRRefH13x_0</vt:lpstr>
      <vt:lpstr>'327'!OSRRefH13x_0</vt:lpstr>
      <vt:lpstr>'330'!OSRRefH13x_0</vt:lpstr>
      <vt:lpstr>'331'!OSRRefH13x_0</vt:lpstr>
      <vt:lpstr>'332'!OSRRefH13x_0</vt:lpstr>
      <vt:lpstr>'405'!OSRRefH13x_0</vt:lpstr>
      <vt:lpstr>'406'!OSRRefH13x_0</vt:lpstr>
      <vt:lpstr>'412'!OSRRefH13x_0</vt:lpstr>
      <vt:lpstr>'413'!OSRRefH13x_0</vt:lpstr>
      <vt:lpstr>'414'!OSRRefH13x_0</vt:lpstr>
      <vt:lpstr>'415'!OSRRefH13x_0</vt:lpstr>
      <vt:lpstr>'418'!OSRRefH13x_0</vt:lpstr>
      <vt:lpstr>'424'!OSRRefH13x_0</vt:lpstr>
      <vt:lpstr>'425'!OSRRefH13x_0</vt:lpstr>
      <vt:lpstr>'433'!OSRRefH13x_0</vt:lpstr>
      <vt:lpstr>'435'!OSRRefH13x_0</vt:lpstr>
      <vt:lpstr>'444'!OSRRefH13x_0</vt:lpstr>
      <vt:lpstr>'450'!OSRRefH13x_0</vt:lpstr>
      <vt:lpstr>'491'!OSRRefH13x_0</vt:lpstr>
      <vt:lpstr>'492'!OSRRefH13x_0</vt:lpstr>
      <vt:lpstr>'501'!OSRRefH13x_0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'307'!OSRRefH16x_0</vt:lpstr>
      <vt:lpstr>'308'!OSRRefH16x_0</vt:lpstr>
      <vt:lpstr>'309'!OSRRefH16x_0</vt:lpstr>
      <vt:lpstr>'310'!OSRRefH16x_0</vt:lpstr>
      <vt:lpstr>'310 &amp; 491'!OSRRefH16x_0</vt:lpstr>
      <vt:lpstr>'311'!OSRRefH16x_0</vt:lpstr>
      <vt:lpstr>'313'!OSRRefH16x_0</vt:lpstr>
      <vt:lpstr>'314'!OSRRefH16x_0</vt:lpstr>
      <vt:lpstr>'315'!OSRRefH16x_0</vt:lpstr>
      <vt:lpstr>'317'!OSRRefH16x_0</vt:lpstr>
      <vt:lpstr>'320'!OSRRefH16x_0</vt:lpstr>
      <vt:lpstr>'321'!OSRRefH16x_0</vt:lpstr>
      <vt:lpstr>'322'!OSRRefH16x_0</vt:lpstr>
      <vt:lpstr>'324'!OSRRefH16x_0</vt:lpstr>
      <vt:lpstr>'325'!OSRRefH16x_0</vt:lpstr>
      <vt:lpstr>'326'!OSRRefH16x_0</vt:lpstr>
      <vt:lpstr>'327'!OSRRefH16x_0</vt:lpstr>
      <vt:lpstr>'330'!OSRRefH16x_0</vt:lpstr>
      <vt:lpstr>'331'!OSRRefH16x_0</vt:lpstr>
      <vt:lpstr>'332'!OSRRefH16x_0</vt:lpstr>
      <vt:lpstr>'405'!OSRRefH16x_0</vt:lpstr>
      <vt:lpstr>'406'!OSRRefH16x_0</vt:lpstr>
      <vt:lpstr>'412'!OSRRefH16x_0</vt:lpstr>
      <vt:lpstr>'413'!OSRRefH16x_0</vt:lpstr>
      <vt:lpstr>'414'!OSRRefH16x_0</vt:lpstr>
      <vt:lpstr>'415'!OSRRefH16x_0</vt:lpstr>
      <vt:lpstr>'418'!OSRRefH16x_0</vt:lpstr>
      <vt:lpstr>'423'!OSRRefH16x_0</vt:lpstr>
      <vt:lpstr>'424'!OSRRefH16x_0</vt:lpstr>
      <vt:lpstr>'425'!OSRRefH16x_0</vt:lpstr>
      <vt:lpstr>'433'!OSRRefH16x_0</vt:lpstr>
      <vt:lpstr>'435'!OSRRefH16x_0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'306'!OSRRefH22_0x_0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'313'!OSRRefH22_0x_0</vt:lpstr>
      <vt:lpstr>'314'!OSRRefH22_0x_0</vt:lpstr>
      <vt:lpstr>'315'!OSRRefH22_0x_0</vt:lpstr>
      <vt:lpstr>'316'!OSRRefH22_0x_0</vt:lpstr>
      <vt:lpstr>'317'!OSRRefH22_0x_0</vt:lpstr>
      <vt:lpstr>'320'!OSRRefH22_0x_0</vt:lpstr>
      <vt:lpstr>'321'!OSRRefH22_0x_0</vt:lpstr>
      <vt:lpstr>'322'!OSRRefH22_0x_0</vt:lpstr>
      <vt:lpstr>'325'!OSRRefH22_0x_0</vt:lpstr>
      <vt:lpstr>'326'!OSRRefH22_0x_0</vt:lpstr>
      <vt:lpstr>'327'!OSRRefH22_0x_0</vt:lpstr>
      <vt:lpstr>'330'!OSRRefH22_0x_0</vt:lpstr>
      <vt:lpstr>'331'!OSRRefH22_0x_0</vt:lpstr>
      <vt:lpstr>'332'!OSRRefH22_0x_0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'420'!OSRRefH22_0x_0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'450'!OSRRefH22_0x_0</vt:lpstr>
      <vt:lpstr>'455'!OSRRefH22_0x_0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'204'!OSRRefH22_10x_0</vt:lpstr>
      <vt:lpstr>'206'!OSRRefH22_10x_0</vt:lpstr>
      <vt:lpstr>'300'!OSRRefH22_10x_0</vt:lpstr>
      <vt:lpstr>'300 &amp; 317'!OSRRefH22_10x_0</vt:lpstr>
      <vt:lpstr>'301'!OSRRefH22_10x_0</vt:lpstr>
      <vt:lpstr>'307'!OSRRefH22_10x_0</vt:lpstr>
      <vt:lpstr>'308'!OSRRefH22_10x_0</vt:lpstr>
      <vt:lpstr>'309'!OSRRefH22_10x_0</vt:lpstr>
      <vt:lpstr>'310'!OSRRefH22_10x_0</vt:lpstr>
      <vt:lpstr>'310 &amp; 491'!OSRRefH22_10x_0</vt:lpstr>
      <vt:lpstr>'311'!OSRRefH22_10x_0</vt:lpstr>
      <vt:lpstr>'313'!OSRRefH22_10x_0</vt:lpstr>
      <vt:lpstr>'315'!OSRRefH22_10x_0</vt:lpstr>
      <vt:lpstr>'316'!OSRRefH22_10x_0</vt:lpstr>
      <vt:lpstr>'317'!OSRRefH22_10x_0</vt:lpstr>
      <vt:lpstr>'321'!OSRRefH22_10x_0</vt:lpstr>
      <vt:lpstr>'322'!OSRRefH22_10x_0</vt:lpstr>
      <vt:lpstr>'325'!OSRRefH22_10x_0</vt:lpstr>
      <vt:lpstr>'326'!OSRRefH22_10x_0</vt:lpstr>
      <vt:lpstr>'330'!OSRRefH22_10x_0</vt:lpstr>
      <vt:lpstr>'331'!OSRRefH22_10x_0</vt:lpstr>
      <vt:lpstr>'332'!OSRRefH22_10x_0</vt:lpstr>
      <vt:lpstr>'405'!OSRRefH22_10x_0</vt:lpstr>
      <vt:lpstr>'406'!OSRRefH22_10x_0</vt:lpstr>
      <vt:lpstr>'411'!OSRRefH22_10x_0</vt:lpstr>
      <vt:lpstr>'412'!OSRRefH22_10x_0</vt:lpstr>
      <vt:lpstr>'413'!OSRRefH22_10x_0</vt:lpstr>
      <vt:lpstr>'414'!OSRRefH22_10x_0</vt:lpstr>
      <vt:lpstr>'415'!OSRRefH22_10x_0</vt:lpstr>
      <vt:lpstr>'418'!OSRRefH22_10x_0</vt:lpstr>
      <vt:lpstr>'424'!OSRRefH22_10x_0</vt:lpstr>
      <vt:lpstr>'425'!OSRRefH22_10x_0</vt:lpstr>
      <vt:lpstr>'430'!OSRRefH22_10x_0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'Div 6'!OSRRefH22_10x_0</vt:lpstr>
      <vt:lpstr>Summary!OSRRefH22_10x_0</vt:lpstr>
      <vt:lpstr>'201'!OSRRefH22_11x_0</vt:lpstr>
      <vt:lpstr>'202'!OSRRefH22_11x_0</vt:lpstr>
      <vt:lpstr>'203'!OSRRefH22_11x_0</vt:lpstr>
      <vt:lpstr>'204'!OSRRefH22_11x_0</vt:lpstr>
      <vt:lpstr>'300'!OSRRefH22_11x_0</vt:lpstr>
      <vt:lpstr>'300 &amp; 317'!OSRRefH22_11x_0</vt:lpstr>
      <vt:lpstr>'301'!OSRRefH22_11x_0</vt:lpstr>
      <vt:lpstr>'307'!OSRRefH22_11x_0</vt:lpstr>
      <vt:lpstr>'308'!OSRRefH22_11x_0</vt:lpstr>
      <vt:lpstr>'309'!OSRRefH22_11x_0</vt:lpstr>
      <vt:lpstr>'310'!OSRRefH22_11x_0</vt:lpstr>
      <vt:lpstr>'310 &amp; 491'!OSRRefH22_11x_0</vt:lpstr>
      <vt:lpstr>'311'!OSRRefH22_11x_0</vt:lpstr>
      <vt:lpstr>'313'!OSRRefH22_11x_0</vt:lpstr>
      <vt:lpstr>'315'!OSRRefH22_11x_0</vt:lpstr>
      <vt:lpstr>'316'!OSRRefH22_11x_0</vt:lpstr>
      <vt:lpstr>'321'!OSRRefH22_11x_0</vt:lpstr>
      <vt:lpstr>'322'!OSRRefH22_11x_0</vt:lpstr>
      <vt:lpstr>'325'!OSRRefH22_11x_0</vt:lpstr>
      <vt:lpstr>'326'!OSRRefH22_11x_0</vt:lpstr>
      <vt:lpstr>'330'!OSRRefH22_11x_0</vt:lpstr>
      <vt:lpstr>'331'!OSRRefH22_11x_0</vt:lpstr>
      <vt:lpstr>'332'!OSRRefH22_11x_0</vt:lpstr>
      <vt:lpstr>'405'!OSRRefH22_11x_0</vt:lpstr>
      <vt:lpstr>'406'!OSRRefH22_11x_0</vt:lpstr>
      <vt:lpstr>'411'!OSRRefH22_11x_0</vt:lpstr>
      <vt:lpstr>'412'!OSRRefH22_11x_0</vt:lpstr>
      <vt:lpstr>'413'!OSRRefH22_11x_0</vt:lpstr>
      <vt:lpstr>'414'!OSRRefH22_11x_0</vt:lpstr>
      <vt:lpstr>'415'!OSRRefH22_11x_0</vt:lpstr>
      <vt:lpstr>'418'!OSRRefH22_11x_0</vt:lpstr>
      <vt:lpstr>'424'!OSRRefH22_11x_0</vt:lpstr>
      <vt:lpstr>'425'!OSRRefH22_11x_0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'501'!OSRRefH22_11x_0</vt:lpstr>
      <vt:lpstr>'Div 2'!OSRRefH22_11x_0</vt:lpstr>
      <vt:lpstr>'Div 3'!OSRRefH22_11x_0</vt:lpstr>
      <vt:lpstr>'Div 4'!OSRRefH22_11x_0</vt:lpstr>
      <vt:lpstr>'Div 5'!OSRRefH22_11x_0</vt:lpstr>
      <vt:lpstr>Summary!OSRRefH22_11x_0</vt:lpstr>
      <vt:lpstr>'201'!OSRRefH22_12x_0</vt:lpstr>
      <vt:lpstr>'202'!OSRRefH22_12x_0</vt:lpstr>
      <vt:lpstr>'203'!OSRRefH22_12x_0</vt:lpstr>
      <vt:lpstr>'204'!OSRRefH22_12x_0</vt:lpstr>
      <vt:lpstr>'300'!OSRRefH22_12x_0</vt:lpstr>
      <vt:lpstr>'300 &amp; 317'!OSRRefH22_12x_0</vt:lpstr>
      <vt:lpstr>'301'!OSRRefH22_12x_0</vt:lpstr>
      <vt:lpstr>'307'!OSRRefH22_12x_0</vt:lpstr>
      <vt:lpstr>'308'!OSRRefH22_12x_0</vt:lpstr>
      <vt:lpstr>'309'!OSRRefH22_12x_0</vt:lpstr>
      <vt:lpstr>'310'!OSRRefH22_12x_0</vt:lpstr>
      <vt:lpstr>'310 &amp; 491'!OSRRefH22_12x_0</vt:lpstr>
      <vt:lpstr>'311'!OSRRefH22_12x_0</vt:lpstr>
      <vt:lpstr>'313'!OSRRefH22_12x_0</vt:lpstr>
      <vt:lpstr>'315'!OSRRefH22_12x_0</vt:lpstr>
      <vt:lpstr>'316'!OSRRefH22_12x_0</vt:lpstr>
      <vt:lpstr>'321'!OSRRefH22_12x_0</vt:lpstr>
      <vt:lpstr>'322'!OSRRefH22_12x_0</vt:lpstr>
      <vt:lpstr>'325'!OSRRefH22_12x_0</vt:lpstr>
      <vt:lpstr>'326'!OSRRefH22_12x_0</vt:lpstr>
      <vt:lpstr>'330'!OSRRefH22_12x_0</vt:lpstr>
      <vt:lpstr>'331'!OSRRefH22_12x_0</vt:lpstr>
      <vt:lpstr>'332'!OSRRefH22_12x_0</vt:lpstr>
      <vt:lpstr>'405'!OSRRefH22_12x_0</vt:lpstr>
      <vt:lpstr>'406'!OSRRefH22_12x_0</vt:lpstr>
      <vt:lpstr>'411'!OSRRefH22_12x_0</vt:lpstr>
      <vt:lpstr>'412'!OSRRefH22_12x_0</vt:lpstr>
      <vt:lpstr>'414'!OSRRefH22_12x_0</vt:lpstr>
      <vt:lpstr>'415'!OSRRefH22_12x_0</vt:lpstr>
      <vt:lpstr>'418'!OSRRefH22_12x_0</vt:lpstr>
      <vt:lpstr>'425'!OSRRefH22_12x_0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'501'!OSRRefH22_12x_0</vt:lpstr>
      <vt:lpstr>'Div 2'!OSRRefH22_12x_0</vt:lpstr>
      <vt:lpstr>'Div 3'!OSRRefH22_12x_0</vt:lpstr>
      <vt:lpstr>'Div 4'!OSRRefH22_12x_0</vt:lpstr>
      <vt:lpstr>'Div 5'!OSRRefH22_12x_0</vt:lpstr>
      <vt:lpstr>Summary!OSRRefH22_12x_0</vt:lpstr>
      <vt:lpstr>'201'!OSRRefH22_13x_0</vt:lpstr>
      <vt:lpstr>'202'!OSRRefH22_13x_0</vt:lpstr>
      <vt:lpstr>'203'!OSRRefH22_13x_0</vt:lpstr>
      <vt:lpstr>'300'!OSRRefH22_13x_0</vt:lpstr>
      <vt:lpstr>'300 &amp; 317'!OSRRefH22_13x_0</vt:lpstr>
      <vt:lpstr>'301'!OSRRefH22_13x_0</vt:lpstr>
      <vt:lpstr>'308'!OSRRefH22_13x_0</vt:lpstr>
      <vt:lpstr>'310'!OSRRefH22_13x_0</vt:lpstr>
      <vt:lpstr>'310 &amp; 491'!OSRRefH22_13x_0</vt:lpstr>
      <vt:lpstr>'311'!OSRRefH22_13x_0</vt:lpstr>
      <vt:lpstr>'313'!OSRRefH22_13x_0</vt:lpstr>
      <vt:lpstr>'315'!OSRRefH22_13x_0</vt:lpstr>
      <vt:lpstr>'316'!OSRRefH22_13x_0</vt:lpstr>
      <vt:lpstr>'321'!OSRRefH22_13x_0</vt:lpstr>
      <vt:lpstr>'322'!OSRRefH22_13x_0</vt:lpstr>
      <vt:lpstr>'325'!OSRRefH22_13x_0</vt:lpstr>
      <vt:lpstr>'326'!OSRRefH22_13x_0</vt:lpstr>
      <vt:lpstr>'330'!OSRRefH22_13x_0</vt:lpstr>
      <vt:lpstr>'331'!OSRRefH22_13x_0</vt:lpstr>
      <vt:lpstr>'332'!OSRRefH22_13x_0</vt:lpstr>
      <vt:lpstr>'405'!OSRRefH22_13x_0</vt:lpstr>
      <vt:lpstr>'406'!OSRRefH22_13x_0</vt:lpstr>
      <vt:lpstr>'411'!OSRRefH22_13x_0</vt:lpstr>
      <vt:lpstr>'412'!OSRRefH22_13x_0</vt:lpstr>
      <vt:lpstr>'414'!OSRRefH22_13x_0</vt:lpstr>
      <vt:lpstr>'415'!OSRRefH22_13x_0</vt:lpstr>
      <vt:lpstr>'418'!OSRRefH22_13x_0</vt:lpstr>
      <vt:lpstr>'425'!OSRRefH22_13x_0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'Div 2'!OSRRefH22_13x_0</vt:lpstr>
      <vt:lpstr>'Div 3'!OSRRefH22_13x_0</vt:lpstr>
      <vt:lpstr>'Div 4'!OSRRefH22_13x_0</vt:lpstr>
      <vt:lpstr>Summary!OSRRefH22_13x_0</vt:lpstr>
      <vt:lpstr>'201'!OSRRefH22_14x_0</vt:lpstr>
      <vt:lpstr>'202'!OSRRefH22_14x_0</vt:lpstr>
      <vt:lpstr>'203'!OSRRefH22_14x_0</vt:lpstr>
      <vt:lpstr>'300'!OSRRefH22_14x_0</vt:lpstr>
      <vt:lpstr>'300 &amp; 317'!OSRRefH22_14x_0</vt:lpstr>
      <vt:lpstr>'301'!OSRRefH22_14x_0</vt:lpstr>
      <vt:lpstr>'308'!OSRRefH22_14x_0</vt:lpstr>
      <vt:lpstr>'310'!OSRRefH22_14x_0</vt:lpstr>
      <vt:lpstr>'310 &amp; 491'!OSRRefH22_14x_0</vt:lpstr>
      <vt:lpstr>'311'!OSRRefH22_14x_0</vt:lpstr>
      <vt:lpstr>'315'!OSRRefH22_14x_0</vt:lpstr>
      <vt:lpstr>'321'!OSRRefH22_14x_0</vt:lpstr>
      <vt:lpstr>'325'!OSRRefH22_14x_0</vt:lpstr>
      <vt:lpstr>'326'!OSRRefH22_14x_0</vt:lpstr>
      <vt:lpstr>'331'!OSRRefH22_14x_0</vt:lpstr>
      <vt:lpstr>'332'!OSRRefH22_14x_0</vt:lpstr>
      <vt:lpstr>'405'!OSRRefH22_14x_0</vt:lpstr>
      <vt:lpstr>'411'!OSRRefH22_14x_0</vt:lpstr>
      <vt:lpstr>'414'!OSRRefH22_14x_0</vt:lpstr>
      <vt:lpstr>'415'!OSRRefH22_14x_0</vt:lpstr>
      <vt:lpstr>'418'!OSRRefH22_14x_0</vt:lpstr>
      <vt:lpstr>'425'!OSRRefH22_14x_0</vt:lpstr>
      <vt:lpstr>'433'!OSRRefH22_14x_0</vt:lpstr>
      <vt:lpstr>'444'!OSRRefH22_14x_0</vt:lpstr>
      <vt:lpstr>'450'!OSRRefH22_14x_0</vt:lpstr>
      <vt:lpstr>'491'!OSRRefH22_14x_0</vt:lpstr>
      <vt:lpstr>'492'!OSRRefH22_14x_0</vt:lpstr>
      <vt:lpstr>'Div 2'!OSRRefH22_14x_0</vt:lpstr>
      <vt:lpstr>'Div 3'!OSRRefH22_14x_0</vt:lpstr>
      <vt:lpstr>'Div 4'!OSRRefH22_14x_0</vt:lpstr>
      <vt:lpstr>Summary!OSRRefH22_14x_0</vt:lpstr>
      <vt:lpstr>'201'!OSRRefH22_15x_0</vt:lpstr>
      <vt:lpstr>'202'!OSRRefH22_15x_0</vt:lpstr>
      <vt:lpstr>'203'!OSRRefH22_15x_0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'315'!OSRRefH22_15x_0</vt:lpstr>
      <vt:lpstr>'325'!OSRRefH22_15x_0</vt:lpstr>
      <vt:lpstr>'326'!OSRRefH22_15x_0</vt:lpstr>
      <vt:lpstr>'331'!OSRRefH22_15x_0</vt:lpstr>
      <vt:lpstr>'405'!OSRRefH22_15x_0</vt:lpstr>
      <vt:lpstr>'411'!OSRRefH22_15x_0</vt:lpstr>
      <vt:lpstr>'414'!OSRRefH22_15x_0</vt:lpstr>
      <vt:lpstr>'415'!OSRRefH22_15x_0</vt:lpstr>
      <vt:lpstr>'418'!OSRRefH22_15x_0</vt:lpstr>
      <vt:lpstr>'425'!OSRRefH22_15x_0</vt:lpstr>
      <vt:lpstr>'433'!OSRRefH22_15x_0</vt:lpstr>
      <vt:lpstr>'444'!OSRRefH22_15x_0</vt:lpstr>
      <vt:lpstr>'450'!OSRRefH22_15x_0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Summary!OSRRefH22_15x_0</vt:lpstr>
      <vt:lpstr>'201'!OSRRefH22_16x_0</vt:lpstr>
      <vt:lpstr>'202'!OSRRefH22_16x_0</vt:lpstr>
      <vt:lpstr>'300'!OSRRefH22_16x_0</vt:lpstr>
      <vt:lpstr>'300 &amp; 317'!OSRRefH22_16x_0</vt:lpstr>
      <vt:lpstr>'301'!OSRRefH22_16x_0</vt:lpstr>
      <vt:lpstr>'310'!OSRRefH22_16x_0</vt:lpstr>
      <vt:lpstr>'310 &amp; 491'!OSRRefH22_16x_0</vt:lpstr>
      <vt:lpstr>'325'!OSRRefH22_16x_0</vt:lpstr>
      <vt:lpstr>'326'!OSRRefH22_16x_0</vt:lpstr>
      <vt:lpstr>'331'!OSRRefH22_16x_0</vt:lpstr>
      <vt:lpstr>'405'!OSRRefH22_16x_0</vt:lpstr>
      <vt:lpstr>'411'!OSRRefH22_16x_0</vt:lpstr>
      <vt:lpstr>'415'!OSRRefH22_16x_0</vt:lpstr>
      <vt:lpstr>'444'!OSRRefH22_16x_0</vt:lpstr>
      <vt:lpstr>'450'!OSRRefH22_16x_0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'310'!OSRRefH22_17x_0</vt:lpstr>
      <vt:lpstr>'310 &amp; 491'!OSRRefH22_17x_0</vt:lpstr>
      <vt:lpstr>'325'!OSRRefH22_17x_0</vt:lpstr>
      <vt:lpstr>'326'!OSRRefH22_17x_0</vt:lpstr>
      <vt:lpstr>'331'!OSRRefH22_17x_0</vt:lpstr>
      <vt:lpstr>'405'!OSRRefH22_17x_0</vt:lpstr>
      <vt:lpstr>'415'!OSRRefH22_17x_0</vt:lpstr>
      <vt:lpstr>'491'!OSRRefH22_17x_0</vt:lpstr>
      <vt:lpstr>'492'!OSRRefH22_17x_0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'310'!OSRRefH22_18x_0</vt:lpstr>
      <vt:lpstr>'310 &amp; 491'!OSRRefH22_18x_0</vt:lpstr>
      <vt:lpstr>'326'!OSRRefH22_18x_0</vt:lpstr>
      <vt:lpstr>'331'!OSRRefH22_18x_0</vt:lpstr>
      <vt:lpstr>'415'!OSRRefH22_18x_0</vt:lpstr>
      <vt:lpstr>'491'!OSRRefH22_18x_0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'310'!OSRRefH22_19x_0</vt:lpstr>
      <vt:lpstr>'310 &amp; 491'!OSRRefH22_19x_0</vt:lpstr>
      <vt:lpstr>'326'!OSRRefH22_19x_0</vt:lpstr>
      <vt:lpstr>'331'!OSRRefH22_19x_0</vt:lpstr>
      <vt:lpstr>'491'!OSRRefH22_19x_0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'306'!OSRRefH22_1x_0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'313'!OSRRefH22_1x_0</vt:lpstr>
      <vt:lpstr>'314'!OSRRefH22_1x_0</vt:lpstr>
      <vt:lpstr>'315'!OSRRefH22_1x_0</vt:lpstr>
      <vt:lpstr>'316'!OSRRefH22_1x_0</vt:lpstr>
      <vt:lpstr>'317'!OSRRefH22_1x_0</vt:lpstr>
      <vt:lpstr>'320'!OSRRefH22_1x_0</vt:lpstr>
      <vt:lpstr>'321'!OSRRefH22_1x_0</vt:lpstr>
      <vt:lpstr>'322'!OSRRefH22_1x_0</vt:lpstr>
      <vt:lpstr>'325'!OSRRefH22_1x_0</vt:lpstr>
      <vt:lpstr>'326'!OSRRefH22_1x_0</vt:lpstr>
      <vt:lpstr>'330'!OSRRefH22_1x_0</vt:lpstr>
      <vt:lpstr>'331'!OSRRefH22_1x_0</vt:lpstr>
      <vt:lpstr>'332'!OSRRefH22_1x_0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'420'!OSRRefH22_1x_0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'435'!OSRRefH22_1x_0</vt:lpstr>
      <vt:lpstr>'444'!OSRRefH22_1x_0</vt:lpstr>
      <vt:lpstr>'450'!OSRRefH22_1x_0</vt:lpstr>
      <vt:lpstr>'455'!OSRRefH22_1x_0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'310'!OSRRefH22_20x_0</vt:lpstr>
      <vt:lpstr>'310 &amp; 491'!OSRRefH22_20x_0</vt:lpstr>
      <vt:lpstr>'326'!OSRRefH22_20x_0</vt:lpstr>
      <vt:lpstr>'331'!OSRRefH22_20x_0</vt:lpstr>
      <vt:lpstr>'491'!OSRRefH22_20x_0</vt:lpstr>
      <vt:lpstr>'Div 2'!OSRRefH22_20x_0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'301'!OSRRefH22_21x_0</vt:lpstr>
      <vt:lpstr>'310'!OSRRefH22_21x_0</vt:lpstr>
      <vt:lpstr>'310 &amp; 491'!OSRRefH22_21x_0</vt:lpstr>
      <vt:lpstr>'331'!OSRRefH22_21x_0</vt:lpstr>
      <vt:lpstr>'491'!OSRRefH22_21x_0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'301'!OSRRefH22_22x_0</vt:lpstr>
      <vt:lpstr>'310'!OSRRefH22_22x_0</vt:lpstr>
      <vt:lpstr>'310 &amp; 491'!OSRRefH22_22x_0</vt:lpstr>
      <vt:lpstr>'331'!OSRRefH22_22x_0</vt:lpstr>
      <vt:lpstr>'491'!OSRRefH22_22x_0</vt:lpstr>
      <vt:lpstr>'Div 3'!OSRRefH22_22x_0</vt:lpstr>
      <vt:lpstr>'Div 4'!OSRRefH22_22x_0</vt:lpstr>
      <vt:lpstr>Summary!OSRRefH22_22x_0</vt:lpstr>
      <vt:lpstr>'300'!OSRRefH22_23x_0</vt:lpstr>
      <vt:lpstr>'300 &amp; 317'!OSRRefH22_23x_0</vt:lpstr>
      <vt:lpstr>'310 &amp; 491'!OSRRefH22_23x_0</vt:lpstr>
      <vt:lpstr>'Div 3'!OSRRefH22_23x_0</vt:lpstr>
      <vt:lpstr>'Div 4'!OSRRefH22_23x_0</vt:lpstr>
      <vt:lpstr>Summary!OSRRefH22_23x_0</vt:lpstr>
      <vt:lpstr>'300'!OSRRefH22_24x_0</vt:lpstr>
      <vt:lpstr>'300 &amp; 317'!OSRRefH22_24x_0</vt:lpstr>
      <vt:lpstr>'310 &amp; 491'!OSRRefH22_24x_0</vt:lpstr>
      <vt:lpstr>'Div 3'!OSRRefH22_24x_0</vt:lpstr>
      <vt:lpstr>'Div 4'!OSRRefH22_24x_0</vt:lpstr>
      <vt:lpstr>Summary!OSRRefH22_24x_0</vt:lpstr>
      <vt:lpstr>'310 &amp; 491'!OSRRefH22_25x_0</vt:lpstr>
      <vt:lpstr>'Div 3'!OSRRefH22_25x_0</vt:lpstr>
      <vt:lpstr>Summary!OSRRefH22_25x_0</vt:lpstr>
      <vt:lpstr>'Div 3'!OSRRefH22_26x_0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'306'!OSRRefH22_2x_0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'313'!OSRRefH22_2x_0</vt:lpstr>
      <vt:lpstr>'314'!OSRRefH22_2x_0</vt:lpstr>
      <vt:lpstr>'315'!OSRRefH22_2x_0</vt:lpstr>
      <vt:lpstr>'316'!OSRRefH22_2x_0</vt:lpstr>
      <vt:lpstr>'317'!OSRRefH22_2x_0</vt:lpstr>
      <vt:lpstr>'320'!OSRRefH22_2x_0</vt:lpstr>
      <vt:lpstr>'321'!OSRRefH22_2x_0</vt:lpstr>
      <vt:lpstr>'322'!OSRRefH22_2x_0</vt:lpstr>
      <vt:lpstr>'325'!OSRRefH22_2x_0</vt:lpstr>
      <vt:lpstr>'326'!OSRRefH22_2x_0</vt:lpstr>
      <vt:lpstr>'330'!OSRRefH22_2x_0</vt:lpstr>
      <vt:lpstr>'331'!OSRRefH22_2x_0</vt:lpstr>
      <vt:lpstr>'332'!OSRRefH22_2x_0</vt:lpstr>
      <vt:lpstr>'405'!OSRRefH22_2x_0</vt:lpstr>
      <vt:lpstr>'406'!OSRRefH22_2x_0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'435'!OSRRefH22_2x_0</vt:lpstr>
      <vt:lpstr>'444'!OSRRefH22_2x_0</vt:lpstr>
      <vt:lpstr>'450'!OSRRefH22_2x_0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'306'!OSRRefH22_3x_0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'313'!OSRRefH22_3x_0</vt:lpstr>
      <vt:lpstr>'314'!OSRRefH22_3x_0</vt:lpstr>
      <vt:lpstr>'315'!OSRRefH22_3x_0</vt:lpstr>
      <vt:lpstr>'316'!OSRRefH22_3x_0</vt:lpstr>
      <vt:lpstr>'317'!OSRRefH22_3x_0</vt:lpstr>
      <vt:lpstr>'320'!OSRRefH22_3x_0</vt:lpstr>
      <vt:lpstr>'321'!OSRRefH22_3x_0</vt:lpstr>
      <vt:lpstr>'322'!OSRRefH22_3x_0</vt:lpstr>
      <vt:lpstr>'325'!OSRRefH22_3x_0</vt:lpstr>
      <vt:lpstr>'326'!OSRRefH22_3x_0</vt:lpstr>
      <vt:lpstr>'330'!OSRRefH22_3x_0</vt:lpstr>
      <vt:lpstr>'331'!OSRRefH22_3x_0</vt:lpstr>
      <vt:lpstr>'332'!OSRRefH22_3x_0</vt:lpstr>
      <vt:lpstr>'405'!OSRRefH22_3x_0</vt:lpstr>
      <vt:lpstr>'406'!OSRRefH22_3x_0</vt:lpstr>
      <vt:lpstr>'411'!OSRRefH22_3x_0</vt:lpstr>
      <vt:lpstr>'412'!OSRRefH22_3x_0</vt:lpstr>
      <vt:lpstr>'413'!OSRRefH22_3x_0</vt:lpstr>
      <vt:lpstr>'414'!OSRRefH22_3x_0</vt:lpstr>
      <vt:lpstr>'415'!OSRRefH22_3x_0</vt:lpstr>
      <vt:lpstr>'418'!OSRRefH22_3x_0</vt:lpstr>
      <vt:lpstr>'423'!OSRRefH22_3x_0</vt:lpstr>
      <vt:lpstr>'424'!OSRRefH22_3x_0</vt:lpstr>
      <vt:lpstr>'425'!OSRRefH22_3x_0</vt:lpstr>
      <vt:lpstr>'430'!OSRRefH22_3x_0</vt:lpstr>
      <vt:lpstr>'433'!OSRRefH22_3x_0</vt:lpstr>
      <vt:lpstr>'435'!OSRRefH22_3x_0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'306'!OSRRefH22_4x_0</vt:lpstr>
      <vt:lpstr>'307'!OSRRefH22_4x_0</vt:lpstr>
      <vt:lpstr>'308'!OSRRefH22_4x_0</vt:lpstr>
      <vt:lpstr>'309'!OSRRefH22_4x_0</vt:lpstr>
      <vt:lpstr>'310'!OSRRefH22_4x_0</vt:lpstr>
      <vt:lpstr>'310 &amp; 491'!OSRRefH22_4x_0</vt:lpstr>
      <vt:lpstr>'311'!OSRRefH22_4x_0</vt:lpstr>
      <vt:lpstr>'313'!OSRRefH22_4x_0</vt:lpstr>
      <vt:lpstr>'314'!OSRRefH22_4x_0</vt:lpstr>
      <vt:lpstr>'315'!OSRRefH22_4x_0</vt:lpstr>
      <vt:lpstr>'316'!OSRRefH22_4x_0</vt:lpstr>
      <vt:lpstr>'317'!OSRRefH22_4x_0</vt:lpstr>
      <vt:lpstr>'320'!OSRRefH22_4x_0</vt:lpstr>
      <vt:lpstr>'321'!OSRRefH22_4x_0</vt:lpstr>
      <vt:lpstr>'322'!OSRRefH22_4x_0</vt:lpstr>
      <vt:lpstr>'325'!OSRRefH22_4x_0</vt:lpstr>
      <vt:lpstr>'326'!OSRRefH22_4x_0</vt:lpstr>
      <vt:lpstr>'330'!OSRRefH22_4x_0</vt:lpstr>
      <vt:lpstr>'331'!OSRRefH22_4x_0</vt:lpstr>
      <vt:lpstr>'332'!OSRRefH22_4x_0</vt:lpstr>
      <vt:lpstr>'405'!OSRRefH22_4x_0</vt:lpstr>
      <vt:lpstr>'406'!OSRRefH22_4x_0</vt:lpstr>
      <vt:lpstr>'411'!OSRRefH22_4x_0</vt:lpstr>
      <vt:lpstr>'412'!OSRRefH22_4x_0</vt:lpstr>
      <vt:lpstr>'413'!OSRRefH22_4x_0</vt:lpstr>
      <vt:lpstr>'414'!OSRRefH22_4x_0</vt:lpstr>
      <vt:lpstr>'415'!OSRRefH22_4x_0</vt:lpstr>
      <vt:lpstr>'418'!OSRRefH22_4x_0</vt:lpstr>
      <vt:lpstr>'423'!OSRRefH22_4x_0</vt:lpstr>
      <vt:lpstr>'424'!OSRRefH22_4x_0</vt:lpstr>
      <vt:lpstr>'425'!OSRRefH22_4x_0</vt:lpstr>
      <vt:lpstr>'430'!OSRRefH22_4x_0</vt:lpstr>
      <vt:lpstr>'433'!OSRRefH22_4x_0</vt:lpstr>
      <vt:lpstr>'435'!OSRRefH22_4x_0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'306'!OSRRefH22_5x_0</vt:lpstr>
      <vt:lpstr>'307'!OSRRefH22_5x_0</vt:lpstr>
      <vt:lpstr>'308'!OSRRefH22_5x_0</vt:lpstr>
      <vt:lpstr>'309'!OSRRefH22_5x_0</vt:lpstr>
      <vt:lpstr>'310'!OSRRefH22_5x_0</vt:lpstr>
      <vt:lpstr>'310 &amp; 491'!OSRRefH22_5x_0</vt:lpstr>
      <vt:lpstr>'311'!OSRRefH22_5x_0</vt:lpstr>
      <vt:lpstr>'313'!OSRRefH22_5x_0</vt:lpstr>
      <vt:lpstr>'314'!OSRRefH22_5x_0</vt:lpstr>
      <vt:lpstr>'315'!OSRRefH22_5x_0</vt:lpstr>
      <vt:lpstr>'316'!OSRRefH22_5x_0</vt:lpstr>
      <vt:lpstr>'317'!OSRRefH22_5x_0</vt:lpstr>
      <vt:lpstr>'320'!OSRRefH22_5x_0</vt:lpstr>
      <vt:lpstr>'321'!OSRRefH22_5x_0</vt:lpstr>
      <vt:lpstr>'322'!OSRRefH22_5x_0</vt:lpstr>
      <vt:lpstr>'325'!OSRRefH22_5x_0</vt:lpstr>
      <vt:lpstr>'326'!OSRRefH22_5x_0</vt:lpstr>
      <vt:lpstr>'330'!OSRRefH22_5x_0</vt:lpstr>
      <vt:lpstr>'331'!OSRRefH22_5x_0</vt:lpstr>
      <vt:lpstr>'332'!OSRRefH22_5x_0</vt:lpstr>
      <vt:lpstr>'405'!OSRRefH22_5x_0</vt:lpstr>
      <vt:lpstr>'406'!OSRRefH22_5x_0</vt:lpstr>
      <vt:lpstr>'411'!OSRRefH22_5x_0</vt:lpstr>
      <vt:lpstr>'412'!OSRRefH22_5x_0</vt:lpstr>
      <vt:lpstr>'413'!OSRRefH22_5x_0</vt:lpstr>
      <vt:lpstr>'414'!OSRRefH22_5x_0</vt:lpstr>
      <vt:lpstr>'415'!OSRRefH22_5x_0</vt:lpstr>
      <vt:lpstr>'418'!OSRRefH22_5x_0</vt:lpstr>
      <vt:lpstr>'423'!OSRRefH22_5x_0</vt:lpstr>
      <vt:lpstr>'424'!OSRRefH22_5x_0</vt:lpstr>
      <vt:lpstr>'425'!OSRRefH22_5x_0</vt:lpstr>
      <vt:lpstr>'430'!OSRRefH22_5x_0</vt:lpstr>
      <vt:lpstr>'433'!OSRRefH22_5x_0</vt:lpstr>
      <vt:lpstr>'435'!OSRRefH22_5x_0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'306'!OSRRefH22_6x_0</vt:lpstr>
      <vt:lpstr>'307'!OSRRefH22_6x_0</vt:lpstr>
      <vt:lpstr>'308'!OSRRefH22_6x_0</vt:lpstr>
      <vt:lpstr>'309'!OSRRefH22_6x_0</vt:lpstr>
      <vt:lpstr>'310'!OSRRefH22_6x_0</vt:lpstr>
      <vt:lpstr>'310 &amp; 491'!OSRRefH22_6x_0</vt:lpstr>
      <vt:lpstr>'311'!OSRRefH22_6x_0</vt:lpstr>
      <vt:lpstr>'313'!OSRRefH22_6x_0</vt:lpstr>
      <vt:lpstr>'314'!OSRRefH22_6x_0</vt:lpstr>
      <vt:lpstr>'315'!OSRRefH22_6x_0</vt:lpstr>
      <vt:lpstr>'316'!OSRRefH22_6x_0</vt:lpstr>
      <vt:lpstr>'317'!OSRRefH22_6x_0</vt:lpstr>
      <vt:lpstr>'320'!OSRRefH22_6x_0</vt:lpstr>
      <vt:lpstr>'321'!OSRRefH22_6x_0</vt:lpstr>
      <vt:lpstr>'322'!OSRRefH22_6x_0</vt:lpstr>
      <vt:lpstr>'325'!OSRRefH22_6x_0</vt:lpstr>
      <vt:lpstr>'326'!OSRRefH22_6x_0</vt:lpstr>
      <vt:lpstr>'330'!OSRRefH22_6x_0</vt:lpstr>
      <vt:lpstr>'331'!OSRRefH22_6x_0</vt:lpstr>
      <vt:lpstr>'332'!OSRRefH22_6x_0</vt:lpstr>
      <vt:lpstr>'405'!OSRRefH22_6x_0</vt:lpstr>
      <vt:lpstr>'406'!OSRRefH22_6x_0</vt:lpstr>
      <vt:lpstr>'411'!OSRRefH22_6x_0</vt:lpstr>
      <vt:lpstr>'412'!OSRRefH22_6x_0</vt:lpstr>
      <vt:lpstr>'413'!OSRRefH22_6x_0</vt:lpstr>
      <vt:lpstr>'414'!OSRRefH22_6x_0</vt:lpstr>
      <vt:lpstr>'415'!OSRRefH22_6x_0</vt:lpstr>
      <vt:lpstr>'418'!OSRRefH22_6x_0</vt:lpstr>
      <vt:lpstr>'424'!OSRRefH22_6x_0</vt:lpstr>
      <vt:lpstr>'425'!OSRRefH22_6x_0</vt:lpstr>
      <vt:lpstr>'430'!OSRRefH22_6x_0</vt:lpstr>
      <vt:lpstr>'433'!OSRRefH22_6x_0</vt:lpstr>
      <vt:lpstr>'435'!OSRRefH22_6x_0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'205'!OSRRefH22_7x_0</vt:lpstr>
      <vt:lpstr>'206'!OSRRefH22_7x_0</vt:lpstr>
      <vt:lpstr>'300'!OSRRefH22_7x_0</vt:lpstr>
      <vt:lpstr>'300 &amp; 317'!OSRRefH22_7x_0</vt:lpstr>
      <vt:lpstr>'301'!OSRRefH22_7x_0</vt:lpstr>
      <vt:lpstr>'306'!OSRRefH22_7x_0</vt:lpstr>
      <vt:lpstr>'307'!OSRRefH22_7x_0</vt:lpstr>
      <vt:lpstr>'308'!OSRRefH22_7x_0</vt:lpstr>
      <vt:lpstr>'309'!OSRRefH22_7x_0</vt:lpstr>
      <vt:lpstr>'310'!OSRRefH22_7x_0</vt:lpstr>
      <vt:lpstr>'310 &amp; 491'!OSRRefH22_7x_0</vt:lpstr>
      <vt:lpstr>'311'!OSRRefH22_7x_0</vt:lpstr>
      <vt:lpstr>'313'!OSRRefH22_7x_0</vt:lpstr>
      <vt:lpstr>'314'!OSRRefH22_7x_0</vt:lpstr>
      <vt:lpstr>'315'!OSRRefH22_7x_0</vt:lpstr>
      <vt:lpstr>'316'!OSRRefH22_7x_0</vt:lpstr>
      <vt:lpstr>'317'!OSRRefH22_7x_0</vt:lpstr>
      <vt:lpstr>'320'!OSRRefH22_7x_0</vt:lpstr>
      <vt:lpstr>'321'!OSRRefH22_7x_0</vt:lpstr>
      <vt:lpstr>'322'!OSRRefH22_7x_0</vt:lpstr>
      <vt:lpstr>'325'!OSRRefH22_7x_0</vt:lpstr>
      <vt:lpstr>'326'!OSRRefH22_7x_0</vt:lpstr>
      <vt:lpstr>'330'!OSRRefH22_7x_0</vt:lpstr>
      <vt:lpstr>'331'!OSRRefH22_7x_0</vt:lpstr>
      <vt:lpstr>'332'!OSRRefH22_7x_0</vt:lpstr>
      <vt:lpstr>'405'!OSRRefH22_7x_0</vt:lpstr>
      <vt:lpstr>'406'!OSRRefH22_7x_0</vt:lpstr>
      <vt:lpstr>'411'!OSRRefH22_7x_0</vt:lpstr>
      <vt:lpstr>'412'!OSRRefH22_7x_0</vt:lpstr>
      <vt:lpstr>'413'!OSRRefH22_7x_0</vt:lpstr>
      <vt:lpstr>'414'!OSRRefH22_7x_0</vt:lpstr>
      <vt:lpstr>'415'!OSRRefH22_7x_0</vt:lpstr>
      <vt:lpstr>'418'!OSRRefH22_7x_0</vt:lpstr>
      <vt:lpstr>'424'!OSRRefH22_7x_0</vt:lpstr>
      <vt:lpstr>'425'!OSRRefH22_7x_0</vt:lpstr>
      <vt:lpstr>'430'!OSRRefH22_7x_0</vt:lpstr>
      <vt:lpstr>'433'!OSRRefH22_7x_0</vt:lpstr>
      <vt:lpstr>'435'!OSRRefH22_7x_0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'204'!OSRRefH22_8x_0</vt:lpstr>
      <vt:lpstr>'205'!OSRRefH22_8x_0</vt:lpstr>
      <vt:lpstr>'206'!OSRRefH22_8x_0</vt:lpstr>
      <vt:lpstr>'300'!OSRRefH22_8x_0</vt:lpstr>
      <vt:lpstr>'300 &amp; 317'!OSRRefH22_8x_0</vt:lpstr>
      <vt:lpstr>'301'!OSRRefH22_8x_0</vt:lpstr>
      <vt:lpstr>'306'!OSRRefH22_8x_0</vt:lpstr>
      <vt:lpstr>'307'!OSRRefH22_8x_0</vt:lpstr>
      <vt:lpstr>'308'!OSRRefH22_8x_0</vt:lpstr>
      <vt:lpstr>'309'!OSRRefH22_8x_0</vt:lpstr>
      <vt:lpstr>'310'!OSRRefH22_8x_0</vt:lpstr>
      <vt:lpstr>'310 &amp; 491'!OSRRefH22_8x_0</vt:lpstr>
      <vt:lpstr>'311'!OSRRefH22_8x_0</vt:lpstr>
      <vt:lpstr>'313'!OSRRefH22_8x_0</vt:lpstr>
      <vt:lpstr>'315'!OSRRefH22_8x_0</vt:lpstr>
      <vt:lpstr>'316'!OSRRefH22_8x_0</vt:lpstr>
      <vt:lpstr>'317'!OSRRefH22_8x_0</vt:lpstr>
      <vt:lpstr>'320'!OSRRefH22_8x_0</vt:lpstr>
      <vt:lpstr>'321'!OSRRefH22_8x_0</vt:lpstr>
      <vt:lpstr>'322'!OSRRefH22_8x_0</vt:lpstr>
      <vt:lpstr>'325'!OSRRefH22_8x_0</vt:lpstr>
      <vt:lpstr>'326'!OSRRefH22_8x_0</vt:lpstr>
      <vt:lpstr>'330'!OSRRefH22_8x_0</vt:lpstr>
      <vt:lpstr>'331'!OSRRefH22_8x_0</vt:lpstr>
      <vt:lpstr>'332'!OSRRefH22_8x_0</vt:lpstr>
      <vt:lpstr>'405'!OSRRefH22_8x_0</vt:lpstr>
      <vt:lpstr>'406'!OSRRefH22_8x_0</vt:lpstr>
      <vt:lpstr>'411'!OSRRefH22_8x_0</vt:lpstr>
      <vt:lpstr>'412'!OSRRefH22_8x_0</vt:lpstr>
      <vt:lpstr>'413'!OSRRefH22_8x_0</vt:lpstr>
      <vt:lpstr>'414'!OSRRefH22_8x_0</vt:lpstr>
      <vt:lpstr>'415'!OSRRefH22_8x_0</vt:lpstr>
      <vt:lpstr>'418'!OSRRefH22_8x_0</vt:lpstr>
      <vt:lpstr>'424'!OSRRefH22_8x_0</vt:lpstr>
      <vt:lpstr>'425'!OSRRefH22_8x_0</vt:lpstr>
      <vt:lpstr>'430'!OSRRefH22_8x_0</vt:lpstr>
      <vt:lpstr>'433'!OSRRefH22_8x_0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'204'!OSRRefH22_9x_0</vt:lpstr>
      <vt:lpstr>'205'!OSRRefH22_9x_0</vt:lpstr>
      <vt:lpstr>'206'!OSRRefH22_9x_0</vt:lpstr>
      <vt:lpstr>'300'!OSRRefH22_9x_0</vt:lpstr>
      <vt:lpstr>'300 &amp; 317'!OSRRefH22_9x_0</vt:lpstr>
      <vt:lpstr>'301'!OSRRefH22_9x_0</vt:lpstr>
      <vt:lpstr>'307'!OSRRefH22_9x_0</vt:lpstr>
      <vt:lpstr>'308'!OSRRefH22_9x_0</vt:lpstr>
      <vt:lpstr>'309'!OSRRefH22_9x_0</vt:lpstr>
      <vt:lpstr>'310'!OSRRefH22_9x_0</vt:lpstr>
      <vt:lpstr>'310 &amp; 491'!OSRRefH22_9x_0</vt:lpstr>
      <vt:lpstr>'311'!OSRRefH22_9x_0</vt:lpstr>
      <vt:lpstr>'313'!OSRRefH22_9x_0</vt:lpstr>
      <vt:lpstr>'315'!OSRRefH22_9x_0</vt:lpstr>
      <vt:lpstr>'316'!OSRRefH22_9x_0</vt:lpstr>
      <vt:lpstr>'317'!OSRRefH22_9x_0</vt:lpstr>
      <vt:lpstr>'321'!OSRRefH22_9x_0</vt:lpstr>
      <vt:lpstr>'322'!OSRRefH22_9x_0</vt:lpstr>
      <vt:lpstr>'325'!OSRRefH22_9x_0</vt:lpstr>
      <vt:lpstr>'326'!OSRRefH22_9x_0</vt:lpstr>
      <vt:lpstr>'330'!OSRRefH22_9x_0</vt:lpstr>
      <vt:lpstr>'331'!OSRRefH22_9x_0</vt:lpstr>
      <vt:lpstr>'332'!OSRRefH22_9x_0</vt:lpstr>
      <vt:lpstr>'405'!OSRRefH22_9x_0</vt:lpstr>
      <vt:lpstr>'406'!OSRRefH22_9x_0</vt:lpstr>
      <vt:lpstr>'411'!OSRRefH22_9x_0</vt:lpstr>
      <vt:lpstr>'412'!OSRRefH22_9x_0</vt:lpstr>
      <vt:lpstr>'413'!OSRRefH22_9x_0</vt:lpstr>
      <vt:lpstr>'414'!OSRRefH22_9x_0</vt:lpstr>
      <vt:lpstr>'415'!OSRRefH22_9x_0</vt:lpstr>
      <vt:lpstr>'418'!OSRRefH22_9x_0</vt:lpstr>
      <vt:lpstr>'424'!OSRRefH22_9x_0</vt:lpstr>
      <vt:lpstr>'425'!OSRRefH22_9x_0</vt:lpstr>
      <vt:lpstr>'430'!OSRRefH22_9x_0</vt:lpstr>
      <vt:lpstr>'433'!OSRRefH22_9x_0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'306'!OSRRefH22x_0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'313'!OSRRefH22x_0</vt:lpstr>
      <vt:lpstr>'314'!OSRRefH22x_0</vt:lpstr>
      <vt:lpstr>'315'!OSRRefH22x_0</vt:lpstr>
      <vt:lpstr>'316'!OSRRefH22x_0</vt:lpstr>
      <vt:lpstr>'317'!OSRRefH22x_0</vt:lpstr>
      <vt:lpstr>'320'!OSRRefH22x_0</vt:lpstr>
      <vt:lpstr>'321'!OSRRefH22x_0</vt:lpstr>
      <vt:lpstr>'322'!OSRRefH22x_0</vt:lpstr>
      <vt:lpstr>'325'!OSRRefH22x_0</vt:lpstr>
      <vt:lpstr>'326'!OSRRefH22x_0</vt:lpstr>
      <vt:lpstr>'327'!OSRRefH22x_0</vt:lpstr>
      <vt:lpstr>'330'!OSRRefH22x_0</vt:lpstr>
      <vt:lpstr>'331'!OSRRefH22x_0</vt:lpstr>
      <vt:lpstr>'332'!OSRRefH22x_0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'420'!OSRRefH22x_0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'450'!OSRRefH22x_0</vt:lpstr>
      <vt:lpstr>'455'!OSRRefH22x_0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'300'!OSRRefH25x_0</vt:lpstr>
      <vt:lpstr>'300 &amp; 317'!OSRRefH25x_0</vt:lpstr>
      <vt:lpstr>'301'!OSRRefH25x_0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'320'!OSRRefH25x_0</vt:lpstr>
      <vt:lpstr>'331'!OSRRefH25x_0</vt:lpstr>
      <vt:lpstr>'332'!OSRRefH25x_0</vt:lpstr>
      <vt:lpstr>'411'!OSRRefH25x_0</vt:lpstr>
      <vt:lpstr>'413'!OSRRefH25x_0</vt:lpstr>
      <vt:lpstr>'423'!OSRRefH25x_0</vt:lpstr>
      <vt:lpstr>'424'!OSRRefH25x_0</vt:lpstr>
      <vt:lpstr>'425'!OSRRefH25x_0</vt:lpstr>
      <vt:lpstr>'455'!OSRRefH25x_0</vt:lpstr>
      <vt:lpstr>'491'!OSRRefH25x_0</vt:lpstr>
      <vt:lpstr>'501'!OSRRefH25x_0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'300'!OSRRefP13x_0</vt:lpstr>
      <vt:lpstr>'300 &amp; 317'!OSRRefP13x_0</vt:lpstr>
      <vt:lpstr>'307'!OSRRefP13x_0</vt:lpstr>
      <vt:lpstr>'308'!OSRRefP13x_0</vt:lpstr>
      <vt:lpstr>'309'!OSRRefP13x_0</vt:lpstr>
      <vt:lpstr>'310'!OSRRefP13x_0</vt:lpstr>
      <vt:lpstr>'310 &amp; 491'!OSRRefP13x_0</vt:lpstr>
      <vt:lpstr>'311'!OSRRefP13x_0</vt:lpstr>
      <vt:lpstr>'313'!OSRRefP13x_0</vt:lpstr>
      <vt:lpstr>'314'!OSRRefP13x_0</vt:lpstr>
      <vt:lpstr>'315'!OSRRefP13x_0</vt:lpstr>
      <vt:lpstr>'316'!OSRRefP13x_0</vt:lpstr>
      <vt:lpstr>'317'!OSRRefP13x_0</vt:lpstr>
      <vt:lpstr>'320'!OSRRefP13x_0</vt:lpstr>
      <vt:lpstr>'321'!OSRRefP13x_0</vt:lpstr>
      <vt:lpstr>'322'!OSRRefP13x_0</vt:lpstr>
      <vt:lpstr>'324'!OSRRefP13x_0</vt:lpstr>
      <vt:lpstr>'325'!OSRRefP13x_0</vt:lpstr>
      <vt:lpstr>'326'!OSRRefP13x_0</vt:lpstr>
      <vt:lpstr>'327'!OSRRefP13x_0</vt:lpstr>
      <vt:lpstr>'330'!OSRRefP13x_0</vt:lpstr>
      <vt:lpstr>'331'!OSRRefP13x_0</vt:lpstr>
      <vt:lpstr>'332'!OSRRefP13x_0</vt:lpstr>
      <vt:lpstr>'405'!OSRRefP13x_0</vt:lpstr>
      <vt:lpstr>'406'!OSRRefP13x_0</vt:lpstr>
      <vt:lpstr>'412'!OSRRefP13x_0</vt:lpstr>
      <vt:lpstr>'413'!OSRRefP13x_0</vt:lpstr>
      <vt:lpstr>'414'!OSRRefP13x_0</vt:lpstr>
      <vt:lpstr>'415'!OSRRefP13x_0</vt:lpstr>
      <vt:lpstr>'418'!OSRRefP13x_0</vt:lpstr>
      <vt:lpstr>'424'!OSRRefP13x_0</vt:lpstr>
      <vt:lpstr>'425'!OSRRefP13x_0</vt:lpstr>
      <vt:lpstr>'433'!OSRRefP13x_0</vt:lpstr>
      <vt:lpstr>'435'!OSRRefP13x_0</vt:lpstr>
      <vt:lpstr>'444'!OSRRefP13x_0</vt:lpstr>
      <vt:lpstr>'450'!OSRRefP13x_0</vt:lpstr>
      <vt:lpstr>'491'!OSRRefP13x_0</vt:lpstr>
      <vt:lpstr>'492'!OSRRefP13x_0</vt:lpstr>
      <vt:lpstr>'501'!OSRRefP13x_0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'307'!OSRRefP16x_0</vt:lpstr>
      <vt:lpstr>'308'!OSRRefP16x_0</vt:lpstr>
      <vt:lpstr>'309'!OSRRefP16x_0</vt:lpstr>
      <vt:lpstr>'310'!OSRRefP16x_0</vt:lpstr>
      <vt:lpstr>'310 &amp; 491'!OSRRefP16x_0</vt:lpstr>
      <vt:lpstr>'311'!OSRRefP16x_0</vt:lpstr>
      <vt:lpstr>'313'!OSRRefP16x_0</vt:lpstr>
      <vt:lpstr>'314'!OSRRefP16x_0</vt:lpstr>
      <vt:lpstr>'315'!OSRRefP16x_0</vt:lpstr>
      <vt:lpstr>'317'!OSRRefP16x_0</vt:lpstr>
      <vt:lpstr>'320'!OSRRefP16x_0</vt:lpstr>
      <vt:lpstr>'321'!OSRRefP16x_0</vt:lpstr>
      <vt:lpstr>'322'!OSRRefP16x_0</vt:lpstr>
      <vt:lpstr>'324'!OSRRefP16x_0</vt:lpstr>
      <vt:lpstr>'325'!OSRRefP16x_0</vt:lpstr>
      <vt:lpstr>'326'!OSRRefP16x_0</vt:lpstr>
      <vt:lpstr>'327'!OSRRefP16x_0</vt:lpstr>
      <vt:lpstr>'330'!OSRRefP16x_0</vt:lpstr>
      <vt:lpstr>'331'!OSRRefP16x_0</vt:lpstr>
      <vt:lpstr>'332'!OSRRefP16x_0</vt:lpstr>
      <vt:lpstr>'405'!OSRRefP16x_0</vt:lpstr>
      <vt:lpstr>'406'!OSRRefP16x_0</vt:lpstr>
      <vt:lpstr>'412'!OSRRefP16x_0</vt:lpstr>
      <vt:lpstr>'413'!OSRRefP16x_0</vt:lpstr>
      <vt:lpstr>'414'!OSRRefP16x_0</vt:lpstr>
      <vt:lpstr>'415'!OSRRefP16x_0</vt:lpstr>
      <vt:lpstr>'418'!OSRRefP16x_0</vt:lpstr>
      <vt:lpstr>'423'!OSRRefP16x_0</vt:lpstr>
      <vt:lpstr>'424'!OSRRefP16x_0</vt:lpstr>
      <vt:lpstr>'425'!OSRRefP16x_0</vt:lpstr>
      <vt:lpstr>'433'!OSRRefP16x_0</vt:lpstr>
      <vt:lpstr>'435'!OSRRefP16x_0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'306'!OSRRefP22_0x_0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'313'!OSRRefP22_0x_0</vt:lpstr>
      <vt:lpstr>'314'!OSRRefP22_0x_0</vt:lpstr>
      <vt:lpstr>'315'!OSRRefP22_0x_0</vt:lpstr>
      <vt:lpstr>'316'!OSRRefP22_0x_0</vt:lpstr>
      <vt:lpstr>'317'!OSRRefP22_0x_0</vt:lpstr>
      <vt:lpstr>'320'!OSRRefP22_0x_0</vt:lpstr>
      <vt:lpstr>'321'!OSRRefP22_0x_0</vt:lpstr>
      <vt:lpstr>'322'!OSRRefP22_0x_0</vt:lpstr>
      <vt:lpstr>'325'!OSRRefP22_0x_0</vt:lpstr>
      <vt:lpstr>'326'!OSRRefP22_0x_0</vt:lpstr>
      <vt:lpstr>'327'!OSRRefP22_0x_0</vt:lpstr>
      <vt:lpstr>'330'!OSRRefP22_0x_0</vt:lpstr>
      <vt:lpstr>'331'!OSRRefP22_0x_0</vt:lpstr>
      <vt:lpstr>'332'!OSRRefP22_0x_0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'420'!OSRRefP22_0x_0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'450'!OSRRefP22_0x_0</vt:lpstr>
      <vt:lpstr>'455'!OSRRefP22_0x_0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'204'!OSRRefP22_10x_0</vt:lpstr>
      <vt:lpstr>'206'!OSRRefP22_10x_0</vt:lpstr>
      <vt:lpstr>'300'!OSRRefP22_10x_0</vt:lpstr>
      <vt:lpstr>'300 &amp; 317'!OSRRefP22_10x_0</vt:lpstr>
      <vt:lpstr>'301'!OSRRefP22_10x_0</vt:lpstr>
      <vt:lpstr>'307'!OSRRefP22_10x_0</vt:lpstr>
      <vt:lpstr>'308'!OSRRefP22_10x_0</vt:lpstr>
      <vt:lpstr>'309'!OSRRefP22_10x_0</vt:lpstr>
      <vt:lpstr>'310'!OSRRefP22_10x_0</vt:lpstr>
      <vt:lpstr>'310 &amp; 491'!OSRRefP22_10x_0</vt:lpstr>
      <vt:lpstr>'311'!OSRRefP22_10x_0</vt:lpstr>
      <vt:lpstr>'313'!OSRRefP22_10x_0</vt:lpstr>
      <vt:lpstr>'315'!OSRRefP22_10x_0</vt:lpstr>
      <vt:lpstr>'316'!OSRRefP22_10x_0</vt:lpstr>
      <vt:lpstr>'317'!OSRRefP22_10x_0</vt:lpstr>
      <vt:lpstr>'321'!OSRRefP22_10x_0</vt:lpstr>
      <vt:lpstr>'322'!OSRRefP22_10x_0</vt:lpstr>
      <vt:lpstr>'325'!OSRRefP22_10x_0</vt:lpstr>
      <vt:lpstr>'326'!OSRRefP22_10x_0</vt:lpstr>
      <vt:lpstr>'330'!OSRRefP22_10x_0</vt:lpstr>
      <vt:lpstr>'331'!OSRRefP22_10x_0</vt:lpstr>
      <vt:lpstr>'332'!OSRRefP22_10x_0</vt:lpstr>
      <vt:lpstr>'405'!OSRRefP22_10x_0</vt:lpstr>
      <vt:lpstr>'406'!OSRRefP22_10x_0</vt:lpstr>
      <vt:lpstr>'411'!OSRRefP22_10x_0</vt:lpstr>
      <vt:lpstr>'412'!OSRRefP22_10x_0</vt:lpstr>
      <vt:lpstr>'413'!OSRRefP22_10x_0</vt:lpstr>
      <vt:lpstr>'414'!OSRRefP22_10x_0</vt:lpstr>
      <vt:lpstr>'415'!OSRRefP22_10x_0</vt:lpstr>
      <vt:lpstr>'418'!OSRRefP22_10x_0</vt:lpstr>
      <vt:lpstr>'424'!OSRRefP22_10x_0</vt:lpstr>
      <vt:lpstr>'425'!OSRRefP22_10x_0</vt:lpstr>
      <vt:lpstr>'430'!OSRRefP22_10x_0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'Div 6'!OSRRefP22_10x_0</vt:lpstr>
      <vt:lpstr>Summary!OSRRefP22_10x_0</vt:lpstr>
      <vt:lpstr>'201'!OSRRefP22_11x_0</vt:lpstr>
      <vt:lpstr>'202'!OSRRefP22_11x_0</vt:lpstr>
      <vt:lpstr>'203'!OSRRefP22_11x_0</vt:lpstr>
      <vt:lpstr>'204'!OSRRefP22_11x_0</vt:lpstr>
      <vt:lpstr>'300'!OSRRefP22_11x_0</vt:lpstr>
      <vt:lpstr>'300 &amp; 317'!OSRRefP22_11x_0</vt:lpstr>
      <vt:lpstr>'301'!OSRRefP22_11x_0</vt:lpstr>
      <vt:lpstr>'307'!OSRRefP22_11x_0</vt:lpstr>
      <vt:lpstr>'308'!OSRRefP22_11x_0</vt:lpstr>
      <vt:lpstr>'309'!OSRRefP22_11x_0</vt:lpstr>
      <vt:lpstr>'310'!OSRRefP22_11x_0</vt:lpstr>
      <vt:lpstr>'310 &amp; 491'!OSRRefP22_11x_0</vt:lpstr>
      <vt:lpstr>'311'!OSRRefP22_11x_0</vt:lpstr>
      <vt:lpstr>'313'!OSRRefP22_11x_0</vt:lpstr>
      <vt:lpstr>'315'!OSRRefP22_11x_0</vt:lpstr>
      <vt:lpstr>'316'!OSRRefP22_11x_0</vt:lpstr>
      <vt:lpstr>'321'!OSRRefP22_11x_0</vt:lpstr>
      <vt:lpstr>'322'!OSRRefP22_11x_0</vt:lpstr>
      <vt:lpstr>'325'!OSRRefP22_11x_0</vt:lpstr>
      <vt:lpstr>'326'!OSRRefP22_11x_0</vt:lpstr>
      <vt:lpstr>'330'!OSRRefP22_11x_0</vt:lpstr>
      <vt:lpstr>'331'!OSRRefP22_11x_0</vt:lpstr>
      <vt:lpstr>'332'!OSRRefP22_11x_0</vt:lpstr>
      <vt:lpstr>'405'!OSRRefP22_11x_0</vt:lpstr>
      <vt:lpstr>'406'!OSRRefP22_11x_0</vt:lpstr>
      <vt:lpstr>'411'!OSRRefP22_11x_0</vt:lpstr>
      <vt:lpstr>'412'!OSRRefP22_11x_0</vt:lpstr>
      <vt:lpstr>'413'!OSRRefP22_11x_0</vt:lpstr>
      <vt:lpstr>'414'!OSRRefP22_11x_0</vt:lpstr>
      <vt:lpstr>'415'!OSRRefP22_11x_0</vt:lpstr>
      <vt:lpstr>'418'!OSRRefP22_11x_0</vt:lpstr>
      <vt:lpstr>'424'!OSRRefP22_11x_0</vt:lpstr>
      <vt:lpstr>'425'!OSRRefP22_11x_0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'501'!OSRRefP22_11x_0</vt:lpstr>
      <vt:lpstr>'Div 2'!OSRRefP22_11x_0</vt:lpstr>
      <vt:lpstr>'Div 3'!OSRRefP22_11x_0</vt:lpstr>
      <vt:lpstr>'Div 4'!OSRRefP22_11x_0</vt:lpstr>
      <vt:lpstr>'Div 5'!OSRRefP22_11x_0</vt:lpstr>
      <vt:lpstr>Summary!OSRRefP22_11x_0</vt:lpstr>
      <vt:lpstr>'201'!OSRRefP22_12x_0</vt:lpstr>
      <vt:lpstr>'202'!OSRRefP22_12x_0</vt:lpstr>
      <vt:lpstr>'203'!OSRRefP22_12x_0</vt:lpstr>
      <vt:lpstr>'204'!OSRRefP22_12x_0</vt:lpstr>
      <vt:lpstr>'300'!OSRRefP22_12x_0</vt:lpstr>
      <vt:lpstr>'300 &amp; 317'!OSRRefP22_12x_0</vt:lpstr>
      <vt:lpstr>'301'!OSRRefP22_12x_0</vt:lpstr>
      <vt:lpstr>'307'!OSRRefP22_12x_0</vt:lpstr>
      <vt:lpstr>'308'!OSRRefP22_12x_0</vt:lpstr>
      <vt:lpstr>'309'!OSRRefP22_12x_0</vt:lpstr>
      <vt:lpstr>'310'!OSRRefP22_12x_0</vt:lpstr>
      <vt:lpstr>'310 &amp; 491'!OSRRefP22_12x_0</vt:lpstr>
      <vt:lpstr>'311'!OSRRefP22_12x_0</vt:lpstr>
      <vt:lpstr>'313'!OSRRefP22_12x_0</vt:lpstr>
      <vt:lpstr>'315'!OSRRefP22_12x_0</vt:lpstr>
      <vt:lpstr>'316'!OSRRefP22_12x_0</vt:lpstr>
      <vt:lpstr>'321'!OSRRefP22_12x_0</vt:lpstr>
      <vt:lpstr>'322'!OSRRefP22_12x_0</vt:lpstr>
      <vt:lpstr>'325'!OSRRefP22_12x_0</vt:lpstr>
      <vt:lpstr>'326'!OSRRefP22_12x_0</vt:lpstr>
      <vt:lpstr>'330'!OSRRefP22_12x_0</vt:lpstr>
      <vt:lpstr>'331'!OSRRefP22_12x_0</vt:lpstr>
      <vt:lpstr>'332'!OSRRefP22_12x_0</vt:lpstr>
      <vt:lpstr>'405'!OSRRefP22_12x_0</vt:lpstr>
      <vt:lpstr>'406'!OSRRefP22_12x_0</vt:lpstr>
      <vt:lpstr>'411'!OSRRefP22_12x_0</vt:lpstr>
      <vt:lpstr>'412'!OSRRefP22_12x_0</vt:lpstr>
      <vt:lpstr>'414'!OSRRefP22_12x_0</vt:lpstr>
      <vt:lpstr>'415'!OSRRefP22_12x_0</vt:lpstr>
      <vt:lpstr>'418'!OSRRefP22_12x_0</vt:lpstr>
      <vt:lpstr>'425'!OSRRefP22_12x_0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'501'!OSRRefP22_12x_0</vt:lpstr>
      <vt:lpstr>'Div 2'!OSRRefP22_12x_0</vt:lpstr>
      <vt:lpstr>'Div 3'!OSRRefP22_12x_0</vt:lpstr>
      <vt:lpstr>'Div 4'!OSRRefP22_12x_0</vt:lpstr>
      <vt:lpstr>'Div 5'!OSRRefP22_12x_0</vt:lpstr>
      <vt:lpstr>Summary!OSRRefP22_12x_0</vt:lpstr>
      <vt:lpstr>'201'!OSRRefP22_13x_0</vt:lpstr>
      <vt:lpstr>'202'!OSRRefP22_13x_0</vt:lpstr>
      <vt:lpstr>'203'!OSRRefP22_13x_0</vt:lpstr>
      <vt:lpstr>'300'!OSRRefP22_13x_0</vt:lpstr>
      <vt:lpstr>'300 &amp; 317'!OSRRefP22_13x_0</vt:lpstr>
      <vt:lpstr>'301'!OSRRefP22_13x_0</vt:lpstr>
      <vt:lpstr>'308'!OSRRefP22_13x_0</vt:lpstr>
      <vt:lpstr>'310'!OSRRefP22_13x_0</vt:lpstr>
      <vt:lpstr>'310 &amp; 491'!OSRRefP22_13x_0</vt:lpstr>
      <vt:lpstr>'311'!OSRRefP22_13x_0</vt:lpstr>
      <vt:lpstr>'313'!OSRRefP22_13x_0</vt:lpstr>
      <vt:lpstr>'315'!OSRRefP22_13x_0</vt:lpstr>
      <vt:lpstr>'316'!OSRRefP22_13x_0</vt:lpstr>
      <vt:lpstr>'321'!OSRRefP22_13x_0</vt:lpstr>
      <vt:lpstr>'322'!OSRRefP22_13x_0</vt:lpstr>
      <vt:lpstr>'325'!OSRRefP22_13x_0</vt:lpstr>
      <vt:lpstr>'326'!OSRRefP22_13x_0</vt:lpstr>
      <vt:lpstr>'330'!OSRRefP22_13x_0</vt:lpstr>
      <vt:lpstr>'331'!OSRRefP22_13x_0</vt:lpstr>
      <vt:lpstr>'332'!OSRRefP22_13x_0</vt:lpstr>
      <vt:lpstr>'405'!OSRRefP22_13x_0</vt:lpstr>
      <vt:lpstr>'406'!OSRRefP22_13x_0</vt:lpstr>
      <vt:lpstr>'411'!OSRRefP22_13x_0</vt:lpstr>
      <vt:lpstr>'412'!OSRRefP22_13x_0</vt:lpstr>
      <vt:lpstr>'414'!OSRRefP22_13x_0</vt:lpstr>
      <vt:lpstr>'415'!OSRRefP22_13x_0</vt:lpstr>
      <vt:lpstr>'418'!OSRRefP22_13x_0</vt:lpstr>
      <vt:lpstr>'425'!OSRRefP22_13x_0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'Div 2'!OSRRefP22_13x_0</vt:lpstr>
      <vt:lpstr>'Div 3'!OSRRefP22_13x_0</vt:lpstr>
      <vt:lpstr>'Div 4'!OSRRefP22_13x_0</vt:lpstr>
      <vt:lpstr>Summary!OSRRefP22_13x_0</vt:lpstr>
      <vt:lpstr>'201'!OSRRefP22_14x_0</vt:lpstr>
      <vt:lpstr>'202'!OSRRefP22_14x_0</vt:lpstr>
      <vt:lpstr>'203'!OSRRefP22_14x_0</vt:lpstr>
      <vt:lpstr>'300'!OSRRefP22_14x_0</vt:lpstr>
      <vt:lpstr>'300 &amp; 317'!OSRRefP22_14x_0</vt:lpstr>
      <vt:lpstr>'301'!OSRRefP22_14x_0</vt:lpstr>
      <vt:lpstr>'308'!OSRRefP22_14x_0</vt:lpstr>
      <vt:lpstr>'310'!OSRRefP22_14x_0</vt:lpstr>
      <vt:lpstr>'310 &amp; 491'!OSRRefP22_14x_0</vt:lpstr>
      <vt:lpstr>'311'!OSRRefP22_14x_0</vt:lpstr>
      <vt:lpstr>'315'!OSRRefP22_14x_0</vt:lpstr>
      <vt:lpstr>'321'!OSRRefP22_14x_0</vt:lpstr>
      <vt:lpstr>'325'!OSRRefP22_14x_0</vt:lpstr>
      <vt:lpstr>'326'!OSRRefP22_14x_0</vt:lpstr>
      <vt:lpstr>'331'!OSRRefP22_14x_0</vt:lpstr>
      <vt:lpstr>'332'!OSRRefP22_14x_0</vt:lpstr>
      <vt:lpstr>'405'!OSRRefP22_14x_0</vt:lpstr>
      <vt:lpstr>'411'!OSRRefP22_14x_0</vt:lpstr>
      <vt:lpstr>'414'!OSRRefP22_14x_0</vt:lpstr>
      <vt:lpstr>'415'!OSRRefP22_14x_0</vt:lpstr>
      <vt:lpstr>'418'!OSRRefP22_14x_0</vt:lpstr>
      <vt:lpstr>'425'!OSRRefP22_14x_0</vt:lpstr>
      <vt:lpstr>'433'!OSRRefP22_14x_0</vt:lpstr>
      <vt:lpstr>'444'!OSRRefP22_14x_0</vt:lpstr>
      <vt:lpstr>'450'!OSRRefP22_14x_0</vt:lpstr>
      <vt:lpstr>'491'!OSRRefP22_14x_0</vt:lpstr>
      <vt:lpstr>'492'!OSRRefP22_14x_0</vt:lpstr>
      <vt:lpstr>'Div 2'!OSRRefP22_14x_0</vt:lpstr>
      <vt:lpstr>'Div 3'!OSRRefP22_14x_0</vt:lpstr>
      <vt:lpstr>'Div 4'!OSRRefP22_14x_0</vt:lpstr>
      <vt:lpstr>Summary!OSRRefP22_14x_0</vt:lpstr>
      <vt:lpstr>'201'!OSRRefP22_15x_0</vt:lpstr>
      <vt:lpstr>'202'!OSRRefP22_15x_0</vt:lpstr>
      <vt:lpstr>'203'!OSRRefP22_15x_0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'315'!OSRRefP22_15x_0</vt:lpstr>
      <vt:lpstr>'325'!OSRRefP22_15x_0</vt:lpstr>
      <vt:lpstr>'326'!OSRRefP22_15x_0</vt:lpstr>
      <vt:lpstr>'331'!OSRRefP22_15x_0</vt:lpstr>
      <vt:lpstr>'405'!OSRRefP22_15x_0</vt:lpstr>
      <vt:lpstr>'411'!OSRRefP22_15x_0</vt:lpstr>
      <vt:lpstr>'414'!OSRRefP22_15x_0</vt:lpstr>
      <vt:lpstr>'415'!OSRRefP22_15x_0</vt:lpstr>
      <vt:lpstr>'418'!OSRRefP22_15x_0</vt:lpstr>
      <vt:lpstr>'425'!OSRRefP22_15x_0</vt:lpstr>
      <vt:lpstr>'433'!OSRRefP22_15x_0</vt:lpstr>
      <vt:lpstr>'444'!OSRRefP22_15x_0</vt:lpstr>
      <vt:lpstr>'450'!OSRRefP22_15x_0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Summary!OSRRefP22_15x_0</vt:lpstr>
      <vt:lpstr>'201'!OSRRefP22_16x_0</vt:lpstr>
      <vt:lpstr>'202'!OSRRefP22_16x_0</vt:lpstr>
      <vt:lpstr>'300'!OSRRefP22_16x_0</vt:lpstr>
      <vt:lpstr>'300 &amp; 317'!OSRRefP22_16x_0</vt:lpstr>
      <vt:lpstr>'301'!OSRRefP22_16x_0</vt:lpstr>
      <vt:lpstr>'310'!OSRRefP22_16x_0</vt:lpstr>
      <vt:lpstr>'310 &amp; 491'!OSRRefP22_16x_0</vt:lpstr>
      <vt:lpstr>'325'!OSRRefP22_16x_0</vt:lpstr>
      <vt:lpstr>'326'!OSRRefP22_16x_0</vt:lpstr>
      <vt:lpstr>'331'!OSRRefP22_16x_0</vt:lpstr>
      <vt:lpstr>'405'!OSRRefP22_16x_0</vt:lpstr>
      <vt:lpstr>'411'!OSRRefP22_16x_0</vt:lpstr>
      <vt:lpstr>'415'!OSRRefP22_16x_0</vt:lpstr>
      <vt:lpstr>'444'!OSRRefP22_16x_0</vt:lpstr>
      <vt:lpstr>'450'!OSRRefP22_16x_0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'310'!OSRRefP22_17x_0</vt:lpstr>
      <vt:lpstr>'310 &amp; 491'!OSRRefP22_17x_0</vt:lpstr>
      <vt:lpstr>'325'!OSRRefP22_17x_0</vt:lpstr>
      <vt:lpstr>'326'!OSRRefP22_17x_0</vt:lpstr>
      <vt:lpstr>'331'!OSRRefP22_17x_0</vt:lpstr>
      <vt:lpstr>'405'!OSRRefP22_17x_0</vt:lpstr>
      <vt:lpstr>'415'!OSRRefP22_17x_0</vt:lpstr>
      <vt:lpstr>'491'!OSRRefP22_17x_0</vt:lpstr>
      <vt:lpstr>'492'!OSRRefP22_17x_0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'310'!OSRRefP22_18x_0</vt:lpstr>
      <vt:lpstr>'310 &amp; 491'!OSRRefP22_18x_0</vt:lpstr>
      <vt:lpstr>'326'!OSRRefP22_18x_0</vt:lpstr>
      <vt:lpstr>'331'!OSRRefP22_18x_0</vt:lpstr>
      <vt:lpstr>'415'!OSRRefP22_18x_0</vt:lpstr>
      <vt:lpstr>'491'!OSRRefP22_18x_0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'310'!OSRRefP22_19x_0</vt:lpstr>
      <vt:lpstr>'310 &amp; 491'!OSRRefP22_19x_0</vt:lpstr>
      <vt:lpstr>'326'!OSRRefP22_19x_0</vt:lpstr>
      <vt:lpstr>'331'!OSRRefP22_19x_0</vt:lpstr>
      <vt:lpstr>'491'!OSRRefP22_19x_0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'306'!OSRRefP22_1x_0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'313'!OSRRefP22_1x_0</vt:lpstr>
      <vt:lpstr>'314'!OSRRefP22_1x_0</vt:lpstr>
      <vt:lpstr>'315'!OSRRefP22_1x_0</vt:lpstr>
      <vt:lpstr>'316'!OSRRefP22_1x_0</vt:lpstr>
      <vt:lpstr>'317'!OSRRefP22_1x_0</vt:lpstr>
      <vt:lpstr>'320'!OSRRefP22_1x_0</vt:lpstr>
      <vt:lpstr>'321'!OSRRefP22_1x_0</vt:lpstr>
      <vt:lpstr>'322'!OSRRefP22_1x_0</vt:lpstr>
      <vt:lpstr>'325'!OSRRefP22_1x_0</vt:lpstr>
      <vt:lpstr>'326'!OSRRefP22_1x_0</vt:lpstr>
      <vt:lpstr>'330'!OSRRefP22_1x_0</vt:lpstr>
      <vt:lpstr>'331'!OSRRefP22_1x_0</vt:lpstr>
      <vt:lpstr>'332'!OSRRefP22_1x_0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'420'!OSRRefP22_1x_0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'435'!OSRRefP22_1x_0</vt:lpstr>
      <vt:lpstr>'444'!OSRRefP22_1x_0</vt:lpstr>
      <vt:lpstr>'450'!OSRRefP22_1x_0</vt:lpstr>
      <vt:lpstr>'455'!OSRRefP22_1x_0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'310'!OSRRefP22_20x_0</vt:lpstr>
      <vt:lpstr>'310 &amp; 491'!OSRRefP22_20x_0</vt:lpstr>
      <vt:lpstr>'326'!OSRRefP22_20x_0</vt:lpstr>
      <vt:lpstr>'331'!OSRRefP22_20x_0</vt:lpstr>
      <vt:lpstr>'491'!OSRRefP22_20x_0</vt:lpstr>
      <vt:lpstr>'Div 2'!OSRRefP22_20x_0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'301'!OSRRefP22_21x_0</vt:lpstr>
      <vt:lpstr>'310'!OSRRefP22_21x_0</vt:lpstr>
      <vt:lpstr>'310 &amp; 491'!OSRRefP22_21x_0</vt:lpstr>
      <vt:lpstr>'331'!OSRRefP22_21x_0</vt:lpstr>
      <vt:lpstr>'491'!OSRRefP22_21x_0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'301'!OSRRefP22_22x_0</vt:lpstr>
      <vt:lpstr>'310'!OSRRefP22_22x_0</vt:lpstr>
      <vt:lpstr>'310 &amp; 491'!OSRRefP22_22x_0</vt:lpstr>
      <vt:lpstr>'331'!OSRRefP22_22x_0</vt:lpstr>
      <vt:lpstr>'491'!OSRRefP22_22x_0</vt:lpstr>
      <vt:lpstr>'Div 3'!OSRRefP22_22x_0</vt:lpstr>
      <vt:lpstr>'Div 4'!OSRRefP22_22x_0</vt:lpstr>
      <vt:lpstr>Summary!OSRRefP22_22x_0</vt:lpstr>
      <vt:lpstr>'300'!OSRRefP22_23x_0</vt:lpstr>
      <vt:lpstr>'300 &amp; 317'!OSRRefP22_23x_0</vt:lpstr>
      <vt:lpstr>'310 &amp; 491'!OSRRefP22_23x_0</vt:lpstr>
      <vt:lpstr>'Div 3'!OSRRefP22_23x_0</vt:lpstr>
      <vt:lpstr>'Div 4'!OSRRefP22_23x_0</vt:lpstr>
      <vt:lpstr>Summary!OSRRefP22_23x_0</vt:lpstr>
      <vt:lpstr>'300'!OSRRefP22_24x_0</vt:lpstr>
      <vt:lpstr>'300 &amp; 317'!OSRRefP22_24x_0</vt:lpstr>
      <vt:lpstr>'310 &amp; 491'!OSRRefP22_24x_0</vt:lpstr>
      <vt:lpstr>'Div 3'!OSRRefP22_24x_0</vt:lpstr>
      <vt:lpstr>'Div 4'!OSRRefP22_24x_0</vt:lpstr>
      <vt:lpstr>Summary!OSRRefP22_24x_0</vt:lpstr>
      <vt:lpstr>'310 &amp; 491'!OSRRefP22_25x_0</vt:lpstr>
      <vt:lpstr>'Div 3'!OSRRefP22_25x_0</vt:lpstr>
      <vt:lpstr>Summary!OSRRefP22_25x_0</vt:lpstr>
      <vt:lpstr>'Div 3'!OSRRefP22_26x_0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'306'!OSRRefP22_2x_0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'313'!OSRRefP22_2x_0</vt:lpstr>
      <vt:lpstr>'314'!OSRRefP22_2x_0</vt:lpstr>
      <vt:lpstr>'315'!OSRRefP22_2x_0</vt:lpstr>
      <vt:lpstr>'316'!OSRRefP22_2x_0</vt:lpstr>
      <vt:lpstr>'317'!OSRRefP22_2x_0</vt:lpstr>
      <vt:lpstr>'320'!OSRRefP22_2x_0</vt:lpstr>
      <vt:lpstr>'321'!OSRRefP22_2x_0</vt:lpstr>
      <vt:lpstr>'322'!OSRRefP22_2x_0</vt:lpstr>
      <vt:lpstr>'325'!OSRRefP22_2x_0</vt:lpstr>
      <vt:lpstr>'326'!OSRRefP22_2x_0</vt:lpstr>
      <vt:lpstr>'330'!OSRRefP22_2x_0</vt:lpstr>
      <vt:lpstr>'331'!OSRRefP22_2x_0</vt:lpstr>
      <vt:lpstr>'332'!OSRRefP22_2x_0</vt:lpstr>
      <vt:lpstr>'405'!OSRRefP22_2x_0</vt:lpstr>
      <vt:lpstr>'406'!OSRRefP22_2x_0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'435'!OSRRefP22_2x_0</vt:lpstr>
      <vt:lpstr>'444'!OSRRefP22_2x_0</vt:lpstr>
      <vt:lpstr>'450'!OSRRefP22_2x_0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'306'!OSRRefP22_3x_0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'313'!OSRRefP22_3x_0</vt:lpstr>
      <vt:lpstr>'314'!OSRRefP22_3x_0</vt:lpstr>
      <vt:lpstr>'315'!OSRRefP22_3x_0</vt:lpstr>
      <vt:lpstr>'316'!OSRRefP22_3x_0</vt:lpstr>
      <vt:lpstr>'317'!OSRRefP22_3x_0</vt:lpstr>
      <vt:lpstr>'320'!OSRRefP22_3x_0</vt:lpstr>
      <vt:lpstr>'321'!OSRRefP22_3x_0</vt:lpstr>
      <vt:lpstr>'322'!OSRRefP22_3x_0</vt:lpstr>
      <vt:lpstr>'325'!OSRRefP22_3x_0</vt:lpstr>
      <vt:lpstr>'326'!OSRRefP22_3x_0</vt:lpstr>
      <vt:lpstr>'330'!OSRRefP22_3x_0</vt:lpstr>
      <vt:lpstr>'331'!OSRRefP22_3x_0</vt:lpstr>
      <vt:lpstr>'332'!OSRRefP22_3x_0</vt:lpstr>
      <vt:lpstr>'405'!OSRRefP22_3x_0</vt:lpstr>
      <vt:lpstr>'406'!OSRRefP22_3x_0</vt:lpstr>
      <vt:lpstr>'411'!OSRRefP22_3x_0</vt:lpstr>
      <vt:lpstr>'412'!OSRRefP22_3x_0</vt:lpstr>
      <vt:lpstr>'413'!OSRRefP22_3x_0</vt:lpstr>
      <vt:lpstr>'414'!OSRRefP22_3x_0</vt:lpstr>
      <vt:lpstr>'415'!OSRRefP22_3x_0</vt:lpstr>
      <vt:lpstr>'418'!OSRRefP22_3x_0</vt:lpstr>
      <vt:lpstr>'423'!OSRRefP22_3x_0</vt:lpstr>
      <vt:lpstr>'424'!OSRRefP22_3x_0</vt:lpstr>
      <vt:lpstr>'425'!OSRRefP22_3x_0</vt:lpstr>
      <vt:lpstr>'430'!OSRRefP22_3x_0</vt:lpstr>
      <vt:lpstr>'433'!OSRRefP22_3x_0</vt:lpstr>
      <vt:lpstr>'435'!OSRRefP22_3x_0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'306'!OSRRefP22_4x_0</vt:lpstr>
      <vt:lpstr>'307'!OSRRefP22_4x_0</vt:lpstr>
      <vt:lpstr>'308'!OSRRefP22_4x_0</vt:lpstr>
      <vt:lpstr>'309'!OSRRefP22_4x_0</vt:lpstr>
      <vt:lpstr>'310'!OSRRefP22_4x_0</vt:lpstr>
      <vt:lpstr>'310 &amp; 491'!OSRRefP22_4x_0</vt:lpstr>
      <vt:lpstr>'311'!OSRRefP22_4x_0</vt:lpstr>
      <vt:lpstr>'313'!OSRRefP22_4x_0</vt:lpstr>
      <vt:lpstr>'314'!OSRRefP22_4x_0</vt:lpstr>
      <vt:lpstr>'315'!OSRRefP22_4x_0</vt:lpstr>
      <vt:lpstr>'316'!OSRRefP22_4x_0</vt:lpstr>
      <vt:lpstr>'317'!OSRRefP22_4x_0</vt:lpstr>
      <vt:lpstr>'320'!OSRRefP22_4x_0</vt:lpstr>
      <vt:lpstr>'321'!OSRRefP22_4x_0</vt:lpstr>
      <vt:lpstr>'322'!OSRRefP22_4x_0</vt:lpstr>
      <vt:lpstr>'325'!OSRRefP22_4x_0</vt:lpstr>
      <vt:lpstr>'326'!OSRRefP22_4x_0</vt:lpstr>
      <vt:lpstr>'330'!OSRRefP22_4x_0</vt:lpstr>
      <vt:lpstr>'331'!OSRRefP22_4x_0</vt:lpstr>
      <vt:lpstr>'332'!OSRRefP22_4x_0</vt:lpstr>
      <vt:lpstr>'405'!OSRRefP22_4x_0</vt:lpstr>
      <vt:lpstr>'406'!OSRRefP22_4x_0</vt:lpstr>
      <vt:lpstr>'411'!OSRRefP22_4x_0</vt:lpstr>
      <vt:lpstr>'412'!OSRRefP22_4x_0</vt:lpstr>
      <vt:lpstr>'413'!OSRRefP22_4x_0</vt:lpstr>
      <vt:lpstr>'414'!OSRRefP22_4x_0</vt:lpstr>
      <vt:lpstr>'415'!OSRRefP22_4x_0</vt:lpstr>
      <vt:lpstr>'418'!OSRRefP22_4x_0</vt:lpstr>
      <vt:lpstr>'423'!OSRRefP22_4x_0</vt:lpstr>
      <vt:lpstr>'424'!OSRRefP22_4x_0</vt:lpstr>
      <vt:lpstr>'425'!OSRRefP22_4x_0</vt:lpstr>
      <vt:lpstr>'430'!OSRRefP22_4x_0</vt:lpstr>
      <vt:lpstr>'433'!OSRRefP22_4x_0</vt:lpstr>
      <vt:lpstr>'435'!OSRRefP22_4x_0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'306'!OSRRefP22_5x_0</vt:lpstr>
      <vt:lpstr>'307'!OSRRefP22_5x_0</vt:lpstr>
      <vt:lpstr>'308'!OSRRefP22_5x_0</vt:lpstr>
      <vt:lpstr>'309'!OSRRefP22_5x_0</vt:lpstr>
      <vt:lpstr>'310'!OSRRefP22_5x_0</vt:lpstr>
      <vt:lpstr>'310 &amp; 491'!OSRRefP22_5x_0</vt:lpstr>
      <vt:lpstr>'311'!OSRRefP22_5x_0</vt:lpstr>
      <vt:lpstr>'313'!OSRRefP22_5x_0</vt:lpstr>
      <vt:lpstr>'314'!OSRRefP22_5x_0</vt:lpstr>
      <vt:lpstr>'315'!OSRRefP22_5x_0</vt:lpstr>
      <vt:lpstr>'316'!OSRRefP22_5x_0</vt:lpstr>
      <vt:lpstr>'317'!OSRRefP22_5x_0</vt:lpstr>
      <vt:lpstr>'320'!OSRRefP22_5x_0</vt:lpstr>
      <vt:lpstr>'321'!OSRRefP22_5x_0</vt:lpstr>
      <vt:lpstr>'322'!OSRRefP22_5x_0</vt:lpstr>
      <vt:lpstr>'325'!OSRRefP22_5x_0</vt:lpstr>
      <vt:lpstr>'326'!OSRRefP22_5x_0</vt:lpstr>
      <vt:lpstr>'330'!OSRRefP22_5x_0</vt:lpstr>
      <vt:lpstr>'331'!OSRRefP22_5x_0</vt:lpstr>
      <vt:lpstr>'332'!OSRRefP22_5x_0</vt:lpstr>
      <vt:lpstr>'405'!OSRRefP22_5x_0</vt:lpstr>
      <vt:lpstr>'406'!OSRRefP22_5x_0</vt:lpstr>
      <vt:lpstr>'411'!OSRRefP22_5x_0</vt:lpstr>
      <vt:lpstr>'412'!OSRRefP22_5x_0</vt:lpstr>
      <vt:lpstr>'413'!OSRRefP22_5x_0</vt:lpstr>
      <vt:lpstr>'414'!OSRRefP22_5x_0</vt:lpstr>
      <vt:lpstr>'415'!OSRRefP22_5x_0</vt:lpstr>
      <vt:lpstr>'418'!OSRRefP22_5x_0</vt:lpstr>
      <vt:lpstr>'423'!OSRRefP22_5x_0</vt:lpstr>
      <vt:lpstr>'424'!OSRRefP22_5x_0</vt:lpstr>
      <vt:lpstr>'425'!OSRRefP22_5x_0</vt:lpstr>
      <vt:lpstr>'430'!OSRRefP22_5x_0</vt:lpstr>
      <vt:lpstr>'433'!OSRRefP22_5x_0</vt:lpstr>
      <vt:lpstr>'435'!OSRRefP22_5x_0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'306'!OSRRefP22_6x_0</vt:lpstr>
      <vt:lpstr>'307'!OSRRefP22_6x_0</vt:lpstr>
      <vt:lpstr>'308'!OSRRefP22_6x_0</vt:lpstr>
      <vt:lpstr>'309'!OSRRefP22_6x_0</vt:lpstr>
      <vt:lpstr>'310'!OSRRefP22_6x_0</vt:lpstr>
      <vt:lpstr>'310 &amp; 491'!OSRRefP22_6x_0</vt:lpstr>
      <vt:lpstr>'311'!OSRRefP22_6x_0</vt:lpstr>
      <vt:lpstr>'313'!OSRRefP22_6x_0</vt:lpstr>
      <vt:lpstr>'314'!OSRRefP22_6x_0</vt:lpstr>
      <vt:lpstr>'315'!OSRRefP22_6x_0</vt:lpstr>
      <vt:lpstr>'316'!OSRRefP22_6x_0</vt:lpstr>
      <vt:lpstr>'317'!OSRRefP22_6x_0</vt:lpstr>
      <vt:lpstr>'320'!OSRRefP22_6x_0</vt:lpstr>
      <vt:lpstr>'321'!OSRRefP22_6x_0</vt:lpstr>
      <vt:lpstr>'322'!OSRRefP22_6x_0</vt:lpstr>
      <vt:lpstr>'325'!OSRRefP22_6x_0</vt:lpstr>
      <vt:lpstr>'326'!OSRRefP22_6x_0</vt:lpstr>
      <vt:lpstr>'330'!OSRRefP22_6x_0</vt:lpstr>
      <vt:lpstr>'331'!OSRRefP22_6x_0</vt:lpstr>
      <vt:lpstr>'332'!OSRRefP22_6x_0</vt:lpstr>
      <vt:lpstr>'405'!OSRRefP22_6x_0</vt:lpstr>
      <vt:lpstr>'406'!OSRRefP22_6x_0</vt:lpstr>
      <vt:lpstr>'411'!OSRRefP22_6x_0</vt:lpstr>
      <vt:lpstr>'412'!OSRRefP22_6x_0</vt:lpstr>
      <vt:lpstr>'413'!OSRRefP22_6x_0</vt:lpstr>
      <vt:lpstr>'414'!OSRRefP22_6x_0</vt:lpstr>
      <vt:lpstr>'415'!OSRRefP22_6x_0</vt:lpstr>
      <vt:lpstr>'418'!OSRRefP22_6x_0</vt:lpstr>
      <vt:lpstr>'424'!OSRRefP22_6x_0</vt:lpstr>
      <vt:lpstr>'425'!OSRRefP22_6x_0</vt:lpstr>
      <vt:lpstr>'430'!OSRRefP22_6x_0</vt:lpstr>
      <vt:lpstr>'433'!OSRRefP22_6x_0</vt:lpstr>
      <vt:lpstr>'435'!OSRRefP22_6x_0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'205'!OSRRefP22_7x_0</vt:lpstr>
      <vt:lpstr>'206'!OSRRefP22_7x_0</vt:lpstr>
      <vt:lpstr>'300'!OSRRefP22_7x_0</vt:lpstr>
      <vt:lpstr>'300 &amp; 317'!OSRRefP22_7x_0</vt:lpstr>
      <vt:lpstr>'301'!OSRRefP22_7x_0</vt:lpstr>
      <vt:lpstr>'306'!OSRRefP22_7x_0</vt:lpstr>
      <vt:lpstr>'307'!OSRRefP22_7x_0</vt:lpstr>
      <vt:lpstr>'308'!OSRRefP22_7x_0</vt:lpstr>
      <vt:lpstr>'309'!OSRRefP22_7x_0</vt:lpstr>
      <vt:lpstr>'310'!OSRRefP22_7x_0</vt:lpstr>
      <vt:lpstr>'310 &amp; 491'!OSRRefP22_7x_0</vt:lpstr>
      <vt:lpstr>'311'!OSRRefP22_7x_0</vt:lpstr>
      <vt:lpstr>'313'!OSRRefP22_7x_0</vt:lpstr>
      <vt:lpstr>'314'!OSRRefP22_7x_0</vt:lpstr>
      <vt:lpstr>'315'!OSRRefP22_7x_0</vt:lpstr>
      <vt:lpstr>'316'!OSRRefP22_7x_0</vt:lpstr>
      <vt:lpstr>'317'!OSRRefP22_7x_0</vt:lpstr>
      <vt:lpstr>'320'!OSRRefP22_7x_0</vt:lpstr>
      <vt:lpstr>'321'!OSRRefP22_7x_0</vt:lpstr>
      <vt:lpstr>'322'!OSRRefP22_7x_0</vt:lpstr>
      <vt:lpstr>'325'!OSRRefP22_7x_0</vt:lpstr>
      <vt:lpstr>'326'!OSRRefP22_7x_0</vt:lpstr>
      <vt:lpstr>'330'!OSRRefP22_7x_0</vt:lpstr>
      <vt:lpstr>'331'!OSRRefP22_7x_0</vt:lpstr>
      <vt:lpstr>'332'!OSRRefP22_7x_0</vt:lpstr>
      <vt:lpstr>'405'!OSRRefP22_7x_0</vt:lpstr>
      <vt:lpstr>'406'!OSRRefP22_7x_0</vt:lpstr>
      <vt:lpstr>'411'!OSRRefP22_7x_0</vt:lpstr>
      <vt:lpstr>'412'!OSRRefP22_7x_0</vt:lpstr>
      <vt:lpstr>'413'!OSRRefP22_7x_0</vt:lpstr>
      <vt:lpstr>'414'!OSRRefP22_7x_0</vt:lpstr>
      <vt:lpstr>'415'!OSRRefP22_7x_0</vt:lpstr>
      <vt:lpstr>'418'!OSRRefP22_7x_0</vt:lpstr>
      <vt:lpstr>'424'!OSRRefP22_7x_0</vt:lpstr>
      <vt:lpstr>'425'!OSRRefP22_7x_0</vt:lpstr>
      <vt:lpstr>'430'!OSRRefP22_7x_0</vt:lpstr>
      <vt:lpstr>'433'!OSRRefP22_7x_0</vt:lpstr>
      <vt:lpstr>'435'!OSRRefP22_7x_0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'204'!OSRRefP22_8x_0</vt:lpstr>
      <vt:lpstr>'205'!OSRRefP22_8x_0</vt:lpstr>
      <vt:lpstr>'206'!OSRRefP22_8x_0</vt:lpstr>
      <vt:lpstr>'300'!OSRRefP22_8x_0</vt:lpstr>
      <vt:lpstr>'300 &amp; 317'!OSRRefP22_8x_0</vt:lpstr>
      <vt:lpstr>'301'!OSRRefP22_8x_0</vt:lpstr>
      <vt:lpstr>'306'!OSRRefP22_8x_0</vt:lpstr>
      <vt:lpstr>'307'!OSRRefP22_8x_0</vt:lpstr>
      <vt:lpstr>'308'!OSRRefP22_8x_0</vt:lpstr>
      <vt:lpstr>'309'!OSRRefP22_8x_0</vt:lpstr>
      <vt:lpstr>'310'!OSRRefP22_8x_0</vt:lpstr>
      <vt:lpstr>'310 &amp; 491'!OSRRefP22_8x_0</vt:lpstr>
      <vt:lpstr>'311'!OSRRefP22_8x_0</vt:lpstr>
      <vt:lpstr>'313'!OSRRefP22_8x_0</vt:lpstr>
      <vt:lpstr>'315'!OSRRefP22_8x_0</vt:lpstr>
      <vt:lpstr>'316'!OSRRefP22_8x_0</vt:lpstr>
      <vt:lpstr>'317'!OSRRefP22_8x_0</vt:lpstr>
      <vt:lpstr>'320'!OSRRefP22_8x_0</vt:lpstr>
      <vt:lpstr>'321'!OSRRefP22_8x_0</vt:lpstr>
      <vt:lpstr>'322'!OSRRefP22_8x_0</vt:lpstr>
      <vt:lpstr>'325'!OSRRefP22_8x_0</vt:lpstr>
      <vt:lpstr>'326'!OSRRefP22_8x_0</vt:lpstr>
      <vt:lpstr>'330'!OSRRefP22_8x_0</vt:lpstr>
      <vt:lpstr>'331'!OSRRefP22_8x_0</vt:lpstr>
      <vt:lpstr>'332'!OSRRefP22_8x_0</vt:lpstr>
      <vt:lpstr>'405'!OSRRefP22_8x_0</vt:lpstr>
      <vt:lpstr>'406'!OSRRefP22_8x_0</vt:lpstr>
      <vt:lpstr>'411'!OSRRefP22_8x_0</vt:lpstr>
      <vt:lpstr>'412'!OSRRefP22_8x_0</vt:lpstr>
      <vt:lpstr>'413'!OSRRefP22_8x_0</vt:lpstr>
      <vt:lpstr>'414'!OSRRefP22_8x_0</vt:lpstr>
      <vt:lpstr>'415'!OSRRefP22_8x_0</vt:lpstr>
      <vt:lpstr>'418'!OSRRefP22_8x_0</vt:lpstr>
      <vt:lpstr>'424'!OSRRefP22_8x_0</vt:lpstr>
      <vt:lpstr>'425'!OSRRefP22_8x_0</vt:lpstr>
      <vt:lpstr>'430'!OSRRefP22_8x_0</vt:lpstr>
      <vt:lpstr>'433'!OSRRefP22_8x_0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'204'!OSRRefP22_9x_0</vt:lpstr>
      <vt:lpstr>'205'!OSRRefP22_9x_0</vt:lpstr>
      <vt:lpstr>'206'!OSRRefP22_9x_0</vt:lpstr>
      <vt:lpstr>'300'!OSRRefP22_9x_0</vt:lpstr>
      <vt:lpstr>'300 &amp; 317'!OSRRefP22_9x_0</vt:lpstr>
      <vt:lpstr>'301'!OSRRefP22_9x_0</vt:lpstr>
      <vt:lpstr>'307'!OSRRefP22_9x_0</vt:lpstr>
      <vt:lpstr>'308'!OSRRefP22_9x_0</vt:lpstr>
      <vt:lpstr>'309'!OSRRefP22_9x_0</vt:lpstr>
      <vt:lpstr>'310'!OSRRefP22_9x_0</vt:lpstr>
      <vt:lpstr>'310 &amp; 491'!OSRRefP22_9x_0</vt:lpstr>
      <vt:lpstr>'311'!OSRRefP22_9x_0</vt:lpstr>
      <vt:lpstr>'313'!OSRRefP22_9x_0</vt:lpstr>
      <vt:lpstr>'315'!OSRRefP22_9x_0</vt:lpstr>
      <vt:lpstr>'316'!OSRRefP22_9x_0</vt:lpstr>
      <vt:lpstr>'317'!OSRRefP22_9x_0</vt:lpstr>
      <vt:lpstr>'321'!OSRRefP22_9x_0</vt:lpstr>
      <vt:lpstr>'322'!OSRRefP22_9x_0</vt:lpstr>
      <vt:lpstr>'325'!OSRRefP22_9x_0</vt:lpstr>
      <vt:lpstr>'326'!OSRRefP22_9x_0</vt:lpstr>
      <vt:lpstr>'330'!OSRRefP22_9x_0</vt:lpstr>
      <vt:lpstr>'331'!OSRRefP22_9x_0</vt:lpstr>
      <vt:lpstr>'332'!OSRRefP22_9x_0</vt:lpstr>
      <vt:lpstr>'405'!OSRRefP22_9x_0</vt:lpstr>
      <vt:lpstr>'406'!OSRRefP22_9x_0</vt:lpstr>
      <vt:lpstr>'411'!OSRRefP22_9x_0</vt:lpstr>
      <vt:lpstr>'412'!OSRRefP22_9x_0</vt:lpstr>
      <vt:lpstr>'413'!OSRRefP22_9x_0</vt:lpstr>
      <vt:lpstr>'414'!OSRRefP22_9x_0</vt:lpstr>
      <vt:lpstr>'415'!OSRRefP22_9x_0</vt:lpstr>
      <vt:lpstr>'418'!OSRRefP22_9x_0</vt:lpstr>
      <vt:lpstr>'424'!OSRRefP22_9x_0</vt:lpstr>
      <vt:lpstr>'425'!OSRRefP22_9x_0</vt:lpstr>
      <vt:lpstr>'430'!OSRRefP22_9x_0</vt:lpstr>
      <vt:lpstr>'433'!OSRRefP22_9x_0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'306'!OSRRefP22x_0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'313'!OSRRefP22x_0</vt:lpstr>
      <vt:lpstr>'314'!OSRRefP22x_0</vt:lpstr>
      <vt:lpstr>'315'!OSRRefP22x_0</vt:lpstr>
      <vt:lpstr>'316'!OSRRefP22x_0</vt:lpstr>
      <vt:lpstr>'317'!OSRRefP22x_0</vt:lpstr>
      <vt:lpstr>'320'!OSRRefP22x_0</vt:lpstr>
      <vt:lpstr>'321'!OSRRefP22x_0</vt:lpstr>
      <vt:lpstr>'322'!OSRRefP22x_0</vt:lpstr>
      <vt:lpstr>'325'!OSRRefP22x_0</vt:lpstr>
      <vt:lpstr>'326'!OSRRefP22x_0</vt:lpstr>
      <vt:lpstr>'327'!OSRRefP22x_0</vt:lpstr>
      <vt:lpstr>'330'!OSRRefP22x_0</vt:lpstr>
      <vt:lpstr>'331'!OSRRefP22x_0</vt:lpstr>
      <vt:lpstr>'332'!OSRRefP22x_0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'420'!OSRRefP22x_0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'450'!OSRRefP22x_0</vt:lpstr>
      <vt:lpstr>'455'!OSRRefP22x_0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'300'!OSRRefP25x_0</vt:lpstr>
      <vt:lpstr>'300 &amp; 317'!OSRRefP25x_0</vt:lpstr>
      <vt:lpstr>'301'!OSRRefP25x_0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'320'!OSRRefP25x_0</vt:lpstr>
      <vt:lpstr>'331'!OSRRefP25x_0</vt:lpstr>
      <vt:lpstr>'332'!OSRRefP25x_0</vt:lpstr>
      <vt:lpstr>'411'!OSRRefP25x_0</vt:lpstr>
      <vt:lpstr>'413'!OSRRefP25x_0</vt:lpstr>
      <vt:lpstr>'423'!OSRRefP25x_0</vt:lpstr>
      <vt:lpstr>'424'!OSRRefP25x_0</vt:lpstr>
      <vt:lpstr>'425'!OSRRefP25x_0</vt:lpstr>
      <vt:lpstr>'455'!OSRRefP25x_0</vt:lpstr>
      <vt:lpstr>'491'!OSRRefP25x_0</vt:lpstr>
      <vt:lpstr>'501'!OSRRefP25x_0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'300'!OSRRefT13x_0</vt:lpstr>
      <vt:lpstr>'300 &amp; 317'!OSRRefT13x_0</vt:lpstr>
      <vt:lpstr>'307'!OSRRefT13x_0</vt:lpstr>
      <vt:lpstr>'308'!OSRRefT13x_0</vt:lpstr>
      <vt:lpstr>'309'!OSRRefT13x_0</vt:lpstr>
      <vt:lpstr>'310'!OSRRefT13x_0</vt:lpstr>
      <vt:lpstr>'310 &amp; 491'!OSRRefT13x_0</vt:lpstr>
      <vt:lpstr>'311'!OSRRefT13x_0</vt:lpstr>
      <vt:lpstr>'313'!OSRRefT13x_0</vt:lpstr>
      <vt:lpstr>'314'!OSRRefT13x_0</vt:lpstr>
      <vt:lpstr>'315'!OSRRefT13x_0</vt:lpstr>
      <vt:lpstr>'316'!OSRRefT13x_0</vt:lpstr>
      <vt:lpstr>'317'!OSRRefT13x_0</vt:lpstr>
      <vt:lpstr>'320'!OSRRefT13x_0</vt:lpstr>
      <vt:lpstr>'321'!OSRRefT13x_0</vt:lpstr>
      <vt:lpstr>'322'!OSRRefT13x_0</vt:lpstr>
      <vt:lpstr>'324'!OSRRefT13x_0</vt:lpstr>
      <vt:lpstr>'325'!OSRRefT13x_0</vt:lpstr>
      <vt:lpstr>'326'!OSRRefT13x_0</vt:lpstr>
      <vt:lpstr>'327'!OSRRefT13x_0</vt:lpstr>
      <vt:lpstr>'330'!OSRRefT13x_0</vt:lpstr>
      <vt:lpstr>'331'!OSRRefT13x_0</vt:lpstr>
      <vt:lpstr>'332'!OSRRefT13x_0</vt:lpstr>
      <vt:lpstr>'405'!OSRRefT13x_0</vt:lpstr>
      <vt:lpstr>'406'!OSRRefT13x_0</vt:lpstr>
      <vt:lpstr>'412'!OSRRefT13x_0</vt:lpstr>
      <vt:lpstr>'413'!OSRRefT13x_0</vt:lpstr>
      <vt:lpstr>'414'!OSRRefT13x_0</vt:lpstr>
      <vt:lpstr>'415'!OSRRefT13x_0</vt:lpstr>
      <vt:lpstr>'418'!OSRRefT13x_0</vt:lpstr>
      <vt:lpstr>'424'!OSRRefT13x_0</vt:lpstr>
      <vt:lpstr>'425'!OSRRefT13x_0</vt:lpstr>
      <vt:lpstr>'433'!OSRRefT13x_0</vt:lpstr>
      <vt:lpstr>'435'!OSRRefT13x_0</vt:lpstr>
      <vt:lpstr>'444'!OSRRefT13x_0</vt:lpstr>
      <vt:lpstr>'450'!OSRRefT13x_0</vt:lpstr>
      <vt:lpstr>'491'!OSRRefT13x_0</vt:lpstr>
      <vt:lpstr>'492'!OSRRefT13x_0</vt:lpstr>
      <vt:lpstr>'501'!OSRRefT13x_0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'307'!OSRRefT16x_0</vt:lpstr>
      <vt:lpstr>'308'!OSRRefT16x_0</vt:lpstr>
      <vt:lpstr>'309'!OSRRefT16x_0</vt:lpstr>
      <vt:lpstr>'310'!OSRRefT16x_0</vt:lpstr>
      <vt:lpstr>'310 &amp; 491'!OSRRefT16x_0</vt:lpstr>
      <vt:lpstr>'311'!OSRRefT16x_0</vt:lpstr>
      <vt:lpstr>'313'!OSRRefT16x_0</vt:lpstr>
      <vt:lpstr>'314'!OSRRefT16x_0</vt:lpstr>
      <vt:lpstr>'315'!OSRRefT16x_0</vt:lpstr>
      <vt:lpstr>'317'!OSRRefT16x_0</vt:lpstr>
      <vt:lpstr>'320'!OSRRefT16x_0</vt:lpstr>
      <vt:lpstr>'321'!OSRRefT16x_0</vt:lpstr>
      <vt:lpstr>'322'!OSRRefT16x_0</vt:lpstr>
      <vt:lpstr>'324'!OSRRefT16x_0</vt:lpstr>
      <vt:lpstr>'325'!OSRRefT16x_0</vt:lpstr>
      <vt:lpstr>'326'!OSRRefT16x_0</vt:lpstr>
      <vt:lpstr>'327'!OSRRefT16x_0</vt:lpstr>
      <vt:lpstr>'330'!OSRRefT16x_0</vt:lpstr>
      <vt:lpstr>'331'!OSRRefT16x_0</vt:lpstr>
      <vt:lpstr>'332'!OSRRefT16x_0</vt:lpstr>
      <vt:lpstr>'405'!OSRRefT16x_0</vt:lpstr>
      <vt:lpstr>'406'!OSRRefT16x_0</vt:lpstr>
      <vt:lpstr>'412'!OSRRefT16x_0</vt:lpstr>
      <vt:lpstr>'413'!OSRRefT16x_0</vt:lpstr>
      <vt:lpstr>'414'!OSRRefT16x_0</vt:lpstr>
      <vt:lpstr>'415'!OSRRefT16x_0</vt:lpstr>
      <vt:lpstr>'418'!OSRRefT16x_0</vt:lpstr>
      <vt:lpstr>'423'!OSRRefT16x_0</vt:lpstr>
      <vt:lpstr>'424'!OSRRefT16x_0</vt:lpstr>
      <vt:lpstr>'425'!OSRRefT16x_0</vt:lpstr>
      <vt:lpstr>'433'!OSRRefT16x_0</vt:lpstr>
      <vt:lpstr>'435'!OSRRefT16x_0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'306'!OSRRefT22_0x_0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'313'!OSRRefT22_0x_0</vt:lpstr>
      <vt:lpstr>'314'!OSRRefT22_0x_0</vt:lpstr>
      <vt:lpstr>'315'!OSRRefT22_0x_0</vt:lpstr>
      <vt:lpstr>'316'!OSRRefT22_0x_0</vt:lpstr>
      <vt:lpstr>'317'!OSRRefT22_0x_0</vt:lpstr>
      <vt:lpstr>'320'!OSRRefT22_0x_0</vt:lpstr>
      <vt:lpstr>'321'!OSRRefT22_0x_0</vt:lpstr>
      <vt:lpstr>'322'!OSRRefT22_0x_0</vt:lpstr>
      <vt:lpstr>'325'!OSRRefT22_0x_0</vt:lpstr>
      <vt:lpstr>'326'!OSRRefT22_0x_0</vt:lpstr>
      <vt:lpstr>'327'!OSRRefT22_0x_0</vt:lpstr>
      <vt:lpstr>'330'!OSRRefT22_0x_0</vt:lpstr>
      <vt:lpstr>'331'!OSRRefT22_0x_0</vt:lpstr>
      <vt:lpstr>'332'!OSRRefT22_0x_0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'420'!OSRRefT22_0x_0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'450'!OSRRefT22_0x_0</vt:lpstr>
      <vt:lpstr>'455'!OSRRefT22_0x_0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'204'!OSRRefT22_10x_0</vt:lpstr>
      <vt:lpstr>'206'!OSRRefT22_10x_0</vt:lpstr>
      <vt:lpstr>'300'!OSRRefT22_10x_0</vt:lpstr>
      <vt:lpstr>'300 &amp; 317'!OSRRefT22_10x_0</vt:lpstr>
      <vt:lpstr>'301'!OSRRefT22_10x_0</vt:lpstr>
      <vt:lpstr>'307'!OSRRefT22_10x_0</vt:lpstr>
      <vt:lpstr>'308'!OSRRefT22_10x_0</vt:lpstr>
      <vt:lpstr>'309'!OSRRefT22_10x_0</vt:lpstr>
      <vt:lpstr>'310'!OSRRefT22_10x_0</vt:lpstr>
      <vt:lpstr>'310 &amp; 491'!OSRRefT22_10x_0</vt:lpstr>
      <vt:lpstr>'311'!OSRRefT22_10x_0</vt:lpstr>
      <vt:lpstr>'313'!OSRRefT22_10x_0</vt:lpstr>
      <vt:lpstr>'315'!OSRRefT22_10x_0</vt:lpstr>
      <vt:lpstr>'316'!OSRRefT22_10x_0</vt:lpstr>
      <vt:lpstr>'317'!OSRRefT22_10x_0</vt:lpstr>
      <vt:lpstr>'321'!OSRRefT22_10x_0</vt:lpstr>
      <vt:lpstr>'322'!OSRRefT22_10x_0</vt:lpstr>
      <vt:lpstr>'325'!OSRRefT22_10x_0</vt:lpstr>
      <vt:lpstr>'326'!OSRRefT22_10x_0</vt:lpstr>
      <vt:lpstr>'330'!OSRRefT22_10x_0</vt:lpstr>
      <vt:lpstr>'331'!OSRRefT22_10x_0</vt:lpstr>
      <vt:lpstr>'332'!OSRRefT22_10x_0</vt:lpstr>
      <vt:lpstr>'405'!OSRRefT22_10x_0</vt:lpstr>
      <vt:lpstr>'406'!OSRRefT22_10x_0</vt:lpstr>
      <vt:lpstr>'411'!OSRRefT22_10x_0</vt:lpstr>
      <vt:lpstr>'412'!OSRRefT22_10x_0</vt:lpstr>
      <vt:lpstr>'413'!OSRRefT22_10x_0</vt:lpstr>
      <vt:lpstr>'414'!OSRRefT22_10x_0</vt:lpstr>
      <vt:lpstr>'415'!OSRRefT22_10x_0</vt:lpstr>
      <vt:lpstr>'418'!OSRRefT22_10x_0</vt:lpstr>
      <vt:lpstr>'424'!OSRRefT22_10x_0</vt:lpstr>
      <vt:lpstr>'425'!OSRRefT22_10x_0</vt:lpstr>
      <vt:lpstr>'430'!OSRRefT22_10x_0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'Div 6'!OSRRefT22_10x_0</vt:lpstr>
      <vt:lpstr>Summary!OSRRefT22_10x_0</vt:lpstr>
      <vt:lpstr>'201'!OSRRefT22_11x_0</vt:lpstr>
      <vt:lpstr>'202'!OSRRefT22_11x_0</vt:lpstr>
      <vt:lpstr>'203'!OSRRefT22_11x_0</vt:lpstr>
      <vt:lpstr>'204'!OSRRefT22_11x_0</vt:lpstr>
      <vt:lpstr>'300'!OSRRefT22_11x_0</vt:lpstr>
      <vt:lpstr>'300 &amp; 317'!OSRRefT22_11x_0</vt:lpstr>
      <vt:lpstr>'301'!OSRRefT22_11x_0</vt:lpstr>
      <vt:lpstr>'307'!OSRRefT22_11x_0</vt:lpstr>
      <vt:lpstr>'308'!OSRRefT22_11x_0</vt:lpstr>
      <vt:lpstr>'309'!OSRRefT22_11x_0</vt:lpstr>
      <vt:lpstr>'310'!OSRRefT22_11x_0</vt:lpstr>
      <vt:lpstr>'310 &amp; 491'!OSRRefT22_11x_0</vt:lpstr>
      <vt:lpstr>'311'!OSRRefT22_11x_0</vt:lpstr>
      <vt:lpstr>'313'!OSRRefT22_11x_0</vt:lpstr>
      <vt:lpstr>'315'!OSRRefT22_11x_0</vt:lpstr>
      <vt:lpstr>'316'!OSRRefT22_11x_0</vt:lpstr>
      <vt:lpstr>'321'!OSRRefT22_11x_0</vt:lpstr>
      <vt:lpstr>'322'!OSRRefT22_11x_0</vt:lpstr>
      <vt:lpstr>'325'!OSRRefT22_11x_0</vt:lpstr>
      <vt:lpstr>'326'!OSRRefT22_11x_0</vt:lpstr>
      <vt:lpstr>'330'!OSRRefT22_11x_0</vt:lpstr>
      <vt:lpstr>'331'!OSRRefT22_11x_0</vt:lpstr>
      <vt:lpstr>'332'!OSRRefT22_11x_0</vt:lpstr>
      <vt:lpstr>'405'!OSRRefT22_11x_0</vt:lpstr>
      <vt:lpstr>'406'!OSRRefT22_11x_0</vt:lpstr>
      <vt:lpstr>'411'!OSRRefT22_11x_0</vt:lpstr>
      <vt:lpstr>'412'!OSRRefT22_11x_0</vt:lpstr>
      <vt:lpstr>'413'!OSRRefT22_11x_0</vt:lpstr>
      <vt:lpstr>'414'!OSRRefT22_11x_0</vt:lpstr>
      <vt:lpstr>'415'!OSRRefT22_11x_0</vt:lpstr>
      <vt:lpstr>'418'!OSRRefT22_11x_0</vt:lpstr>
      <vt:lpstr>'424'!OSRRefT22_11x_0</vt:lpstr>
      <vt:lpstr>'425'!OSRRefT22_11x_0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'501'!OSRRefT22_11x_0</vt:lpstr>
      <vt:lpstr>'Div 2'!OSRRefT22_11x_0</vt:lpstr>
      <vt:lpstr>'Div 3'!OSRRefT22_11x_0</vt:lpstr>
      <vt:lpstr>'Div 4'!OSRRefT22_11x_0</vt:lpstr>
      <vt:lpstr>'Div 5'!OSRRefT22_11x_0</vt:lpstr>
      <vt:lpstr>Summary!OSRRefT22_11x_0</vt:lpstr>
      <vt:lpstr>'201'!OSRRefT22_12x_0</vt:lpstr>
      <vt:lpstr>'202'!OSRRefT22_12x_0</vt:lpstr>
      <vt:lpstr>'203'!OSRRefT22_12x_0</vt:lpstr>
      <vt:lpstr>'204'!OSRRefT22_12x_0</vt:lpstr>
      <vt:lpstr>'300'!OSRRefT22_12x_0</vt:lpstr>
      <vt:lpstr>'300 &amp; 317'!OSRRefT22_12x_0</vt:lpstr>
      <vt:lpstr>'301'!OSRRefT22_12x_0</vt:lpstr>
      <vt:lpstr>'307'!OSRRefT22_12x_0</vt:lpstr>
      <vt:lpstr>'308'!OSRRefT22_12x_0</vt:lpstr>
      <vt:lpstr>'309'!OSRRefT22_12x_0</vt:lpstr>
      <vt:lpstr>'310'!OSRRefT22_12x_0</vt:lpstr>
      <vt:lpstr>'310 &amp; 491'!OSRRefT22_12x_0</vt:lpstr>
      <vt:lpstr>'311'!OSRRefT22_12x_0</vt:lpstr>
      <vt:lpstr>'313'!OSRRefT22_12x_0</vt:lpstr>
      <vt:lpstr>'315'!OSRRefT22_12x_0</vt:lpstr>
      <vt:lpstr>'316'!OSRRefT22_12x_0</vt:lpstr>
      <vt:lpstr>'321'!OSRRefT22_12x_0</vt:lpstr>
      <vt:lpstr>'322'!OSRRefT22_12x_0</vt:lpstr>
      <vt:lpstr>'325'!OSRRefT22_12x_0</vt:lpstr>
      <vt:lpstr>'326'!OSRRefT22_12x_0</vt:lpstr>
      <vt:lpstr>'330'!OSRRefT22_12x_0</vt:lpstr>
      <vt:lpstr>'331'!OSRRefT22_12x_0</vt:lpstr>
      <vt:lpstr>'332'!OSRRefT22_12x_0</vt:lpstr>
      <vt:lpstr>'405'!OSRRefT22_12x_0</vt:lpstr>
      <vt:lpstr>'406'!OSRRefT22_12x_0</vt:lpstr>
      <vt:lpstr>'411'!OSRRefT22_12x_0</vt:lpstr>
      <vt:lpstr>'412'!OSRRefT22_12x_0</vt:lpstr>
      <vt:lpstr>'414'!OSRRefT22_12x_0</vt:lpstr>
      <vt:lpstr>'415'!OSRRefT22_12x_0</vt:lpstr>
      <vt:lpstr>'418'!OSRRefT22_12x_0</vt:lpstr>
      <vt:lpstr>'425'!OSRRefT22_12x_0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'501'!OSRRefT22_12x_0</vt:lpstr>
      <vt:lpstr>'Div 2'!OSRRefT22_12x_0</vt:lpstr>
      <vt:lpstr>'Div 3'!OSRRefT22_12x_0</vt:lpstr>
      <vt:lpstr>'Div 4'!OSRRefT22_12x_0</vt:lpstr>
      <vt:lpstr>'Div 5'!OSRRefT22_12x_0</vt:lpstr>
      <vt:lpstr>Summary!OSRRefT22_12x_0</vt:lpstr>
      <vt:lpstr>'201'!OSRRefT22_13x_0</vt:lpstr>
      <vt:lpstr>'202'!OSRRefT22_13x_0</vt:lpstr>
      <vt:lpstr>'203'!OSRRefT22_13x_0</vt:lpstr>
      <vt:lpstr>'300'!OSRRefT22_13x_0</vt:lpstr>
      <vt:lpstr>'300 &amp; 317'!OSRRefT22_13x_0</vt:lpstr>
      <vt:lpstr>'301'!OSRRefT22_13x_0</vt:lpstr>
      <vt:lpstr>'308'!OSRRefT22_13x_0</vt:lpstr>
      <vt:lpstr>'310'!OSRRefT22_13x_0</vt:lpstr>
      <vt:lpstr>'310 &amp; 491'!OSRRefT22_13x_0</vt:lpstr>
      <vt:lpstr>'311'!OSRRefT22_13x_0</vt:lpstr>
      <vt:lpstr>'313'!OSRRefT22_13x_0</vt:lpstr>
      <vt:lpstr>'315'!OSRRefT22_13x_0</vt:lpstr>
      <vt:lpstr>'316'!OSRRefT22_13x_0</vt:lpstr>
      <vt:lpstr>'321'!OSRRefT22_13x_0</vt:lpstr>
      <vt:lpstr>'322'!OSRRefT22_13x_0</vt:lpstr>
      <vt:lpstr>'325'!OSRRefT22_13x_0</vt:lpstr>
      <vt:lpstr>'326'!OSRRefT22_13x_0</vt:lpstr>
      <vt:lpstr>'330'!OSRRefT22_13x_0</vt:lpstr>
      <vt:lpstr>'331'!OSRRefT22_13x_0</vt:lpstr>
      <vt:lpstr>'332'!OSRRefT22_13x_0</vt:lpstr>
      <vt:lpstr>'405'!OSRRefT22_13x_0</vt:lpstr>
      <vt:lpstr>'406'!OSRRefT22_13x_0</vt:lpstr>
      <vt:lpstr>'411'!OSRRefT22_13x_0</vt:lpstr>
      <vt:lpstr>'412'!OSRRefT22_13x_0</vt:lpstr>
      <vt:lpstr>'414'!OSRRefT22_13x_0</vt:lpstr>
      <vt:lpstr>'415'!OSRRefT22_13x_0</vt:lpstr>
      <vt:lpstr>'418'!OSRRefT22_13x_0</vt:lpstr>
      <vt:lpstr>'425'!OSRRefT22_13x_0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'Div 2'!OSRRefT22_13x_0</vt:lpstr>
      <vt:lpstr>'Div 3'!OSRRefT22_13x_0</vt:lpstr>
      <vt:lpstr>'Div 4'!OSRRefT22_13x_0</vt:lpstr>
      <vt:lpstr>Summary!OSRRefT22_13x_0</vt:lpstr>
      <vt:lpstr>'201'!OSRRefT22_14x_0</vt:lpstr>
      <vt:lpstr>'202'!OSRRefT22_14x_0</vt:lpstr>
      <vt:lpstr>'203'!OSRRefT22_14x_0</vt:lpstr>
      <vt:lpstr>'300'!OSRRefT22_14x_0</vt:lpstr>
      <vt:lpstr>'300 &amp; 317'!OSRRefT22_14x_0</vt:lpstr>
      <vt:lpstr>'301'!OSRRefT22_14x_0</vt:lpstr>
      <vt:lpstr>'308'!OSRRefT22_14x_0</vt:lpstr>
      <vt:lpstr>'310'!OSRRefT22_14x_0</vt:lpstr>
      <vt:lpstr>'310 &amp; 491'!OSRRefT22_14x_0</vt:lpstr>
      <vt:lpstr>'311'!OSRRefT22_14x_0</vt:lpstr>
      <vt:lpstr>'315'!OSRRefT22_14x_0</vt:lpstr>
      <vt:lpstr>'321'!OSRRefT22_14x_0</vt:lpstr>
      <vt:lpstr>'325'!OSRRefT22_14x_0</vt:lpstr>
      <vt:lpstr>'326'!OSRRefT22_14x_0</vt:lpstr>
      <vt:lpstr>'331'!OSRRefT22_14x_0</vt:lpstr>
      <vt:lpstr>'332'!OSRRefT22_14x_0</vt:lpstr>
      <vt:lpstr>'405'!OSRRefT22_14x_0</vt:lpstr>
      <vt:lpstr>'411'!OSRRefT22_14x_0</vt:lpstr>
      <vt:lpstr>'414'!OSRRefT22_14x_0</vt:lpstr>
      <vt:lpstr>'415'!OSRRefT22_14x_0</vt:lpstr>
      <vt:lpstr>'418'!OSRRefT22_14x_0</vt:lpstr>
      <vt:lpstr>'425'!OSRRefT22_14x_0</vt:lpstr>
      <vt:lpstr>'433'!OSRRefT22_14x_0</vt:lpstr>
      <vt:lpstr>'444'!OSRRefT22_14x_0</vt:lpstr>
      <vt:lpstr>'450'!OSRRefT22_14x_0</vt:lpstr>
      <vt:lpstr>'491'!OSRRefT22_14x_0</vt:lpstr>
      <vt:lpstr>'492'!OSRRefT22_14x_0</vt:lpstr>
      <vt:lpstr>'Div 2'!OSRRefT22_14x_0</vt:lpstr>
      <vt:lpstr>'Div 3'!OSRRefT22_14x_0</vt:lpstr>
      <vt:lpstr>'Div 4'!OSRRefT22_14x_0</vt:lpstr>
      <vt:lpstr>Summary!OSRRefT22_14x_0</vt:lpstr>
      <vt:lpstr>'201'!OSRRefT22_15x_0</vt:lpstr>
      <vt:lpstr>'202'!OSRRefT22_15x_0</vt:lpstr>
      <vt:lpstr>'203'!OSRRefT22_15x_0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'315'!OSRRefT22_15x_0</vt:lpstr>
      <vt:lpstr>'325'!OSRRefT22_15x_0</vt:lpstr>
      <vt:lpstr>'326'!OSRRefT22_15x_0</vt:lpstr>
      <vt:lpstr>'331'!OSRRefT22_15x_0</vt:lpstr>
      <vt:lpstr>'405'!OSRRefT22_15x_0</vt:lpstr>
      <vt:lpstr>'411'!OSRRefT22_15x_0</vt:lpstr>
      <vt:lpstr>'414'!OSRRefT22_15x_0</vt:lpstr>
      <vt:lpstr>'415'!OSRRefT22_15x_0</vt:lpstr>
      <vt:lpstr>'418'!OSRRefT22_15x_0</vt:lpstr>
      <vt:lpstr>'425'!OSRRefT22_15x_0</vt:lpstr>
      <vt:lpstr>'433'!OSRRefT22_15x_0</vt:lpstr>
      <vt:lpstr>'444'!OSRRefT22_15x_0</vt:lpstr>
      <vt:lpstr>'450'!OSRRefT22_15x_0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Summary!OSRRefT22_15x_0</vt:lpstr>
      <vt:lpstr>'201'!OSRRefT22_16x_0</vt:lpstr>
      <vt:lpstr>'202'!OSRRefT22_16x_0</vt:lpstr>
      <vt:lpstr>'300'!OSRRefT22_16x_0</vt:lpstr>
      <vt:lpstr>'300 &amp; 317'!OSRRefT22_16x_0</vt:lpstr>
      <vt:lpstr>'301'!OSRRefT22_16x_0</vt:lpstr>
      <vt:lpstr>'310'!OSRRefT22_16x_0</vt:lpstr>
      <vt:lpstr>'310 &amp; 491'!OSRRefT22_16x_0</vt:lpstr>
      <vt:lpstr>'325'!OSRRefT22_16x_0</vt:lpstr>
      <vt:lpstr>'326'!OSRRefT22_16x_0</vt:lpstr>
      <vt:lpstr>'331'!OSRRefT22_16x_0</vt:lpstr>
      <vt:lpstr>'405'!OSRRefT22_16x_0</vt:lpstr>
      <vt:lpstr>'411'!OSRRefT22_16x_0</vt:lpstr>
      <vt:lpstr>'415'!OSRRefT22_16x_0</vt:lpstr>
      <vt:lpstr>'444'!OSRRefT22_16x_0</vt:lpstr>
      <vt:lpstr>'450'!OSRRefT22_16x_0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'310'!OSRRefT22_17x_0</vt:lpstr>
      <vt:lpstr>'310 &amp; 491'!OSRRefT22_17x_0</vt:lpstr>
      <vt:lpstr>'325'!OSRRefT22_17x_0</vt:lpstr>
      <vt:lpstr>'326'!OSRRefT22_17x_0</vt:lpstr>
      <vt:lpstr>'331'!OSRRefT22_17x_0</vt:lpstr>
      <vt:lpstr>'405'!OSRRefT22_17x_0</vt:lpstr>
      <vt:lpstr>'415'!OSRRefT22_17x_0</vt:lpstr>
      <vt:lpstr>'491'!OSRRefT22_17x_0</vt:lpstr>
      <vt:lpstr>'492'!OSRRefT22_17x_0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'310'!OSRRefT22_18x_0</vt:lpstr>
      <vt:lpstr>'310 &amp; 491'!OSRRefT22_18x_0</vt:lpstr>
      <vt:lpstr>'326'!OSRRefT22_18x_0</vt:lpstr>
      <vt:lpstr>'331'!OSRRefT22_18x_0</vt:lpstr>
      <vt:lpstr>'415'!OSRRefT22_18x_0</vt:lpstr>
      <vt:lpstr>'491'!OSRRefT22_18x_0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'310'!OSRRefT22_19x_0</vt:lpstr>
      <vt:lpstr>'310 &amp; 491'!OSRRefT22_19x_0</vt:lpstr>
      <vt:lpstr>'326'!OSRRefT22_19x_0</vt:lpstr>
      <vt:lpstr>'331'!OSRRefT22_19x_0</vt:lpstr>
      <vt:lpstr>'491'!OSRRefT22_19x_0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'306'!OSRRefT22_1x_0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'313'!OSRRefT22_1x_0</vt:lpstr>
      <vt:lpstr>'314'!OSRRefT22_1x_0</vt:lpstr>
      <vt:lpstr>'315'!OSRRefT22_1x_0</vt:lpstr>
      <vt:lpstr>'316'!OSRRefT22_1x_0</vt:lpstr>
      <vt:lpstr>'317'!OSRRefT22_1x_0</vt:lpstr>
      <vt:lpstr>'320'!OSRRefT22_1x_0</vt:lpstr>
      <vt:lpstr>'321'!OSRRefT22_1x_0</vt:lpstr>
      <vt:lpstr>'322'!OSRRefT22_1x_0</vt:lpstr>
      <vt:lpstr>'325'!OSRRefT22_1x_0</vt:lpstr>
      <vt:lpstr>'326'!OSRRefT22_1x_0</vt:lpstr>
      <vt:lpstr>'330'!OSRRefT22_1x_0</vt:lpstr>
      <vt:lpstr>'331'!OSRRefT22_1x_0</vt:lpstr>
      <vt:lpstr>'332'!OSRRefT22_1x_0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'420'!OSRRefT22_1x_0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'435'!OSRRefT22_1x_0</vt:lpstr>
      <vt:lpstr>'444'!OSRRefT22_1x_0</vt:lpstr>
      <vt:lpstr>'450'!OSRRefT22_1x_0</vt:lpstr>
      <vt:lpstr>'455'!OSRRefT22_1x_0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'310'!OSRRefT22_20x_0</vt:lpstr>
      <vt:lpstr>'310 &amp; 491'!OSRRefT22_20x_0</vt:lpstr>
      <vt:lpstr>'326'!OSRRefT22_20x_0</vt:lpstr>
      <vt:lpstr>'331'!OSRRefT22_20x_0</vt:lpstr>
      <vt:lpstr>'491'!OSRRefT22_20x_0</vt:lpstr>
      <vt:lpstr>'Div 2'!OSRRefT22_20x_0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'301'!OSRRefT22_21x_0</vt:lpstr>
      <vt:lpstr>'310'!OSRRefT22_21x_0</vt:lpstr>
      <vt:lpstr>'310 &amp; 491'!OSRRefT22_21x_0</vt:lpstr>
      <vt:lpstr>'331'!OSRRefT22_21x_0</vt:lpstr>
      <vt:lpstr>'491'!OSRRefT22_21x_0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'301'!OSRRefT22_22x_0</vt:lpstr>
      <vt:lpstr>'310'!OSRRefT22_22x_0</vt:lpstr>
      <vt:lpstr>'310 &amp; 491'!OSRRefT22_22x_0</vt:lpstr>
      <vt:lpstr>'331'!OSRRefT22_22x_0</vt:lpstr>
      <vt:lpstr>'491'!OSRRefT22_22x_0</vt:lpstr>
      <vt:lpstr>'Div 3'!OSRRefT22_22x_0</vt:lpstr>
      <vt:lpstr>'Div 4'!OSRRefT22_22x_0</vt:lpstr>
      <vt:lpstr>Summary!OSRRefT22_22x_0</vt:lpstr>
      <vt:lpstr>'300'!OSRRefT22_23x_0</vt:lpstr>
      <vt:lpstr>'300 &amp; 317'!OSRRefT22_23x_0</vt:lpstr>
      <vt:lpstr>'310 &amp; 491'!OSRRefT22_23x_0</vt:lpstr>
      <vt:lpstr>'Div 3'!OSRRefT22_23x_0</vt:lpstr>
      <vt:lpstr>'Div 4'!OSRRefT22_23x_0</vt:lpstr>
      <vt:lpstr>Summary!OSRRefT22_23x_0</vt:lpstr>
      <vt:lpstr>'300'!OSRRefT22_24x_0</vt:lpstr>
      <vt:lpstr>'300 &amp; 317'!OSRRefT22_24x_0</vt:lpstr>
      <vt:lpstr>'310 &amp; 491'!OSRRefT22_24x_0</vt:lpstr>
      <vt:lpstr>'Div 3'!OSRRefT22_24x_0</vt:lpstr>
      <vt:lpstr>'Div 4'!OSRRefT22_24x_0</vt:lpstr>
      <vt:lpstr>Summary!OSRRefT22_24x_0</vt:lpstr>
      <vt:lpstr>'310 &amp; 491'!OSRRefT22_25x_0</vt:lpstr>
      <vt:lpstr>'Div 3'!OSRRefT22_25x_0</vt:lpstr>
      <vt:lpstr>Summary!OSRRefT22_25x_0</vt:lpstr>
      <vt:lpstr>'Div 3'!OSRRefT22_26x_0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'306'!OSRRefT22_2x_0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'313'!OSRRefT22_2x_0</vt:lpstr>
      <vt:lpstr>'314'!OSRRefT22_2x_0</vt:lpstr>
      <vt:lpstr>'315'!OSRRefT22_2x_0</vt:lpstr>
      <vt:lpstr>'316'!OSRRefT22_2x_0</vt:lpstr>
      <vt:lpstr>'317'!OSRRefT22_2x_0</vt:lpstr>
      <vt:lpstr>'320'!OSRRefT22_2x_0</vt:lpstr>
      <vt:lpstr>'321'!OSRRefT22_2x_0</vt:lpstr>
      <vt:lpstr>'322'!OSRRefT22_2x_0</vt:lpstr>
      <vt:lpstr>'325'!OSRRefT22_2x_0</vt:lpstr>
      <vt:lpstr>'326'!OSRRefT22_2x_0</vt:lpstr>
      <vt:lpstr>'330'!OSRRefT22_2x_0</vt:lpstr>
      <vt:lpstr>'331'!OSRRefT22_2x_0</vt:lpstr>
      <vt:lpstr>'332'!OSRRefT22_2x_0</vt:lpstr>
      <vt:lpstr>'405'!OSRRefT22_2x_0</vt:lpstr>
      <vt:lpstr>'406'!OSRRefT22_2x_0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'435'!OSRRefT22_2x_0</vt:lpstr>
      <vt:lpstr>'444'!OSRRefT22_2x_0</vt:lpstr>
      <vt:lpstr>'450'!OSRRefT22_2x_0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'306'!OSRRefT22_3x_0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'313'!OSRRefT22_3x_0</vt:lpstr>
      <vt:lpstr>'314'!OSRRefT22_3x_0</vt:lpstr>
      <vt:lpstr>'315'!OSRRefT22_3x_0</vt:lpstr>
      <vt:lpstr>'316'!OSRRefT22_3x_0</vt:lpstr>
      <vt:lpstr>'317'!OSRRefT22_3x_0</vt:lpstr>
      <vt:lpstr>'320'!OSRRefT22_3x_0</vt:lpstr>
      <vt:lpstr>'321'!OSRRefT22_3x_0</vt:lpstr>
      <vt:lpstr>'322'!OSRRefT22_3x_0</vt:lpstr>
      <vt:lpstr>'325'!OSRRefT22_3x_0</vt:lpstr>
      <vt:lpstr>'326'!OSRRefT22_3x_0</vt:lpstr>
      <vt:lpstr>'330'!OSRRefT22_3x_0</vt:lpstr>
      <vt:lpstr>'331'!OSRRefT22_3x_0</vt:lpstr>
      <vt:lpstr>'332'!OSRRefT22_3x_0</vt:lpstr>
      <vt:lpstr>'405'!OSRRefT22_3x_0</vt:lpstr>
      <vt:lpstr>'406'!OSRRefT22_3x_0</vt:lpstr>
      <vt:lpstr>'411'!OSRRefT22_3x_0</vt:lpstr>
      <vt:lpstr>'412'!OSRRefT22_3x_0</vt:lpstr>
      <vt:lpstr>'413'!OSRRefT22_3x_0</vt:lpstr>
      <vt:lpstr>'414'!OSRRefT22_3x_0</vt:lpstr>
      <vt:lpstr>'415'!OSRRefT22_3x_0</vt:lpstr>
      <vt:lpstr>'418'!OSRRefT22_3x_0</vt:lpstr>
      <vt:lpstr>'423'!OSRRefT22_3x_0</vt:lpstr>
      <vt:lpstr>'424'!OSRRefT22_3x_0</vt:lpstr>
      <vt:lpstr>'425'!OSRRefT22_3x_0</vt:lpstr>
      <vt:lpstr>'430'!OSRRefT22_3x_0</vt:lpstr>
      <vt:lpstr>'433'!OSRRefT22_3x_0</vt:lpstr>
      <vt:lpstr>'435'!OSRRefT22_3x_0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'306'!OSRRefT22_4x_0</vt:lpstr>
      <vt:lpstr>'307'!OSRRefT22_4x_0</vt:lpstr>
      <vt:lpstr>'308'!OSRRefT22_4x_0</vt:lpstr>
      <vt:lpstr>'309'!OSRRefT22_4x_0</vt:lpstr>
      <vt:lpstr>'310'!OSRRefT22_4x_0</vt:lpstr>
      <vt:lpstr>'310 &amp; 491'!OSRRefT22_4x_0</vt:lpstr>
      <vt:lpstr>'311'!OSRRefT22_4x_0</vt:lpstr>
      <vt:lpstr>'313'!OSRRefT22_4x_0</vt:lpstr>
      <vt:lpstr>'314'!OSRRefT22_4x_0</vt:lpstr>
      <vt:lpstr>'315'!OSRRefT22_4x_0</vt:lpstr>
      <vt:lpstr>'316'!OSRRefT22_4x_0</vt:lpstr>
      <vt:lpstr>'317'!OSRRefT22_4x_0</vt:lpstr>
      <vt:lpstr>'320'!OSRRefT22_4x_0</vt:lpstr>
      <vt:lpstr>'321'!OSRRefT22_4x_0</vt:lpstr>
      <vt:lpstr>'322'!OSRRefT22_4x_0</vt:lpstr>
      <vt:lpstr>'325'!OSRRefT22_4x_0</vt:lpstr>
      <vt:lpstr>'326'!OSRRefT22_4x_0</vt:lpstr>
      <vt:lpstr>'330'!OSRRefT22_4x_0</vt:lpstr>
      <vt:lpstr>'331'!OSRRefT22_4x_0</vt:lpstr>
      <vt:lpstr>'332'!OSRRefT22_4x_0</vt:lpstr>
      <vt:lpstr>'405'!OSRRefT22_4x_0</vt:lpstr>
      <vt:lpstr>'406'!OSRRefT22_4x_0</vt:lpstr>
      <vt:lpstr>'411'!OSRRefT22_4x_0</vt:lpstr>
      <vt:lpstr>'412'!OSRRefT22_4x_0</vt:lpstr>
      <vt:lpstr>'413'!OSRRefT22_4x_0</vt:lpstr>
      <vt:lpstr>'414'!OSRRefT22_4x_0</vt:lpstr>
      <vt:lpstr>'415'!OSRRefT22_4x_0</vt:lpstr>
      <vt:lpstr>'418'!OSRRefT22_4x_0</vt:lpstr>
      <vt:lpstr>'423'!OSRRefT22_4x_0</vt:lpstr>
      <vt:lpstr>'424'!OSRRefT22_4x_0</vt:lpstr>
      <vt:lpstr>'425'!OSRRefT22_4x_0</vt:lpstr>
      <vt:lpstr>'430'!OSRRefT22_4x_0</vt:lpstr>
      <vt:lpstr>'433'!OSRRefT22_4x_0</vt:lpstr>
      <vt:lpstr>'435'!OSRRefT22_4x_0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'306'!OSRRefT22_5x_0</vt:lpstr>
      <vt:lpstr>'307'!OSRRefT22_5x_0</vt:lpstr>
      <vt:lpstr>'308'!OSRRefT22_5x_0</vt:lpstr>
      <vt:lpstr>'309'!OSRRefT22_5x_0</vt:lpstr>
      <vt:lpstr>'310'!OSRRefT22_5x_0</vt:lpstr>
      <vt:lpstr>'310 &amp; 491'!OSRRefT22_5x_0</vt:lpstr>
      <vt:lpstr>'311'!OSRRefT22_5x_0</vt:lpstr>
      <vt:lpstr>'313'!OSRRefT22_5x_0</vt:lpstr>
      <vt:lpstr>'314'!OSRRefT22_5x_0</vt:lpstr>
      <vt:lpstr>'315'!OSRRefT22_5x_0</vt:lpstr>
      <vt:lpstr>'316'!OSRRefT22_5x_0</vt:lpstr>
      <vt:lpstr>'317'!OSRRefT22_5x_0</vt:lpstr>
      <vt:lpstr>'320'!OSRRefT22_5x_0</vt:lpstr>
      <vt:lpstr>'321'!OSRRefT22_5x_0</vt:lpstr>
      <vt:lpstr>'322'!OSRRefT22_5x_0</vt:lpstr>
      <vt:lpstr>'325'!OSRRefT22_5x_0</vt:lpstr>
      <vt:lpstr>'326'!OSRRefT22_5x_0</vt:lpstr>
      <vt:lpstr>'330'!OSRRefT22_5x_0</vt:lpstr>
      <vt:lpstr>'331'!OSRRefT22_5x_0</vt:lpstr>
      <vt:lpstr>'332'!OSRRefT22_5x_0</vt:lpstr>
      <vt:lpstr>'405'!OSRRefT22_5x_0</vt:lpstr>
      <vt:lpstr>'406'!OSRRefT22_5x_0</vt:lpstr>
      <vt:lpstr>'411'!OSRRefT22_5x_0</vt:lpstr>
      <vt:lpstr>'412'!OSRRefT22_5x_0</vt:lpstr>
      <vt:lpstr>'413'!OSRRefT22_5x_0</vt:lpstr>
      <vt:lpstr>'414'!OSRRefT22_5x_0</vt:lpstr>
      <vt:lpstr>'415'!OSRRefT22_5x_0</vt:lpstr>
      <vt:lpstr>'418'!OSRRefT22_5x_0</vt:lpstr>
      <vt:lpstr>'423'!OSRRefT22_5x_0</vt:lpstr>
      <vt:lpstr>'424'!OSRRefT22_5x_0</vt:lpstr>
      <vt:lpstr>'425'!OSRRefT22_5x_0</vt:lpstr>
      <vt:lpstr>'430'!OSRRefT22_5x_0</vt:lpstr>
      <vt:lpstr>'433'!OSRRefT22_5x_0</vt:lpstr>
      <vt:lpstr>'435'!OSRRefT22_5x_0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'306'!OSRRefT22_6x_0</vt:lpstr>
      <vt:lpstr>'307'!OSRRefT22_6x_0</vt:lpstr>
      <vt:lpstr>'308'!OSRRefT22_6x_0</vt:lpstr>
      <vt:lpstr>'309'!OSRRefT22_6x_0</vt:lpstr>
      <vt:lpstr>'310'!OSRRefT22_6x_0</vt:lpstr>
      <vt:lpstr>'310 &amp; 491'!OSRRefT22_6x_0</vt:lpstr>
      <vt:lpstr>'311'!OSRRefT22_6x_0</vt:lpstr>
      <vt:lpstr>'313'!OSRRefT22_6x_0</vt:lpstr>
      <vt:lpstr>'314'!OSRRefT22_6x_0</vt:lpstr>
      <vt:lpstr>'315'!OSRRefT22_6x_0</vt:lpstr>
      <vt:lpstr>'316'!OSRRefT22_6x_0</vt:lpstr>
      <vt:lpstr>'317'!OSRRefT22_6x_0</vt:lpstr>
      <vt:lpstr>'320'!OSRRefT22_6x_0</vt:lpstr>
      <vt:lpstr>'321'!OSRRefT22_6x_0</vt:lpstr>
      <vt:lpstr>'322'!OSRRefT22_6x_0</vt:lpstr>
      <vt:lpstr>'325'!OSRRefT22_6x_0</vt:lpstr>
      <vt:lpstr>'326'!OSRRefT22_6x_0</vt:lpstr>
      <vt:lpstr>'330'!OSRRefT22_6x_0</vt:lpstr>
      <vt:lpstr>'331'!OSRRefT22_6x_0</vt:lpstr>
      <vt:lpstr>'332'!OSRRefT22_6x_0</vt:lpstr>
      <vt:lpstr>'405'!OSRRefT22_6x_0</vt:lpstr>
      <vt:lpstr>'406'!OSRRefT22_6x_0</vt:lpstr>
      <vt:lpstr>'411'!OSRRefT22_6x_0</vt:lpstr>
      <vt:lpstr>'412'!OSRRefT22_6x_0</vt:lpstr>
      <vt:lpstr>'413'!OSRRefT22_6x_0</vt:lpstr>
      <vt:lpstr>'414'!OSRRefT22_6x_0</vt:lpstr>
      <vt:lpstr>'415'!OSRRefT22_6x_0</vt:lpstr>
      <vt:lpstr>'418'!OSRRefT22_6x_0</vt:lpstr>
      <vt:lpstr>'424'!OSRRefT22_6x_0</vt:lpstr>
      <vt:lpstr>'425'!OSRRefT22_6x_0</vt:lpstr>
      <vt:lpstr>'430'!OSRRefT22_6x_0</vt:lpstr>
      <vt:lpstr>'433'!OSRRefT22_6x_0</vt:lpstr>
      <vt:lpstr>'435'!OSRRefT22_6x_0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'205'!OSRRefT22_7x_0</vt:lpstr>
      <vt:lpstr>'206'!OSRRefT22_7x_0</vt:lpstr>
      <vt:lpstr>'300'!OSRRefT22_7x_0</vt:lpstr>
      <vt:lpstr>'300 &amp; 317'!OSRRefT22_7x_0</vt:lpstr>
      <vt:lpstr>'301'!OSRRefT22_7x_0</vt:lpstr>
      <vt:lpstr>'306'!OSRRefT22_7x_0</vt:lpstr>
      <vt:lpstr>'307'!OSRRefT22_7x_0</vt:lpstr>
      <vt:lpstr>'308'!OSRRefT22_7x_0</vt:lpstr>
      <vt:lpstr>'309'!OSRRefT22_7x_0</vt:lpstr>
      <vt:lpstr>'310'!OSRRefT22_7x_0</vt:lpstr>
      <vt:lpstr>'310 &amp; 491'!OSRRefT22_7x_0</vt:lpstr>
      <vt:lpstr>'311'!OSRRefT22_7x_0</vt:lpstr>
      <vt:lpstr>'313'!OSRRefT22_7x_0</vt:lpstr>
      <vt:lpstr>'314'!OSRRefT22_7x_0</vt:lpstr>
      <vt:lpstr>'315'!OSRRefT22_7x_0</vt:lpstr>
      <vt:lpstr>'316'!OSRRefT22_7x_0</vt:lpstr>
      <vt:lpstr>'317'!OSRRefT22_7x_0</vt:lpstr>
      <vt:lpstr>'320'!OSRRefT22_7x_0</vt:lpstr>
      <vt:lpstr>'321'!OSRRefT22_7x_0</vt:lpstr>
      <vt:lpstr>'322'!OSRRefT22_7x_0</vt:lpstr>
      <vt:lpstr>'325'!OSRRefT22_7x_0</vt:lpstr>
      <vt:lpstr>'326'!OSRRefT22_7x_0</vt:lpstr>
      <vt:lpstr>'330'!OSRRefT22_7x_0</vt:lpstr>
      <vt:lpstr>'331'!OSRRefT22_7x_0</vt:lpstr>
      <vt:lpstr>'332'!OSRRefT22_7x_0</vt:lpstr>
      <vt:lpstr>'405'!OSRRefT22_7x_0</vt:lpstr>
      <vt:lpstr>'406'!OSRRefT22_7x_0</vt:lpstr>
      <vt:lpstr>'411'!OSRRefT22_7x_0</vt:lpstr>
      <vt:lpstr>'412'!OSRRefT22_7x_0</vt:lpstr>
      <vt:lpstr>'413'!OSRRefT22_7x_0</vt:lpstr>
      <vt:lpstr>'414'!OSRRefT22_7x_0</vt:lpstr>
      <vt:lpstr>'415'!OSRRefT22_7x_0</vt:lpstr>
      <vt:lpstr>'418'!OSRRefT22_7x_0</vt:lpstr>
      <vt:lpstr>'424'!OSRRefT22_7x_0</vt:lpstr>
      <vt:lpstr>'425'!OSRRefT22_7x_0</vt:lpstr>
      <vt:lpstr>'430'!OSRRefT22_7x_0</vt:lpstr>
      <vt:lpstr>'433'!OSRRefT22_7x_0</vt:lpstr>
      <vt:lpstr>'435'!OSRRefT22_7x_0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'204'!OSRRefT22_8x_0</vt:lpstr>
      <vt:lpstr>'205'!OSRRefT22_8x_0</vt:lpstr>
      <vt:lpstr>'206'!OSRRefT22_8x_0</vt:lpstr>
      <vt:lpstr>'300'!OSRRefT22_8x_0</vt:lpstr>
      <vt:lpstr>'300 &amp; 317'!OSRRefT22_8x_0</vt:lpstr>
      <vt:lpstr>'301'!OSRRefT22_8x_0</vt:lpstr>
      <vt:lpstr>'306'!OSRRefT22_8x_0</vt:lpstr>
      <vt:lpstr>'307'!OSRRefT22_8x_0</vt:lpstr>
      <vt:lpstr>'308'!OSRRefT22_8x_0</vt:lpstr>
      <vt:lpstr>'309'!OSRRefT22_8x_0</vt:lpstr>
      <vt:lpstr>'310'!OSRRefT22_8x_0</vt:lpstr>
      <vt:lpstr>'310 &amp; 491'!OSRRefT22_8x_0</vt:lpstr>
      <vt:lpstr>'311'!OSRRefT22_8x_0</vt:lpstr>
      <vt:lpstr>'313'!OSRRefT22_8x_0</vt:lpstr>
      <vt:lpstr>'315'!OSRRefT22_8x_0</vt:lpstr>
      <vt:lpstr>'316'!OSRRefT22_8x_0</vt:lpstr>
      <vt:lpstr>'317'!OSRRefT22_8x_0</vt:lpstr>
      <vt:lpstr>'320'!OSRRefT22_8x_0</vt:lpstr>
      <vt:lpstr>'321'!OSRRefT22_8x_0</vt:lpstr>
      <vt:lpstr>'322'!OSRRefT22_8x_0</vt:lpstr>
      <vt:lpstr>'325'!OSRRefT22_8x_0</vt:lpstr>
      <vt:lpstr>'326'!OSRRefT22_8x_0</vt:lpstr>
      <vt:lpstr>'330'!OSRRefT22_8x_0</vt:lpstr>
      <vt:lpstr>'331'!OSRRefT22_8x_0</vt:lpstr>
      <vt:lpstr>'332'!OSRRefT22_8x_0</vt:lpstr>
      <vt:lpstr>'405'!OSRRefT22_8x_0</vt:lpstr>
      <vt:lpstr>'406'!OSRRefT22_8x_0</vt:lpstr>
      <vt:lpstr>'411'!OSRRefT22_8x_0</vt:lpstr>
      <vt:lpstr>'412'!OSRRefT22_8x_0</vt:lpstr>
      <vt:lpstr>'413'!OSRRefT22_8x_0</vt:lpstr>
      <vt:lpstr>'414'!OSRRefT22_8x_0</vt:lpstr>
      <vt:lpstr>'415'!OSRRefT22_8x_0</vt:lpstr>
      <vt:lpstr>'418'!OSRRefT22_8x_0</vt:lpstr>
      <vt:lpstr>'424'!OSRRefT22_8x_0</vt:lpstr>
      <vt:lpstr>'425'!OSRRefT22_8x_0</vt:lpstr>
      <vt:lpstr>'430'!OSRRefT22_8x_0</vt:lpstr>
      <vt:lpstr>'433'!OSRRefT22_8x_0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'204'!OSRRefT22_9x_0</vt:lpstr>
      <vt:lpstr>'205'!OSRRefT22_9x_0</vt:lpstr>
      <vt:lpstr>'206'!OSRRefT22_9x_0</vt:lpstr>
      <vt:lpstr>'300'!OSRRefT22_9x_0</vt:lpstr>
      <vt:lpstr>'300 &amp; 317'!OSRRefT22_9x_0</vt:lpstr>
      <vt:lpstr>'301'!OSRRefT22_9x_0</vt:lpstr>
      <vt:lpstr>'307'!OSRRefT22_9x_0</vt:lpstr>
      <vt:lpstr>'308'!OSRRefT22_9x_0</vt:lpstr>
      <vt:lpstr>'309'!OSRRefT22_9x_0</vt:lpstr>
      <vt:lpstr>'310'!OSRRefT22_9x_0</vt:lpstr>
      <vt:lpstr>'310 &amp; 491'!OSRRefT22_9x_0</vt:lpstr>
      <vt:lpstr>'311'!OSRRefT22_9x_0</vt:lpstr>
      <vt:lpstr>'313'!OSRRefT22_9x_0</vt:lpstr>
      <vt:lpstr>'315'!OSRRefT22_9x_0</vt:lpstr>
      <vt:lpstr>'316'!OSRRefT22_9x_0</vt:lpstr>
      <vt:lpstr>'317'!OSRRefT22_9x_0</vt:lpstr>
      <vt:lpstr>'321'!OSRRefT22_9x_0</vt:lpstr>
      <vt:lpstr>'322'!OSRRefT22_9x_0</vt:lpstr>
      <vt:lpstr>'325'!OSRRefT22_9x_0</vt:lpstr>
      <vt:lpstr>'326'!OSRRefT22_9x_0</vt:lpstr>
      <vt:lpstr>'330'!OSRRefT22_9x_0</vt:lpstr>
      <vt:lpstr>'331'!OSRRefT22_9x_0</vt:lpstr>
      <vt:lpstr>'332'!OSRRefT22_9x_0</vt:lpstr>
      <vt:lpstr>'405'!OSRRefT22_9x_0</vt:lpstr>
      <vt:lpstr>'406'!OSRRefT22_9x_0</vt:lpstr>
      <vt:lpstr>'411'!OSRRefT22_9x_0</vt:lpstr>
      <vt:lpstr>'412'!OSRRefT22_9x_0</vt:lpstr>
      <vt:lpstr>'413'!OSRRefT22_9x_0</vt:lpstr>
      <vt:lpstr>'414'!OSRRefT22_9x_0</vt:lpstr>
      <vt:lpstr>'415'!OSRRefT22_9x_0</vt:lpstr>
      <vt:lpstr>'418'!OSRRefT22_9x_0</vt:lpstr>
      <vt:lpstr>'424'!OSRRefT22_9x_0</vt:lpstr>
      <vt:lpstr>'425'!OSRRefT22_9x_0</vt:lpstr>
      <vt:lpstr>'430'!OSRRefT22_9x_0</vt:lpstr>
      <vt:lpstr>'433'!OSRRefT22_9x_0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'306'!OSRRefT22x_0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'313'!OSRRefT22x_0</vt:lpstr>
      <vt:lpstr>'314'!OSRRefT22x_0</vt:lpstr>
      <vt:lpstr>'315'!OSRRefT22x_0</vt:lpstr>
      <vt:lpstr>'316'!OSRRefT22x_0</vt:lpstr>
      <vt:lpstr>'317'!OSRRefT22x_0</vt:lpstr>
      <vt:lpstr>'320'!OSRRefT22x_0</vt:lpstr>
      <vt:lpstr>'321'!OSRRefT22x_0</vt:lpstr>
      <vt:lpstr>'322'!OSRRefT22x_0</vt:lpstr>
      <vt:lpstr>'325'!OSRRefT22x_0</vt:lpstr>
      <vt:lpstr>'326'!OSRRefT22x_0</vt:lpstr>
      <vt:lpstr>'327'!OSRRefT22x_0</vt:lpstr>
      <vt:lpstr>'330'!OSRRefT22x_0</vt:lpstr>
      <vt:lpstr>'331'!OSRRefT22x_0</vt:lpstr>
      <vt:lpstr>'332'!OSRRefT22x_0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'420'!OSRRefT22x_0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'450'!OSRRefT22x_0</vt:lpstr>
      <vt:lpstr>'455'!OSRRefT22x_0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'300'!OSRRefT25x_0</vt:lpstr>
      <vt:lpstr>'300 &amp; 317'!OSRRefT25x_0</vt:lpstr>
      <vt:lpstr>'301'!OSRRefT25x_0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'320'!OSRRefT25x_0</vt:lpstr>
      <vt:lpstr>'331'!OSRRefT25x_0</vt:lpstr>
      <vt:lpstr>'332'!OSRRefT25x_0</vt:lpstr>
      <vt:lpstr>'411'!OSRRefT25x_0</vt:lpstr>
      <vt:lpstr>'413'!OSRRefT25x_0</vt:lpstr>
      <vt:lpstr>'423'!OSRRefT25x_0</vt:lpstr>
      <vt:lpstr>'424'!OSRRefT25x_0</vt:lpstr>
      <vt:lpstr>'425'!OSRRefT25x_0</vt:lpstr>
      <vt:lpstr>'455'!OSRRefT25x_0</vt:lpstr>
      <vt:lpstr>'491'!OSRRefT25x_0</vt:lpstr>
      <vt:lpstr>'501'!OSRRefT25x_0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'306'!Print_Area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'314'!Print_Area</vt:lpstr>
      <vt:lpstr>'315'!Print_Area</vt:lpstr>
      <vt:lpstr>'316'!Print_Area</vt:lpstr>
      <vt:lpstr>'317'!Print_Area</vt:lpstr>
      <vt:lpstr>'320'!Print_Area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'420'!Print_Area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'445'!Print_Area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(2)_...6aa5a22d_14M6XO4'!Print_Area</vt:lpstr>
      <vt:lpstr>'OSR_300 (2)_7...54cb56fc_UFX0O2'!Print_Area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'OSR_310 (2)_5...3d931dee_QNK8R2'!Print_Area</vt:lpstr>
      <vt:lpstr>OSR_310_1CMTOSB!Print_Area</vt:lpstr>
      <vt:lpstr>'OSR_330 (2)_...8a14c83e_1NSH7XI'!Print_Area</vt:lpstr>
      <vt:lpstr>OSR_330_10VFP5Y!Print_Area</vt:lpstr>
      <vt:lpstr>'OSR_331 (2)_...7280af70_1P5SPLT'!Print_Area</vt:lpstr>
      <vt:lpstr>OSR_331_10VKQAJ!Print_Area</vt:lpstr>
      <vt:lpstr>OSR_332_6NDVBW!Print_Area</vt:lpstr>
      <vt:lpstr>'OSR_491 (2)_...853a34aa_1UNC34K'!Print_Area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(2)...32d16c57_IVJ1QO'!Print_Area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'306'!Print_Titles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'314'!Print_Titles</vt:lpstr>
      <vt:lpstr>'315'!Print_Titles</vt:lpstr>
      <vt:lpstr>'316'!Print_Titles</vt:lpstr>
      <vt:lpstr>'317'!Print_Titles</vt:lpstr>
      <vt:lpstr>'320'!Print_Titles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'420'!Print_Titles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'445'!Print_Titles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(2)_...6aa5a22d_14M6XO4'!Print_Titles</vt:lpstr>
      <vt:lpstr>'OSR_300 (2)_7...54cb56fc_UFX0O2'!Print_Titles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'OSR_310 (2)_5...3d931dee_QNK8R2'!Print_Titles</vt:lpstr>
      <vt:lpstr>OSR_310_1CMTOSB!Print_Titles</vt:lpstr>
      <vt:lpstr>'OSR_330 (2)_...8a14c83e_1NSH7XI'!Print_Titles</vt:lpstr>
      <vt:lpstr>OSR_330_10VFP5Y!Print_Titles</vt:lpstr>
      <vt:lpstr>'OSR_331 (2)_...7280af70_1P5SPLT'!Print_Titles</vt:lpstr>
      <vt:lpstr>OSR_331_10VKQAJ!Print_Titles</vt:lpstr>
      <vt:lpstr>OSR_332_6NDVBW!Print_Titles</vt:lpstr>
      <vt:lpstr>'OSR_491 (2)_...853a34aa_1UNC34K'!Print_Titles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(2)...32d16c57_IVJ1QO'!Print_Titles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Tess Monzon</cp:lastModifiedBy>
  <cp:lastPrinted>2019-10-18T18:11:31Z</cp:lastPrinted>
  <dcterms:modified xsi:type="dcterms:W3CDTF">2019-10-18T19:41:02Z</dcterms:modified>
</cp:coreProperties>
</file>